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xl/worksheets/sheet5.xml" ContentType="application/vnd.openxmlformats-officedocument.spreadsheetml.worksheet+xml"/>
  <Override PartName="/xl/drawings/drawing4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drawings/drawing5.xml" ContentType="application/vnd.openxmlformats-officedocument.drawing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drawings/drawing6.xml" ContentType="application/vnd.openxmlformats-officedocument.drawing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1" autoFilterDateGrouping="1"/>
  </bookViews>
  <sheets>
    <sheet name="Cover" sheetId="1" state="visible" r:id="rId1"/>
    <sheet name="Summary" sheetId="2" state="visible" r:id="rId2"/>
    <sheet name="Portfolio" sheetId="3" state="visible" r:id="rId3"/>
    <sheet name="Envelope" sheetId="4" state="visible" r:id="rId4"/>
    <sheet name="Cone" sheetId="5" state="visible" r:id="rId5"/>
    <sheet name="Anthropic" sheetId="6" state="visible" r:id="rId6"/>
    <sheet name="Assumptions" sheetId="7" state="visible" r:id="rId7"/>
    <sheet name="Sources" sheetId="8" state="visible" r:id="rId8"/>
    <sheet name="NSMR" sheetId="9" state="visible" r:id="rId9"/>
    <sheet name="Capacity" sheetId="10" state="visible" r:id="rId10"/>
    <sheet name="Power" sheetId="11" state="visible" r:id="rId11"/>
    <sheet name="CoI" sheetId="12" state="visible" r:id="rId12"/>
    <sheet name="Procurement" sheetId="13" state="visible" r:id="rId13"/>
    <sheet name="Fuel" sheetId="14" state="visible" r:id="rId14"/>
    <sheet name="LiveTape" sheetId="15" state="visible" r:id="rId15"/>
    <sheet name="Risk" sheetId="16" state="visible" r:id="rId16"/>
    <sheet name="Credit" sheetId="17" state="visible" r:id="rId17"/>
    <sheet name="MonteCarlo" sheetId="18" state="visible" r:id="rId18"/>
    <sheet name="Sensitivity" sheetId="19" state="visible" r:id="rId19"/>
    <sheet name="Checks" sheetId="20" state="visible" r:id="rId20"/>
    <sheet name="Design" sheetId="21" state="visible" r:id="rId21"/>
  </sheets>
  <definedNames>
    <definedName name="sQueueActive">Sources!$C$8</definedName>
    <definedName name="sQueueWithdrawn">Sources!$C$9</definedName>
    <definedName name="sQueueOps">Sources!$C$10</definedName>
    <definedName name="sErcotReq">Sources!$C$11</definedName>
    <definedName name="sErcotApproved">Sources!$C$12</definedName>
    <definedName name="sErcotForecast">Sources!$C$13</definedName>
    <definedName name="sCrwvContracted">Sources!$C$14</definedName>
    <definedName name="sCrwvPowered">Sources!$C$15</definedName>
    <definedName name="sTalenCap">Sources!$C$16</definedName>
    <definedName name="sTalenCeiling">Sources!$C$17</definedName>
    <definedName name="sTalenTerm">Sources!$C$18</definedName>
    <definedName name="sCapSettled">Sources!$C$19</definedName>
    <definedName name="sCapJan26">Sources!$C$20</definedName>
    <definedName name="sPjmSurplus">Sources!$C$21</definedName>
    <definedName name="sDdtlSize">Sources!$C$22</definedName>
    <definedName name="sDdtlSpread">Sources!$C$23</definedName>
    <definedName name="sLtvIg">Sources!$C$24</definedName>
    <definedName name="sLtvNonIg">Sources!$C$25</definedName>
    <definedName name="sCrwvDebt">Sources!$C$26</definedName>
    <definedName name="sCrwvRpo">Sources!$C$27</definedName>
    <definedName name="sCrwvRpo24">Sources!$C$28</definedName>
    <definedName name="sCrwvRev">Sources!$C$29</definedName>
    <definedName name="sCrwvConc">Sources!$C$30</definedName>
    <definedName name="sCrwvLife">Sources!$C$31</definedName>
    <definedName name="sMetaLife">Sources!$C$32</definedName>
    <definedName name="sNvda26">Sources!$C$33</definedName>
    <definedName name="sNvda25">Sources!$C$34</definedName>
    <definedName name="sGoogCapex">Sources!$C$35</definedName>
    <definedName name="sMsftCapex">Sources!$C$36</definedName>
    <definedName name="sEciAnchor">Sources!$C$37</definedName>
    <definedName name="sIepAnchor">Sources!$C$38</definedName>
    <definedName name="sSmpAnchor">Sources!$C$39</definedName>
    <definedName name="sFmpAnchor">Sources!$C$40</definedName>
    <definedName name="sFeedSpot">Sources!$C$41</definedName>
    <definedName name="sFeedLT">Sources!$C$42</definedName>
    <definedName name="sRevFloor">Sources!$C$43</definedName>
    <definedName name="sCapRaised">Sources!$C$44</definedName>
    <definedName name="sComputeSpend">Sources!$C$45</definedName>
    <definedName name="sNegShareWest22">Sources!$C$46</definedName>
    <definedName name="sNegShareWest25">Sources!$C$47</definedName>
    <definedName name="sRetNucMw">Sources!$C$48</definedName>
    <definedName name="sRetNucSites">Sources!$C$49</definedName>
    <definedName name="sNodesAt25">Sources!$C$50</definedName>
    <definedName name="sWestNodeMedian">Sources!$C$51</definedName>
    <definedName name="sQueueConv2015">Sources!$C$52</definedName>
    <definedName name="sTimeToCod">Sources!$C$53</definedName>
    <definedName name="sBraDy26">Sources!$C$54</definedName>
    <definedName name="sBraDy28">Sources!$C$55</definedName>
    <definedName name="sAtbCapexMod">Sources!$C$56</definedName>
    <definedName name="sAtbCapexCons">Sources!$C$57</definedName>
    <definedName name="sAtbLcoeSmr">Sources!$C$58</definedName>
    <definedName name="sVogtleCost">Sources!$C$59</definedName>
    <definedName name="sAnthCommit">Sources!$C$62</definedName>
    <definedName name="sAnthGwGoog">Sources!$C$63</definedName>
    <definedName name="sAnthGwAmzn">Sources!$C$64</definedName>
    <definedName name="sAnthNdr">Sources!$C$65</definedName>
    <definedName name="sAnthF10">Sources!$C$66</definedName>
    <definedName name="sAnthCodeShare">Sources!$C$67</definedName>
    <definedName name="sAnthRev26q1">Sources!$C$68</definedName>
    <definedName name="sAnthRev25exit">Sources!$C$69</definedName>
    <definedName name="sCfoTime">Sources!$C$70</definedName>
    <definedName name="sOaiTriple">Sources!$C$71</definedName>
    <definedName name="sOai30Gw">Sources!$C$72</definedName>
    <definedName name="sOaiInfShare">Sources!$C$73</definedName>
    <definedName name="sGpusPerGw">Sources!$C$74</definedName>
    <definedName name="sCapexPerGw">Sources!$C$75</definedName>
    <definedName name="sUsPipeline">Sources!$C$76</definedName>
    <definedName name="sFrontierLead">Sources!$C$77</definedName>
    <definedName name="sChipCycle">Sources!$C$78</definedName>
    <definedName name="sCapexPerMw">Sources!$C$79</definedName>
    <definedName name="sCrusoeRevPerMw">Sources!$C$80</definedName>
    <definedName name="sAbileneMw">Sources!$C$81</definedName>
    <definedName name="sNegPriceShare">Sources!$C$82</definedName>
    <definedName name="sTpuSpvDebt">Sources!$C$83</definedName>
    <definedName name="sNsmrTermYears">Sources!$C$84</definedName>
    <definedName name="sNsmrFixedYears">Sources!$C$85</definedName>
    <definedName name="sOutageDaysMax">Sources!$C$86</definedName>
    <definedName name="sNsmrUnitMw">Sources!$C$89</definedName>
    <definedName name="sNsmrUnits">Sources!$C$90</definedName>
    <definedName name="sNsmrMwhCycle">Sources!$C$91</definedName>
    <definedName name="sNsmrCycleYrs">Sources!$C$92</definedName>
    <definedName name="sNsmrOpxEsc">Sources!$C$93</definedName>
    <definedName name="sNsmrAvailY1">Sources!$C$94</definedName>
    <definedName name="sNsmrAvailY2">Sources!$C$95</definedName>
    <definedName name="sNsmrCapFloor">Sources!$C$96</definedName>
    <definedName name="sNsmrFmDays">Sources!$C$97</definedName>
    <definedName name="sNsmrDdLoad">Sources!$C$98</definedName>
    <definedName name="sNsmrCodU1">Sources!$C$99</definedName>
    <definedName name="sNsmrCodU2">Sources!$C$100</definedName>
    <definedName name="sWFeed">Sources!$C$101</definedName>
    <definedName name="sWConv">Sources!$C$102</definedName>
    <definedName name="sWSwu">Sources!$C$103</definedName>
    <definedName name="sWFab">Sources!$C$104</definedName>
    <definedName name="sWFabEci">Sources!$C$105</definedName>
    <definedName name="sWFabIep">Sources!$C$106</definedName>
    <definedName name="sWFabSmp">Sources!$C$107</definedName>
    <definedName name="sWFabFmp">Sources!$C$108</definedName>
    <definedName name="sFeedSpotCur">Sources!$C$111</definedName>
    <definedName name="sFeedLTCur">Sources!$C$112</definedName>
    <definedName name="sEciCur">Sources!$C$113</definedName>
    <definedName name="sIepCur">Sources!$C$114</definedName>
    <definedName name="sSmpCur">Sources!$C$115</definedName>
    <definedName name="sFmpCur">Sources!$C$116</definedName>
    <definedName name="sCrwvPow23">Sources!$C$117</definedName>
    <definedName name="sCrwvPow24">Sources!$C$118</definedName>
    <definedName name="sBraYoyMedian">Sources!$C$119</definedName>
    <definedName name="sBraYoyP90">Sources!$C$120</definedName>
    <definedName name="sWestCheapQ25">Sources!$C$121</definedName>
    <definedName name="sNsmrBasisMid">Sources!$C$122</definedName>
    <definedName name="sNsmrBasisLow">Sources!$C$123</definedName>
    <definedName name="sNsmrBasisHigh">Sources!$C$124</definedName>
    <definedName name="sRiskPricedCountry">Sources!$C$125</definedName>
    <definedName name="sRiskPricedFoak">Sources!$C$126</definedName>
    <definedName name="sRiskPricedLabor">Sources!$C$127</definedName>
    <definedName name="sFeedAnchor">Sources!$C$128</definedName>
    <definedName name="sFeedCur">Sources!$C$129</definedName>
    <definedName name="sTalenStep">Sources!$C$130</definedName>
    <definedName name="sNsmrCf">Sources!$C$131</definedName>
    <definedName name="nCompression">Assumptions!$G$8</definedName>
    <definedName name="nUtil">Assumptions!$G$9</definedName>
    <definedName name="nDelay">Assumptions!$G$10</definedName>
    <definedName name="nPower">Assumptions!$G$11</definedName>
    <definedName name="nGpuIdx">Assumptions!$G$12</definedName>
    <definedName name="nCarryRate">Assumptions!$G$13</definedName>
    <definedName name="nConv">Assumptions!$G$14</definedName>
    <definedName name="nSwu">Assumptions!$G$15</definedName>
    <definedName name="nGrow27">Assumptions!$G$16</definedName>
    <definedName name="nPowerCagr">Assumptions!$G$17</definedName>
    <definedName name="nPriceDrift">Assumptions!$G$18</definedName>
    <definedName name="nEffDrift">Assumptions!$G$19</definedName>
    <definedName name="nFuelCagr">Assumptions!$G$20</definedName>
    <definedName name="nTokensPerTaskDrift">Assumptions!$G$21</definedName>
    <definedName name="nDemandElasticity">Assumptions!$G$22</definedName>
    <definedName name="nListPrice">Assumptions!$E$25</definedName>
    <definedName name="nInference">Assumptions!$E$26</definedName>
    <definedName name="nAmort">Assumptions!$E$27</definedName>
    <definedName name="nNetworking">Assumptions!$E$28</definedName>
    <definedName name="nOverheadBase">Assumptions!$E$29</definedName>
    <definedName name="nCodBase">Assumptions!$E$30</definedName>
    <definedName name="nDebtService">Assumptions!$E$31</definedName>
    <definedName name="nBurn">Assumptions!$E$32</definedName>
    <definedName name="nUtilCal">Assumptions!$E$33</definedName>
    <definedName name="nPowerCal">Assumptions!$E$34</definedName>
    <definedName name="nFeedRatioOverride">Assumptions!$E$35</definedName>
    <definedName name="nGDecay">Assumptions!$E$36</definedName>
    <definedName name="nGTerm">Assumptions!$E$37</definedName>
    <definedName name="nRev24">Assumptions!$E$38</definedName>
    <definedName name="nRev25">Assumptions!$E$39</definedName>
    <definedName name="nRev26">Assumptions!$E$40</definedName>
    <definedName name="nDisc">Assumptions!$E$41</definedName>
    <definedName name="nInfl">Assumptions!$E$42</definedName>
    <definedName name="StructTable">Assumptions!$B$46:$G$49</definedName>
    <definedName name="nMixPpa">Assumptions!$E$52</definedName>
    <definedName name="nMixStr">Assumptions!$E$53</definedName>
    <definedName name="nMixNsmr">Assumptions!$E$54</definedName>
    <definedName name="nRampYr">Assumptions!$E$55</definedName>
    <definedName name="nNsmrRampYrs">Assumptions!$E$56</definedName>
    <definedName name="nResidualBasisMarkup">Assumptions!$E$57</definedName>
    <definedName name="nScarcityAlpha">Assumptions!$E$58</definedName>
    <definedName name="nScarcityGamma">Assumptions!$E$59</definedName>
    <definedName name="nTrainFloor">Assumptions!$E$67</definedName>
    <definedName name="nInternalShare">Assumptions!$E$68</definedName>
    <definedName name="nServingShare">Assumptions!$E$69</definedName>
    <definedName name="nCommitRampYrs">Assumptions!$E$72</definedName>
    <definedName name="nFrontierMult">Assumptions!$E$73</definedName>
    <definedName name="nInfShare26">Assumptions!$E$74</definedName>
    <definedName name="nInfShareYr">Assumptions!$E$75</definedName>
    <definedName name="nCapPpaStart">Assumptions!$E$76</definedName>
    <definedName name="nCapPpaRate">Assumptions!$E$77</definedName>
    <definedName name="nCapPpaMax">Assumptions!$E$78</definedName>
    <definedName name="nCapStrRate">Assumptions!$E$79</definedName>
    <definedName name="nCapStrMax">Assumptions!$E$80</definedName>
    <definedName name="nNsmrFleetRate">Assumptions!$E$81</definedName>
    <definedName name="nNsmrFleetMax">Assumptions!$E$82</definedName>
    <definedName name="nNsmrCap">NSMR!$D$7</definedName>
    <definedName name="nNsmrOpx">NSMR!$D$8</definedName>
    <definedName name="nNsmrFuel">NSMR!$D$9</definedName>
    <definedName name="nNsmrItc">NSMR!$D$10</definedName>
    <definedName name="nNsmrFuelCap">NSMR!$D$11</definedName>
    <definedName name="nStepFirst">NSMR!$D$12</definedName>
    <definedName name="nStepEvery">NSMR!$D$13</definedName>
    <definedName name="nStepPct">NSMR!$D$14</definedName>
    <definedName name="nExclPrem">NSMR!$D$15</definedName>
    <definedName name="nFlexRelief">NSMR!$D$16</definedName>
    <definedName name="nProdCredit">NSMR!$D$17</definedName>
    <definedName name="nStepGated">NSMR!$D$18</definedName>
    <definedName name="NsmrPrice2033">NSMR!$M$28</definedName>
    <definedName name="NsmrAllIn2034">NSMR!$N$28</definedName>
    <definedName name="NsmrOpt1_2033">NSMR!$M$25</definedName>
    <definedName name="nBuyerTake">NSMR!$D$42</definedName>
    <definedName name="nSpotAssess">NSMR!$D$43</definedName>
    <definedName name="NsmrUnderUtil">NSMR!$D$46</definedName>
    <definedName name="nAvailReal">NSMR!$D$50</definedName>
    <definedName name="nShortfallCapM">NSMR!$D$52</definedName>
    <definedName name="NsmrShortfallDmg">NSMR!$D$53</definedName>
    <definedName name="nColStress">NSMR!$D$58</definedName>
    <definedName name="nColT1">NSMR!$D$59</definedName>
    <definedName name="nColT2">NSMR!$D$60</definedName>
    <definedName name="ColAllocated">NSMR!$D$64</definedName>
    <definedName name="nDepositM">NSMR!$D$67</definedName>
    <definedName name="nEscrowM">NSMR!$D$68</definedName>
    <definedName name="nOpAcctM">NSMR!$D$69</definedName>
    <definedName name="nMaintAcctM">NSMR!$D$70</definedName>
    <definedName name="NsmrLiquidity">NSMR!$D$71</definedName>
    <definedName name="nAdvancesM">NSMR!$D$72</definedName>
    <definedName name="OutageHeadroom">NSMR!$D$79</definedName>
    <definedName name="nNsmrCostBasis">NSMR!$D$83</definedName>
    <definedName name="NsmrDurPrem">NSMR!$D$85</definedName>
    <definedName name="NsmrBearCover">NSMR!$D$87</definedName>
    <definedName name="FabComposite">Fuel!$C$11</definedName>
    <definedName name="FuelEsc">Fuel!$C$19</definedName>
    <definedName name="LiveTapePjmCapacityStep">LiveTape!$C$9</definedName>
    <definedName name="LiveTapeDemandT4Q">LiveTape!$C$10</definedName>
    <definedName name="LiveTapeFabComposite">LiveTape!$C$11</definedName>
    <definedName name="LiveTapeFeedProxyRatio">LiveTape!$C$12</definedName>
    <definedName name="LiveTapeLiveFuelCoverage">LiveTape!$C$13</definedName>
    <definedName name="LiveTapeRiskPricedComposite">LiveTape!$C$14</definedName>
    <definedName name="LiveTapeRecognizedRevenueFloorB">LiveTape!$C$15</definedName>
    <definedName name="LiveTapeOutsideCapitalFloorB">LiveTape!$C$16</definedName>
    <definedName name="LiveTapeComputeSpendFloorB">LiveTape!$C$17</definedName>
    <definedName name="LiveTapePjmSurplusShare">LiveTape!$C$18</definedName>
    <definedName name="LiveTapeErcotMaxNegativeShare">LiveTape!$C$19</definedName>
    <definedName name="LiveTapeSitingRows">LiveTape!$C$20</definedName>
    <definedName name="LiveTapeGeneratedAt">LiveTape!$C$8</definedName>
    <definedName name="QueueConversion">Capacity!$C$11</definedName>
    <definedName name="ErcotShare">Capacity!$C$18</definedName>
    <definedName name="CrwvGapMW">Capacity!$F$24</definedName>
    <definedName name="CarryCumY18">Power!$T$11</definedName>
    <definedName name="CapEscalation">Power!$C$16</definedName>
    <definedName name="CoiRevenue">CoI!$C$7</definedName>
    <definedName name="CoiCost">CoI!$C$14</definedName>
    <definedName name="CoiMargin">CoI!$C$15</definedName>
    <definedName name="CoiDscr">CoI!$C$17</definedName>
    <definedName name="CoiBreakeven">CoI!$C$18</definedName>
    <definedName name="PowerIntensity">CoI!$C$21</definedName>
    <definedName name="NpvSavings">Anthropic!$C$41</definedName>
    <definedName name="NsmrUnits2040">Anthropic!$T$39</definedName>
    <definedName name="LoadGw2026">Anthropic!$F$14</definedName>
    <definedName name="LoadGw2030">Anthropic!$J$14</definedName>
    <definedName name="LoadGw2040">Anthropic!$T$14</definedName>
    <definedName name="Blend2030">Anthropic!$J$30</definedName>
    <definedName name="RevenueBridgeRecognizedFloorB">Anthropic!$E$60</definedName>
    <definedName name="RevenueBridgeRunRateStart26B">Anthropic!$E$61</definedName>
    <definedName name="RevenueBridgeRunRateExit26B">Anthropic!$E$62</definedName>
    <definedName name="RunRateOnlyTokens2030">Anthropic!$J$68</definedName>
    <definedName name="TokensPerTaskIndex2030">Anthropic!$J$69</definedName>
    <definedName name="ElasticityMultiplier2030">Anthropic!$J$70</definedName>
    <definedName name="DemandDriverMultiplier2030">Anthropic!$J$71</definedName>
    <definedName name="DriverAdjustedTokens2030">Anthropic!$J$72</definedName>
    <definedName name="EnvelopeRoi26">Envelope!$F$20</definedName>
    <definedName name="EnvelopeRoi30">Envelope!$J$20</definedName>
    <definedName name="TopCone2030">Cone!$J$10</definedName>
    <definedName name="CommitGw2030">Cone!$J$18</definedName>
    <definedName name="Uncovered2030">Cone!$J$20</definedName>
    <definedName name="CapexImplied2030">Cone!$D$26</definedName>
    <definedName name="CapexVsCommit">Cone!$D$28</definedName>
    <definedName name="RevPerGw">Cone!$D$34</definedName>
    <definedName name="Engine2Gw2026">Cone!$F$36</definedName>
    <definedName name="Engine2Gw2030">Cone!$J$36</definedName>
    <definedName name="IdleCarry">Cone!$D$42</definedName>
    <definedName name="LostMargin">Cone!$D$43</definedName>
    <definedName name="RegretPlan">Cone!$D$49</definedName>
    <definedName name="HistoricalStressStoryboards">Cone!$B$56:$G$60</definedName>
    <definedName name="ConeP95_2040">Cone!$T$65</definedName>
    <definedName name="ConeP50_2040">Cone!$T$68</definedName>
    <definedName name="ConeP05_2040">Cone!$T$71</definedName>
    <definedName name="PortBlend2034">Portfolio!$N$32</definedName>
    <definedName name="PortResidualUtil2034">Portfolio!$N$33</definedName>
    <definedName name="PortUnmet2034">Portfolio!$N$34</definedName>
    <definedName name="DevShare2030">Portfolio!$J$35</definedName>
    <definedName name="PortNpv">Portfolio!$D$42</definedName>
    <definedName name="MixBeyondCaps2030">Portfolio!$D$44</definedName>
    <definedName name="RiskHaircut">Procurement!$C$13</definedName>
    <definedName name="BestStructure">Procurement!$C$15</definedName>
    <definedName name="BestRaCoi">Procurement!$C$16</definedName>
    <definedName name="CloudTimeScore">Procurement!$L$23</definedName>
    <definedName name="NsmrTimeScore">Procurement!$L$26</definedName>
    <definedName name="FastStructure">Procurement!$C$28</definedName>
    <definedName name="BestDealScore">Procurement!$G$29</definedName>
    <definedName name="RpoCover">Credit!$C$14</definedName>
    <definedName name="AccountingTreatmentMap">Credit!$B$37:$G$41</definedName>
    <definedName name="SpvCapitalStackMap">Credit!$B$47:$G$51</definedName>
    <definedName name="KnownSpvDebtComparator">Credit!$D$49</definedName>
    <definedName name="RiskComposite">Risk!$C$16</definedName>
    <definedName name="nMaxRiskPrem">Risk!$C$19</definedName>
    <definedName name="RaDisc">Risk!$C$21</definedName>
    <definedName name="PricedComposite">Risk!$C$27</definedName>
    <definedName name="PUnderwater">MonteCarlo!$C$13</definedName>
    <definedName name="PNsmrMiss">MonteCarlo!$C$14</definedName>
    <definedName name="McP50Margin">MonteCarlo!$C$10</definedName>
    <definedName name="McP50Nsmr">MonteCarlo!$F$10</definedName>
    <definedName name="nCodSlipMaxMo">MonteCarlo!$C$16</definedName>
    <definedName name="nAvailDrawMin">MonteCarlo!$C$17</definedName>
    <definedName name="nAvailDrawMax">MonteCarlo!$D$17</definedName>
    <definedName name="nUsefulLifeDrawMin">MonteCarlo!$C$18</definedName>
    <definedName name="nUsefulLifeDrawBase">MonteCarlo!$D$18</definedName>
    <definedName name="nUsefulLifeDrawMax">MonteCarlo!$E$18</definedName>
    <definedName name="TornadoMaxSwing">Sensitivity!$E$28</definedName>
    <definedName name="Scenario">Summary!$C$6</definedName>
  </definedNames>
  <calcPr calcId="124519" fullCalcOnLoad="1"/>
</workbook>
</file>

<file path=xl/styles.xml><?xml version="1.0" encoding="utf-8"?>
<styleSheet xmlns="http://schemas.openxmlformats.org/spreadsheetml/2006/main">
  <numFmts count="10">
    <numFmt numFmtId="164" formatCode="&quot;$&quot;#,##0.00"/>
    <numFmt numFmtId="165" formatCode="&quot;$&quot;#,##0"/>
    <numFmt numFmtId="166" formatCode="#,##0.0"/>
    <numFmt numFmtId="167" formatCode="0.0%"/>
    <numFmt numFmtId="168" formatCode="0.00&quot;×&quot;"/>
    <numFmt numFmtId="169" formatCode="&quot;$&quot;#,##0.0&quot;B&quot;"/>
    <numFmt numFmtId="170" formatCode="&quot;$&quot;#,##0.0"/>
    <numFmt numFmtId="171" formatCode="0.0000"/>
    <numFmt numFmtId="172" formatCode="0.00000"/>
    <numFmt numFmtId="173" formatCode="#,##0.0&quot; GW&quot;"/>
  </numFmts>
  <fonts count="43">
    <font>
      <name val="Calibri"/>
      <family val="2"/>
      <color theme="1"/>
      <sz val="11"/>
      <scheme val="minor"/>
    </font>
    <font>
      <name val="Söhne Fett"/>
      <color rgb="00141413"/>
      <sz val="16"/>
    </font>
    <font>
      <name val="Söhne"/>
      <i val="1"/>
      <color rgb="003D3D3A"/>
      <sz val="9"/>
    </font>
    <font>
      <name val="Söhne Kräftig"/>
      <color rgb="00FAF9F5"/>
      <sz val="9"/>
    </font>
    <font>
      <name val="Söhne"/>
      <color rgb="003D3D3A"/>
      <sz val="8"/>
    </font>
    <font>
      <name val="Söhne"/>
      <color rgb="00141413"/>
      <sz val="9"/>
    </font>
    <font>
      <name val="Söhne Mono"/>
      <color rgb="00141413"/>
      <sz val="9"/>
    </font>
    <font>
      <name val="Söhne"/>
      <i val="1"/>
      <color rgb="003D3D3A"/>
      <sz val="8"/>
    </font>
    <font>
      <name val="Söhne Kräftig"/>
      <color rgb="00141413"/>
      <sz val="9"/>
    </font>
    <font>
      <name val="Söhne Mono"/>
      <color rgb="001C63AF"/>
      <sz val="9"/>
    </font>
    <font>
      <name val="Söhne Mono Kräftig"/>
      <color rgb="00141413"/>
      <sz val="10"/>
    </font>
    <font>
      <name val="Söhne Mono"/>
      <color rgb="005C6B47"/>
      <sz val="9"/>
    </font>
    <font>
      <name val="Söhne"/>
      <color rgb="001C63AF"/>
      <sz val="10"/>
    </font>
    <font>
      <name val="Söhne Mono Kräftig"/>
      <color rgb="005C6B47"/>
      <sz val="10"/>
    </font>
    <font>
      <name val="Söhne Leicht"/>
      <color rgb="00FAF9F5"/>
      <sz val="30"/>
    </font>
    <font>
      <name val="Söhne"/>
      <color rgb="00B6B6AB"/>
      <sz val="10"/>
    </font>
    <font>
      <name val="Söhne"/>
      <color rgb="00EB8360"/>
      <sz val="13"/>
    </font>
    <font>
      <name val="Söhne"/>
      <color rgb="00FAF9F5"/>
      <sz val="10"/>
    </font>
    <font>
      <name val="Söhne"/>
      <color rgb="00F3E2C4"/>
      <sz val="10"/>
    </font>
    <font>
      <name val="Söhne Kräftig"/>
      <color rgb="00EB8360"/>
      <sz val="10"/>
    </font>
    <font>
      <name val="Söhne Leicht"/>
      <color rgb="00F3E2C4"/>
      <sz val="13"/>
    </font>
    <font>
      <name val="Söhne"/>
      <color rgb="001C63AF"/>
      <sz val="9"/>
    </font>
    <font>
      <name val="Söhne"/>
      <color rgb="005C6B47"/>
      <sz val="9"/>
    </font>
    <font>
      <name val="Söhne"/>
      <color rgb="00A24F33"/>
      <sz val="9"/>
    </font>
    <font>
      <name val="Söhne"/>
      <i val="1"/>
      <color rgb="00B6B6AB"/>
      <sz val="8"/>
    </font>
    <font>
      <name val="Söhne"/>
      <color rgb="00B6B6AB"/>
      <sz val="8"/>
    </font>
    <font>
      <name val="Söhne Fett"/>
      <color rgb="00FAF9F5"/>
      <sz val="22"/>
    </font>
    <font>
      <name val="Söhne"/>
      <color rgb="00EB8360"/>
      <sz val="11"/>
    </font>
    <font>
      <name val="Söhne"/>
      <color rgb="00B6B6AB"/>
      <sz val="9"/>
    </font>
    <font>
      <name val="Söhne Kräftig"/>
      <color rgb="003D3D3A"/>
      <sz val="8"/>
    </font>
    <font>
      <name val="Söhne Leicht"/>
      <color rgb="00141413"/>
      <sz val="14"/>
    </font>
    <font>
      <name val="Söhne Kräftig"/>
      <color rgb="00FAF9F5"/>
      <sz val="10"/>
    </font>
    <font>
      <name val="Söhne Halbfett"/>
      <color rgb="00141413"/>
      <sz val="10"/>
    </font>
    <font>
      <name val="Söhne Mono Kräftig"/>
      <color rgb="00141413"/>
      <sz val="9"/>
    </font>
    <font>
      <name val="Söhne"/>
      <color rgb="006B6B63"/>
      <sz val="8"/>
    </font>
    <font>
      <name val="Söhne"/>
      <color rgb="006B6B63"/>
      <sz val="9"/>
    </font>
    <font>
      <name val="Söhne Fett"/>
      <color rgb="00FAF9F5"/>
      <sz val="11"/>
    </font>
    <font>
      <name val="Söhne Kräftig"/>
      <color rgb="00141413"/>
      <sz val="11"/>
    </font>
    <font>
      <name val="Söhne"/>
      <color rgb="003D3D3A"/>
      <sz val="9"/>
    </font>
    <font>
      <name val="Söhne Mono"/>
      <color rgb="00A24F33"/>
      <sz val="9"/>
    </font>
    <font>
      <name val="Söhne Mono"/>
      <color rgb="006B6B63"/>
      <sz val="9"/>
    </font>
    <font>
      <name val="Söhne Mono"/>
      <color rgb="00141413"/>
      <sz val="8"/>
    </font>
    <font>
      <name val="Söhne Mono"/>
      <color rgb="00FAF9F5"/>
      <sz val="8"/>
    </font>
  </fonts>
  <fills count="22">
    <fill>
      <patternFill/>
    </fill>
    <fill>
      <patternFill patternType="gray125"/>
    </fill>
    <fill>
      <patternFill patternType="solid">
        <fgColor rgb="003D3D3A"/>
      </patternFill>
    </fill>
    <fill>
      <patternFill patternType="solid">
        <fgColor rgb="00F0EEE6"/>
      </patternFill>
    </fill>
    <fill>
      <patternFill patternType="solid">
        <fgColor rgb="00F3E2C4"/>
      </patternFill>
    </fill>
    <fill>
      <patternFill patternType="solid">
        <fgColor rgb="00E8E6DC"/>
      </patternFill>
    </fill>
    <fill>
      <patternFill patternType="solid">
        <fgColor rgb="00282826"/>
      </patternFill>
    </fill>
    <fill>
      <patternFill patternType="solid">
        <fgColor rgb="00141413"/>
      </patternFill>
    </fill>
    <fill>
      <patternFill patternType="solid">
        <fgColor rgb="00FAF9F5"/>
      </patternFill>
    </fill>
    <fill>
      <patternFill patternType="solid">
        <fgColor rgb="00C6613F"/>
      </patternFill>
    </fill>
    <fill>
      <patternFill patternType="solid">
        <fgColor rgb="00D97757"/>
      </patternFill>
    </fill>
    <fill>
      <patternFill patternType="solid">
        <fgColor rgb="00EB8360"/>
      </patternFill>
    </fill>
    <fill>
      <patternFill patternType="solid">
        <fgColor rgb="00788C5D"/>
      </patternFill>
    </fill>
    <fill>
      <patternFill patternType="solid">
        <fgColor rgb="00BCD1CA"/>
      </patternFill>
    </fill>
    <fill>
      <patternFill patternType="solid">
        <fgColor rgb="001C63AF"/>
      </patternFill>
    </fill>
    <fill>
      <patternFill patternType="solid">
        <fgColor rgb="00C46686"/>
      </patternFill>
    </fill>
    <fill>
      <patternFill patternType="solid">
        <fgColor rgb="00FAB85B"/>
      </patternFill>
    </fill>
    <fill>
      <patternFill patternType="solid">
        <fgColor rgb="00ADD6C8"/>
      </patternFill>
    </fill>
    <fill>
      <patternFill patternType="solid">
        <fgColor rgb="00B6B6AB"/>
      </patternFill>
    </fill>
    <fill>
      <patternFill patternType="solid">
        <fgColor rgb="00EBC7C7"/>
      </patternFill>
    </fill>
    <fill>
      <patternFill patternType="solid">
        <fgColor rgb="0056673F"/>
      </patternFill>
    </fill>
    <fill>
      <patternFill patternType="solid">
        <fgColor rgb="0076766F"/>
      </patternFill>
    </fill>
  </fills>
  <borders count="6">
    <border>
      <left/>
      <right/>
      <top/>
      <bottom/>
      <diagonal/>
    </border>
    <border>
      <bottom style="thin">
        <color rgb="00141413"/>
      </bottom>
    </border>
    <border>
      <top style="thin">
        <color rgb="00141413"/>
      </top>
      <bottom style="thick">
        <color rgb="00141413"/>
      </bottom>
    </border>
    <border>
      <bottom style="thin">
        <color rgb="00B6B6AB"/>
      </bottom>
    </border>
    <border>
      <left style="thin">
        <color rgb="00B6B6AB"/>
      </left>
      <right style="thin">
        <color rgb="00B6B6AB"/>
      </right>
      <top style="thin">
        <color rgb="00B6B6AB"/>
      </top>
      <bottom style="thin">
        <color rgb="00B6B6AB"/>
      </bottom>
    </border>
    <border>
      <top style="thin">
        <color rgb="00141413"/>
      </top>
    </border>
  </borders>
  <cellStyleXfs count="1">
    <xf numFmtId="0" fontId="0" fillId="0" borderId="0"/>
  </cellStyleXfs>
  <cellXfs count="188">
    <xf numFmtId="0" fontId="0" fillId="0" borderId="0" pivotButton="0" quotePrefix="0" xfId="0"/>
    <xf numFmtId="0" fontId="0" fillId="8" borderId="0" pivotButton="0" quotePrefix="0" xfId="0"/>
    <xf numFmtId="0" fontId="0" fillId="6" borderId="0" pivotButton="0" quotePrefix="0" xfId="0"/>
    <xf numFmtId="0" fontId="14" fillId="6" borderId="0" pivotButton="0" quotePrefix="0" xfId="0"/>
    <xf numFmtId="0" fontId="15" fillId="6" borderId="0" pivotButton="0" quotePrefix="0" xfId="0"/>
    <xf numFmtId="0" fontId="16" fillId="6" borderId="0" pivotButton="0" quotePrefix="0" xfId="0"/>
    <xf numFmtId="0" fontId="17" fillId="6" borderId="0" pivotButton="0" quotePrefix="0" xfId="0"/>
    <xf numFmtId="0" fontId="18" fillId="6" borderId="0" pivotButton="0" quotePrefix="0" xfId="0"/>
    <xf numFmtId="0" fontId="19" fillId="7" borderId="0" pivotButton="0" quotePrefix="0" xfId="0"/>
    <xf numFmtId="0" fontId="0" fillId="7" borderId="0" pivotButton="0" quotePrefix="0" xfId="0"/>
    <xf numFmtId="0" fontId="20" fillId="6" borderId="0" pivotButton="0" quotePrefix="0" xfId="0"/>
    <xf numFmtId="0" fontId="21" fillId="4" borderId="0" pivotButton="0" quotePrefix="0" xfId="0"/>
    <xf numFmtId="0" fontId="22" fillId="8" borderId="0" pivotButton="0" quotePrefix="0" xfId="0"/>
    <xf numFmtId="0" fontId="5" fillId="8" borderId="0" pivotButton="0" quotePrefix="0" xfId="0"/>
    <xf numFmtId="0" fontId="23" fillId="8" borderId="0" pivotButton="0" quotePrefix="0" xfId="0"/>
    <xf numFmtId="0" fontId="24" fillId="6" borderId="0" pivotButton="0" quotePrefix="0" xfId="0"/>
    <xf numFmtId="0" fontId="25" fillId="6" borderId="0" pivotButton="0" quotePrefix="0" xfId="0"/>
    <xf numFmtId="0" fontId="1" fillId="8" borderId="1" pivotButton="0" quotePrefix="0" xfId="0"/>
    <xf numFmtId="0" fontId="0" fillId="8" borderId="1" pivotButton="0" quotePrefix="0" xfId="0"/>
    <xf numFmtId="0" fontId="2" fillId="8" borderId="0" applyAlignment="1" pivotButton="0" quotePrefix="0" xfId="0">
      <alignment horizontal="left" vertical="center" indent="1"/>
    </xf>
    <xf numFmtId="0" fontId="8" fillId="8" borderId="0" applyAlignment="1" pivotButton="0" quotePrefix="0" xfId="0">
      <alignment horizontal="left" vertical="center"/>
    </xf>
    <xf numFmtId="0" fontId="12" fillId="4" borderId="4" applyAlignment="1" pivotButton="0" quotePrefix="0" xfId="0">
      <alignment horizontal="center" vertical="center"/>
    </xf>
    <xf numFmtId="0" fontId="3" fillId="2" borderId="2" applyAlignment="1" pivotButton="0" quotePrefix="0" xfId="0">
      <alignment vertical="center"/>
    </xf>
    <xf numFmtId="0" fontId="0" fillId="2" borderId="2" pivotButton="0" quotePrefix="0" xfId="0"/>
    <xf numFmtId="169" fontId="13" fillId="8" borderId="0" applyAlignment="1" pivotButton="0" quotePrefix="0" xfId="0">
      <alignment horizontal="right" vertical="center"/>
    </xf>
    <xf numFmtId="9" fontId="13" fillId="8" borderId="0" applyAlignment="1" pivotButton="0" quotePrefix="0" xfId="0">
      <alignment horizontal="right" vertical="center"/>
    </xf>
    <xf numFmtId="3" fontId="13" fillId="8" borderId="0" applyAlignment="1" pivotButton="0" quotePrefix="0" xfId="0">
      <alignment horizontal="right" vertical="center"/>
    </xf>
    <xf numFmtId="167" fontId="13" fillId="8" borderId="0" applyAlignment="1" pivotButton="0" quotePrefix="0" xfId="0">
      <alignment horizontal="right" vertical="center"/>
    </xf>
    <xf numFmtId="0" fontId="7" fillId="8" borderId="0" applyAlignment="1" pivotButton="0" quotePrefix="0" xfId="0">
      <alignment horizontal="left" vertical="top" wrapText="1"/>
    </xf>
    <xf numFmtId="0" fontId="5" fillId="8" borderId="0" applyAlignment="1" pivotButton="0" quotePrefix="0" xfId="0">
      <alignment horizontal="left" vertical="center"/>
    </xf>
    <xf numFmtId="167" fontId="11" fillId="8" borderId="0" applyAlignment="1" pivotButton="0" quotePrefix="0" xfId="0">
      <alignment horizontal="right" vertical="center"/>
    </xf>
    <xf numFmtId="3" fontId="11" fillId="8" borderId="0" applyAlignment="1" pivotButton="0" quotePrefix="0" xfId="0">
      <alignment horizontal="right" vertical="center"/>
    </xf>
    <xf numFmtId="165" fontId="11" fillId="8" borderId="0" applyAlignment="1" pivotButton="0" quotePrefix="0" xfId="0">
      <alignment horizontal="right" vertical="center"/>
    </xf>
    <xf numFmtId="164" fontId="11" fillId="8" borderId="0" applyAlignment="1" pivotButton="0" quotePrefix="0" xfId="0">
      <alignment horizontal="right" vertical="center"/>
    </xf>
    <xf numFmtId="168" fontId="11" fillId="8" borderId="0" applyAlignment="1" pivotButton="0" quotePrefix="0" xfId="0">
      <alignment horizontal="right" vertical="center"/>
    </xf>
    <xf numFmtId="173" fontId="11" fillId="8" borderId="0" applyAlignment="1" pivotButton="0" quotePrefix="0" xfId="0">
      <alignment horizontal="right" vertical="center"/>
    </xf>
    <xf numFmtId="9" fontId="11" fillId="8" borderId="0" applyAlignment="1" pivotButton="0" quotePrefix="0" xfId="0">
      <alignment horizontal="right" vertical="center"/>
    </xf>
    <xf numFmtId="49" fontId="11" fillId="8" borderId="0" applyAlignment="1" pivotButton="0" quotePrefix="0" xfId="0">
      <alignment horizontal="right" vertical="center"/>
    </xf>
    <xf numFmtId="1" fontId="7" fillId="8" borderId="0" applyAlignment="1" pivotButton="0" quotePrefix="0" xfId="0">
      <alignment horizontal="right" vertical="center"/>
    </xf>
    <xf numFmtId="0" fontId="4" fillId="3" borderId="3" applyAlignment="1" pivotButton="0" quotePrefix="0" xfId="0">
      <alignment horizontal="left" vertical="center"/>
    </xf>
    <xf numFmtId="0" fontId="4" fillId="3" borderId="3" applyAlignment="1" pivotButton="0" quotePrefix="0" xfId="0">
      <alignment horizontal="right" vertical="center"/>
    </xf>
    <xf numFmtId="0" fontId="4" fillId="5" borderId="3" applyAlignment="1" pivotButton="0" quotePrefix="0" xfId="0">
      <alignment horizontal="right" vertical="center"/>
    </xf>
    <xf numFmtId="173" fontId="6" fillId="8" borderId="0" applyAlignment="1" pivotButton="0" quotePrefix="0" xfId="0">
      <alignment horizontal="right" vertical="center"/>
    </xf>
    <xf numFmtId="0" fontId="7" fillId="8" borderId="0" applyAlignment="1" pivotButton="0" quotePrefix="0" xfId="0">
      <alignment horizontal="left" vertical="center"/>
    </xf>
    <xf numFmtId="173" fontId="13" fillId="8" borderId="0" applyAlignment="1" pivotButton="0" quotePrefix="0" xfId="0">
      <alignment horizontal="right" vertical="center"/>
    </xf>
    <xf numFmtId="164" fontId="6" fillId="8" borderId="0" applyAlignment="1" pivotButton="0" quotePrefix="0" xfId="0">
      <alignment horizontal="right" vertical="center"/>
    </xf>
    <xf numFmtId="0" fontId="0" fillId="8" borderId="5" pivotButton="0" quotePrefix="0" xfId="0"/>
    <xf numFmtId="165" fontId="10" fillId="8" borderId="5" applyAlignment="1" pivotButton="0" quotePrefix="0" xfId="0">
      <alignment horizontal="right" vertical="center"/>
    </xf>
    <xf numFmtId="9" fontId="6" fillId="8" borderId="0" applyAlignment="1" pivotButton="0" quotePrefix="0" xfId="0">
      <alignment horizontal="right" vertical="center"/>
    </xf>
    <xf numFmtId="164" fontId="10" fillId="8" borderId="0" applyAlignment="1" pivotButton="0" quotePrefix="0" xfId="0">
      <alignment horizontal="right" vertical="center"/>
    </xf>
    <xf numFmtId="169" fontId="10" fillId="8" borderId="0" applyAlignment="1" pivotButton="0" quotePrefix="0" xfId="0">
      <alignment horizontal="right" vertical="center"/>
    </xf>
    <xf numFmtId="169" fontId="6" fillId="8" borderId="0" applyAlignment="1" pivotButton="0" quotePrefix="0" xfId="0">
      <alignment horizontal="right" vertical="center"/>
    </xf>
    <xf numFmtId="0" fontId="4" fillId="3" borderId="3" applyAlignment="1" pivotButton="0" quotePrefix="0" xfId="0">
      <alignment horizontal="right" vertical="bottom" wrapText="1"/>
    </xf>
    <xf numFmtId="0" fontId="5" fillId="8" borderId="4" applyAlignment="1" pivotButton="0" quotePrefix="0" xfId="0">
      <alignment horizontal="left" vertical="center"/>
    </xf>
    <xf numFmtId="165" fontId="6" fillId="8" borderId="4" applyAlignment="1" pivotButton="0" quotePrefix="0" xfId="0">
      <alignment horizontal="right" vertical="center"/>
    </xf>
    <xf numFmtId="9" fontId="6" fillId="8" borderId="4" applyAlignment="1" pivotButton="0" quotePrefix="0" xfId="0">
      <alignment horizontal="right" vertical="center"/>
    </xf>
    <xf numFmtId="169" fontId="6" fillId="8" borderId="4" applyAlignment="1" pivotButton="0" quotePrefix="0" xfId="0">
      <alignment horizontal="right" vertical="center"/>
    </xf>
    <xf numFmtId="169" fontId="11" fillId="8" borderId="4" applyAlignment="1" pivotButton="0" quotePrefix="0" xfId="0">
      <alignment horizontal="right" vertical="center"/>
    </xf>
    <xf numFmtId="0" fontId="8" fillId="8" borderId="4" applyAlignment="1" pivotButton="0" quotePrefix="0" xfId="0">
      <alignment horizontal="left" vertical="center"/>
    </xf>
    <xf numFmtId="165" fontId="10" fillId="8" borderId="4" applyAlignment="1" pivotButton="0" quotePrefix="0" xfId="0">
      <alignment horizontal="right" vertical="center"/>
    </xf>
    <xf numFmtId="166" fontId="11" fillId="8" borderId="0" applyAlignment="1" pivotButton="0" quotePrefix="0" xfId="0">
      <alignment horizontal="right" vertical="center"/>
    </xf>
    <xf numFmtId="166" fontId="6" fillId="8" borderId="0" applyAlignment="1" pivotButton="0" quotePrefix="0" xfId="0">
      <alignment horizontal="right" vertical="center"/>
    </xf>
    <xf numFmtId="173" fontId="10" fillId="8" borderId="0" applyAlignment="1" pivotButton="0" quotePrefix="0" xfId="0">
      <alignment horizontal="right" vertical="center"/>
    </xf>
    <xf numFmtId="170" fontId="6" fillId="8" borderId="0" applyAlignment="1" pivotButton="0" quotePrefix="0" xfId="0">
      <alignment horizontal="right" vertical="center"/>
    </xf>
    <xf numFmtId="169" fontId="11" fillId="8" borderId="0" applyAlignment="1" pivotButton="0" quotePrefix="0" xfId="0">
      <alignment horizontal="right" vertical="center"/>
    </xf>
    <xf numFmtId="168" fontId="10" fillId="8" borderId="5" applyAlignment="1" pivotButton="0" quotePrefix="0" xfId="0">
      <alignment horizontal="right" vertical="center"/>
    </xf>
    <xf numFmtId="168" fontId="6" fillId="8" borderId="0" applyAlignment="1" pivotButton="0" quotePrefix="0" xfId="0">
      <alignment horizontal="right" vertical="center"/>
    </xf>
    <xf numFmtId="168" fontId="13" fillId="8" borderId="0" applyAlignment="1" pivotButton="0" quotePrefix="0" xfId="0">
      <alignment horizontal="right" vertical="center"/>
    </xf>
    <xf numFmtId="173" fontId="10" fillId="8" borderId="5" applyAlignment="1" pivotButton="0" quotePrefix="0" xfId="0">
      <alignment horizontal="right" vertical="center"/>
    </xf>
    <xf numFmtId="165" fontId="10" fillId="8" borderId="0" applyAlignment="1" pivotButton="0" quotePrefix="0" xfId="0">
      <alignment horizontal="right" vertical="center"/>
    </xf>
    <xf numFmtId="168" fontId="10" fillId="8" borderId="0" applyAlignment="1" pivotButton="0" quotePrefix="0" xfId="0">
      <alignment horizontal="right" vertical="center"/>
    </xf>
    <xf numFmtId="165" fontId="6" fillId="8" borderId="0" applyAlignment="1" pivotButton="0" quotePrefix="0" xfId="0">
      <alignment horizontal="right" vertical="center"/>
    </xf>
    <xf numFmtId="170" fontId="10" fillId="8" borderId="0" applyAlignment="1" pivotButton="0" quotePrefix="0" xfId="0">
      <alignment horizontal="right" vertical="center"/>
    </xf>
    <xf numFmtId="170" fontId="6" fillId="8" borderId="4" applyAlignment="1" pivotButton="0" quotePrefix="0" xfId="0">
      <alignment horizontal="right" vertical="center"/>
    </xf>
    <xf numFmtId="170" fontId="10" fillId="8" borderId="4" applyAlignment="1" pivotButton="0" quotePrefix="0" xfId="0">
      <alignment horizontal="right" vertical="center"/>
    </xf>
    <xf numFmtId="49" fontId="10" fillId="8" borderId="0" applyAlignment="1" pivotButton="0" quotePrefix="0" xfId="0">
      <alignment horizontal="left" vertical="center"/>
    </xf>
    <xf numFmtId="0" fontId="7" fillId="8" borderId="4" applyAlignment="1" pivotButton="0" quotePrefix="0" xfId="0">
      <alignment horizontal="left" vertical="top" wrapText="1"/>
    </xf>
    <xf numFmtId="173" fontId="11" fillId="8" borderId="4" applyAlignment="1" pivotButton="0" quotePrefix="0" xfId="0">
      <alignment horizontal="left" vertical="center"/>
    </xf>
    <xf numFmtId="172" fontId="6" fillId="8" borderId="0" applyAlignment="1" pivotButton="0" quotePrefix="0" xfId="0">
      <alignment horizontal="right" vertical="center"/>
    </xf>
    <xf numFmtId="3" fontId="10" fillId="8" borderId="0" applyAlignment="1" pivotButton="0" quotePrefix="0" xfId="0">
      <alignment horizontal="right" vertical="center"/>
    </xf>
    <xf numFmtId="0" fontId="5" fillId="8" borderId="4" applyAlignment="1" pivotButton="0" quotePrefix="0" xfId="0">
      <alignment horizontal="left" vertical="top" wrapText="1"/>
    </xf>
    <xf numFmtId="169" fontId="11" fillId="8" borderId="4" applyAlignment="1" pivotButton="0" quotePrefix="0" xfId="0">
      <alignment horizontal="left" vertical="top" wrapText="1"/>
    </xf>
    <xf numFmtId="4" fontId="6" fillId="8" borderId="0" applyAlignment="1" pivotButton="0" quotePrefix="0" xfId="0">
      <alignment horizontal="right" vertical="center"/>
    </xf>
    <xf numFmtId="4" fontId="10" fillId="8" borderId="0" applyAlignment="1" pivotButton="0" quotePrefix="0" xfId="0">
      <alignment horizontal="right" vertical="center"/>
    </xf>
    <xf numFmtId="166" fontId="10" fillId="8" borderId="0" applyAlignment="1" pivotButton="0" quotePrefix="0" xfId="0">
      <alignment horizontal="right" vertical="center"/>
    </xf>
    <xf numFmtId="0" fontId="7" fillId="8" borderId="4" applyAlignment="1" pivotButton="0" quotePrefix="0" xfId="0">
      <alignment horizontal="left" vertical="center"/>
    </xf>
    <xf numFmtId="9" fontId="9" fillId="4" borderId="4" applyAlignment="1" pivotButton="0" quotePrefix="0" xfId="0">
      <alignment horizontal="right" vertical="center"/>
    </xf>
    <xf numFmtId="9" fontId="10" fillId="8" borderId="4" applyAlignment="1" pivotButton="0" quotePrefix="0" xfId="0">
      <alignment horizontal="right" vertical="center"/>
    </xf>
    <xf numFmtId="3" fontId="9" fillId="4" borderId="4" applyAlignment="1" pivotButton="0" quotePrefix="0" xfId="0">
      <alignment horizontal="right" vertical="center"/>
    </xf>
    <xf numFmtId="3" fontId="10" fillId="8" borderId="4" applyAlignment="1" pivotButton="0" quotePrefix="0" xfId="0">
      <alignment horizontal="right" vertical="center"/>
    </xf>
    <xf numFmtId="165" fontId="9" fillId="4" borderId="4" applyAlignment="1" pivotButton="0" quotePrefix="0" xfId="0">
      <alignment horizontal="right" vertical="center"/>
    </xf>
    <xf numFmtId="4" fontId="9" fillId="4" borderId="4" applyAlignment="1" pivotButton="0" quotePrefix="0" xfId="0">
      <alignment horizontal="right" vertical="center"/>
    </xf>
    <xf numFmtId="4" fontId="10" fillId="8" borderId="4" applyAlignment="1" pivotButton="0" quotePrefix="0" xfId="0">
      <alignment horizontal="right" vertical="center"/>
    </xf>
    <xf numFmtId="164" fontId="11" fillId="8" borderId="4" applyAlignment="1" pivotButton="0" quotePrefix="0" xfId="0">
      <alignment horizontal="right" vertical="center"/>
    </xf>
    <xf numFmtId="164" fontId="10" fillId="8" borderId="4" applyAlignment="1" pivotButton="0" quotePrefix="0" xfId="0">
      <alignment horizontal="right" vertical="center"/>
    </xf>
    <xf numFmtId="167" fontId="9" fillId="4" borderId="4" applyAlignment="1" pivotButton="0" quotePrefix="0" xfId="0">
      <alignment horizontal="right" vertical="center"/>
    </xf>
    <xf numFmtId="167" fontId="10" fillId="8" borderId="4" applyAlignment="1" pivotButton="0" quotePrefix="0" xfId="0">
      <alignment horizontal="right" vertical="center"/>
    </xf>
    <xf numFmtId="164" fontId="9" fillId="4" borderId="0" applyAlignment="1" pivotButton="0" quotePrefix="0" xfId="0">
      <alignment horizontal="right" vertical="center"/>
    </xf>
    <xf numFmtId="9" fontId="9" fillId="4" borderId="0" applyAlignment="1" pivotButton="0" quotePrefix="0" xfId="0">
      <alignment horizontal="right" vertical="center"/>
    </xf>
    <xf numFmtId="165" fontId="9" fillId="4" borderId="0" applyAlignment="1" pivotButton="0" quotePrefix="0" xfId="0">
      <alignment horizontal="right" vertical="center"/>
    </xf>
    <xf numFmtId="4" fontId="9" fillId="4" borderId="0" applyAlignment="1" pivotButton="0" quotePrefix="0" xfId="0">
      <alignment horizontal="right" vertical="center"/>
    </xf>
    <xf numFmtId="167" fontId="9" fillId="4" borderId="0" applyAlignment="1" pivotButton="0" quotePrefix="0" xfId="0">
      <alignment horizontal="right" vertical="center"/>
    </xf>
    <xf numFmtId="169" fontId="9" fillId="4" borderId="0" applyAlignment="1" pivotButton="0" quotePrefix="0" xfId="0">
      <alignment horizontal="right" vertical="center"/>
    </xf>
    <xf numFmtId="165" fontId="11" fillId="8" borderId="4" applyAlignment="1" pivotButton="0" quotePrefix="0" xfId="0">
      <alignment horizontal="right" vertical="center"/>
    </xf>
    <xf numFmtId="3" fontId="9" fillId="4" borderId="0" applyAlignment="1" pivotButton="0" quotePrefix="0" xfId="0">
      <alignment horizontal="right" vertical="center"/>
    </xf>
    <xf numFmtId="166" fontId="9" fillId="4" borderId="0" applyAlignment="1" pivotButton="0" quotePrefix="0" xfId="0">
      <alignment horizontal="right" vertical="center"/>
    </xf>
    <xf numFmtId="3" fontId="6" fillId="8" borderId="4" applyAlignment="1" pivotButton="0" quotePrefix="0" xfId="0">
      <alignment horizontal="right" vertical="center"/>
    </xf>
    <xf numFmtId="164" fontId="6" fillId="8" borderId="4" applyAlignment="1" pivotButton="0" quotePrefix="0" xfId="0">
      <alignment horizontal="right" vertical="center"/>
    </xf>
    <xf numFmtId="4" fontId="6" fillId="8" borderId="4" applyAlignment="1" pivotButton="0" quotePrefix="0" xfId="0">
      <alignment horizontal="right" vertical="center"/>
    </xf>
    <xf numFmtId="166" fontId="6" fillId="8" borderId="4" applyAlignment="1" pivotButton="0" quotePrefix="0" xfId="0">
      <alignment horizontal="right" vertical="center"/>
    </xf>
    <xf numFmtId="167" fontId="6" fillId="8" borderId="4" applyAlignment="1" pivotButton="0" quotePrefix="0" xfId="0">
      <alignment horizontal="right" vertical="center"/>
    </xf>
    <xf numFmtId="0" fontId="0" fillId="8" borderId="4" pivotButton="0" quotePrefix="0" xfId="0"/>
    <xf numFmtId="168" fontId="6" fillId="8" borderId="4" applyAlignment="1" pivotButton="0" quotePrefix="0" xfId="0">
      <alignment horizontal="right" vertical="center"/>
    </xf>
    <xf numFmtId="3" fontId="6" fillId="8" borderId="0" applyAlignment="1" pivotButton="0" quotePrefix="0" xfId="0">
      <alignment horizontal="right" vertical="center"/>
    </xf>
    <xf numFmtId="167" fontId="6" fillId="8" borderId="0" applyAlignment="1" pivotButton="0" quotePrefix="0" xfId="0">
      <alignment horizontal="right" vertical="center"/>
    </xf>
    <xf numFmtId="0" fontId="12" fillId="4" borderId="4" applyAlignment="1" pivotButton="0" quotePrefix="0" xfId="0">
      <alignment horizontal="right" vertical="center"/>
    </xf>
    <xf numFmtId="164" fontId="10" fillId="8" borderId="5" applyAlignment="1" pivotButton="0" quotePrefix="0" xfId="0">
      <alignment horizontal="right" vertical="center"/>
    </xf>
    <xf numFmtId="4" fontId="11" fillId="8" borderId="0" applyAlignment="1" pivotButton="0" quotePrefix="0" xfId="0">
      <alignment horizontal="right" vertical="center"/>
    </xf>
    <xf numFmtId="167" fontId="10" fillId="8" borderId="0" applyAlignment="1" pivotButton="0" quotePrefix="0" xfId="0">
      <alignment horizontal="right" vertical="center"/>
    </xf>
    <xf numFmtId="164" fontId="13" fillId="8" borderId="0" applyAlignment="1" pivotButton="0" quotePrefix="0" xfId="0">
      <alignment horizontal="right" vertical="center"/>
    </xf>
    <xf numFmtId="167" fontId="10" fillId="8" borderId="5" applyAlignment="1" pivotButton="0" quotePrefix="0" xfId="0">
      <alignment horizontal="right" vertical="center"/>
    </xf>
    <xf numFmtId="3" fontId="10" fillId="8" borderId="5" applyAlignment="1" pivotButton="0" quotePrefix="0" xfId="0">
      <alignment horizontal="right" vertical="center"/>
    </xf>
    <xf numFmtId="49" fontId="5" fillId="8" borderId="4" applyAlignment="1" pivotButton="0" quotePrefix="0" xfId="0">
      <alignment horizontal="left" vertical="center"/>
    </xf>
    <xf numFmtId="1" fontId="6" fillId="8" borderId="4" applyAlignment="1" pivotButton="0" quotePrefix="0" xfId="0">
      <alignment horizontal="right" vertical="center"/>
    </xf>
    <xf numFmtId="1" fontId="11" fillId="8" borderId="4" applyAlignment="1" pivotButton="0" quotePrefix="0" xfId="0">
      <alignment horizontal="right" vertical="center"/>
    </xf>
    <xf numFmtId="0" fontId="8" fillId="8" borderId="0" applyAlignment="1" pivotButton="0" quotePrefix="0" xfId="0">
      <alignment horizontal="left" vertical="top" wrapText="1"/>
    </xf>
    <xf numFmtId="49" fontId="6" fillId="8" borderId="0" applyAlignment="1" pivotButton="0" quotePrefix="0" xfId="0">
      <alignment horizontal="left" vertical="center"/>
    </xf>
    <xf numFmtId="171" fontId="6" fillId="8" borderId="0" applyAlignment="1" pivotButton="0" quotePrefix="0" xfId="0">
      <alignment horizontal="right" vertical="center"/>
    </xf>
    <xf numFmtId="171" fontId="10" fillId="8" borderId="5" applyAlignment="1" pivotButton="0" quotePrefix="0" xfId="0">
      <alignment horizontal="right" vertical="center"/>
    </xf>
    <xf numFmtId="0" fontId="6" fillId="8" borderId="4" applyAlignment="1" pivotButton="0" quotePrefix="0" xfId="0">
      <alignment horizontal="left" vertical="center"/>
    </xf>
    <xf numFmtId="171" fontId="6" fillId="8" borderId="4" applyAlignment="1" pivotButton="0" quotePrefix="0" xfId="0">
      <alignment horizontal="right" vertical="center"/>
    </xf>
    <xf numFmtId="171" fontId="11" fillId="8" borderId="4" applyAlignment="1" pivotButton="0" quotePrefix="0" xfId="0">
      <alignment horizontal="right" vertical="center"/>
    </xf>
    <xf numFmtId="49" fontId="11" fillId="8" borderId="4" applyAlignment="1" pivotButton="0" quotePrefix="0" xfId="0">
      <alignment horizontal="right" vertical="center"/>
    </xf>
    <xf numFmtId="170" fontId="11" fillId="8" borderId="4" applyAlignment="1" pivotButton="0" quotePrefix="0" xfId="0">
      <alignment horizontal="right" vertical="center"/>
    </xf>
    <xf numFmtId="49" fontId="9" fillId="4" borderId="0" applyAlignment="1" pivotButton="0" quotePrefix="0" xfId="0">
      <alignment horizontal="right" vertical="center"/>
    </xf>
    <xf numFmtId="165" fontId="11" fillId="8" borderId="4" applyAlignment="1" pivotButton="0" quotePrefix="0" xfId="0">
      <alignment horizontal="left" vertical="top" wrapText="1"/>
    </xf>
    <xf numFmtId="0" fontId="7" fillId="8" borderId="0" applyAlignment="1" pivotButton="0" quotePrefix="0" xfId="0">
      <alignment horizontal="right" vertical="center"/>
    </xf>
    <xf numFmtId="9" fontId="10" fillId="8" borderId="0" applyAlignment="1" pivotButton="0" quotePrefix="0" xfId="0">
      <alignment horizontal="right" vertical="center"/>
    </xf>
    <xf numFmtId="49" fontId="6" fillId="8" borderId="4" applyAlignment="1" pivotButton="0" quotePrefix="0" xfId="0">
      <alignment horizontal="right" vertical="center"/>
    </xf>
    <xf numFmtId="0" fontId="26" fillId="6" borderId="0" pivotButton="0" quotePrefix="0" xfId="0"/>
    <xf numFmtId="0" fontId="27" fillId="6" borderId="0" pivotButton="0" quotePrefix="0" xfId="0"/>
    <xf numFmtId="0" fontId="28" fillId="6" borderId="0" pivotButton="0" quotePrefix="0" xfId="0"/>
    <xf numFmtId="0" fontId="3" fillId="2" borderId="2" pivotButton="0" quotePrefix="0" xfId="0"/>
    <xf numFmtId="0" fontId="4" fillId="8" borderId="0" applyAlignment="1" pivotButton="0" quotePrefix="0" xfId="0">
      <alignment vertical="center"/>
    </xf>
    <xf numFmtId="0" fontId="29" fillId="8" borderId="0" pivotButton="0" quotePrefix="0" xfId="0"/>
    <xf numFmtId="0" fontId="6" fillId="8" borderId="0" pivotButton="0" quotePrefix="0" xfId="0"/>
    <xf numFmtId="0" fontId="0" fillId="2" borderId="0" pivotButton="0" quotePrefix="0" xfId="0"/>
    <xf numFmtId="0" fontId="0" fillId="5" borderId="0" pivotButton="0" quotePrefix="0" xfId="0"/>
    <xf numFmtId="0" fontId="0" fillId="9" borderId="0" pivotButton="0" quotePrefix="0" xfId="0"/>
    <xf numFmtId="0" fontId="0" fillId="10" borderId="0" pivotButton="0" quotePrefix="0" xfId="0"/>
    <xf numFmtId="0" fontId="0" fillId="11" borderId="0" pivotButton="0" quotePrefix="0" xfId="0"/>
    <xf numFmtId="0" fontId="0" fillId="4" borderId="0" pivotButton="0" quotePrefix="0" xfId="0"/>
    <xf numFmtId="0" fontId="0" fillId="12" borderId="0" pivotButton="0" quotePrefix="0" xfId="0"/>
    <xf numFmtId="0" fontId="0" fillId="13" borderId="0" pivotButton="0" quotePrefix="0" xfId="0"/>
    <xf numFmtId="0" fontId="0" fillId="14" borderId="0" pivotButton="0" quotePrefix="0" xfId="0"/>
    <xf numFmtId="0" fontId="0" fillId="15" borderId="0" pivotButton="0" quotePrefix="0" xfId="0"/>
    <xf numFmtId="0" fontId="30" fillId="8" borderId="0" pivotButton="0" quotePrefix="0" xfId="0"/>
    <xf numFmtId="0" fontId="31" fillId="2" borderId="0" pivotButton="0" quotePrefix="0" xfId="0"/>
    <xf numFmtId="0" fontId="1" fillId="8" borderId="0" pivotButton="0" quotePrefix="0" xfId="0"/>
    <xf numFmtId="0" fontId="32" fillId="8" borderId="0" pivotButton="0" quotePrefix="0" xfId="0"/>
    <xf numFmtId="0" fontId="33" fillId="8" borderId="0" pivotButton="0" quotePrefix="0" xfId="0"/>
    <xf numFmtId="0" fontId="7" fillId="8" borderId="0" pivotButton="0" quotePrefix="0" xfId="0"/>
    <xf numFmtId="0" fontId="34" fillId="8" borderId="0" pivotButton="0" quotePrefix="0" xfId="0"/>
    <xf numFmtId="0" fontId="35" fillId="8" borderId="0" pivotButton="0" quotePrefix="0" xfId="0"/>
    <xf numFmtId="0" fontId="36" fillId="6" borderId="0" pivotButton="0" quotePrefix="0" xfId="0"/>
    <xf numFmtId="0" fontId="3" fillId="2" borderId="0" pivotButton="0" quotePrefix="0" xfId="0"/>
    <xf numFmtId="0" fontId="37" fillId="8" borderId="0" pivotButton="0" quotePrefix="0" xfId="0"/>
    <xf numFmtId="0" fontId="38" fillId="8" borderId="0" pivotButton="0" quotePrefix="0" xfId="0"/>
    <xf numFmtId="0" fontId="9" fillId="4" borderId="0" pivotButton="0" quotePrefix="0" xfId="0"/>
    <xf numFmtId="0" fontId="11" fillId="8" borderId="0" pivotButton="0" quotePrefix="0" xfId="0"/>
    <xf numFmtId="0" fontId="39" fillId="8" borderId="0" pivotButton="0" quotePrefix="0" xfId="0"/>
    <xf numFmtId="0" fontId="40" fillId="8" borderId="0" pivotButton="0" quotePrefix="0" xfId="0"/>
    <xf numFmtId="0" fontId="4" fillId="8" borderId="0" pivotButton="0" quotePrefix="0" xfId="0"/>
    <xf numFmtId="0" fontId="0" fillId="16" borderId="0" pivotButton="0" quotePrefix="0" xfId="0"/>
    <xf numFmtId="0" fontId="0" fillId="17" borderId="0" pivotButton="0" quotePrefix="0" xfId="0"/>
    <xf numFmtId="0" fontId="0" fillId="18" borderId="0" pivotButton="0" quotePrefix="0" xfId="0"/>
    <xf numFmtId="0" fontId="0" fillId="19" borderId="0" pivotButton="0" quotePrefix="0" xfId="0"/>
    <xf numFmtId="0" fontId="0" fillId="3" borderId="0" pivotButton="0" quotePrefix="0" xfId="0"/>
    <xf numFmtId="0" fontId="0" fillId="20" borderId="0" pivotButton="0" quotePrefix="0" xfId="0"/>
    <xf numFmtId="0" fontId="0" fillId="21" borderId="0" pivotButton="0" quotePrefix="0" xfId="0"/>
    <xf numFmtId="0" fontId="41" fillId="9" borderId="0" pivotButton="0" quotePrefix="0" xfId="0"/>
    <xf numFmtId="0" fontId="41" fillId="10" borderId="0" pivotButton="0" quotePrefix="0" xfId="0"/>
    <xf numFmtId="0" fontId="41" fillId="11" borderId="0" pivotButton="0" quotePrefix="0" xfId="0"/>
    <xf numFmtId="0" fontId="41" fillId="4" borderId="0" pivotButton="0" quotePrefix="0" xfId="0"/>
    <xf numFmtId="0" fontId="42" fillId="14" borderId="0" pivotButton="0" quotePrefix="0" xfId="0"/>
    <xf numFmtId="0" fontId="41" fillId="12" borderId="0" pivotButton="0" quotePrefix="0" xfId="0"/>
    <xf numFmtId="0" fontId="41" fillId="13" borderId="0" pivotButton="0" quotePrefix="0" xfId="0"/>
    <xf numFmtId="0" fontId="41" fillId="3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worksheet" Target="/xl/worksheets/sheet14.xml" Id="rId14" /><Relationship Type="http://schemas.openxmlformats.org/officeDocument/2006/relationships/worksheet" Target="/xl/worksheets/sheet15.xml" Id="rId15" /><Relationship Type="http://schemas.openxmlformats.org/officeDocument/2006/relationships/worksheet" Target="/xl/worksheets/sheet16.xml" Id="rId16" /><Relationship Type="http://schemas.openxmlformats.org/officeDocument/2006/relationships/worksheet" Target="/xl/worksheets/sheet17.xml" Id="rId17" /><Relationship Type="http://schemas.openxmlformats.org/officeDocument/2006/relationships/worksheet" Target="/xl/worksheets/sheet18.xml" Id="rId18" /><Relationship Type="http://schemas.openxmlformats.org/officeDocument/2006/relationships/worksheet" Target="/xl/worksheets/sheet19.xml" Id="rId19" /><Relationship Type="http://schemas.openxmlformats.org/officeDocument/2006/relationships/worksheet" Target="/xl/worksheets/sheet20.xml" Id="rId20" /><Relationship Type="http://schemas.openxmlformats.org/officeDocument/2006/relationships/worksheet" Target="/xl/worksheets/sheet21.xml" Id="rId21" /><Relationship Type="http://schemas.openxmlformats.org/officeDocument/2006/relationships/styles" Target="styles.xml" Id="rId22" /><Relationship Type="http://schemas.openxmlformats.org/officeDocument/2006/relationships/theme" Target="theme/theme1.xml" Id="rId2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 sz="1100" b="0">
                <a:solidFill>
                  <a:srgbClr val="A24F33"/>
                </a:solidFill>
                <a:latin typeface="Söhne"/>
              </a:defRPr>
            </a:pPr>
            <a:r>
              <a:rPr sz="1100" b="0">
                <a:solidFill>
                  <a:srgbClr val="A24F33"/>
                </a:solidFill>
                <a:latin typeface="Söhne"/>
              </a:rPr>
              <a:t>Anthropic Average Load (GW): Bear / Base / Bull</a:t>
            </a:r>
          </a:p>
        </rich>
      </tx>
    </title>
    <plotArea>
      <lineChart>
        <grouping val="standard"/>
        <ser>
          <idx val="0"/>
          <order val="0"/>
          <tx>
            <strRef>
              <f>'Anthropic'!B47</f>
            </strRef>
          </tx>
          <spPr>
            <a:ln>
              <a:solidFill>
                <a:srgbClr val="C6613F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'Anthropic'!$C$44:$T$44</f>
            </numRef>
          </cat>
          <val>
            <numRef>
              <f>'Anthropic'!$C$47:$T$47</f>
            </numRef>
          </val>
        </ser>
        <ser>
          <idx val="1"/>
          <order val="1"/>
          <tx>
            <strRef>
              <f>'Anthropic'!B51</f>
            </strRef>
          </tx>
          <spPr>
            <a:ln>
              <a:solidFill>
                <a:srgbClr val="1C63AF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'Anthropic'!$C$44:$T$44</f>
            </numRef>
          </cat>
          <val>
            <numRef>
              <f>'Anthropic'!$C$51:$T$51</f>
            </numRef>
          </val>
        </ser>
        <ser>
          <idx val="2"/>
          <order val="2"/>
          <tx>
            <strRef>
              <f>'Anthropic'!B55</f>
            </strRef>
          </tx>
          <spPr>
            <a:ln>
              <a:solidFill>
                <a:srgbClr val="788C5D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'Anthropic'!$C$44:$T$44</f>
            </numRef>
          </cat>
          <val>
            <numRef>
              <f>'Anthropic'!$C$55:$T$55</f>
            </numRef>
          </val>
        </ser>
        <axId val="10"/>
        <axId val="100"/>
      </lineChart>
      <catAx>
        <axId val="10"/>
        <scaling>
          <orientation val="minMax"/>
        </scaling>
        <delete val="0"/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majorGridlines>
          <spPr>
            <a:ln>
              <a:solidFill>
                <a:srgbClr val="E8E6DC"/>
              </a:solidFill>
              <a:prstDash val="solid"/>
            </a:ln>
          </spPr>
        </majorGridlines>
        <numFmt formatCode="#,##0.0" sourceLinked="0"/>
        <majorTickMark val="none"/>
        <minorTickMark val="none"/>
        <crossAx val="10"/>
      </valAx>
    </plotArea>
    <legend>
      <legendPos val="b"/>
    </legend>
    <plotVisOnly val="1"/>
    <dispBlanksAs val="gap"/>
  </chart>
  <spPr>
    <a:solidFill>
      <a:srgbClr val="E8E6E9"/>
    </a:solidFill>
    <a:ln>
      <a:prstDash val="solid"/>
    </a:ln>
  </spPr>
</chartSpace>
</file>

<file path=xl/charts/chart10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 sz="1100" b="0">
                <a:solidFill>
                  <a:srgbClr val="A24F33"/>
                </a:solidFill>
                <a:latin typeface="Söhne"/>
              </a:defRPr>
            </a:pPr>
            <a:r>
              <a:rPr sz="1100" b="0">
                <a:solidFill>
                  <a:srgbClr val="A24F33"/>
                </a:solidFill>
                <a:latin typeface="Söhne"/>
              </a:rPr>
              <a:t>Margin Swing by Driver ($/MTok, Bear to Bull)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'Sensitivity'!E27</f>
            </strRef>
          </tx>
          <spPr>
            <a:solidFill>
              <a:srgbClr val="D97757"/>
            </a:solidFill>
            <a:ln>
              <a:prstDash val="solid"/>
            </a:ln>
          </spPr>
          <cat>
            <numRef>
              <f>'Sensitivity'!$B$28:$B$32</f>
            </numRef>
          </cat>
          <val>
            <numRef>
              <f>'Sensitivity'!$E$28:$E$32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delete val="0"/>
        <axPos val="l"/>
        <numFmt formatCode="&quot;$&quot;0.00" sourceLinked="0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majorGridlines>
          <spPr>
            <a:ln>
              <a:solidFill>
                <a:srgbClr val="E8E6DC"/>
              </a:solidFill>
              <a:prstDash val="solid"/>
            </a:ln>
          </spPr>
        </majorGridlines>
        <majorTickMark val="none"/>
        <minorTickMark val="none"/>
        <crossAx val="10"/>
      </valAx>
    </plotArea>
    <plotVisOnly val="1"/>
    <dispBlanksAs val="gap"/>
  </chart>
  <spPr>
    <a:solidFill>
      <a:srgbClr val="E8E6E9"/>
    </a:solidFill>
    <a:ln>
      <a:prstDash val="solid"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 sz="1100" b="0">
                <a:solidFill>
                  <a:srgbClr val="A24F33"/>
                </a:solidFill>
                <a:latin typeface="Söhne"/>
              </a:defRPr>
            </a:pPr>
            <a:r>
              <a:rPr sz="1100" b="0">
                <a:solidFill>
                  <a:srgbClr val="A24F33"/>
                </a:solidFill>
                <a:latin typeface="Söhne"/>
              </a:rPr>
              <a:t>Blended Power Cost ($/MWh): Bear / Base / Bull</a:t>
            </a:r>
          </a:p>
        </rich>
      </tx>
    </title>
    <plotArea>
      <lineChart>
        <grouping val="standard"/>
        <ser>
          <idx val="0"/>
          <order val="0"/>
          <tx>
            <strRef>
              <f>'Anthropic'!B48</f>
            </strRef>
          </tx>
          <spPr>
            <a:ln>
              <a:solidFill>
                <a:srgbClr val="C6613F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'Anthropic'!$C$44:$T$44</f>
            </numRef>
          </cat>
          <val>
            <numRef>
              <f>'Anthropic'!$C$48:$T$48</f>
            </numRef>
          </val>
        </ser>
        <ser>
          <idx val="1"/>
          <order val="1"/>
          <tx>
            <strRef>
              <f>'Anthropic'!B52</f>
            </strRef>
          </tx>
          <spPr>
            <a:ln>
              <a:solidFill>
                <a:srgbClr val="1C63AF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'Anthropic'!$C$44:$T$44</f>
            </numRef>
          </cat>
          <val>
            <numRef>
              <f>'Anthropic'!$C$52:$T$52</f>
            </numRef>
          </val>
        </ser>
        <ser>
          <idx val="2"/>
          <order val="2"/>
          <tx>
            <strRef>
              <f>'Anthropic'!B56</f>
            </strRef>
          </tx>
          <spPr>
            <a:ln>
              <a:solidFill>
                <a:srgbClr val="788C5D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'Anthropic'!$C$44:$T$44</f>
            </numRef>
          </cat>
          <val>
            <numRef>
              <f>'Anthropic'!$C$56:$T$56</f>
            </numRef>
          </val>
        </ser>
        <axId val="10"/>
        <axId val="100"/>
      </lineChart>
      <catAx>
        <axId val="10"/>
        <scaling>
          <orientation val="minMax"/>
        </scaling>
        <delete val="0"/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majorGridlines>
          <spPr>
            <a:ln>
              <a:solidFill>
                <a:srgbClr val="E8E6DC"/>
              </a:solidFill>
              <a:prstDash val="solid"/>
            </a:ln>
          </spPr>
        </majorGridlines>
        <numFmt formatCode="&quot;$&quot;#,##0" sourceLinked="0"/>
        <majorTickMark val="none"/>
        <minorTickMark val="none"/>
        <crossAx val="10"/>
      </valAx>
    </plotArea>
    <legend>
      <legendPos val="b"/>
    </legend>
    <plotVisOnly val="1"/>
    <dispBlanksAs val="gap"/>
  </chart>
  <spPr>
    <a:solidFill>
      <a:srgbClr val="E8E6E9"/>
    </a:solidFill>
    <a:ln>
      <a:prstDash val="solid"/>
    </a:ln>
  </spPr>
</chartSpace>
</file>

<file path=xl/charts/chart3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 sz="1100" b="0">
                <a:solidFill>
                  <a:srgbClr val="A24F33"/>
                </a:solidFill>
                <a:latin typeface="Söhne"/>
              </a:defRPr>
            </a:pPr>
            <a:r>
              <a:rPr sz="1100" b="0">
                <a:solidFill>
                  <a:srgbClr val="A24F33"/>
                </a:solidFill>
                <a:latin typeface="Söhne"/>
              </a:rPr>
              <a:t>Risk-Adjusted CoI by Structure ($/MTok)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'Procurement'!G7</f>
            </strRef>
          </tx>
          <spPr>
            <a:solidFill>
              <a:srgbClr val="D97757"/>
            </a:solidFill>
            <a:ln>
              <a:prstDash val="solid"/>
            </a:ln>
          </spPr>
          <cat>
            <numRef>
              <f>'Procurement'!$B$8:$B$11</f>
            </numRef>
          </cat>
          <val>
            <numRef>
              <f>'Procurement'!$G$8:$G$11</f>
            </numRef>
          </val>
        </ser>
        <dLbls>
          <numFmt formatCode="&quot;$&quot;0.00"/>
          <showVal val="1"/>
        </dLbls>
        <gapWidth val="150"/>
        <axId val="10"/>
        <axId val="100"/>
      </barChart>
      <catAx>
        <axId val="10"/>
        <scaling>
          <orientation val="minMax"/>
        </scaling>
        <delete val="0"/>
        <axPos val="l"/>
        <numFmt formatCode="&quot;$&quot;0.00" sourceLinked="0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majorGridlines>
          <spPr>
            <a:ln>
              <a:solidFill>
                <a:srgbClr val="E8E6DC"/>
              </a:solidFill>
              <a:prstDash val="solid"/>
            </a:ln>
          </spPr>
        </majorGridlines>
        <majorTickMark val="none"/>
        <minorTickMark val="none"/>
        <crossAx val="10"/>
      </valAx>
    </plotArea>
    <plotVisOnly val="1"/>
    <dispBlanksAs val="gap"/>
  </chart>
  <spPr>
    <a:solidFill>
      <a:srgbClr val="E8E6E9"/>
    </a:solidFill>
    <a:ln>
      <a:prstDash val="solid"/>
    </a:ln>
  </spPr>
</chartSpace>
</file>

<file path=xl/charts/chart4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 sz="1100" b="0">
                <a:solidFill>
                  <a:srgbClr val="A24F33"/>
                </a:solidFill>
                <a:latin typeface="Söhne"/>
              </a:defRPr>
            </a:pPr>
            <a:r>
              <a:rPr sz="1100" b="0">
                <a:solidFill>
                  <a:srgbClr val="A24F33"/>
                </a:solidFill>
                <a:latin typeface="Söhne"/>
              </a:rPr>
              <a:t>Optimized Mix by Source (GW)</a:t>
            </a:r>
          </a:p>
        </rich>
      </tx>
    </title>
    <plotArea>
      <barChart>
        <barDir val="col"/>
        <grouping val="stacked"/>
        <ser>
          <idx val="0"/>
          <order val="0"/>
          <tx>
            <strRef>
              <f>'Portfolio'!B28</f>
            </strRef>
          </tx>
          <spPr>
            <a:solidFill>
              <a:srgbClr val="F3E2C4"/>
            </a:solidFill>
            <a:ln>
              <a:prstDash val="solid"/>
            </a:ln>
          </spPr>
          <cat>
            <numRef>
              <f>'Portfolio'!$C$15:$T$15</f>
            </numRef>
          </cat>
          <val>
            <numRef>
              <f>'Portfolio'!$C$28:$T$28</f>
            </numRef>
          </val>
        </ser>
        <ser>
          <idx val="1"/>
          <order val="1"/>
          <tx>
            <strRef>
              <f>'Portfolio'!B29</f>
            </strRef>
          </tx>
          <spPr>
            <a:solidFill>
              <a:srgbClr val="EB8360"/>
            </a:solidFill>
            <a:ln>
              <a:prstDash val="solid"/>
            </a:ln>
          </spPr>
          <cat>
            <numRef>
              <f>'Portfolio'!$C$15:$T$15</f>
            </numRef>
          </cat>
          <val>
            <numRef>
              <f>'Portfolio'!$C$29:$T$29</f>
            </numRef>
          </val>
        </ser>
        <ser>
          <idx val="2"/>
          <order val="2"/>
          <tx>
            <strRef>
              <f>'Portfolio'!B30</f>
            </strRef>
          </tx>
          <spPr>
            <a:solidFill>
              <a:srgbClr val="D97757"/>
            </a:solidFill>
            <a:ln>
              <a:prstDash val="solid"/>
            </a:ln>
          </spPr>
          <cat>
            <numRef>
              <f>'Portfolio'!$C$15:$T$15</f>
            </numRef>
          </cat>
          <val>
            <numRef>
              <f>'Portfolio'!$C$30:$T$30</f>
            </numRef>
          </val>
        </ser>
        <ser>
          <idx val="3"/>
          <order val="3"/>
          <tx>
            <strRef>
              <f>'Portfolio'!B31</f>
            </strRef>
          </tx>
          <spPr>
            <a:solidFill>
              <a:srgbClr val="C6613F"/>
            </a:solidFill>
            <a:ln>
              <a:prstDash val="solid"/>
            </a:ln>
          </spPr>
          <cat>
            <numRef>
              <f>'Portfolio'!$C$15:$T$15</f>
            </numRef>
          </cat>
          <val>
            <numRef>
              <f>'Portfolio'!$C$31:$T$31</f>
            </numRef>
          </val>
        </ser>
        <gapWidth val="150"/>
        <overlap val="100"/>
        <axId val="10"/>
        <axId val="100"/>
      </barChart>
      <catAx>
        <axId val="10"/>
        <scaling>
          <orientation val="minMax"/>
        </scaling>
        <delete val="0"/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majorGridlines>
          <spPr>
            <a:ln>
              <a:solidFill>
                <a:srgbClr val="E8E6DC"/>
              </a:solidFill>
              <a:prstDash val="solid"/>
            </a:ln>
          </spPr>
        </majorGridlines>
        <numFmt formatCode="#,##0.0" sourceLinked="0"/>
        <majorTickMark val="none"/>
        <minorTickMark val="none"/>
        <crossAx val="10"/>
      </valAx>
    </plotArea>
    <legend>
      <legendPos val="b"/>
    </legend>
    <plotVisOnly val="1"/>
    <dispBlanksAs val="gap"/>
  </chart>
  <spPr>
    <a:solidFill>
      <a:srgbClr val="E8E6E9"/>
    </a:solidFill>
    <a:ln>
      <a:prstDash val="solid"/>
    </a:ln>
  </spPr>
</chartSpace>
</file>

<file path=xl/charts/chart5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 sz="1100" b="0">
                <a:solidFill>
                  <a:srgbClr val="A24F33"/>
                </a:solidFill>
                <a:latin typeface="Söhne"/>
              </a:defRPr>
            </a:pPr>
            <a:r>
              <a:rPr sz="1100" b="0">
                <a:solidFill>
                  <a:srgbClr val="A24F33"/>
                </a:solidFill>
                <a:latin typeface="Söhne"/>
              </a:rPr>
              <a:t>Deliverability Risk vs NPV Cost</a:t>
            </a:r>
          </a:p>
        </rich>
      </tx>
    </title>
    <plotArea>
      <scatterChart>
        <ser>
          <idx val="0"/>
          <order val="0"/>
          <tx>
            <v>All residual grid-blended</v>
          </tx>
          <spPr>
            <a:ln>
              <a:noFill/>
              <a:prstDash val="solid"/>
            </a:ln>
          </spPr>
          <marker>
            <symbol val="circle"/>
            <size val="8"/>
            <spPr>
              <a:solidFill>
                <a:srgbClr val="C6613F"/>
              </a:solidFill>
              <a:ln>
                <a:prstDash val="solid"/>
              </a:ln>
            </spPr>
          </marker>
          <xVal>
            <numRef>
              <f>'Portfolio'!$F$48</f>
            </numRef>
          </xVal>
          <yVal>
            <numRef>
              <f>'Portfolio'!$D$48</f>
            </numRef>
          </yVal>
        </ser>
        <ser>
          <idx val="1"/>
          <order val="1"/>
          <tx>
            <v>Stated policy mix</v>
          </tx>
          <spPr>
            <a:ln>
              <a:noFill/>
              <a:prstDash val="solid"/>
            </a:ln>
          </spPr>
          <marker>
            <symbol val="circle"/>
            <size val="8"/>
            <spPr>
              <a:solidFill>
                <a:srgbClr val="1C63AF"/>
              </a:solidFill>
              <a:ln>
                <a:prstDash val="solid"/>
              </a:ln>
            </spPr>
          </marker>
          <xVal>
            <numRef>
              <f>'Portfolio'!$F$49</f>
            </numRef>
          </xVal>
          <yVal>
            <numRef>
              <f>'Portfolio'!$D$49</f>
            </numRef>
          </yVal>
        </ser>
        <ser>
          <idx val="2"/>
          <order val="2"/>
          <tx>
            <v>Cap-constrained merit order</v>
          </tx>
          <spPr>
            <a:ln>
              <a:noFill/>
              <a:prstDash val="solid"/>
            </a:ln>
          </spPr>
          <marker>
            <symbol val="circle"/>
            <size val="8"/>
            <spPr>
              <a:solidFill>
                <a:srgbClr val="788C5D"/>
              </a:solidFill>
              <a:ln>
                <a:prstDash val="solid"/>
              </a:ln>
            </spPr>
          </marker>
          <xVal>
            <numRef>
              <f>'Portfolio'!$F$50</f>
            </numRef>
          </xVal>
          <yVal>
            <numRef>
              <f>'Portfolio'!$D$50</f>
            </numRef>
          </yVal>
        </ser>
        <axId val="10"/>
        <axId val="20"/>
      </scatterChart>
      <valAx>
        <axId val="10"/>
        <scaling>
          <orientation val="minMax"/>
        </scaling>
        <delete val="0"/>
        <axPos val="l"/>
        <majorGridlines/>
        <title>
          <tx>
            <rich>
              <a:bodyPr/>
              <a:p>
                <a:pPr>
                  <a:defRPr/>
                </a:pPr>
                <a:r>
                  <a:t>Dev-stage share, FY2030</a:t>
                </a:r>
              </a:p>
            </rich>
          </tx>
        </title>
        <numFmt formatCode="0%" sourceLinked="0"/>
        <majorTickMark val="none"/>
        <minorTickMark val="none"/>
        <crossAx val="20"/>
      </valAx>
      <valAx>
        <axId val="20"/>
        <scaling>
          <orientation val="minMax"/>
        </scaling>
        <delete val="0"/>
        <axPos val="l"/>
        <majorGridlines>
          <spPr>
            <a:ln>
              <a:solidFill>
                <a:srgbClr val="E8E6DC"/>
              </a:solidFill>
              <a:prstDash val="solid"/>
            </a:ln>
          </spPr>
        </majorGridlines>
        <title>
          <tx>
            <rich>
              <a:bodyPr/>
              <a:p>
                <a:pPr>
                  <a:defRPr/>
                </a:pPr>
                <a:r>
                  <a:t>NPV cost FY26-40 ($B)</a:t>
                </a:r>
              </a:p>
            </rich>
          </tx>
        </title>
        <numFmt formatCode="&quot;$&quot;#,##0" sourceLinked="0"/>
        <majorTickMark val="none"/>
        <minorTickMark val="none"/>
        <crossAx val="10"/>
      </valAx>
    </plotArea>
    <legend>
      <legendPos val="b"/>
    </legend>
    <plotVisOnly val="1"/>
    <dispBlanksAs val="gap"/>
  </chart>
  <spPr>
    <a:solidFill>
      <a:srgbClr val="E8E6E9"/>
    </a:solidFill>
    <a:ln>
      <a:prstDash val="solid"/>
    </a:ln>
  </spPr>
</chartSpace>
</file>

<file path=xl/charts/chart6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 sz="1100" b="0">
                <a:solidFill>
                  <a:srgbClr val="A24F33"/>
                </a:solidFill>
                <a:latin typeface="Söhne"/>
              </a:defRPr>
            </a:pPr>
            <a:r>
              <a:rPr sz="1100" b="0">
                <a:solidFill>
                  <a:srgbClr val="A24F33"/>
                </a:solidFill>
                <a:latin typeface="Söhne"/>
              </a:rPr>
              <a:t>Envelope ROI (×), FY2026-FY2040</a:t>
            </a:r>
          </a:p>
        </rich>
      </tx>
    </title>
    <plotArea>
      <lineChart>
        <grouping val="standard"/>
        <ser>
          <idx val="0"/>
          <order val="0"/>
          <tx>
            <strRef>
              <f>'Envelope'!B20</f>
            </strRef>
          </tx>
          <spPr>
            <a:ln>
              <a:solidFill>
                <a:srgbClr val="C6613F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'Envelope'!$C$15:$T$15</f>
            </numRef>
          </cat>
          <val>
            <numRef>
              <f>'Envelope'!$C$20:$T$20</f>
            </numRef>
          </val>
        </ser>
        <axId val="10"/>
        <axId val="100"/>
      </lineChart>
      <catAx>
        <axId val="10"/>
        <scaling>
          <orientation val="minMax"/>
        </scaling>
        <delete val="0"/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majorGridlines>
          <spPr>
            <a:ln>
              <a:solidFill>
                <a:srgbClr val="E8E6DC"/>
              </a:solidFill>
              <a:prstDash val="solid"/>
            </a:ln>
          </spPr>
        </majorGridlines>
        <numFmt formatCode="0.00" sourceLinked="0"/>
        <majorTickMark val="none"/>
        <minorTickMark val="none"/>
        <crossAx val="10"/>
      </valAx>
    </plotArea>
    <plotVisOnly val="1"/>
    <dispBlanksAs val="gap"/>
  </chart>
  <spPr>
    <a:solidFill>
      <a:srgbClr val="E8E6E9"/>
    </a:solidFill>
    <a:ln>
      <a:prstDash val="solid"/>
    </a:ln>
  </spPr>
</chartSpace>
</file>

<file path=xl/charts/chart7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 sz="1100" b="0">
                <a:solidFill>
                  <a:srgbClr val="A24F33"/>
                </a:solidFill>
                <a:latin typeface="Söhne"/>
              </a:defRPr>
            </a:pPr>
            <a:r>
              <a:rPr sz="1100" b="0">
                <a:solidFill>
                  <a:srgbClr val="A24F33"/>
                </a:solidFill>
                <a:latin typeface="Söhne"/>
              </a:rPr>
              <a:t>Committed Capacity, Stacked (GW)</a:t>
            </a:r>
          </a:p>
        </rich>
      </tx>
    </title>
    <plotArea>
      <barChart>
        <barDir val="col"/>
        <grouping val="stacked"/>
        <ser>
          <idx val="0"/>
          <order val="0"/>
          <tx>
            <strRef>
              <f>'Cone'!B15</f>
            </strRef>
          </tx>
          <spPr>
            <a:solidFill>
              <a:srgbClr val="F3E2C4"/>
            </a:solidFill>
            <a:ln>
              <a:prstDash val="solid"/>
            </a:ln>
          </spPr>
          <cat>
            <numRef>
              <f>'Cone'!$C$14:$T$14</f>
            </numRef>
          </cat>
          <val>
            <numRef>
              <f>'Cone'!$C$15:$T$15</f>
            </numRef>
          </val>
        </ser>
        <ser>
          <idx val="1"/>
          <order val="1"/>
          <tx>
            <strRef>
              <f>'Cone'!B16</f>
            </strRef>
          </tx>
          <spPr>
            <a:solidFill>
              <a:srgbClr val="EB8360"/>
            </a:solidFill>
            <a:ln>
              <a:prstDash val="solid"/>
            </a:ln>
          </spPr>
          <cat>
            <numRef>
              <f>'Cone'!$C$14:$T$14</f>
            </numRef>
          </cat>
          <val>
            <numRef>
              <f>'Cone'!$C$16:$T$16</f>
            </numRef>
          </val>
        </ser>
        <ser>
          <idx val="2"/>
          <order val="2"/>
          <tx>
            <strRef>
              <f>'Cone'!B17</f>
            </strRef>
          </tx>
          <spPr>
            <a:solidFill>
              <a:srgbClr val="D97757"/>
            </a:solidFill>
            <a:ln>
              <a:prstDash val="solid"/>
            </a:ln>
          </spPr>
          <cat>
            <numRef>
              <f>'Cone'!$C$14:$T$14</f>
            </numRef>
          </cat>
          <val>
            <numRef>
              <f>'Cone'!$C$17:$T$17</f>
            </numRef>
          </val>
        </ser>
        <gapWidth val="150"/>
        <overlap val="100"/>
        <axId val="10"/>
        <axId val="100"/>
      </barChart>
      <catAx>
        <axId val="10"/>
        <scaling>
          <orientation val="minMax"/>
        </scaling>
        <delete val="0"/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majorGridlines>
          <spPr>
            <a:ln>
              <a:solidFill>
                <a:srgbClr val="E8E6DC"/>
              </a:solidFill>
              <a:prstDash val="solid"/>
            </a:ln>
          </spPr>
        </majorGridlines>
        <numFmt formatCode="#,##0.0" sourceLinked="0"/>
        <majorTickMark val="none"/>
        <minorTickMark val="none"/>
        <crossAx val="10"/>
      </valAx>
    </plotArea>
    <legend>
      <legendPos val="b"/>
    </legend>
    <plotVisOnly val="1"/>
    <dispBlanksAs val="gap"/>
  </chart>
  <spPr>
    <a:solidFill>
      <a:srgbClr val="E8E6E9"/>
    </a:solidFill>
    <a:ln>
      <a:prstDash val="solid"/>
    </a:ln>
  </spPr>
</chartSpace>
</file>

<file path=xl/charts/chart8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 sz="1100" b="0">
                <a:solidFill>
                  <a:srgbClr val="A24F33"/>
                </a:solidFill>
                <a:latin typeface="Söhne"/>
              </a:defRPr>
            </a:pPr>
            <a:r>
              <a:rPr sz="1100" b="0">
                <a:solidFill>
                  <a:srgbClr val="A24F33"/>
                </a:solidFill>
                <a:latin typeface="Söhne"/>
              </a:rPr>
              <a:t>Committed vs the Cone (GW)</a:t>
            </a:r>
          </a:p>
        </rich>
      </tx>
    </title>
    <plotArea>
      <lineChart>
        <grouping val="standard"/>
        <ser>
          <idx val="0"/>
          <order val="0"/>
          <tx>
            <strRef>
              <f>'Cone'!B18</f>
            </strRef>
          </tx>
          <spPr>
            <a:ln>
              <a:solidFill>
                <a:srgbClr val="141413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'Cone'!$C$14:$T$14</f>
            </numRef>
          </cat>
          <val>
            <numRef>
              <f>'Cone'!$C$18:$T$18</f>
            </numRef>
          </val>
        </ser>
        <ser>
          <idx val="1"/>
          <order val="1"/>
          <tx>
            <strRef>
              <f>'Cone'!B8</f>
            </strRef>
          </tx>
          <spPr>
            <a:ln>
              <a:solidFill>
                <a:srgbClr val="C6613F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'Cone'!$C$14:$T$14</f>
            </numRef>
          </cat>
          <val>
            <numRef>
              <f>'Cone'!$C$8:$T$8</f>
            </numRef>
          </val>
        </ser>
        <ser>
          <idx val="2"/>
          <order val="2"/>
          <tx>
            <strRef>
              <f>'Cone'!B9</f>
            </strRef>
          </tx>
          <spPr>
            <a:ln>
              <a:solidFill>
                <a:srgbClr val="1C63AF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'Cone'!$C$14:$T$14</f>
            </numRef>
          </cat>
          <val>
            <numRef>
              <f>'Cone'!$C$9:$T$9</f>
            </numRef>
          </val>
        </ser>
        <ser>
          <idx val="3"/>
          <order val="3"/>
          <tx>
            <strRef>
              <f>'Cone'!B10</f>
            </strRef>
          </tx>
          <spPr>
            <a:ln>
              <a:solidFill>
                <a:srgbClr val="788C5D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'Cone'!$C$14:$T$14</f>
            </numRef>
          </cat>
          <val>
            <numRef>
              <f>'Cone'!$C$10:$T$10</f>
            </numRef>
          </val>
        </ser>
        <axId val="10"/>
        <axId val="100"/>
      </lineChart>
      <catAx>
        <axId val="10"/>
        <scaling>
          <orientation val="minMax"/>
        </scaling>
        <delete val="0"/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majorGridlines>
          <spPr>
            <a:ln>
              <a:solidFill>
                <a:srgbClr val="E8E6DC"/>
              </a:solidFill>
              <a:prstDash val="solid"/>
            </a:ln>
          </spPr>
        </majorGridlines>
        <numFmt formatCode="#,##0.0" sourceLinked="0"/>
        <majorTickMark val="none"/>
        <minorTickMark val="none"/>
        <crossAx val="10"/>
      </valAx>
    </plotArea>
    <legend>
      <legendPos val="b"/>
    </legend>
    <plotVisOnly val="1"/>
    <dispBlanksAs val="gap"/>
  </chart>
  <spPr>
    <a:solidFill>
      <a:srgbClr val="E8E6E9"/>
    </a:solidFill>
    <a:ln>
      <a:prstDash val="solid"/>
    </a:ln>
  </spPr>
</chartSpace>
</file>

<file path=xl/charts/chart9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 sz="1100" b="0">
                <a:solidFill>
                  <a:srgbClr val="A24F33"/>
                </a:solidFill>
                <a:latin typeface="Söhne"/>
              </a:defRPr>
            </a:pPr>
            <a:r>
              <a:rPr sz="1100" b="0">
                <a:solidFill>
                  <a:srgbClr val="A24F33"/>
                </a:solidFill>
                <a:latin typeface="Söhne"/>
              </a:rPr>
              <a:t>Committed Ramp vs Approved Transfer Limit (MW)</a:t>
            </a:r>
          </a:p>
        </rich>
      </tx>
    </title>
    <plotArea>
      <lineChart>
        <grouping val="standard"/>
        <ser>
          <idx val="0"/>
          <order val="0"/>
          <tx>
            <strRef>
              <f>'Power'!B7</f>
            </strRef>
          </tx>
          <spPr>
            <a:ln>
              <a:solidFill>
                <a:srgbClr val="1C63AF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'Power'!$C$6:$T$6</f>
            </numRef>
          </cat>
          <val>
            <numRef>
              <f>'Power'!$C$7:$T$7</f>
            </numRef>
          </val>
        </ser>
        <ser>
          <idx val="1"/>
          <order val="1"/>
          <tx>
            <strRef>
              <f>'Power'!B8</f>
            </strRef>
          </tx>
          <spPr>
            <a:ln>
              <a:solidFill>
                <a:srgbClr val="C6613F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'Power'!$C$6:$T$6</f>
            </numRef>
          </cat>
          <val>
            <numRef>
              <f>'Power'!$C$8:$T$8</f>
            </numRef>
          </val>
        </ser>
        <axId val="10"/>
        <axId val="100"/>
      </lineChart>
      <catAx>
        <axId val="10"/>
        <scaling>
          <orientation val="minMax"/>
        </scaling>
        <delete val="0"/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majorGridlines>
          <spPr>
            <a:ln>
              <a:solidFill>
                <a:srgbClr val="E8E6DC"/>
              </a:solidFill>
              <a:prstDash val="solid"/>
            </a:ln>
          </spPr>
        </majorGridlines>
        <numFmt formatCode="#,##0" sourceLinked="0"/>
        <majorTickMark val="none"/>
        <minorTickMark val="none"/>
        <crossAx val="10"/>
      </valAx>
    </plotArea>
    <legend>
      <legendPos val="b"/>
    </legend>
    <plotVisOnly val="1"/>
    <dispBlanksAs val="gap"/>
  </chart>
  <spPr>
    <a:solidFill>
      <a:srgbClr val="E8E6E9"/>
    </a:solidFill>
    <a:ln>
      <a:prstDash val="solid"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/Relationships>
</file>

<file path=xl/drawings/_rels/drawing2.xml.rels><Relationships xmlns="http://schemas.openxmlformats.org/package/2006/relationships"><Relationship Type="http://schemas.openxmlformats.org/officeDocument/2006/relationships/chart" Target="/xl/charts/chart4.xml" Id="rId1" /><Relationship Type="http://schemas.openxmlformats.org/officeDocument/2006/relationships/chart" Target="/xl/charts/chart5.xml" Id="rId2" /></Relationships>
</file>

<file path=xl/drawings/_rels/drawing3.xml.rels><Relationships xmlns="http://schemas.openxmlformats.org/package/2006/relationships"><Relationship Type="http://schemas.openxmlformats.org/officeDocument/2006/relationships/chart" Target="/xl/charts/chart6.xml" Id="rId1" /></Relationships>
</file>

<file path=xl/drawings/_rels/drawing4.xml.rels><Relationships xmlns="http://schemas.openxmlformats.org/package/2006/relationships"><Relationship Type="http://schemas.openxmlformats.org/officeDocument/2006/relationships/chart" Target="/xl/charts/chart7.xml" Id="rId1" /><Relationship Type="http://schemas.openxmlformats.org/officeDocument/2006/relationships/chart" Target="/xl/charts/chart8.xml" Id="rId2" /></Relationships>
</file>

<file path=xl/drawings/_rels/drawing5.xml.rels><Relationships xmlns="http://schemas.openxmlformats.org/package/2006/relationships"><Relationship Type="http://schemas.openxmlformats.org/officeDocument/2006/relationships/chart" Target="/xl/charts/chart9.xml" Id="rId1" /></Relationships>
</file>

<file path=xl/drawings/_rels/drawing6.xml.rels><Relationships xmlns="http://schemas.openxmlformats.org/package/2006/relationships"><Relationship Type="http://schemas.openxmlformats.org/officeDocument/2006/relationships/chart" Target="/xl/charts/chart10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5</col>
      <colOff>0</colOff>
      <row>7</row>
      <rowOff>0</rowOff>
    </from>
    <ext cx="7200000" cy="2448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5</col>
      <colOff>0</colOff>
      <row>22</row>
      <rowOff>0</rowOff>
    </from>
    <ext cx="7200000" cy="2448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  <oneCellAnchor>
    <from>
      <col>5</col>
      <colOff>0</colOff>
      <row>37</row>
      <rowOff>0</rowOff>
    </from>
    <ext cx="7200000" cy="2232000"/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oneCellAnchor>
</wsDr>
</file>

<file path=xl/drawings/drawing2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</col>
      <colOff>0</colOff>
      <row>54</row>
      <rowOff>0</rowOff>
    </from>
    <ext cx="6480000" cy="2592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11</col>
      <colOff>0</colOff>
      <row>54</row>
      <rowOff>0</rowOff>
    </from>
    <ext cx="4680000" cy="2592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</wsDr>
</file>

<file path=xl/drawings/drawing3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</col>
      <colOff>0</colOff>
      <row>31</row>
      <rowOff>0</rowOff>
    </from>
    <ext cx="6480000" cy="23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4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7</col>
      <colOff>0</colOff>
      <row>21</row>
      <rowOff>0</rowOff>
    </from>
    <ext cx="5040000" cy="2448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16</col>
      <colOff>0</colOff>
      <row>21</row>
      <rowOff>0</rowOff>
    </from>
    <ext cx="5040000" cy="2448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</wsDr>
</file>

<file path=xl/drawings/drawing5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</col>
      <colOff>0</colOff>
      <row>19</row>
      <rowOff>0</rowOff>
    </from>
    <ext cx="5400000" cy="25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6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6</col>
      <colOff>0</colOff>
      <row>26</row>
      <rowOff>0</rowOff>
    </from>
    <ext cx="4680000" cy="23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Relationships xmlns="http://schemas.openxmlformats.org/package/2006/relationships"><Relationship Type="http://schemas.openxmlformats.org/officeDocument/2006/relationships/drawing" Target="/xl/drawings/drawing5.xml" Id="rId1" /></Relationships>
</file>

<file path=xl/worksheets/_rels/sheet19.xml.rels><Relationships xmlns="http://schemas.openxmlformats.org/package/2006/relationships"><Relationship Type="http://schemas.openxmlformats.org/officeDocument/2006/relationships/drawing" Target="/xl/drawings/drawing6.xml" Id="rId1" 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 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3.xml" Id="rId1" 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4.xml" Id="rId1" /></Relationships>
</file>

<file path=xl/worksheets/sheet1.xml><?xml version="1.0" encoding="utf-8"?>
<worksheet xmlns="http://schemas.openxmlformats.org/spreadsheetml/2006/main">
  <sheetPr>
    <tabColor rgb="00141413"/>
    <outlinePr summaryBelow="1" summaryRight="1"/>
    <pageSetUpPr fitToPage="1"/>
  </sheetPr>
  <dimension ref="A1:R40"/>
  <sheetViews>
    <sheetView showGridLines="0" workbookViewId="0">
      <selection activeCell="A1" sqref="A1"/>
    </sheetView>
  </sheetViews>
  <sheetFormatPr baseColWidth="8" defaultRowHeight="15"/>
  <cols>
    <col width="2.3" customWidth="1" min="1" max="1"/>
    <col width="3" customWidth="1" min="2" max="2"/>
    <col width="32" customWidth="1" min="3" max="3"/>
    <col width="37" customWidth="1" min="4" max="4"/>
    <col width="9" customWidth="1" min="5" max="5"/>
    <col width="19.5" customWidth="1" min="6" max="6"/>
    <col width="4.8" customWidth="1" min="7" max="7"/>
    <col width="18" customWidth="1" min="8" max="8"/>
    <col width="7.5" customWidth="1" min="9" max="9"/>
    <col width="4.8" customWidth="1" min="10" max="10"/>
    <col width="4.7" customWidth="1" min="11" max="11"/>
    <col width="8.800000000000001" customWidth="1" min="12" max="12"/>
  </cols>
  <sheetData>
    <row r="1" ht="9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</row>
    <row r="2">
      <c r="A2" s="1" t="n"/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  <c r="M2" s="1" t="n"/>
      <c r="N2" s="1" t="n"/>
      <c r="O2" s="1" t="n"/>
      <c r="P2" s="1" t="n"/>
      <c r="Q2" s="1" t="n"/>
      <c r="R2" s="1" t="n"/>
    </row>
    <row r="3" ht="12" customHeight="1">
      <c r="A3" s="1" t="n"/>
      <c r="B3" s="2" t="n"/>
      <c r="C3" s="2" t="n"/>
      <c r="D3" s="2" t="n"/>
      <c r="E3" s="2" t="n"/>
      <c r="F3" s="2" t="n"/>
      <c r="G3" s="2" t="n"/>
      <c r="H3" s="2" t="n"/>
      <c r="I3" s="2" t="n"/>
      <c r="J3" s="2" t="n"/>
      <c r="K3" s="2" t="n"/>
      <c r="L3" s="2" t="n"/>
      <c r="M3" s="1" t="n"/>
      <c r="N3" s="1" t="n"/>
      <c r="O3" s="1" t="n"/>
      <c r="P3" s="1" t="n"/>
      <c r="Q3" s="1" t="n"/>
      <c r="R3" s="1" t="n"/>
    </row>
    <row r="4" ht="47" customHeight="1">
      <c r="A4" s="1" t="n"/>
      <c r="B4" s="2" t="n"/>
      <c r="C4" s="3" t="inlineStr">
        <is>
          <t>C O M P U T E    C A P I T A L    S T A C K</t>
        </is>
      </c>
      <c r="D4" s="2" t="n"/>
      <c r="E4" s="2" t="n"/>
      <c r="F4" s="2" t="n"/>
      <c r="G4" s="2" t="n"/>
      <c r="H4" s="2" t="n"/>
      <c r="I4" s="2" t="n"/>
      <c r="J4" s="2" t="n"/>
      <c r="K4" s="2" t="n"/>
      <c r="L4" s="2" t="n"/>
      <c r="M4" s="1" t="n"/>
      <c r="N4" s="1" t="n"/>
      <c r="O4" s="1" t="n"/>
      <c r="P4" s="1" t="n"/>
      <c r="Q4" s="1" t="n"/>
      <c r="R4" s="1" t="n"/>
    </row>
    <row r="5" ht="19" customHeight="1">
      <c r="A5" s="1" t="n"/>
      <c r="B5" s="2" t="n"/>
      <c r="C5" s="4" t="inlineStr">
        <is>
          <t>Scenario Analysis  |  Power Envelope  |  Compute Forecasting  |  Monte Carlo  |  N-SMR Procurement  |  Portfolio Optimization</t>
        </is>
      </c>
      <c r="D5" s="2" t="n"/>
      <c r="E5" s="2" t="n"/>
      <c r="F5" s="2" t="n"/>
      <c r="G5" s="2" t="n"/>
      <c r="H5" s="2" t="n"/>
      <c r="I5" s="2" t="n"/>
      <c r="J5" s="2" t="n"/>
      <c r="K5" s="2" t="n"/>
      <c r="L5" s="2" t="n"/>
      <c r="M5" s="1" t="n"/>
      <c r="N5" s="1" t="n"/>
      <c r="O5" s="1" t="n"/>
      <c r="P5" s="1" t="n"/>
      <c r="Q5" s="1" t="n"/>
      <c r="R5" s="1" t="n"/>
    </row>
    <row r="6" ht="23" customHeight="1">
      <c r="A6" s="1" t="n"/>
      <c r="B6" s="2" t="n"/>
      <c r="C6" s="5" t="inlineStr">
        <is>
          <t>Inference economics through power, site, contract, and procurement gates.</t>
        </is>
      </c>
      <c r="D6" s="2" t="n"/>
      <c r="E6" s="2" t="n"/>
      <c r="F6" s="2" t="n"/>
      <c r="G6" s="2" t="n"/>
      <c r="H6" s="2" t="n"/>
      <c r="I6" s="2" t="n"/>
      <c r="J6" s="2" t="n"/>
      <c r="K6" s="2" t="n"/>
      <c r="L6" s="2" t="n"/>
      <c r="M6" s="1" t="n"/>
      <c r="N6" s="1" t="n"/>
      <c r="O6" s="1" t="n"/>
      <c r="P6" s="1" t="n"/>
      <c r="Q6" s="1" t="n"/>
      <c r="R6" s="1" t="n"/>
    </row>
    <row r="7" ht="14" customHeight="1">
      <c r="A7" s="1" t="n"/>
      <c r="B7" s="2" t="n"/>
      <c r="C7" s="2" t="n"/>
      <c r="D7" s="2" t="n"/>
      <c r="E7" s="2" t="n"/>
      <c r="F7" s="2" t="n"/>
      <c r="G7" s="2" t="n"/>
      <c r="H7" s="2" t="n"/>
      <c r="I7" s="2" t="n"/>
      <c r="J7" s="2" t="n"/>
      <c r="K7" s="2" t="n"/>
      <c r="L7" s="2" t="n"/>
      <c r="M7" s="1" t="n"/>
      <c r="N7" s="1" t="n"/>
      <c r="O7" s="1" t="n"/>
      <c r="P7" s="1" t="n"/>
      <c r="Q7" s="1" t="n"/>
      <c r="R7" s="1" t="n"/>
    </row>
    <row r="8">
      <c r="A8" s="1" t="n"/>
      <c r="B8" s="2" t="n"/>
      <c r="C8" s="2" t="n"/>
      <c r="D8" s="2" t="n"/>
      <c r="E8" s="2" t="n"/>
      <c r="F8" s="2" t="n"/>
      <c r="G8" s="2" t="n"/>
      <c r="H8" s="2" t="n"/>
      <c r="I8" s="2" t="n"/>
      <c r="J8" s="2" t="n"/>
      <c r="K8" s="2" t="n"/>
      <c r="L8" s="2" t="n"/>
      <c r="M8" s="1" t="n"/>
      <c r="N8" s="1" t="n"/>
      <c r="O8" s="1" t="n"/>
      <c r="P8" s="1" t="n"/>
      <c r="Q8" s="1" t="n"/>
      <c r="R8" s="1" t="n"/>
    </row>
    <row r="9">
      <c r="A9" s="1" t="n"/>
      <c r="B9" s="2" t="n"/>
      <c r="C9" s="2" t="n"/>
      <c r="D9" s="2" t="n"/>
      <c r="E9" s="2" t="n"/>
      <c r="F9" s="2" t="n"/>
      <c r="G9" s="2" t="n"/>
      <c r="H9" s="2" t="n"/>
      <c r="I9" s="2" t="n"/>
      <c r="J9" s="2" t="n"/>
      <c r="K9" s="2" t="n"/>
      <c r="L9" s="2" t="n"/>
      <c r="M9" s="1" t="n"/>
      <c r="N9" s="1" t="n"/>
      <c r="O9" s="1" t="n"/>
      <c r="P9" s="1" t="n"/>
      <c r="Q9" s="1" t="n"/>
      <c r="R9" s="1" t="n"/>
    </row>
    <row r="10">
      <c r="A10" s="1" t="n"/>
      <c r="B10" s="2" t="n"/>
      <c r="C10" s="2" t="n"/>
      <c r="D10" s="2" t="n"/>
      <c r="E10" s="2" t="n"/>
      <c r="F10" s="2" t="n"/>
      <c r="G10" s="2" t="n"/>
      <c r="H10" s="2" t="n"/>
      <c r="I10" s="2" t="n"/>
      <c r="J10" s="2" t="n"/>
      <c r="K10" s="2" t="n"/>
      <c r="L10" s="2" t="n"/>
      <c r="M10" s="1" t="n"/>
      <c r="N10" s="1" t="n"/>
      <c r="O10" s="1" t="n"/>
      <c r="P10" s="1" t="n"/>
      <c r="Q10" s="1" t="n"/>
      <c r="R10" s="1" t="n"/>
    </row>
    <row r="11" ht="19" customHeight="1">
      <c r="A11" s="1" t="n"/>
      <c r="B11" s="2" t="n"/>
      <c r="C11" s="4" t="inlineStr">
        <is>
          <t>Analyst:</t>
        </is>
      </c>
      <c r="D11" s="6" t="inlineStr">
        <is>
          <t>Darrell Day</t>
        </is>
      </c>
      <c r="E11" s="2" t="n"/>
      <c r="F11" s="2" t="n"/>
      <c r="G11" s="2" t="n"/>
      <c r="H11" s="2" t="n"/>
      <c r="I11" s="2" t="n"/>
      <c r="J11" s="2" t="n"/>
      <c r="K11" s="2" t="n"/>
      <c r="L11" s="2" t="n"/>
      <c r="M11" s="1" t="n"/>
      <c r="N11" s="1" t="n"/>
      <c r="O11" s="1" t="n"/>
      <c r="P11" s="1" t="n"/>
      <c r="Q11" s="1" t="n"/>
      <c r="R11" s="1" t="n"/>
    </row>
    <row r="12" ht="19" customHeight="1">
      <c r="A12" s="1" t="n"/>
      <c r="B12" s="2" t="n"/>
      <c r="C12" s="4" t="inlineStr">
        <is>
          <t>Report Date:</t>
        </is>
      </c>
      <c r="D12" s="6" t="inlineStr">
        <is>
          <t>2026-07-07</t>
        </is>
      </c>
      <c r="E12" s="2" t="n"/>
      <c r="F12" s="2" t="n"/>
      <c r="G12" s="2" t="n"/>
      <c r="H12" s="2" t="n"/>
      <c r="I12" s="2" t="n"/>
      <c r="J12" s="2" t="n"/>
      <c r="K12" s="2" t="n"/>
      <c r="L12" s="2" t="n"/>
      <c r="M12" s="1" t="n"/>
      <c r="N12" s="1" t="n"/>
      <c r="O12" s="1" t="n"/>
      <c r="P12" s="1" t="n"/>
      <c r="Q12" s="1" t="n"/>
      <c r="R12" s="1" t="n"/>
    </row>
    <row r="13" ht="19" customHeight="1">
      <c r="A13" s="1" t="n"/>
      <c r="B13" s="2" t="n"/>
      <c r="C13" s="4" t="inlineStr">
        <is>
          <t>Model Version:</t>
        </is>
      </c>
      <c r="D13" s="6" t="inlineStr">
        <is>
          <t>5</t>
        </is>
      </c>
      <c r="E13" s="2" t="n"/>
      <c r="F13" s="2" t="n"/>
      <c r="G13" s="2" t="n"/>
      <c r="H13" s="2" t="n"/>
      <c r="I13" s="2" t="n"/>
      <c r="J13" s="2" t="n"/>
      <c r="K13" s="2" t="n"/>
      <c r="L13" s="2" t="n"/>
      <c r="M13" s="1" t="n"/>
      <c r="N13" s="1" t="n"/>
      <c r="O13" s="1" t="n"/>
      <c r="P13" s="1" t="n"/>
      <c r="Q13" s="1" t="n"/>
      <c r="R13" s="1" t="n"/>
    </row>
    <row r="14" ht="19" customHeight="1">
      <c r="A14" s="1" t="n"/>
      <c r="B14" s="2" t="n"/>
      <c r="C14" s="4" t="inlineStr">
        <is>
          <t>Active Scenario:</t>
        </is>
      </c>
      <c r="D14" s="7">
        <f>Summary!C6</f>
        <v/>
      </c>
      <c r="E14" s="2" t="n"/>
      <c r="F14" s="2" t="n"/>
      <c r="G14" s="2" t="n"/>
      <c r="H14" s="2" t="n"/>
      <c r="I14" s="2" t="n"/>
      <c r="J14" s="2" t="n"/>
      <c r="K14" s="2" t="n"/>
      <c r="L14" s="2" t="n"/>
      <c r="M14" s="1" t="n"/>
      <c r="N14" s="1" t="n"/>
      <c r="O14" s="1" t="n"/>
      <c r="P14" s="1" t="n"/>
      <c r="Q14" s="1" t="n"/>
      <c r="R14" s="1" t="n"/>
    </row>
    <row r="15">
      <c r="A15" s="1" t="n"/>
      <c r="B15" s="2" t="n"/>
      <c r="C15" s="2" t="n"/>
      <c r="D15" s="2" t="n"/>
      <c r="E15" s="2" t="n"/>
      <c r="F15" s="2" t="n"/>
      <c r="G15" s="2" t="n"/>
      <c r="H15" s="2" t="n"/>
      <c r="I15" s="2" t="n"/>
      <c r="J15" s="2" t="n"/>
      <c r="K15" s="2" t="n"/>
      <c r="L15" s="2" t="n"/>
      <c r="M15" s="1" t="n"/>
      <c r="N15" s="1" t="n"/>
      <c r="O15" s="1" t="n"/>
      <c r="P15" s="1" t="n"/>
      <c r="Q15" s="1" t="n"/>
      <c r="R15" s="1" t="n"/>
    </row>
    <row r="16" ht="19" customHeight="1">
      <c r="A16" s="1" t="n"/>
      <c r="B16" s="2" t="n"/>
      <c r="C16" s="8" t="inlineStr">
        <is>
          <t>Key Results</t>
        </is>
      </c>
      <c r="D16" s="9" t="n"/>
      <c r="E16" s="9" t="n"/>
      <c r="F16" s="9" t="n"/>
      <c r="G16" s="2" t="n"/>
      <c r="H16" s="2" t="n"/>
      <c r="I16" s="2" t="n"/>
      <c r="J16" s="2" t="n"/>
      <c r="K16" s="2" t="n"/>
      <c r="L16" s="2" t="n"/>
      <c r="M16" s="1" t="n"/>
      <c r="N16" s="1" t="n"/>
      <c r="O16" s="1" t="n"/>
      <c r="P16" s="1" t="n"/>
      <c r="Q16" s="1" t="n"/>
      <c r="R16" s="1" t="n"/>
    </row>
    <row r="17">
      <c r="A17" s="1" t="n"/>
      <c r="B17" s="2" t="n"/>
      <c r="C17" s="2" t="n"/>
      <c r="D17" s="2" t="n"/>
      <c r="E17" s="2" t="n"/>
      <c r="F17" s="2" t="n"/>
      <c r="G17" s="2" t="n"/>
      <c r="H17" s="2" t="n"/>
      <c r="I17" s="2" t="n"/>
      <c r="J17" s="2" t="n"/>
      <c r="K17" s="2" t="n"/>
      <c r="L17" s="2" t="n"/>
      <c r="M17" s="1" t="n"/>
      <c r="N17" s="1" t="n"/>
      <c r="O17" s="1" t="n"/>
      <c r="P17" s="1" t="n"/>
      <c r="Q17" s="1" t="n"/>
      <c r="R17" s="1" t="n"/>
    </row>
    <row r="18" ht="21" customHeight="1">
      <c r="A18" s="1" t="n"/>
      <c r="B18" s="2" t="n"/>
      <c r="C18" s="4" t="inlineStr">
        <is>
          <t>Recommended structure</t>
        </is>
      </c>
      <c r="D18" s="10">
        <f>BestStructure</f>
        <v/>
      </c>
      <c r="E18" s="2" t="n"/>
      <c r="F18" s="2" t="n"/>
      <c r="G18" s="2" t="n"/>
      <c r="H18" s="2" t="n"/>
      <c r="I18" s="2" t="n"/>
      <c r="J18" s="2" t="n"/>
      <c r="K18" s="2" t="n"/>
      <c r="L18" s="2" t="n"/>
      <c r="M18" s="1" t="n"/>
      <c r="N18" s="1" t="n"/>
      <c r="O18" s="1" t="n"/>
      <c r="P18" s="1" t="n"/>
      <c r="Q18" s="1" t="n"/>
      <c r="R18" s="1" t="n"/>
    </row>
    <row r="19" ht="21" customHeight="1">
      <c r="A19" s="1" t="n"/>
      <c r="B19" s="2" t="n"/>
      <c r="C19" s="4" t="inlineStr">
        <is>
          <t>Risk-adjusted cost of intelligence</t>
        </is>
      </c>
      <c r="D19" s="10">
        <f>TEXT(BestRaCoi,"$0.00")&amp;" / MTok"</f>
        <v/>
      </c>
      <c r="E19" s="2" t="n"/>
      <c r="F19" s="2" t="n"/>
      <c r="G19" s="2" t="n"/>
      <c r="H19" s="2" t="n"/>
      <c r="I19" s="2" t="n"/>
      <c r="J19" s="2" t="n"/>
      <c r="K19" s="2" t="n"/>
      <c r="L19" s="2" t="n"/>
      <c r="M19" s="1" t="n"/>
      <c r="N19" s="1" t="n"/>
      <c r="O19" s="1" t="n"/>
      <c r="P19" s="1" t="n"/>
      <c r="Q19" s="1" t="n"/>
      <c r="R19" s="1" t="n"/>
    </row>
    <row r="20" ht="21" customHeight="1">
      <c r="A20" s="1" t="n"/>
      <c r="B20" s="2" t="n"/>
      <c r="C20" s="4" t="inlineStr">
        <is>
          <t>Mix-savings NPV vs all-residual, FY26-40</t>
        </is>
      </c>
      <c r="D20" s="10">
        <f>TEXT(NpvSavings,"$#,##0.0")&amp;"B"</f>
        <v/>
      </c>
      <c r="E20" s="2" t="n"/>
      <c r="F20" s="2" t="n"/>
      <c r="G20" s="2" t="n"/>
      <c r="H20" s="4" t="inlineStr">
        <is>
          <t>Legend</t>
        </is>
      </c>
      <c r="I20" s="2" t="n"/>
      <c r="J20" s="2" t="n"/>
      <c r="K20" s="2" t="n"/>
      <c r="L20" s="2" t="n"/>
      <c r="M20" s="1" t="n"/>
      <c r="N20" s="1" t="n"/>
      <c r="O20" s="1" t="n"/>
      <c r="P20" s="1" t="n"/>
      <c r="Q20" s="1" t="n"/>
      <c r="R20" s="1" t="n"/>
    </row>
    <row r="21" ht="21" customHeight="1">
      <c r="A21" s="1" t="n"/>
      <c r="B21" s="2" t="n"/>
      <c r="C21" s="4" t="inlineStr">
        <is>
          <t>Reactors required by FY2040 (N-SMR)</t>
        </is>
      </c>
      <c r="D21" s="10">
        <f>TEXT(NsmrUnits2040,"#,##0")</f>
        <v/>
      </c>
      <c r="E21" s="2" t="n"/>
      <c r="F21" s="2" t="n"/>
      <c r="G21" s="2" t="n"/>
      <c r="H21" s="11" t="inlineStr">
        <is>
          <t>Assumptions</t>
        </is>
      </c>
      <c r="I21" s="2" t="n"/>
      <c r="J21" s="2" t="n"/>
      <c r="K21" s="2" t="n"/>
      <c r="L21" s="2" t="n"/>
      <c r="M21" s="1" t="n"/>
      <c r="N21" s="1" t="n"/>
      <c r="O21" s="1" t="n"/>
      <c r="P21" s="1" t="n"/>
      <c r="Q21" s="1" t="n"/>
      <c r="R21" s="1" t="n"/>
    </row>
    <row r="22" ht="21" customHeight="1">
      <c r="A22" s="1" t="n"/>
      <c r="B22" s="2" t="n"/>
      <c r="C22" s="4" t="inlineStr">
        <is>
          <t>Probability the stack is underwater</t>
        </is>
      </c>
      <c r="D22" s="10">
        <f>TEXT(PUnderwater,"0.0%")</f>
        <v/>
      </c>
      <c r="E22" s="2" t="n"/>
      <c r="F22" s="2" t="n"/>
      <c r="G22" s="2" t="n"/>
      <c r="H22" s="12" t="inlineStr">
        <is>
          <t>Linked from another tab</t>
        </is>
      </c>
      <c r="I22" s="2" t="n"/>
      <c r="J22" s="2" t="n"/>
      <c r="K22" s="2" t="n"/>
      <c r="L22" s="2" t="n"/>
      <c r="M22" s="1" t="n"/>
      <c r="N22" s="1" t="n"/>
      <c r="O22" s="1" t="n"/>
      <c r="P22" s="1" t="n"/>
      <c r="Q22" s="1" t="n"/>
      <c r="R22" s="1" t="n"/>
    </row>
    <row r="23" ht="21" customHeight="1">
      <c r="A23" s="1" t="n"/>
      <c r="B23" s="2" t="n"/>
      <c r="C23" s="4" t="inlineStr">
        <is>
          <t>The minimax buy</t>
        </is>
      </c>
      <c r="D23" s="10">
        <f>RegretPlan</f>
        <v/>
      </c>
      <c r="E23" s="2" t="n"/>
      <c r="F23" s="2" t="n"/>
      <c r="G23" s="2" t="n"/>
      <c r="H23" s="13" t="inlineStr">
        <is>
          <t>Calculations</t>
        </is>
      </c>
      <c r="I23" s="2" t="n"/>
      <c r="J23" s="2" t="n"/>
      <c r="K23" s="2" t="n"/>
      <c r="L23" s="2" t="n"/>
      <c r="M23" s="1" t="n"/>
      <c r="N23" s="1" t="n"/>
      <c r="O23" s="1" t="n"/>
      <c r="P23" s="1" t="n"/>
      <c r="Q23" s="1" t="n"/>
      <c r="R23" s="1" t="n"/>
    </row>
    <row r="24">
      <c r="A24" s="1" t="n"/>
      <c r="B24" s="2" t="n"/>
      <c r="C24" s="2" t="n"/>
      <c r="D24" s="2" t="n"/>
      <c r="E24" s="2" t="n"/>
      <c r="F24" s="2" t="n"/>
      <c r="G24" s="2" t="n"/>
      <c r="H24" s="14" t="inlineStr">
        <is>
          <t>Breach; Alert</t>
        </is>
      </c>
      <c r="I24" s="2" t="n"/>
      <c r="J24" s="2" t="n"/>
      <c r="K24" s="2" t="n"/>
      <c r="L24" s="2" t="n"/>
      <c r="M24" s="1" t="n"/>
      <c r="N24" s="1" t="n"/>
      <c r="O24" s="1" t="n"/>
      <c r="P24" s="1" t="n"/>
      <c r="Q24" s="1" t="n"/>
      <c r="R24" s="1" t="n"/>
    </row>
    <row r="25">
      <c r="A25" s="1" t="n"/>
      <c r="B25" s="2" t="n"/>
      <c r="C25" s="2" t="n"/>
      <c r="D25" s="2" t="n"/>
      <c r="E25" s="2" t="n"/>
      <c r="F25" s="2" t="n"/>
      <c r="G25" s="2" t="n"/>
      <c r="H25" s="2" t="n"/>
      <c r="I25" s="2" t="n"/>
      <c r="J25" s="2" t="n"/>
      <c r="K25" s="2" t="n"/>
      <c r="L25" s="2" t="n"/>
      <c r="M25" s="1" t="n"/>
      <c r="N25" s="1" t="n"/>
      <c r="O25" s="1" t="n"/>
      <c r="P25" s="1" t="n"/>
      <c r="Q25" s="1" t="n"/>
      <c r="R25" s="1" t="n"/>
    </row>
    <row r="26" ht="16" customHeight="1">
      <c r="A26" s="1" t="n"/>
      <c r="B26" s="2" t="n"/>
      <c r="C26" s="15" t="inlineStr">
        <is>
          <t>External figures carry cell-level citations on the Sources tab.</t>
        </is>
      </c>
      <c r="D26" s="2" t="n"/>
      <c r="E26" s="2" t="n"/>
      <c r="F26" s="2" t="n"/>
      <c r="G26" s="2" t="n"/>
      <c r="H26" s="2" t="n"/>
      <c r="I26" s="2" t="n"/>
      <c r="J26" s="2" t="n"/>
      <c r="K26" s="2" t="n"/>
      <c r="L26" s="2" t="n"/>
      <c r="M26" s="1" t="n"/>
      <c r="N26" s="1" t="n"/>
      <c r="O26" s="1" t="n"/>
      <c r="P26" s="1" t="n"/>
      <c r="Q26" s="1" t="n"/>
      <c r="R26" s="1" t="n"/>
    </row>
    <row r="27" ht="16" customHeight="1">
      <c r="A27" s="1" t="n"/>
      <c r="B27" s="2" t="n"/>
      <c r="C27" s="16" t="inlineStr">
        <is>
          <t>Public model copy. Full workbook, formulas, checks, and notebook links are available from the live model page.</t>
        </is>
      </c>
      <c r="D27" s="2" t="n"/>
      <c r="E27" s="2" t="n"/>
      <c r="F27" s="2" t="n"/>
      <c r="G27" s="2" t="n"/>
      <c r="H27" s="2" t="n"/>
      <c r="I27" s="2" t="n"/>
      <c r="J27" s="2" t="n"/>
      <c r="K27" s="2" t="n"/>
      <c r="L27" s="2" t="n"/>
      <c r="M27" s="1" t="n"/>
      <c r="N27" s="1" t="n"/>
      <c r="O27" s="1" t="n"/>
      <c r="P27" s="1" t="n"/>
      <c r="Q27" s="1" t="n"/>
      <c r="R27" s="1" t="n"/>
    </row>
    <row r="28">
      <c r="A28" s="1" t="n"/>
      <c r="B28" s="2" t="n"/>
      <c r="C28" s="2" t="n"/>
      <c r="D28" s="2" t="n"/>
      <c r="E28" s="2" t="n"/>
      <c r="F28" s="2" t="n"/>
      <c r="G28" s="2" t="n"/>
      <c r="H28" s="2" t="n"/>
      <c r="I28" s="2" t="n"/>
      <c r="J28" s="2" t="n"/>
      <c r="K28" s="2" t="n"/>
      <c r="L28" s="2" t="n"/>
      <c r="M28" s="1" t="n"/>
      <c r="N28" s="1" t="n"/>
      <c r="O28" s="1" t="n"/>
      <c r="P28" s="1" t="n"/>
      <c r="Q28" s="1" t="n"/>
      <c r="R28" s="1" t="n"/>
    </row>
    <row r="29">
      <c r="A29" s="1" t="n"/>
      <c r="B29" s="1" t="n"/>
      <c r="C29" s="1" t="n"/>
      <c r="D29" s="1" t="n"/>
      <c r="E29" s="1" t="n"/>
      <c r="F29" s="1" t="n"/>
      <c r="G29" s="1" t="n"/>
      <c r="H29" s="1" t="n"/>
      <c r="I29" s="1" t="n"/>
      <c r="J29" s="1" t="n"/>
      <c r="K29" s="1" t="n"/>
      <c r="L29" s="1" t="n"/>
      <c r="M29" s="1" t="n"/>
      <c r="N29" s="1" t="n"/>
      <c r="O29" s="1" t="n"/>
      <c r="P29" s="1" t="n"/>
      <c r="Q29" s="1" t="n"/>
      <c r="R29" s="1" t="n"/>
    </row>
    <row r="30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  <c r="J30" s="1" t="n"/>
      <c r="K30" s="1" t="n"/>
      <c r="L30" s="1" t="n"/>
      <c r="M30" s="1" t="n"/>
      <c r="N30" s="1" t="n"/>
      <c r="O30" s="1" t="n"/>
      <c r="P30" s="1" t="n"/>
      <c r="Q30" s="1" t="n"/>
      <c r="R30" s="1" t="n"/>
    </row>
    <row r="31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  <c r="J31" s="1" t="n"/>
      <c r="K31" s="1" t="n"/>
      <c r="L31" s="1" t="n"/>
      <c r="M31" s="1" t="n"/>
      <c r="N31" s="1" t="n"/>
      <c r="O31" s="1" t="n"/>
      <c r="P31" s="1" t="n"/>
      <c r="Q31" s="1" t="n"/>
      <c r="R31" s="1" t="n"/>
    </row>
    <row r="32">
      <c r="A32" s="1" t="n"/>
      <c r="B32" s="1" t="n"/>
      <c r="C32" s="1" t="n"/>
      <c r="D32" s="1" t="n"/>
      <c r="E32" s="1" t="n"/>
      <c r="F32" s="1" t="n"/>
      <c r="G32" s="1" t="n"/>
      <c r="H32" s="1" t="n"/>
      <c r="I32" s="1" t="n"/>
      <c r="J32" s="1" t="n"/>
      <c r="K32" s="1" t="n"/>
      <c r="L32" s="1" t="n"/>
      <c r="M32" s="1" t="n"/>
      <c r="N32" s="1" t="n"/>
      <c r="O32" s="1" t="n"/>
      <c r="P32" s="1" t="n"/>
      <c r="Q32" s="1" t="n"/>
      <c r="R32" s="1" t="n"/>
    </row>
    <row r="33">
      <c r="A33" s="1" t="n"/>
      <c r="B33" s="1" t="n"/>
      <c r="C33" s="1" t="n"/>
      <c r="D33" s="1" t="n"/>
      <c r="E33" s="1" t="n"/>
      <c r="F33" s="1" t="n"/>
      <c r="G33" s="1" t="n"/>
      <c r="H33" s="1" t="n"/>
      <c r="I33" s="1" t="n"/>
      <c r="J33" s="1" t="n"/>
      <c r="K33" s="1" t="n"/>
      <c r="L33" s="1" t="n"/>
      <c r="M33" s="1" t="n"/>
      <c r="N33" s="1" t="n"/>
      <c r="O33" s="1" t="n"/>
      <c r="P33" s="1" t="n"/>
      <c r="Q33" s="1" t="n"/>
      <c r="R33" s="1" t="n"/>
    </row>
    <row r="34">
      <c r="A34" s="1" t="n"/>
      <c r="B34" s="1" t="n"/>
      <c r="C34" s="1" t="n"/>
      <c r="D34" s="1" t="n"/>
      <c r="E34" s="1" t="n"/>
      <c r="F34" s="1" t="n"/>
      <c r="G34" s="1" t="n"/>
      <c r="H34" s="1" t="n"/>
      <c r="I34" s="1" t="n"/>
      <c r="J34" s="1" t="n"/>
      <c r="K34" s="1" t="n"/>
      <c r="L34" s="1" t="n"/>
      <c r="M34" s="1" t="n"/>
      <c r="N34" s="1" t="n"/>
      <c r="O34" s="1" t="n"/>
      <c r="P34" s="1" t="n"/>
      <c r="Q34" s="1" t="n"/>
      <c r="R34" s="1" t="n"/>
    </row>
    <row r="35">
      <c r="A35" s="1" t="n"/>
      <c r="B35" s="1" t="n"/>
      <c r="C35" s="1" t="n"/>
      <c r="D35" s="1" t="n"/>
      <c r="E35" s="1" t="n"/>
      <c r="F35" s="1" t="n"/>
      <c r="G35" s="1" t="n"/>
      <c r="H35" s="1" t="n"/>
      <c r="I35" s="1" t="n"/>
      <c r="J35" s="1" t="n"/>
      <c r="K35" s="1" t="n"/>
      <c r="L35" s="1" t="n"/>
      <c r="M35" s="1" t="n"/>
      <c r="N35" s="1" t="n"/>
      <c r="O35" s="1" t="n"/>
      <c r="P35" s="1" t="n"/>
      <c r="Q35" s="1" t="n"/>
      <c r="R35" s="1" t="n"/>
    </row>
    <row r="36">
      <c r="A36" s="1" t="n"/>
      <c r="B36" s="1" t="n"/>
      <c r="C36" s="1" t="n"/>
      <c r="D36" s="1" t="n"/>
      <c r="E36" s="1" t="n"/>
      <c r="F36" s="1" t="n"/>
      <c r="G36" s="1" t="n"/>
      <c r="H36" s="1" t="n"/>
      <c r="I36" s="1" t="n"/>
      <c r="J36" s="1" t="n"/>
      <c r="K36" s="1" t="n"/>
      <c r="L36" s="1" t="n"/>
      <c r="M36" s="1" t="n"/>
      <c r="N36" s="1" t="n"/>
      <c r="O36" s="1" t="n"/>
      <c r="P36" s="1" t="n"/>
      <c r="Q36" s="1" t="n"/>
      <c r="R36" s="1" t="n"/>
    </row>
    <row r="37">
      <c r="A37" s="1" t="n"/>
      <c r="B37" s="1" t="n"/>
      <c r="C37" s="1" t="n"/>
      <c r="D37" s="1" t="n"/>
      <c r="E37" s="1" t="n"/>
      <c r="F37" s="1" t="n"/>
      <c r="G37" s="1" t="n"/>
      <c r="H37" s="1" t="n"/>
      <c r="I37" s="1" t="n"/>
      <c r="J37" s="1" t="n"/>
      <c r="K37" s="1" t="n"/>
      <c r="L37" s="1" t="n"/>
      <c r="M37" s="1" t="n"/>
      <c r="N37" s="1" t="n"/>
      <c r="O37" s="1" t="n"/>
      <c r="P37" s="1" t="n"/>
      <c r="Q37" s="1" t="n"/>
      <c r="R37" s="1" t="n"/>
    </row>
    <row r="38">
      <c r="A38" s="1" t="n"/>
      <c r="B38" s="1" t="n"/>
      <c r="C38" s="1" t="n"/>
      <c r="D38" s="1" t="n"/>
      <c r="E38" s="1" t="n"/>
      <c r="F38" s="1" t="n"/>
      <c r="G38" s="1" t="n"/>
      <c r="H38" s="1" t="n"/>
      <c r="I38" s="1" t="n"/>
      <c r="J38" s="1" t="n"/>
      <c r="K38" s="1" t="n"/>
      <c r="L38" s="1" t="n"/>
      <c r="M38" s="1" t="n"/>
      <c r="N38" s="1" t="n"/>
      <c r="O38" s="1" t="n"/>
      <c r="P38" s="1" t="n"/>
      <c r="Q38" s="1" t="n"/>
      <c r="R38" s="1" t="n"/>
    </row>
    <row r="39">
      <c r="A39" s="1" t="n"/>
      <c r="B39" s="1" t="n"/>
      <c r="C39" s="1" t="n"/>
      <c r="D39" s="1" t="n"/>
      <c r="E39" s="1" t="n"/>
      <c r="F39" s="1" t="n"/>
      <c r="G39" s="1" t="n"/>
      <c r="H39" s="1" t="n"/>
      <c r="I39" s="1" t="n"/>
      <c r="J39" s="1" t="n"/>
      <c r="K39" s="1" t="n"/>
      <c r="L39" s="1" t="n"/>
      <c r="M39" s="1" t="n"/>
      <c r="N39" s="1" t="n"/>
      <c r="O39" s="1" t="n"/>
      <c r="P39" s="1" t="n"/>
      <c r="Q39" s="1" t="n"/>
      <c r="R39" s="1" t="n"/>
    </row>
    <row r="40">
      <c r="A40" s="1" t="n"/>
      <c r="B40" s="1" t="n"/>
      <c r="C40" s="1" t="n"/>
      <c r="D40" s="1" t="n"/>
      <c r="E40" s="1" t="n"/>
      <c r="F40" s="1" t="n"/>
      <c r="G40" s="1" t="n"/>
      <c r="H40" s="1" t="n"/>
      <c r="I40" s="1" t="n"/>
      <c r="J40" s="1" t="n"/>
      <c r="K40" s="1" t="n"/>
      <c r="L40" s="1" t="n"/>
      <c r="M40" s="1" t="n"/>
      <c r="N40" s="1" t="n"/>
      <c r="O40" s="1" t="n"/>
      <c r="P40" s="1" t="n"/>
      <c r="Q40" s="1" t="n"/>
      <c r="R40" s="1" t="n"/>
    </row>
  </sheetData>
  <pageMargins left="0.4" right="0.4" top="0.5" bottom="0.5" header="0.3" footer="0.3"/>
  <pageSetup orientation="landscape" fitToHeight="0" fitToWidth="1"/>
</worksheet>
</file>

<file path=xl/worksheets/sheet10.xml><?xml version="1.0" encoding="utf-8"?>
<worksheet xmlns="http://schemas.openxmlformats.org/spreadsheetml/2006/main">
  <sheetPr>
    <tabColor rgb="0076766F"/>
    <outlinePr summaryBelow="1" summaryRight="1"/>
    <pageSetUpPr fitToPage="1"/>
  </sheetPr>
  <dimension ref="A1:M41"/>
  <sheetViews>
    <sheetView showGridLines="0" workbookViewId="0">
      <selection activeCell="A1" sqref="A1"/>
    </sheetView>
  </sheetViews>
  <sheetFormatPr baseColWidth="8" defaultRowHeight="15"/>
  <cols>
    <col width="2.5" customWidth="1" min="1" max="1"/>
    <col width="44" customWidth="1" min="2" max="2"/>
    <col width="15" customWidth="1" min="3" max="3"/>
    <col width="13" customWidth="1" min="4" max="4"/>
    <col width="13" customWidth="1" min="5" max="5"/>
    <col width="13" customWidth="1" min="6" max="6"/>
    <col width="52" customWidth="1" min="7" max="7"/>
  </cols>
  <sheetData>
    <row r="1" ht="9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</row>
    <row r="2" ht="22" customHeight="1">
      <c r="A2" s="1" t="n"/>
      <c r="B2" s="17" t="inlineStr">
        <is>
          <t>Capacity Conversion</t>
        </is>
      </c>
      <c r="C2" s="18" t="n"/>
      <c r="D2" s="18" t="n"/>
      <c r="E2" s="18" t="n"/>
      <c r="F2" s="18" t="n"/>
      <c r="G2" s="18" t="n"/>
      <c r="H2" s="1" t="n"/>
      <c r="I2" s="1" t="n"/>
      <c r="J2" s="1" t="n"/>
      <c r="K2" s="1" t="n"/>
      <c r="L2" s="1" t="n"/>
      <c r="M2" s="1" t="n"/>
    </row>
    <row r="3">
      <c r="A3" s="1" t="n"/>
      <c r="B3" s="19" t="inlineStr">
        <is>
          <t>Queue entries against capacity ever built; the contracted-vs-powered gap.</t>
        </is>
      </c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  <c r="M3" s="1" t="n"/>
    </row>
    <row r="4" ht="6" customHeight="1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  <c r="K4" s="1" t="n"/>
      <c r="L4" s="1" t="n"/>
      <c r="M4" s="1" t="n"/>
    </row>
    <row r="5">
      <c r="A5" s="1" t="n"/>
      <c r="B5" s="1" t="n"/>
      <c r="C5" s="1" t="n"/>
      <c r="D5" s="1" t="n"/>
      <c r="E5" s="1" t="n"/>
      <c r="F5" s="1" t="n"/>
      <c r="G5" s="1" t="n"/>
      <c r="H5" s="1" t="n"/>
      <c r="I5" s="1" t="n"/>
      <c r="J5" s="1" t="n"/>
      <c r="K5" s="1" t="n"/>
      <c r="L5" s="1" t="n"/>
      <c r="M5" s="1" t="n"/>
    </row>
    <row r="6" ht="17" customHeight="1">
      <c r="A6" s="1" t="n"/>
      <c r="B6" s="22" t="inlineStr">
        <is>
          <t>US interconnection queue — LBNL Queued Up 2026</t>
        </is>
      </c>
      <c r="C6" s="23" t="n"/>
      <c r="D6" s="23" t="n"/>
      <c r="E6" s="23" t="n"/>
      <c r="F6" s="23" t="n"/>
      <c r="G6" s="23" t="n"/>
      <c r="H6" s="1" t="n"/>
      <c r="I6" s="1" t="n"/>
      <c r="J6" s="1" t="n"/>
      <c r="K6" s="1" t="n"/>
      <c r="L6" s="1" t="n"/>
      <c r="M6" s="1" t="n"/>
    </row>
    <row r="7">
      <c r="A7" s="1" t="n"/>
      <c r="B7" s="29" t="inlineStr">
        <is>
          <t>Active requests (MW)</t>
        </is>
      </c>
      <c r="C7" s="31">
        <f>sQueueActive</f>
        <v/>
      </c>
      <c r="D7" s="1" t="n"/>
      <c r="E7" s="1" t="n"/>
      <c r="F7" s="1" t="n"/>
      <c r="G7" s="1" t="n"/>
      <c r="H7" s="1" t="n"/>
      <c r="I7" s="1" t="n"/>
      <c r="J7" s="1" t="n"/>
      <c r="K7" s="1" t="n"/>
      <c r="L7" s="1" t="n"/>
      <c r="M7" s="1" t="n"/>
    </row>
    <row r="8">
      <c r="A8" s="1" t="n"/>
      <c r="B8" s="29" t="inlineStr">
        <is>
          <t>Withdrawn, cumulative (MW)</t>
        </is>
      </c>
      <c r="C8" s="31">
        <f>sQueueWithdrawn</f>
        <v/>
      </c>
      <c r="D8" s="1" t="n"/>
      <c r="E8" s="1" t="n"/>
      <c r="F8" s="1" t="n"/>
      <c r="G8" s="1" t="n"/>
      <c r="H8" s="1" t="n"/>
      <c r="I8" s="1" t="n"/>
      <c r="J8" s="1" t="n"/>
      <c r="K8" s="1" t="n"/>
      <c r="L8" s="1" t="n"/>
      <c r="M8" s="1" t="n"/>
    </row>
    <row r="9">
      <c r="A9" s="1" t="n"/>
      <c r="B9" s="29" t="inlineStr">
        <is>
          <t>Queue-originated operational (MW)</t>
        </is>
      </c>
      <c r="C9" s="31">
        <f>sQueueOps</f>
        <v/>
      </c>
      <c r="D9" s="1" t="n"/>
      <c r="E9" s="1" t="n"/>
      <c r="F9" s="1" t="n"/>
      <c r="G9" s="1" t="n"/>
      <c r="H9" s="1" t="n"/>
      <c r="I9" s="1" t="n"/>
      <c r="J9" s="1" t="n"/>
      <c r="K9" s="1" t="n"/>
      <c r="L9" s="1" t="n"/>
      <c r="M9" s="1" t="n"/>
    </row>
    <row r="10">
      <c r="A10" s="1" t="n"/>
      <c r="B10" s="29" t="inlineStr">
        <is>
          <t>Tracked capacity: active + withdrawn + built (MW)</t>
        </is>
      </c>
      <c r="C10" s="113">
        <f>C7+C8+C9</f>
        <v/>
      </c>
      <c r="D10" s="1" t="n"/>
      <c r="E10" s="1" t="n"/>
      <c r="F10" s="1" t="n"/>
      <c r="G10" s="1" t="n"/>
      <c r="H10" s="1" t="n"/>
      <c r="I10" s="1" t="n"/>
      <c r="J10" s="1" t="n"/>
      <c r="K10" s="1" t="n"/>
      <c r="L10" s="1" t="n"/>
      <c r="M10" s="1" t="n"/>
    </row>
    <row r="11">
      <c r="A11" s="1" t="n"/>
      <c r="B11" s="20" t="inlineStr">
        <is>
          <t>Realized conversion</t>
        </is>
      </c>
      <c r="C11" s="120">
        <f>C9/C10</f>
        <v/>
      </c>
      <c r="D11" s="1" t="n"/>
      <c r="E11" s="1" t="n"/>
      <c r="F11" s="1" t="n"/>
      <c r="G11" s="1" t="n"/>
      <c r="H11" s="1" t="n"/>
      <c r="I11" s="1" t="n"/>
      <c r="J11" s="1" t="n"/>
      <c r="K11" s="1" t="n"/>
      <c r="L11" s="1" t="n"/>
      <c r="M11" s="1" t="n"/>
    </row>
    <row r="12">
      <c r="A12" s="1" t="n"/>
      <c r="B12" s="1" t="n"/>
      <c r="C12" s="1" t="n"/>
      <c r="D12" s="1" t="n"/>
      <c r="E12" s="1" t="n"/>
      <c r="F12" s="1" t="n"/>
      <c r="G12" s="1" t="n"/>
      <c r="H12" s="1" t="n"/>
      <c r="I12" s="1" t="n"/>
      <c r="J12" s="1" t="n"/>
      <c r="K12" s="1" t="n"/>
      <c r="L12" s="1" t="n"/>
      <c r="M12" s="1" t="n"/>
    </row>
    <row r="13" ht="17" customHeight="1">
      <c r="A13" s="1" t="n"/>
      <c r="B13" s="22" t="inlineStr">
        <is>
          <t>ERCOT large-load tracker</t>
        </is>
      </c>
      <c r="C13" s="23" t="n"/>
      <c r="D13" s="23" t="n"/>
      <c r="E13" s="23" t="n"/>
      <c r="F13" s="23" t="n"/>
      <c r="G13" s="23" t="n"/>
      <c r="H13" s="1" t="n"/>
      <c r="I13" s="1" t="n"/>
      <c r="J13" s="1" t="n"/>
      <c r="K13" s="1" t="n"/>
      <c r="L13" s="1" t="n"/>
      <c r="M13" s="1" t="n"/>
    </row>
    <row r="14">
      <c r="A14" s="1" t="n"/>
      <c r="B14" s="29" t="inlineStr">
        <is>
          <t>Interconnection requests (MW)</t>
        </is>
      </c>
      <c r="C14" s="31">
        <f>sErcotReq</f>
        <v/>
      </c>
      <c r="D14" s="1" t="n"/>
      <c r="E14" s="1" t="n"/>
      <c r="F14" s="1" t="n"/>
      <c r="G14" s="1" t="n"/>
      <c r="H14" s="1" t="n"/>
      <c r="I14" s="1" t="n"/>
      <c r="J14" s="1" t="n"/>
      <c r="K14" s="1" t="n"/>
      <c r="L14" s="1" t="n"/>
      <c r="M14" s="1" t="n"/>
    </row>
    <row r="15">
      <c r="A15" s="1" t="n"/>
      <c r="B15" s="29" t="inlineStr">
        <is>
          <t>TSP 2031 load forecast (MW)</t>
        </is>
      </c>
      <c r="C15" s="31">
        <f>sErcotForecast</f>
        <v/>
      </c>
      <c r="D15" s="1" t="n"/>
      <c r="E15" s="1" t="n"/>
      <c r="F15" s="1" t="n"/>
      <c r="G15" s="1" t="n"/>
      <c r="H15" s="1" t="n"/>
      <c r="I15" s="1" t="n"/>
      <c r="J15" s="1" t="n"/>
      <c r="K15" s="1" t="n"/>
      <c r="L15" s="1" t="n"/>
      <c r="M15" s="1" t="n"/>
    </row>
    <row r="16">
      <c r="A16" s="1" t="n"/>
      <c r="B16" s="29" t="inlineStr">
        <is>
          <t>Requests over the system's own forecast</t>
        </is>
      </c>
      <c r="C16" s="66">
        <f>C14/C15</f>
        <v/>
      </c>
      <c r="D16" s="1" t="n"/>
      <c r="E16" s="1" t="n"/>
      <c r="F16" s="1" t="n"/>
      <c r="G16" s="1" t="n"/>
      <c r="H16" s="1" t="n"/>
      <c r="I16" s="1" t="n"/>
      <c r="J16" s="1" t="n"/>
      <c r="K16" s="1" t="n"/>
      <c r="L16" s="1" t="n"/>
      <c r="M16" s="1" t="n"/>
    </row>
    <row r="17">
      <c r="A17" s="1" t="n"/>
      <c r="B17" s="29" t="inlineStr">
        <is>
          <t>Approved to energize since 2022 (MW)</t>
        </is>
      </c>
      <c r="C17" s="31">
        <f>sErcotApproved</f>
        <v/>
      </c>
      <c r="D17" s="1" t="n"/>
      <c r="E17" s="1" t="n"/>
      <c r="F17" s="1" t="n"/>
      <c r="G17" s="1" t="n"/>
      <c r="H17" s="1" t="n"/>
      <c r="I17" s="1" t="n"/>
      <c r="J17" s="1" t="n"/>
      <c r="K17" s="1" t="n"/>
      <c r="L17" s="1" t="n"/>
      <c r="M17" s="1" t="n"/>
    </row>
    <row r="18">
      <c r="A18" s="1" t="n"/>
      <c r="B18" s="20" t="inlineStr">
        <is>
          <t>Approved-to-energize share</t>
        </is>
      </c>
      <c r="C18" s="120">
        <f>C17/C14</f>
        <v/>
      </c>
      <c r="D18" s="1" t="n"/>
      <c r="E18" s="1" t="n"/>
      <c r="F18" s="1" t="n"/>
      <c r="G18" s="1" t="n"/>
      <c r="H18" s="1" t="n"/>
      <c r="I18" s="1" t="n"/>
      <c r="J18" s="1" t="n"/>
      <c r="K18" s="1" t="n"/>
      <c r="L18" s="1" t="n"/>
      <c r="M18" s="1" t="n"/>
    </row>
    <row r="19">
      <c r="A19" s="1" t="n"/>
      <c r="B19" s="1" t="n"/>
      <c r="C19" s="1" t="n"/>
      <c r="D19" s="1" t="n"/>
      <c r="E19" s="1" t="n"/>
      <c r="F19" s="1" t="n"/>
      <c r="G19" s="1" t="n"/>
      <c r="H19" s="1" t="n"/>
      <c r="I19" s="1" t="n"/>
      <c r="J19" s="1" t="n"/>
      <c r="K19" s="1" t="n"/>
      <c r="L19" s="1" t="n"/>
      <c r="M19" s="1" t="n"/>
    </row>
    <row r="20" ht="17" customHeight="1">
      <c r="A20" s="1" t="n"/>
      <c r="B20" s="22" t="inlineStr">
        <is>
          <t>CoreWeave powered vs contracted — 10-K</t>
        </is>
      </c>
      <c r="C20" s="23" t="n"/>
      <c r="D20" s="23" t="n"/>
      <c r="E20" s="23" t="n"/>
      <c r="F20" s="23" t="n"/>
      <c r="G20" s="23" t="n"/>
      <c r="H20" s="1" t="n"/>
      <c r="I20" s="1" t="n"/>
      <c r="J20" s="1" t="n"/>
      <c r="K20" s="1" t="n"/>
      <c r="L20" s="1" t="n"/>
      <c r="M20" s="1" t="n"/>
    </row>
    <row r="21" ht="14" customHeight="1">
      <c r="A21" s="1" t="n"/>
      <c r="B21" s="39" t="inlineStr"/>
      <c r="C21" s="40" t="inlineStr">
        <is>
          <t>FY'23</t>
        </is>
      </c>
      <c r="D21" s="40" t="inlineStr">
        <is>
          <t>FY'24</t>
        </is>
      </c>
      <c r="E21" s="40" t="inlineStr">
        <is>
          <t>FY'25</t>
        </is>
      </c>
      <c r="F21" s="40" t="inlineStr">
        <is>
          <t>Gap</t>
        </is>
      </c>
      <c r="G21" s="1" t="n"/>
      <c r="H21" s="1" t="n"/>
      <c r="I21" s="1" t="n"/>
      <c r="J21" s="1" t="n"/>
      <c r="K21" s="1" t="n"/>
      <c r="L21" s="1" t="n"/>
      <c r="M21" s="1" t="n"/>
    </row>
    <row r="22">
      <c r="A22" s="1" t="n"/>
      <c r="B22" s="29" t="inlineStr">
        <is>
          <t>Active power, year-end (MW)</t>
        </is>
      </c>
      <c r="C22" s="31">
        <f>sCrwvPow23</f>
        <v/>
      </c>
      <c r="D22" s="31">
        <f>sCrwvPow24</f>
        <v/>
      </c>
      <c r="E22" s="31">
        <f>sCrwvPowered</f>
        <v/>
      </c>
      <c r="F22" s="1" t="n"/>
      <c r="G22" s="1" t="n"/>
      <c r="H22" s="1" t="n"/>
      <c r="I22" s="1" t="n"/>
      <c r="J22" s="1" t="n"/>
      <c r="K22" s="1" t="n"/>
      <c r="L22" s="1" t="n"/>
      <c r="M22" s="1" t="n"/>
    </row>
    <row r="23">
      <c r="A23" s="1" t="n"/>
      <c r="B23" s="29" t="inlineStr">
        <is>
          <t>Contracted power (MW)</t>
        </is>
      </c>
      <c r="C23" s="1" t="n"/>
      <c r="D23" s="1" t="n"/>
      <c r="E23" s="31">
        <f>sCrwvContracted</f>
        <v/>
      </c>
      <c r="F23" s="1" t="n"/>
      <c r="G23" s="1" t="n"/>
      <c r="H23" s="1" t="n"/>
      <c r="I23" s="1" t="n"/>
      <c r="J23" s="1" t="n"/>
      <c r="K23" s="1" t="n"/>
      <c r="L23" s="1" t="n"/>
      <c r="M23" s="1" t="n"/>
    </row>
    <row r="24">
      <c r="A24" s="1" t="n"/>
      <c r="B24" s="20" t="inlineStr">
        <is>
          <t>Contracted, not yet powered (MW)</t>
        </is>
      </c>
      <c r="C24" s="1" t="n"/>
      <c r="D24" s="1" t="n"/>
      <c r="E24" s="1" t="n"/>
      <c r="F24" s="121">
        <f>E23-E22</f>
        <v/>
      </c>
      <c r="G24" s="1" t="n"/>
      <c r="H24" s="1" t="n"/>
      <c r="I24" s="1" t="n"/>
      <c r="J24" s="1" t="n"/>
      <c r="K24" s="1" t="n"/>
      <c r="L24" s="1" t="n"/>
      <c r="M24" s="1" t="n"/>
    </row>
    <row r="25">
      <c r="A25" s="1" t="n"/>
      <c r="B25" s="1" t="n"/>
      <c r="C25" s="1" t="n"/>
      <c r="D25" s="1" t="n"/>
      <c r="E25" s="1" t="n"/>
      <c r="F25" s="1" t="n"/>
      <c r="G25" s="1" t="n"/>
      <c r="H25" s="1" t="n"/>
      <c r="I25" s="1" t="n"/>
      <c r="J25" s="1" t="n"/>
      <c r="K25" s="1" t="n"/>
      <c r="L25" s="1" t="n"/>
      <c r="M25" s="1" t="n"/>
    </row>
    <row r="26" ht="17" customHeight="1">
      <c r="A26" s="1" t="n"/>
      <c r="B26" s="22" t="inlineStr">
        <is>
          <t>Cohort conversion — LBNL, Jun-2026</t>
        </is>
      </c>
      <c r="C26" s="23" t="n"/>
      <c r="D26" s="23" t="n"/>
      <c r="E26" s="23" t="n"/>
      <c r="F26" s="23" t="n"/>
      <c r="G26" s="23" t="n"/>
      <c r="H26" s="1" t="n"/>
      <c r="I26" s="1" t="n"/>
      <c r="J26" s="1" t="n"/>
      <c r="K26" s="1" t="n"/>
      <c r="L26" s="1" t="n"/>
      <c r="M26" s="1" t="n"/>
    </row>
    <row r="27">
      <c r="A27" s="1" t="n"/>
      <c r="B27" s="29" t="inlineStr">
        <is>
          <t>2015 cohort, operational share of MW (10y observed)</t>
        </is>
      </c>
      <c r="C27" s="30">
        <f>sQueueConv2015</f>
        <v/>
      </c>
      <c r="D27" s="1" t="n"/>
      <c r="E27" s="1" t="n"/>
      <c r="F27" s="1" t="n"/>
      <c r="G27" s="1" t="n"/>
      <c r="H27" s="1" t="n"/>
      <c r="I27" s="1" t="n"/>
      <c r="J27" s="1" t="n"/>
      <c r="K27" s="1" t="n"/>
      <c r="L27" s="1" t="n"/>
      <c r="M27" s="1" t="n"/>
    </row>
    <row r="28">
      <c r="A28" s="1" t="n"/>
      <c r="B28" s="29" t="inlineStr">
        <is>
          <t>Median time, queue entry to COD (years)</t>
        </is>
      </c>
      <c r="C28" s="60">
        <f>sTimeToCod</f>
        <v/>
      </c>
      <c r="D28" s="1" t="n"/>
      <c r="E28" s="1" t="n"/>
      <c r="F28" s="1" t="n"/>
      <c r="G28" s="1" t="n"/>
      <c r="H28" s="1" t="n"/>
      <c r="I28" s="1" t="n"/>
      <c r="J28" s="1" t="n"/>
      <c r="K28" s="1" t="n"/>
      <c r="L28" s="1" t="n"/>
      <c r="M28" s="1" t="n"/>
    </row>
    <row r="29" ht="34" customHeight="1">
      <c r="A29" s="1" t="n"/>
      <c r="B29" s="28" t="inlineStr">
        <is>
          <t>The 8.4% scalar is all-vintage and right-censored by 2019+ cohorts. Decided 2013-2015 cohorts convert 24-30% of MW (PJM 15.9% in 2015); 2016/2017 sit at 17.0%/13.1% and resolving downward. Cohort curves, not the scalar, set the realistic PPA ramp.</t>
        </is>
      </c>
      <c r="C29" s="1" t="n"/>
      <c r="D29" s="1" t="n"/>
      <c r="E29" s="1" t="n"/>
      <c r="F29" s="1" t="n"/>
      <c r="G29" s="1" t="n"/>
      <c r="H29" s="1" t="n"/>
      <c r="I29" s="1" t="n"/>
      <c r="J29" s="1" t="n"/>
      <c r="K29" s="1" t="n"/>
      <c r="L29" s="1" t="n"/>
      <c r="M29" s="1" t="n"/>
    </row>
    <row r="30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  <c r="J30" s="1" t="n"/>
      <c r="K30" s="1" t="n"/>
      <c r="L30" s="1" t="n"/>
      <c r="M30" s="1" t="n"/>
    </row>
    <row r="31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  <c r="J31" s="1" t="n"/>
      <c r="K31" s="1" t="n"/>
      <c r="L31" s="1" t="n"/>
      <c r="M31" s="1" t="n"/>
    </row>
    <row r="32">
      <c r="A32" s="1" t="n"/>
      <c r="B32" s="1" t="n"/>
      <c r="C32" s="1" t="n"/>
      <c r="D32" s="1" t="n"/>
      <c r="E32" s="1" t="n"/>
      <c r="F32" s="1" t="n"/>
      <c r="G32" s="1" t="n"/>
      <c r="H32" s="1" t="n"/>
      <c r="I32" s="1" t="n"/>
      <c r="J32" s="1" t="n"/>
      <c r="K32" s="1" t="n"/>
      <c r="L32" s="1" t="n"/>
      <c r="M32" s="1" t="n"/>
    </row>
    <row r="33">
      <c r="A33" s="1" t="n"/>
      <c r="B33" s="1" t="n"/>
      <c r="C33" s="1" t="n"/>
      <c r="D33" s="1" t="n"/>
      <c r="E33" s="1" t="n"/>
      <c r="F33" s="1" t="n"/>
      <c r="G33" s="1" t="n"/>
      <c r="H33" s="1" t="n"/>
      <c r="I33" s="1" t="n"/>
      <c r="J33" s="1" t="n"/>
      <c r="K33" s="1" t="n"/>
      <c r="L33" s="1" t="n"/>
      <c r="M33" s="1" t="n"/>
    </row>
    <row r="34">
      <c r="A34" s="1" t="n"/>
      <c r="B34" s="1" t="n"/>
      <c r="C34" s="1" t="n"/>
      <c r="D34" s="1" t="n"/>
      <c r="E34" s="1" t="n"/>
      <c r="F34" s="1" t="n"/>
      <c r="G34" s="1" t="n"/>
      <c r="H34" s="1" t="n"/>
      <c r="I34" s="1" t="n"/>
      <c r="J34" s="1" t="n"/>
      <c r="K34" s="1" t="n"/>
      <c r="L34" s="1" t="n"/>
      <c r="M34" s="1" t="n"/>
    </row>
    <row r="35">
      <c r="A35" s="1" t="n"/>
      <c r="B35" s="1" t="n"/>
      <c r="C35" s="1" t="n"/>
      <c r="D35" s="1" t="n"/>
      <c r="E35" s="1" t="n"/>
      <c r="F35" s="1" t="n"/>
      <c r="G35" s="1" t="n"/>
      <c r="H35" s="1" t="n"/>
      <c r="I35" s="1" t="n"/>
      <c r="J35" s="1" t="n"/>
      <c r="K35" s="1" t="n"/>
      <c r="L35" s="1" t="n"/>
      <c r="M35" s="1" t="n"/>
    </row>
    <row r="36">
      <c r="A36" s="1" t="n"/>
      <c r="B36" s="1" t="n"/>
      <c r="C36" s="1" t="n"/>
      <c r="D36" s="1" t="n"/>
      <c r="E36" s="1" t="n"/>
      <c r="F36" s="1" t="n"/>
      <c r="G36" s="1" t="n"/>
      <c r="H36" s="1" t="n"/>
      <c r="I36" s="1" t="n"/>
      <c r="J36" s="1" t="n"/>
      <c r="K36" s="1" t="n"/>
      <c r="L36" s="1" t="n"/>
      <c r="M36" s="1" t="n"/>
    </row>
    <row r="37">
      <c r="A37" s="1" t="n"/>
      <c r="B37" s="1" t="n"/>
      <c r="C37" s="1" t="n"/>
      <c r="D37" s="1" t="n"/>
      <c r="E37" s="1" t="n"/>
      <c r="F37" s="1" t="n"/>
      <c r="G37" s="1" t="n"/>
      <c r="H37" s="1" t="n"/>
      <c r="I37" s="1" t="n"/>
      <c r="J37" s="1" t="n"/>
      <c r="K37" s="1" t="n"/>
      <c r="L37" s="1" t="n"/>
      <c r="M37" s="1" t="n"/>
    </row>
    <row r="38">
      <c r="A38" s="1" t="n"/>
      <c r="B38" s="1" t="n"/>
      <c r="C38" s="1" t="n"/>
      <c r="D38" s="1" t="n"/>
      <c r="E38" s="1" t="n"/>
      <c r="F38" s="1" t="n"/>
      <c r="G38" s="1" t="n"/>
      <c r="H38" s="1" t="n"/>
      <c r="I38" s="1" t="n"/>
      <c r="J38" s="1" t="n"/>
      <c r="K38" s="1" t="n"/>
      <c r="L38" s="1" t="n"/>
      <c r="M38" s="1" t="n"/>
    </row>
    <row r="39">
      <c r="A39" s="1" t="n"/>
      <c r="B39" s="1" t="n"/>
      <c r="C39" s="1" t="n"/>
      <c r="D39" s="1" t="n"/>
      <c r="E39" s="1" t="n"/>
      <c r="F39" s="1" t="n"/>
      <c r="G39" s="1" t="n"/>
      <c r="H39" s="1" t="n"/>
      <c r="I39" s="1" t="n"/>
      <c r="J39" s="1" t="n"/>
      <c r="K39" s="1" t="n"/>
      <c r="L39" s="1" t="n"/>
      <c r="M39" s="1" t="n"/>
    </row>
    <row r="40">
      <c r="A40" s="1" t="n"/>
      <c r="B40" s="1" t="n"/>
      <c r="C40" s="1" t="n"/>
      <c r="D40" s="1" t="n"/>
      <c r="E40" s="1" t="n"/>
      <c r="F40" s="1" t="n"/>
      <c r="G40" s="1" t="n"/>
      <c r="H40" s="1" t="n"/>
      <c r="I40" s="1" t="n"/>
      <c r="J40" s="1" t="n"/>
      <c r="K40" s="1" t="n"/>
      <c r="L40" s="1" t="n"/>
      <c r="M40" s="1" t="n"/>
    </row>
    <row r="41">
      <c r="A41" s="1" t="n"/>
      <c r="B41" s="1" t="n"/>
      <c r="C41" s="1" t="n"/>
      <c r="D41" s="1" t="n"/>
      <c r="E41" s="1" t="n"/>
      <c r="F41" s="1" t="n"/>
      <c r="G41" s="1" t="n"/>
      <c r="H41" s="1" t="n"/>
      <c r="I41" s="1" t="n"/>
      <c r="J41" s="1" t="n"/>
      <c r="K41" s="1" t="n"/>
      <c r="L41" s="1" t="n"/>
      <c r="M41" s="1" t="n"/>
    </row>
  </sheetData>
  <pageMargins left="0.4" right="0.4" top="0.5" bottom="0.5" header="0.3" footer="0.3"/>
  <pageSetup orientation="landscape" fitToHeight="0" fitToWidth="1"/>
</worksheet>
</file>

<file path=xl/worksheets/sheet11.xml><?xml version="1.0" encoding="utf-8"?>
<worksheet xmlns="http://schemas.openxmlformats.org/spreadsheetml/2006/main">
  <sheetPr>
    <tabColor rgb="0076766F"/>
    <outlinePr summaryBelow="1" summaryRight="1"/>
    <pageSetUpPr fitToPage="1"/>
  </sheetPr>
  <dimension ref="A1:Z65"/>
  <sheetViews>
    <sheetView showGridLines="0" workbookViewId="0">
      <selection activeCell="A1" sqref="A1"/>
    </sheetView>
  </sheetViews>
  <sheetFormatPr baseColWidth="8" defaultRowHeight="15"/>
  <cols>
    <col width="2.5" customWidth="1" min="1" max="1"/>
    <col width="34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</cols>
  <sheetData>
    <row r="1" ht="9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</row>
    <row r="2" ht="22" customHeight="1">
      <c r="A2" s="1" t="n"/>
      <c r="B2" s="17" t="inlineStr">
        <is>
          <t>Take-or-Pay Carry</t>
        </is>
      </c>
      <c r="C2" s="18" t="n"/>
      <c r="D2" s="18" t="n"/>
      <c r="E2" s="18" t="n"/>
      <c r="F2" s="18" t="n"/>
      <c r="G2" s="18" t="n"/>
      <c r="H2" s="18" t="n"/>
      <c r="I2" s="18" t="n"/>
      <c r="J2" s="18" t="n"/>
      <c r="K2" s="18" t="n"/>
      <c r="L2" s="18" t="n"/>
      <c r="M2" s="18" t="n"/>
      <c r="N2" s="18" t="n"/>
      <c r="O2" s="18" t="n"/>
      <c r="P2" s="18" t="n"/>
      <c r="Q2" s="18" t="n"/>
      <c r="R2" s="18" t="n"/>
      <c r="S2" s="18" t="n"/>
      <c r="T2" s="18" t="n"/>
      <c r="U2" s="1" t="n"/>
      <c r="V2" s="1" t="n"/>
      <c r="W2" s="1" t="n"/>
      <c r="X2" s="1" t="n"/>
      <c r="Y2" s="1" t="n"/>
      <c r="Z2" s="1" t="n"/>
    </row>
    <row r="3">
      <c r="A3" s="1" t="n"/>
      <c r="B3" s="19" t="inlineStr">
        <is>
          <t>Cumulus committed ramp vs the 480 MW approved transfer, priced at PJM capacity rates.</t>
        </is>
      </c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  <c r="M3" s="1" t="n"/>
      <c r="N3" s="1" t="n"/>
      <c r="O3" s="1" t="n"/>
      <c r="P3" s="1" t="n"/>
      <c r="Q3" s="1" t="n"/>
      <c r="R3" s="1" t="n"/>
      <c r="S3" s="1" t="n"/>
      <c r="T3" s="1" t="n"/>
      <c r="U3" s="1" t="n"/>
      <c r="V3" s="1" t="n"/>
      <c r="W3" s="1" t="n"/>
      <c r="X3" s="1" t="n"/>
      <c r="Y3" s="1" t="n"/>
      <c r="Z3" s="1" t="n"/>
    </row>
    <row r="4" ht="6" customHeight="1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  <c r="K4" s="1" t="n"/>
      <c r="L4" s="1" t="n"/>
      <c r="M4" s="1" t="n"/>
      <c r="N4" s="1" t="n"/>
      <c r="O4" s="1" t="n"/>
      <c r="P4" s="1" t="n"/>
      <c r="Q4" s="1" t="n"/>
      <c r="R4" s="1" t="n"/>
      <c r="S4" s="1" t="n"/>
      <c r="T4" s="1" t="n"/>
      <c r="U4" s="1" t="n"/>
      <c r="V4" s="1" t="n"/>
      <c r="W4" s="1" t="n"/>
      <c r="X4" s="1" t="n"/>
      <c r="Y4" s="1" t="n"/>
      <c r="Z4" s="1" t="n"/>
    </row>
    <row r="5">
      <c r="A5" s="1" t="n"/>
      <c r="B5" s="1" t="n"/>
      <c r="C5" s="38" t="n">
        <v>2025</v>
      </c>
      <c r="D5" s="38" t="n">
        <v>2026</v>
      </c>
      <c r="E5" s="38" t="n">
        <v>2027</v>
      </c>
      <c r="F5" s="38" t="n">
        <v>2028</v>
      </c>
      <c r="G5" s="38" t="n">
        <v>2029</v>
      </c>
      <c r="H5" s="38" t="n">
        <v>2030</v>
      </c>
      <c r="I5" s="38" t="n">
        <v>2031</v>
      </c>
      <c r="J5" s="38" t="n">
        <v>2032</v>
      </c>
      <c r="K5" s="38" t="n">
        <v>2033</v>
      </c>
      <c r="L5" s="38" t="n">
        <v>2034</v>
      </c>
      <c r="M5" s="38" t="n">
        <v>2035</v>
      </c>
      <c r="N5" s="38" t="n">
        <v>2036</v>
      </c>
      <c r="O5" s="38" t="n">
        <v>2037</v>
      </c>
      <c r="P5" s="38" t="n">
        <v>2038</v>
      </c>
      <c r="Q5" s="38" t="n">
        <v>2039</v>
      </c>
      <c r="R5" s="38" t="n">
        <v>2040</v>
      </c>
      <c r="S5" s="38" t="n">
        <v>2041</v>
      </c>
      <c r="T5" s="38" t="n">
        <v>2042</v>
      </c>
      <c r="U5" s="1" t="n"/>
      <c r="V5" s="1" t="n"/>
      <c r="W5" s="1" t="n"/>
      <c r="X5" s="1" t="n"/>
      <c r="Y5" s="1" t="n"/>
      <c r="Z5" s="1" t="n"/>
    </row>
    <row r="6" ht="14" customHeight="1">
      <c r="A6" s="1" t="n"/>
      <c r="B6" s="39" t="inlineStr"/>
      <c r="C6" s="40" t="inlineStr">
        <is>
          <t>FY'25</t>
        </is>
      </c>
      <c r="D6" s="41" t="inlineStr">
        <is>
          <t>FY'26</t>
        </is>
      </c>
      <c r="E6" s="41" t="inlineStr">
        <is>
          <t>FY'27</t>
        </is>
      </c>
      <c r="F6" s="41" t="inlineStr">
        <is>
          <t>FY'28</t>
        </is>
      </c>
      <c r="G6" s="41" t="inlineStr">
        <is>
          <t>FY'29</t>
        </is>
      </c>
      <c r="H6" s="41" t="inlineStr">
        <is>
          <t>FY'30</t>
        </is>
      </c>
      <c r="I6" s="41" t="inlineStr">
        <is>
          <t>FY'31</t>
        </is>
      </c>
      <c r="J6" s="41" t="inlineStr">
        <is>
          <t>FY'32</t>
        </is>
      </c>
      <c r="K6" s="41" t="inlineStr">
        <is>
          <t>FY'33</t>
        </is>
      </c>
      <c r="L6" s="41" t="inlineStr">
        <is>
          <t>FY'34</t>
        </is>
      </c>
      <c r="M6" s="41" t="inlineStr">
        <is>
          <t>FY'35</t>
        </is>
      </c>
      <c r="N6" s="41" t="inlineStr">
        <is>
          <t>FY'36</t>
        </is>
      </c>
      <c r="O6" s="41" t="inlineStr">
        <is>
          <t>FY'37</t>
        </is>
      </c>
      <c r="P6" s="41" t="inlineStr">
        <is>
          <t>FY'38</t>
        </is>
      </c>
      <c r="Q6" s="41" t="inlineStr">
        <is>
          <t>FY'39</t>
        </is>
      </c>
      <c r="R6" s="41" t="inlineStr">
        <is>
          <t>FY'40</t>
        </is>
      </c>
      <c r="S6" s="41" t="inlineStr">
        <is>
          <t>FY'41</t>
        </is>
      </c>
      <c r="T6" s="41" t="inlineStr">
        <is>
          <t>FY'42</t>
        </is>
      </c>
      <c r="U6" s="1" t="n"/>
      <c r="V6" s="1" t="n"/>
      <c r="W6" s="1" t="n"/>
      <c r="X6" s="1" t="n"/>
      <c r="Y6" s="1" t="n"/>
      <c r="Z6" s="1" t="n"/>
    </row>
    <row r="7">
      <c r="A7" s="1" t="n"/>
      <c r="B7" s="29" t="inlineStr">
        <is>
          <t>Committed minimum (MW)</t>
        </is>
      </c>
      <c r="C7" s="113">
        <f>MIN(sTalenStep*(C$5-2024),sTalenCap)</f>
        <v/>
      </c>
      <c r="D7" s="113">
        <f>MIN(sTalenStep*(D$5-2024),sTalenCap)</f>
        <v/>
      </c>
      <c r="E7" s="113">
        <f>MIN(sTalenStep*(E$5-2024),sTalenCap)</f>
        <v/>
      </c>
      <c r="F7" s="113">
        <f>MIN(sTalenStep*(F$5-2024),sTalenCap)</f>
        <v/>
      </c>
      <c r="G7" s="113">
        <f>MIN(sTalenStep*(G$5-2024),sTalenCap)</f>
        <v/>
      </c>
      <c r="H7" s="113">
        <f>MIN(sTalenStep*(H$5-2024),sTalenCap)</f>
        <v/>
      </c>
      <c r="I7" s="113">
        <f>MIN(sTalenStep*(I$5-2024),sTalenCap)</f>
        <v/>
      </c>
      <c r="J7" s="113">
        <f>MIN(sTalenStep*(J$5-2024),sTalenCap)</f>
        <v/>
      </c>
      <c r="K7" s="113">
        <f>MIN(sTalenStep*(K$5-2024),sTalenCap)</f>
        <v/>
      </c>
      <c r="L7" s="113">
        <f>MIN(sTalenStep*(L$5-2024),sTalenCap)</f>
        <v/>
      </c>
      <c r="M7" s="113">
        <f>MIN(sTalenStep*(M$5-2024),sTalenCap)</f>
        <v/>
      </c>
      <c r="N7" s="113">
        <f>MIN(sTalenStep*(N$5-2024),sTalenCap)</f>
        <v/>
      </c>
      <c r="O7" s="113">
        <f>MIN(sTalenStep*(O$5-2024),sTalenCap)</f>
        <v/>
      </c>
      <c r="P7" s="113">
        <f>MIN(sTalenStep*(P$5-2024),sTalenCap)</f>
        <v/>
      </c>
      <c r="Q7" s="113">
        <f>MIN(sTalenStep*(Q$5-2024),sTalenCap)</f>
        <v/>
      </c>
      <c r="R7" s="113">
        <f>MIN(sTalenStep*(R$5-2024),sTalenCap)</f>
        <v/>
      </c>
      <c r="S7" s="113">
        <f>MIN(sTalenStep*(S$5-2024),sTalenCap)</f>
        <v/>
      </c>
      <c r="T7" s="113">
        <f>MIN(sTalenStep*(T$5-2024),sTalenCap)</f>
        <v/>
      </c>
      <c r="U7" s="1" t="n"/>
      <c r="V7" s="1" t="n"/>
      <c r="W7" s="1" t="n"/>
      <c r="X7" s="1" t="n"/>
      <c r="Y7" s="1" t="n"/>
      <c r="Z7" s="1" t="n"/>
    </row>
    <row r="8">
      <c r="A8" s="1" t="n"/>
      <c r="B8" s="29" t="inlineStr">
        <is>
          <t>Approved transfer limit (MW)</t>
        </is>
      </c>
      <c r="C8" s="31">
        <f>sTalenCeiling</f>
        <v/>
      </c>
      <c r="D8" s="31">
        <f>sTalenCeiling</f>
        <v/>
      </c>
      <c r="E8" s="31">
        <f>sTalenCeiling</f>
        <v/>
      </c>
      <c r="F8" s="31">
        <f>sTalenCeiling</f>
        <v/>
      </c>
      <c r="G8" s="31">
        <f>sTalenCeiling</f>
        <v/>
      </c>
      <c r="H8" s="31">
        <f>sTalenCeiling</f>
        <v/>
      </c>
      <c r="I8" s="31">
        <f>sTalenCeiling</f>
        <v/>
      </c>
      <c r="J8" s="31">
        <f>sTalenCeiling</f>
        <v/>
      </c>
      <c r="K8" s="31">
        <f>sTalenCeiling</f>
        <v/>
      </c>
      <c r="L8" s="31">
        <f>sTalenCeiling</f>
        <v/>
      </c>
      <c r="M8" s="31">
        <f>sTalenCeiling</f>
        <v/>
      </c>
      <c r="N8" s="31">
        <f>sTalenCeiling</f>
        <v/>
      </c>
      <c r="O8" s="31">
        <f>sTalenCeiling</f>
        <v/>
      </c>
      <c r="P8" s="31">
        <f>sTalenCeiling</f>
        <v/>
      </c>
      <c r="Q8" s="31">
        <f>sTalenCeiling</f>
        <v/>
      </c>
      <c r="R8" s="31">
        <f>sTalenCeiling</f>
        <v/>
      </c>
      <c r="S8" s="31">
        <f>sTalenCeiling</f>
        <v/>
      </c>
      <c r="T8" s="31">
        <f>sTalenCeiling</f>
        <v/>
      </c>
      <c r="U8" s="1" t="n"/>
      <c r="V8" s="1" t="n"/>
      <c r="W8" s="1" t="n"/>
      <c r="X8" s="1" t="n"/>
      <c r="Y8" s="1" t="n"/>
      <c r="Z8" s="1" t="n"/>
    </row>
    <row r="9">
      <c r="A9" s="1" t="n"/>
      <c r="B9" s="29" t="inlineStr">
        <is>
          <t>Transfer-blocked (MW)</t>
        </is>
      </c>
      <c r="C9" s="113">
        <f>MAX(0,C7-C8)</f>
        <v/>
      </c>
      <c r="D9" s="113">
        <f>MAX(0,D7-D8)</f>
        <v/>
      </c>
      <c r="E9" s="113">
        <f>MAX(0,E7-E8)</f>
        <v/>
      </c>
      <c r="F9" s="113">
        <f>MAX(0,F7-F8)</f>
        <v/>
      </c>
      <c r="G9" s="113">
        <f>MAX(0,G7-G8)</f>
        <v/>
      </c>
      <c r="H9" s="113">
        <f>MAX(0,H7-H8)</f>
        <v/>
      </c>
      <c r="I9" s="113">
        <f>MAX(0,I7-I8)</f>
        <v/>
      </c>
      <c r="J9" s="113">
        <f>MAX(0,J7-J8)</f>
        <v/>
      </c>
      <c r="K9" s="113">
        <f>MAX(0,K7-K8)</f>
        <v/>
      </c>
      <c r="L9" s="113">
        <f>MAX(0,L7-L8)</f>
        <v/>
      </c>
      <c r="M9" s="113">
        <f>MAX(0,M7-M8)</f>
        <v/>
      </c>
      <c r="N9" s="113">
        <f>MAX(0,N7-N8)</f>
        <v/>
      </c>
      <c r="O9" s="113">
        <f>MAX(0,O7-O8)</f>
        <v/>
      </c>
      <c r="P9" s="113">
        <f>MAX(0,P7-P8)</f>
        <v/>
      </c>
      <c r="Q9" s="113">
        <f>MAX(0,Q7-Q8)</f>
        <v/>
      </c>
      <c r="R9" s="113">
        <f>MAX(0,R7-R8)</f>
        <v/>
      </c>
      <c r="S9" s="113">
        <f>MAX(0,S7-S8)</f>
        <v/>
      </c>
      <c r="T9" s="113">
        <f>MAX(0,T7-T8)</f>
        <v/>
      </c>
      <c r="U9" s="1" t="n"/>
      <c r="V9" s="1" t="n"/>
      <c r="W9" s="1" t="n"/>
      <c r="X9" s="1" t="n"/>
      <c r="Y9" s="1" t="n"/>
      <c r="Z9" s="1" t="n"/>
    </row>
    <row r="10">
      <c r="A10" s="1" t="n"/>
      <c r="B10" s="20" t="inlineStr">
        <is>
          <t>Carry at capacity rate ($M/yr)</t>
        </is>
      </c>
      <c r="C10" s="72">
        <f>C9*nCarryRate*8760/1000000</f>
        <v/>
      </c>
      <c r="D10" s="72">
        <f>D9*nCarryRate*8760/1000000</f>
        <v/>
      </c>
      <c r="E10" s="72">
        <f>E9*nCarryRate*8760/1000000</f>
        <v/>
      </c>
      <c r="F10" s="72">
        <f>F9*nCarryRate*8760/1000000</f>
        <v/>
      </c>
      <c r="G10" s="72">
        <f>G9*nCarryRate*8760/1000000</f>
        <v/>
      </c>
      <c r="H10" s="72">
        <f>H9*nCarryRate*8760/1000000</f>
        <v/>
      </c>
      <c r="I10" s="72">
        <f>I9*nCarryRate*8760/1000000</f>
        <v/>
      </c>
      <c r="J10" s="72">
        <f>J9*nCarryRate*8760/1000000</f>
        <v/>
      </c>
      <c r="K10" s="72">
        <f>K9*nCarryRate*8760/1000000</f>
        <v/>
      </c>
      <c r="L10" s="72">
        <f>L9*nCarryRate*8760/1000000</f>
        <v/>
      </c>
      <c r="M10" s="72">
        <f>M9*nCarryRate*8760/1000000</f>
        <v/>
      </c>
      <c r="N10" s="72">
        <f>N9*nCarryRate*8760/1000000</f>
        <v/>
      </c>
      <c r="O10" s="72">
        <f>O9*nCarryRate*8760/1000000</f>
        <v/>
      </c>
      <c r="P10" s="72">
        <f>P9*nCarryRate*8760/1000000</f>
        <v/>
      </c>
      <c r="Q10" s="72">
        <f>Q9*nCarryRate*8760/1000000</f>
        <v/>
      </c>
      <c r="R10" s="72">
        <f>R9*nCarryRate*8760/1000000</f>
        <v/>
      </c>
      <c r="S10" s="72">
        <f>S9*nCarryRate*8760/1000000</f>
        <v/>
      </c>
      <c r="T10" s="72">
        <f>T9*nCarryRate*8760/1000000</f>
        <v/>
      </c>
      <c r="U10" s="1" t="n"/>
      <c r="V10" s="1" t="n"/>
      <c r="W10" s="1" t="n"/>
      <c r="X10" s="1" t="n"/>
      <c r="Y10" s="1" t="n"/>
      <c r="Z10" s="1" t="n"/>
    </row>
    <row r="11">
      <c r="A11" s="1" t="n"/>
      <c r="B11" s="20" t="inlineStr">
        <is>
          <t>Cumulative carry ($M)</t>
        </is>
      </c>
      <c r="C11" s="63">
        <f>C10</f>
        <v/>
      </c>
      <c r="D11" s="63">
        <f>D10+C11</f>
        <v/>
      </c>
      <c r="E11" s="63">
        <f>E10+D11</f>
        <v/>
      </c>
      <c r="F11" s="63">
        <f>F10+E11</f>
        <v/>
      </c>
      <c r="G11" s="63">
        <f>G10+F11</f>
        <v/>
      </c>
      <c r="H11" s="63">
        <f>H10+G11</f>
        <v/>
      </c>
      <c r="I11" s="63">
        <f>I10+H11</f>
        <v/>
      </c>
      <c r="J11" s="63">
        <f>J10+I11</f>
        <v/>
      </c>
      <c r="K11" s="63">
        <f>K10+J11</f>
        <v/>
      </c>
      <c r="L11" s="63">
        <f>L10+K11</f>
        <v/>
      </c>
      <c r="M11" s="63">
        <f>M10+L11</f>
        <v/>
      </c>
      <c r="N11" s="63">
        <f>N10+M11</f>
        <v/>
      </c>
      <c r="O11" s="63">
        <f>O10+N11</f>
        <v/>
      </c>
      <c r="P11" s="63">
        <f>P10+O11</f>
        <v/>
      </c>
      <c r="Q11" s="63">
        <f>Q10+P11</f>
        <v/>
      </c>
      <c r="R11" s="63">
        <f>R10+Q11</f>
        <v/>
      </c>
      <c r="S11" s="63">
        <f>S10+R11</f>
        <v/>
      </c>
      <c r="T11" s="63">
        <f>T10+S11</f>
        <v/>
      </c>
      <c r="U11" s="1" t="n"/>
      <c r="V11" s="1" t="n"/>
      <c r="W11" s="1" t="n"/>
      <c r="X11" s="1" t="n"/>
      <c r="Y11" s="1" t="n"/>
      <c r="Z11" s="1" t="n"/>
    </row>
    <row r="12">
      <c r="A12" s="1" t="n"/>
      <c r="B12" s="1" t="n"/>
      <c r="C12" s="1" t="n"/>
      <c r="D12" s="1" t="n"/>
      <c r="E12" s="1" t="n"/>
      <c r="F12" s="1" t="n"/>
      <c r="G12" s="1" t="n"/>
      <c r="H12" s="1" t="n"/>
      <c r="I12" s="1" t="n"/>
      <c r="J12" s="1" t="n"/>
      <c r="K12" s="1" t="n"/>
      <c r="L12" s="1" t="n"/>
      <c r="M12" s="1" t="n"/>
      <c r="N12" s="1" t="n"/>
      <c r="O12" s="1" t="n"/>
      <c r="P12" s="1" t="n"/>
      <c r="Q12" s="1" t="n"/>
      <c r="R12" s="1" t="n"/>
      <c r="S12" s="1" t="n"/>
      <c r="T12" s="1" t="n"/>
      <c r="U12" s="1" t="n"/>
      <c r="V12" s="1" t="n"/>
      <c r="W12" s="1" t="n"/>
      <c r="X12" s="1" t="n"/>
      <c r="Y12" s="1" t="n"/>
      <c r="Z12" s="1" t="n"/>
    </row>
    <row r="13" ht="17" customHeight="1">
      <c r="A13" s="1" t="n"/>
      <c r="B13" s="22" t="inlineStr">
        <is>
          <t>PJM rate context</t>
        </is>
      </c>
      <c r="C13" s="23" t="n"/>
      <c r="D13" s="23" t="n"/>
      <c r="E13" s="23" t="n"/>
      <c r="F13" s="23" t="n"/>
      <c r="G13" s="1" t="n"/>
      <c r="H13" s="1" t="n"/>
      <c r="I13" s="1" t="n"/>
      <c r="J13" s="1" t="n"/>
      <c r="K13" s="1" t="n"/>
      <c r="L13" s="1" t="n"/>
      <c r="M13" s="1" t="n"/>
      <c r="N13" s="1" t="n"/>
      <c r="O13" s="1" t="n"/>
      <c r="P13" s="1" t="n"/>
      <c r="Q13" s="1" t="n"/>
      <c r="R13" s="1" t="n"/>
      <c r="S13" s="1" t="n"/>
      <c r="T13" s="1" t="n"/>
      <c r="U13" s="1" t="n"/>
      <c r="V13" s="1" t="n"/>
      <c r="W13" s="1" t="n"/>
      <c r="X13" s="1" t="n"/>
      <c r="Y13" s="1" t="n"/>
      <c r="Z13" s="1" t="n"/>
    </row>
    <row r="14">
      <c r="A14" s="1" t="n"/>
      <c r="B14" s="29" t="inlineStr">
        <is>
          <t>Capacity charge, 2025 settled ($/MWh)</t>
        </is>
      </c>
      <c r="C14" s="33">
        <f>sCapSettled</f>
        <v/>
      </c>
      <c r="D14" s="1" t="n"/>
      <c r="E14" s="1" t="n"/>
      <c r="F14" s="1" t="n"/>
      <c r="G14" s="1" t="n"/>
      <c r="H14" s="1" t="n"/>
      <c r="I14" s="1" t="n"/>
      <c r="J14" s="1" t="n"/>
      <c r="K14" s="1" t="n"/>
      <c r="L14" s="1" t="n"/>
      <c r="M14" s="1" t="n"/>
      <c r="N14" s="1" t="n"/>
      <c r="O14" s="1" t="n"/>
      <c r="P14" s="1" t="n"/>
      <c r="Q14" s="1" t="n"/>
      <c r="R14" s="1" t="n"/>
      <c r="S14" s="1" t="n"/>
      <c r="T14" s="1" t="n"/>
      <c r="U14" s="1" t="n"/>
      <c r="V14" s="1" t="n"/>
      <c r="W14" s="1" t="n"/>
      <c r="X14" s="1" t="n"/>
      <c r="Y14" s="1" t="n"/>
      <c r="Z14" s="1" t="n"/>
    </row>
    <row r="15">
      <c r="A15" s="1" t="n"/>
      <c r="B15" s="29" t="inlineStr">
        <is>
          <t>Capacity charge, Jan-2026 YTD ($/MWh)</t>
        </is>
      </c>
      <c r="C15" s="33">
        <f>sCapJan26</f>
        <v/>
      </c>
      <c r="D15" s="1" t="n"/>
      <c r="E15" s="1" t="n"/>
      <c r="F15" s="1" t="n"/>
      <c r="G15" s="1" t="n"/>
      <c r="H15" s="1" t="n"/>
      <c r="I15" s="1" t="n"/>
      <c r="J15" s="1" t="n"/>
      <c r="K15" s="1" t="n"/>
      <c r="L15" s="1" t="n"/>
      <c r="M15" s="1" t="n"/>
      <c r="N15" s="1" t="n"/>
      <c r="O15" s="1" t="n"/>
      <c r="P15" s="1" t="n"/>
      <c r="Q15" s="1" t="n"/>
      <c r="R15" s="1" t="n"/>
      <c r="S15" s="1" t="n"/>
      <c r="T15" s="1" t="n"/>
      <c r="U15" s="1" t="n"/>
      <c r="V15" s="1" t="n"/>
      <c r="W15" s="1" t="n"/>
      <c r="X15" s="1" t="n"/>
      <c r="Y15" s="1" t="n"/>
      <c r="Z15" s="1" t="n"/>
    </row>
    <row r="16">
      <c r="A16" s="1" t="n"/>
      <c r="B16" s="20" t="inlineStr">
        <is>
          <t>Escalation vs settled</t>
        </is>
      </c>
      <c r="C16" s="118">
        <f>C15/C14-1</f>
        <v/>
      </c>
      <c r="D16" s="1" t="n"/>
      <c r="E16" s="1" t="n"/>
      <c r="F16" s="1" t="n"/>
      <c r="G16" s="1" t="n"/>
      <c r="H16" s="1" t="n"/>
      <c r="I16" s="1" t="n"/>
      <c r="J16" s="1" t="n"/>
      <c r="K16" s="1" t="n"/>
      <c r="L16" s="1" t="n"/>
      <c r="M16" s="1" t="n"/>
      <c r="N16" s="1" t="n"/>
      <c r="O16" s="1" t="n"/>
      <c r="P16" s="1" t="n"/>
      <c r="Q16" s="1" t="n"/>
      <c r="R16" s="1" t="n"/>
      <c r="S16" s="1" t="n"/>
      <c r="T16" s="1" t="n"/>
      <c r="U16" s="1" t="n"/>
      <c r="V16" s="1" t="n"/>
      <c r="W16" s="1" t="n"/>
      <c r="X16" s="1" t="n"/>
      <c r="Y16" s="1" t="n"/>
      <c r="Z16" s="1" t="n"/>
    </row>
    <row r="17">
      <c r="A17" s="1" t="n"/>
      <c r="B17" s="29" t="inlineStr">
        <is>
          <t>Carry per committed MW-year ($)</t>
        </is>
      </c>
      <c r="C17" s="71">
        <f>nCarryRate*8760</f>
        <v/>
      </c>
      <c r="D17" s="1" t="n"/>
      <c r="E17" s="1" t="n"/>
      <c r="F17" s="1" t="n"/>
      <c r="G17" s="1" t="n"/>
      <c r="H17" s="1" t="n"/>
      <c r="I17" s="1" t="n"/>
      <c r="J17" s="1" t="n"/>
      <c r="K17" s="1" t="n"/>
      <c r="L17" s="1" t="n"/>
      <c r="M17" s="1" t="n"/>
      <c r="N17" s="1" t="n"/>
      <c r="O17" s="1" t="n"/>
      <c r="P17" s="1" t="n"/>
      <c r="Q17" s="1" t="n"/>
      <c r="R17" s="1" t="n"/>
      <c r="S17" s="1" t="n"/>
      <c r="T17" s="1" t="n"/>
      <c r="U17" s="1" t="n"/>
      <c r="V17" s="1" t="n"/>
      <c r="W17" s="1" t="n"/>
      <c r="X17" s="1" t="n"/>
      <c r="Y17" s="1" t="n"/>
      <c r="Z17" s="1" t="n"/>
    </row>
    <row r="18">
      <c r="A18" s="1" t="n"/>
      <c r="B18" s="29" t="inlineStr">
        <is>
          <t>PJM hourly generation surplus, 2026 YTD (MWh)</t>
        </is>
      </c>
      <c r="C18" s="31">
        <f>sPjmSurplus</f>
        <v/>
      </c>
      <c r="D18" s="1" t="n"/>
      <c r="E18" s="1" t="n"/>
      <c r="F18" s="1" t="n"/>
      <c r="G18" s="1" t="n"/>
      <c r="H18" s="1" t="n"/>
      <c r="I18" s="1" t="n"/>
      <c r="J18" s="1" t="n"/>
      <c r="K18" s="1" t="n"/>
      <c r="L18" s="1" t="n"/>
      <c r="M18" s="1" t="n"/>
      <c r="N18" s="1" t="n"/>
      <c r="O18" s="1" t="n"/>
      <c r="P18" s="1" t="n"/>
      <c r="Q18" s="1" t="n"/>
      <c r="R18" s="1" t="n"/>
      <c r="S18" s="1" t="n"/>
      <c r="T18" s="1" t="n"/>
      <c r="U18" s="1" t="n"/>
      <c r="V18" s="1" t="n"/>
      <c r="W18" s="1" t="n"/>
      <c r="X18" s="1" t="n"/>
      <c r="Y18" s="1" t="n"/>
      <c r="Z18" s="1" t="n"/>
    </row>
    <row r="19">
      <c r="A19" s="1" t="n"/>
      <c r="B19" s="1" t="n"/>
      <c r="C19" s="1" t="n"/>
      <c r="D19" s="1" t="n"/>
      <c r="E19" s="1" t="n"/>
      <c r="F19" s="1" t="n"/>
      <c r="G19" s="1" t="n"/>
      <c r="H19" s="1" t="n"/>
      <c r="I19" s="1" t="n"/>
      <c r="J19" s="1" t="n"/>
      <c r="K19" s="1" t="n"/>
      <c r="L19" s="1" t="n"/>
      <c r="M19" s="1" t="n"/>
      <c r="N19" s="1" t="n"/>
      <c r="O19" s="1" t="n"/>
      <c r="P19" s="1" t="n"/>
      <c r="Q19" s="1" t="n"/>
      <c r="R19" s="1" t="n"/>
      <c r="S19" s="1" t="n"/>
      <c r="T19" s="1" t="n"/>
      <c r="U19" s="1" t="n"/>
      <c r="V19" s="1" t="n"/>
      <c r="W19" s="1" t="n"/>
      <c r="X19" s="1" t="n"/>
      <c r="Y19" s="1" t="n"/>
      <c r="Z19" s="1" t="n"/>
    </row>
    <row r="20">
      <c r="A20" s="1" t="n"/>
      <c r="B20" s="1" t="n"/>
      <c r="C20" s="1" t="n"/>
      <c r="D20" s="1" t="n"/>
      <c r="E20" s="1" t="n"/>
      <c r="F20" s="1" t="n"/>
      <c r="G20" s="1" t="n"/>
      <c r="H20" s="1" t="n"/>
      <c r="I20" s="1" t="n"/>
      <c r="J20" s="1" t="n"/>
      <c r="K20" s="1" t="n"/>
      <c r="L20" s="1" t="n"/>
      <c r="M20" s="1" t="n"/>
      <c r="N20" s="1" t="n"/>
      <c r="O20" s="1" t="n"/>
      <c r="P20" s="1" t="n"/>
      <c r="Q20" s="1" t="n"/>
      <c r="R20" s="1" t="n"/>
      <c r="S20" s="1" t="n"/>
      <c r="T20" s="1" t="n"/>
      <c r="U20" s="1" t="n"/>
      <c r="V20" s="1" t="n"/>
      <c r="W20" s="1" t="n"/>
      <c r="X20" s="1" t="n"/>
      <c r="Y20" s="1" t="n"/>
      <c r="Z20" s="1" t="n"/>
    </row>
    <row r="21">
      <c r="A21" s="1" t="n"/>
      <c r="B21" s="1" t="n"/>
      <c r="C21" s="1" t="n"/>
      <c r="D21" s="1" t="n"/>
      <c r="E21" s="1" t="n"/>
      <c r="F21" s="1" t="n"/>
      <c r="G21" s="1" t="n"/>
      <c r="H21" s="1" t="n"/>
      <c r="I21" s="1" t="n"/>
      <c r="J21" s="1" t="n"/>
      <c r="K21" s="1" t="n"/>
      <c r="L21" s="1" t="n"/>
      <c r="M21" s="1" t="n"/>
      <c r="N21" s="1" t="n"/>
      <c r="O21" s="1" t="n"/>
      <c r="P21" s="1" t="n"/>
      <c r="Q21" s="1" t="n"/>
      <c r="R21" s="1" t="n"/>
      <c r="S21" s="1" t="n"/>
      <c r="T21" s="1" t="n"/>
      <c r="U21" s="1" t="n"/>
      <c r="V21" s="1" t="n"/>
      <c r="W21" s="1" t="n"/>
      <c r="X21" s="1" t="n"/>
      <c r="Y21" s="1" t="n"/>
      <c r="Z21" s="1" t="n"/>
    </row>
    <row r="22">
      <c r="A22" s="1" t="n"/>
      <c r="B22" s="1" t="n"/>
      <c r="C22" s="1" t="n"/>
      <c r="D22" s="1" t="n"/>
      <c r="E22" s="1" t="n"/>
      <c r="F22" s="1" t="n"/>
      <c r="G22" s="1" t="n"/>
      <c r="H22" s="1" t="n"/>
      <c r="I22" s="1" t="n"/>
      <c r="J22" s="1" t="n"/>
      <c r="K22" s="1" t="n"/>
      <c r="L22" s="1" t="n"/>
      <c r="M22" s="1" t="n"/>
      <c r="N22" s="1" t="n"/>
      <c r="O22" s="1" t="n"/>
      <c r="P22" s="1" t="n"/>
      <c r="Q22" s="1" t="n"/>
      <c r="R22" s="1" t="n"/>
      <c r="S22" s="1" t="n"/>
      <c r="T22" s="1" t="n"/>
      <c r="U22" s="1" t="n"/>
      <c r="V22" s="1" t="n"/>
      <c r="W22" s="1" t="n"/>
      <c r="X22" s="1" t="n"/>
      <c r="Y22" s="1" t="n"/>
      <c r="Z22" s="1" t="n"/>
    </row>
    <row r="23">
      <c r="A23" s="1" t="n"/>
      <c r="B23" s="1" t="n"/>
      <c r="C23" s="1" t="n"/>
      <c r="D23" s="1" t="n"/>
      <c r="E23" s="1" t="n"/>
      <c r="F23" s="1" t="n"/>
      <c r="G23" s="1" t="n"/>
      <c r="H23" s="1" t="n"/>
      <c r="I23" s="1" t="n"/>
      <c r="J23" s="1" t="n"/>
      <c r="K23" s="1" t="n"/>
      <c r="L23" s="1" t="n"/>
      <c r="M23" s="1" t="n"/>
      <c r="N23" s="1" t="n"/>
      <c r="O23" s="1" t="n"/>
      <c r="P23" s="1" t="n"/>
      <c r="Q23" s="1" t="n"/>
      <c r="R23" s="1" t="n"/>
      <c r="S23" s="1" t="n"/>
      <c r="T23" s="1" t="n"/>
      <c r="U23" s="1" t="n"/>
      <c r="V23" s="1" t="n"/>
      <c r="W23" s="1" t="n"/>
      <c r="X23" s="1" t="n"/>
      <c r="Y23" s="1" t="n"/>
      <c r="Z23" s="1" t="n"/>
    </row>
    <row r="24">
      <c r="A24" s="1" t="n"/>
      <c r="B24" s="1" t="n"/>
      <c r="C24" s="1" t="n"/>
      <c r="D24" s="1" t="n"/>
      <c r="E24" s="1" t="n"/>
      <c r="F24" s="1" t="n"/>
      <c r="G24" s="1" t="n"/>
      <c r="H24" s="1" t="n"/>
      <c r="I24" s="1" t="n"/>
      <c r="J24" s="1" t="n"/>
      <c r="K24" s="1" t="n"/>
      <c r="L24" s="1" t="n"/>
      <c r="M24" s="1" t="n"/>
      <c r="N24" s="1" t="n"/>
      <c r="O24" s="1" t="n"/>
      <c r="P24" s="1" t="n"/>
      <c r="Q24" s="1" t="n"/>
      <c r="R24" s="1" t="n"/>
      <c r="S24" s="1" t="n"/>
      <c r="T24" s="1" t="n"/>
      <c r="U24" s="1" t="n"/>
      <c r="V24" s="1" t="n"/>
      <c r="W24" s="1" t="n"/>
      <c r="X24" s="1" t="n"/>
      <c r="Y24" s="1" t="n"/>
      <c r="Z24" s="1" t="n"/>
    </row>
    <row r="25">
      <c r="A25" s="1" t="n"/>
      <c r="B25" s="1" t="n"/>
      <c r="C25" s="1" t="n"/>
      <c r="D25" s="1" t="n"/>
      <c r="E25" s="1" t="n"/>
      <c r="F25" s="1" t="n"/>
      <c r="G25" s="1" t="n"/>
      <c r="H25" s="1" t="n"/>
      <c r="I25" s="1" t="n"/>
      <c r="J25" s="1" t="n"/>
      <c r="K25" s="1" t="n"/>
      <c r="L25" s="1" t="n"/>
      <c r="M25" s="1" t="n"/>
      <c r="N25" s="1" t="n"/>
      <c r="O25" s="1" t="n"/>
      <c r="P25" s="1" t="n"/>
      <c r="Q25" s="1" t="n"/>
      <c r="R25" s="1" t="n"/>
      <c r="S25" s="1" t="n"/>
      <c r="T25" s="1" t="n"/>
      <c r="U25" s="1" t="n"/>
      <c r="V25" s="1" t="n"/>
      <c r="W25" s="1" t="n"/>
      <c r="X25" s="1" t="n"/>
      <c r="Y25" s="1" t="n"/>
      <c r="Z25" s="1" t="n"/>
    </row>
    <row r="26">
      <c r="A26" s="1" t="n"/>
      <c r="B26" s="1" t="n"/>
      <c r="C26" s="1" t="n"/>
      <c r="D26" s="1" t="n"/>
      <c r="E26" s="1" t="n"/>
      <c r="F26" s="1" t="n"/>
      <c r="G26" s="1" t="n"/>
      <c r="H26" s="1" t="n"/>
      <c r="I26" s="1" t="n"/>
      <c r="J26" s="1" t="n"/>
      <c r="K26" s="1" t="n"/>
      <c r="L26" s="1" t="n"/>
      <c r="M26" s="1" t="n"/>
      <c r="N26" s="1" t="n"/>
      <c r="O26" s="1" t="n"/>
      <c r="P26" s="1" t="n"/>
      <c r="Q26" s="1" t="n"/>
      <c r="R26" s="1" t="n"/>
      <c r="S26" s="1" t="n"/>
      <c r="T26" s="1" t="n"/>
      <c r="U26" s="1" t="n"/>
      <c r="V26" s="1" t="n"/>
      <c r="W26" s="1" t="n"/>
      <c r="X26" s="1" t="n"/>
      <c r="Y26" s="1" t="n"/>
      <c r="Z26" s="1" t="n"/>
    </row>
    <row r="27">
      <c r="A27" s="1" t="n"/>
      <c r="B27" s="1" t="n"/>
      <c r="C27" s="1" t="n"/>
      <c r="D27" s="1" t="n"/>
      <c r="E27" s="1" t="n"/>
      <c r="F27" s="1" t="n"/>
      <c r="G27" s="1" t="n"/>
      <c r="H27" s="1" t="n"/>
      <c r="I27" s="1" t="n"/>
      <c r="J27" s="1" t="n"/>
      <c r="K27" s="1" t="n"/>
      <c r="L27" s="1" t="n"/>
      <c r="M27" s="1" t="n"/>
      <c r="N27" s="1" t="n"/>
      <c r="O27" s="1" t="n"/>
      <c r="P27" s="1" t="n"/>
      <c r="Q27" s="1" t="n"/>
      <c r="R27" s="1" t="n"/>
      <c r="S27" s="1" t="n"/>
      <c r="T27" s="1" t="n"/>
      <c r="U27" s="1" t="n"/>
      <c r="V27" s="1" t="n"/>
      <c r="W27" s="1" t="n"/>
      <c r="X27" s="1" t="n"/>
      <c r="Y27" s="1" t="n"/>
      <c r="Z27" s="1" t="n"/>
    </row>
    <row r="28">
      <c r="A28" s="1" t="n"/>
      <c r="B28" s="1" t="n"/>
      <c r="C28" s="1" t="n"/>
      <c r="D28" s="1" t="n"/>
      <c r="E28" s="1" t="n"/>
      <c r="F28" s="1" t="n"/>
      <c r="G28" s="1" t="n"/>
      <c r="H28" s="1" t="n"/>
      <c r="I28" s="1" t="n"/>
      <c r="J28" s="1" t="n"/>
      <c r="K28" s="1" t="n"/>
      <c r="L28" s="1" t="n"/>
      <c r="M28" s="1" t="n"/>
      <c r="N28" s="1" t="n"/>
      <c r="O28" s="1" t="n"/>
      <c r="P28" s="1" t="n"/>
      <c r="Q28" s="1" t="n"/>
      <c r="R28" s="1" t="n"/>
      <c r="S28" s="1" t="n"/>
      <c r="T28" s="1" t="n"/>
      <c r="U28" s="1" t="n"/>
      <c r="V28" s="1" t="n"/>
      <c r="W28" s="1" t="n"/>
      <c r="X28" s="1" t="n"/>
      <c r="Y28" s="1" t="n"/>
      <c r="Z28" s="1" t="n"/>
    </row>
    <row r="29">
      <c r="A29" s="1" t="n"/>
      <c r="B29" s="1" t="n"/>
      <c r="C29" s="1" t="n"/>
      <c r="D29" s="1" t="n"/>
      <c r="E29" s="1" t="n"/>
      <c r="F29" s="1" t="n"/>
      <c r="G29" s="1" t="n"/>
      <c r="H29" s="1" t="n"/>
      <c r="I29" s="1" t="n"/>
      <c r="J29" s="1" t="n"/>
      <c r="K29" s="1" t="n"/>
      <c r="L29" s="1" t="n"/>
      <c r="M29" s="1" t="n"/>
      <c r="N29" s="1" t="n"/>
      <c r="O29" s="1" t="n"/>
      <c r="P29" s="1" t="n"/>
      <c r="Q29" s="1" t="n"/>
      <c r="R29" s="1" t="n"/>
      <c r="S29" s="1" t="n"/>
      <c r="T29" s="1" t="n"/>
      <c r="U29" s="1" t="n"/>
      <c r="V29" s="1" t="n"/>
      <c r="W29" s="1" t="n"/>
      <c r="X29" s="1" t="n"/>
      <c r="Y29" s="1" t="n"/>
      <c r="Z29" s="1" t="n"/>
    </row>
    <row r="30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  <c r="J30" s="1" t="n"/>
      <c r="K30" s="1" t="n"/>
      <c r="L30" s="1" t="n"/>
      <c r="M30" s="1" t="n"/>
      <c r="N30" s="1" t="n"/>
      <c r="O30" s="1" t="n"/>
      <c r="P30" s="1" t="n"/>
      <c r="Q30" s="1" t="n"/>
      <c r="R30" s="1" t="n"/>
      <c r="S30" s="1" t="n"/>
      <c r="T30" s="1" t="n"/>
      <c r="U30" s="1" t="n"/>
      <c r="V30" s="1" t="n"/>
      <c r="W30" s="1" t="n"/>
      <c r="X30" s="1" t="n"/>
      <c r="Y30" s="1" t="n"/>
      <c r="Z30" s="1" t="n"/>
    </row>
    <row r="31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  <c r="J31" s="1" t="n"/>
      <c r="K31" s="1" t="n"/>
      <c r="L31" s="1" t="n"/>
      <c r="M31" s="1" t="n"/>
      <c r="N31" s="1" t="n"/>
      <c r="O31" s="1" t="n"/>
      <c r="P31" s="1" t="n"/>
      <c r="Q31" s="1" t="n"/>
      <c r="R31" s="1" t="n"/>
      <c r="S31" s="1" t="n"/>
      <c r="T31" s="1" t="n"/>
      <c r="U31" s="1" t="n"/>
      <c r="V31" s="1" t="n"/>
      <c r="W31" s="1" t="n"/>
      <c r="X31" s="1" t="n"/>
      <c r="Y31" s="1" t="n"/>
      <c r="Z31" s="1" t="n"/>
    </row>
    <row r="32">
      <c r="A32" s="1" t="n"/>
      <c r="B32" s="1" t="n"/>
      <c r="C32" s="1" t="n"/>
      <c r="D32" s="1" t="n"/>
      <c r="E32" s="1" t="n"/>
      <c r="F32" s="1" t="n"/>
      <c r="G32" s="1" t="n"/>
      <c r="H32" s="1" t="n"/>
      <c r="I32" s="1" t="n"/>
      <c r="J32" s="1" t="n"/>
      <c r="K32" s="1" t="n"/>
      <c r="L32" s="1" t="n"/>
      <c r="M32" s="1" t="n"/>
      <c r="N32" s="1" t="n"/>
      <c r="O32" s="1" t="n"/>
      <c r="P32" s="1" t="n"/>
      <c r="Q32" s="1" t="n"/>
      <c r="R32" s="1" t="n"/>
      <c r="S32" s="1" t="n"/>
      <c r="T32" s="1" t="n"/>
      <c r="U32" s="1" t="n"/>
      <c r="V32" s="1" t="n"/>
      <c r="W32" s="1" t="n"/>
      <c r="X32" s="1" t="n"/>
      <c r="Y32" s="1" t="n"/>
      <c r="Z32" s="1" t="n"/>
    </row>
    <row r="33">
      <c r="A33" s="1" t="n"/>
      <c r="B33" s="1" t="n"/>
      <c r="C33" s="1" t="n"/>
      <c r="D33" s="1" t="n"/>
      <c r="E33" s="1" t="n"/>
      <c r="F33" s="1" t="n"/>
      <c r="G33" s="1" t="n"/>
      <c r="H33" s="1" t="n"/>
      <c r="I33" s="1" t="n"/>
      <c r="J33" s="1" t="n"/>
      <c r="K33" s="1" t="n"/>
      <c r="L33" s="1" t="n"/>
      <c r="M33" s="1" t="n"/>
      <c r="N33" s="1" t="n"/>
      <c r="O33" s="1" t="n"/>
      <c r="P33" s="1" t="n"/>
      <c r="Q33" s="1" t="n"/>
      <c r="R33" s="1" t="n"/>
      <c r="S33" s="1" t="n"/>
      <c r="T33" s="1" t="n"/>
      <c r="U33" s="1" t="n"/>
      <c r="V33" s="1" t="n"/>
      <c r="W33" s="1" t="n"/>
      <c r="X33" s="1" t="n"/>
      <c r="Y33" s="1" t="n"/>
      <c r="Z33" s="1" t="n"/>
    </row>
    <row r="34">
      <c r="A34" s="1" t="n"/>
      <c r="B34" s="1" t="n"/>
      <c r="C34" s="1" t="n"/>
      <c r="D34" s="1" t="n"/>
      <c r="E34" s="1" t="n"/>
      <c r="F34" s="1" t="n"/>
      <c r="G34" s="1" t="n"/>
      <c r="H34" s="1" t="n"/>
      <c r="I34" s="1" t="n"/>
      <c r="J34" s="1" t="n"/>
      <c r="K34" s="1" t="n"/>
      <c r="L34" s="1" t="n"/>
      <c r="M34" s="1" t="n"/>
      <c r="N34" s="1" t="n"/>
      <c r="O34" s="1" t="n"/>
      <c r="P34" s="1" t="n"/>
      <c r="Q34" s="1" t="n"/>
      <c r="R34" s="1" t="n"/>
      <c r="S34" s="1" t="n"/>
      <c r="T34" s="1" t="n"/>
      <c r="U34" s="1" t="n"/>
      <c r="V34" s="1" t="n"/>
      <c r="W34" s="1" t="n"/>
      <c r="X34" s="1" t="n"/>
      <c r="Y34" s="1" t="n"/>
      <c r="Z34" s="1" t="n"/>
    </row>
    <row r="35">
      <c r="A35" s="1" t="n"/>
      <c r="B35" s="1" t="n"/>
      <c r="C35" s="1" t="n"/>
      <c r="D35" s="1" t="n"/>
      <c r="E35" s="1" t="n"/>
      <c r="F35" s="1" t="n"/>
      <c r="G35" s="1" t="n"/>
      <c r="H35" s="1" t="n"/>
      <c r="I35" s="1" t="n"/>
      <c r="J35" s="1" t="n"/>
      <c r="K35" s="1" t="n"/>
      <c r="L35" s="1" t="n"/>
      <c r="M35" s="1" t="n"/>
      <c r="N35" s="1" t="n"/>
      <c r="O35" s="1" t="n"/>
      <c r="P35" s="1" t="n"/>
      <c r="Q35" s="1" t="n"/>
      <c r="R35" s="1" t="n"/>
      <c r="S35" s="1" t="n"/>
      <c r="T35" s="1" t="n"/>
      <c r="U35" s="1" t="n"/>
      <c r="V35" s="1" t="n"/>
      <c r="W35" s="1" t="n"/>
      <c r="X35" s="1" t="n"/>
      <c r="Y35" s="1" t="n"/>
      <c r="Z35" s="1" t="n"/>
    </row>
    <row r="36" ht="17" customHeight="1">
      <c r="A36" s="1" t="n"/>
      <c r="B36" s="22" t="inlineStr">
        <is>
          <t>PJM BRA price history</t>
        </is>
      </c>
      <c r="C36" s="23" t="n"/>
      <c r="D36" s="23" t="n"/>
      <c r="E36" s="23" t="n"/>
      <c r="F36" s="23" t="n"/>
      <c r="G36" s="23" t="n"/>
      <c r="H36" s="23" t="n"/>
      <c r="I36" s="23" t="n"/>
      <c r="J36" s="23" t="n"/>
      <c r="K36" s="23" t="n"/>
      <c r="L36" s="23" t="n"/>
      <c r="M36" s="23" t="n"/>
      <c r="N36" s="23" t="n"/>
      <c r="O36" s="23" t="n"/>
      <c r="P36" s="23" t="n"/>
      <c r="Q36" s="23" t="n"/>
      <c r="R36" s="23" t="n"/>
      <c r="S36" s="23" t="n"/>
      <c r="T36" s="23" t="n"/>
      <c r="U36" s="1" t="n"/>
      <c r="V36" s="1" t="n"/>
      <c r="W36" s="1" t="n"/>
      <c r="X36" s="1" t="n"/>
      <c r="Y36" s="1" t="n"/>
      <c r="Z36" s="1" t="n"/>
    </row>
    <row r="37">
      <c r="A37" s="1" t="n"/>
      <c r="B37" s="29" t="inlineStr">
        <is>
          <t>BRA clearing price, DY2025/26 RTO ($/MW-day)</t>
        </is>
      </c>
      <c r="C37" s="33">
        <f>sBraDy26</f>
        <v/>
      </c>
      <c r="D37" s="1" t="n"/>
      <c r="E37" s="1" t="n"/>
      <c r="F37" s="1" t="n"/>
      <c r="G37" s="1" t="n"/>
      <c r="H37" s="1" t="n"/>
      <c r="I37" s="1" t="n"/>
      <c r="J37" s="1" t="n"/>
      <c r="K37" s="1" t="n"/>
      <c r="L37" s="1" t="n"/>
      <c r="M37" s="1" t="n"/>
      <c r="N37" s="1" t="n"/>
      <c r="O37" s="1" t="n"/>
      <c r="P37" s="1" t="n"/>
      <c r="Q37" s="1" t="n"/>
      <c r="R37" s="1" t="n"/>
      <c r="S37" s="1" t="n"/>
      <c r="T37" s="1" t="n"/>
      <c r="U37" s="1" t="n"/>
      <c r="V37" s="1" t="n"/>
      <c r="W37" s="1" t="n"/>
      <c r="X37" s="1" t="n"/>
      <c r="Y37" s="1" t="n"/>
      <c r="Z37" s="1" t="n"/>
    </row>
    <row r="38">
      <c r="A38" s="1" t="n"/>
      <c r="B38" s="29" t="inlineStr">
        <is>
          <t>BRA clearing price, DY2027/28 RTO ($/MW-day)</t>
        </is>
      </c>
      <c r="C38" s="33">
        <f>sBraDy28</f>
        <v/>
      </c>
      <c r="D38" s="1" t="n"/>
      <c r="E38" s="1" t="n"/>
      <c r="F38" s="1" t="n"/>
      <c r="G38" s="1" t="n"/>
      <c r="H38" s="1" t="n"/>
      <c r="I38" s="1" t="n"/>
      <c r="J38" s="1" t="n"/>
      <c r="K38" s="1" t="n"/>
      <c r="L38" s="1" t="n"/>
      <c r="M38" s="1" t="n"/>
      <c r="N38" s="1" t="n"/>
      <c r="O38" s="1" t="n"/>
      <c r="P38" s="1" t="n"/>
      <c r="Q38" s="1" t="n"/>
      <c r="R38" s="1" t="n"/>
      <c r="S38" s="1" t="n"/>
      <c r="T38" s="1" t="n"/>
      <c r="U38" s="1" t="n"/>
      <c r="V38" s="1" t="n"/>
      <c r="W38" s="1" t="n"/>
      <c r="X38" s="1" t="n"/>
      <c r="Y38" s="1" t="n"/>
      <c r="Z38" s="1" t="n"/>
    </row>
    <row r="39">
      <c r="A39" s="1" t="n"/>
      <c r="B39" s="29" t="inlineStr">
        <is>
          <t>YoY escalation, median of 20 auction steps (×)</t>
        </is>
      </c>
      <c r="C39" s="34">
        <f>sBraYoyMedian</f>
        <v/>
      </c>
      <c r="D39" s="1" t="n"/>
      <c r="E39" s="1" t="n"/>
      <c r="F39" s="1" t="n"/>
      <c r="G39" s="1" t="n"/>
      <c r="H39" s="1" t="n"/>
      <c r="I39" s="1" t="n"/>
      <c r="J39" s="1" t="n"/>
      <c r="K39" s="1" t="n"/>
      <c r="L39" s="1" t="n"/>
      <c r="M39" s="1" t="n"/>
      <c r="N39" s="1" t="n"/>
      <c r="O39" s="1" t="n"/>
      <c r="P39" s="1" t="n"/>
      <c r="Q39" s="1" t="n"/>
      <c r="R39" s="1" t="n"/>
      <c r="S39" s="1" t="n"/>
      <c r="T39" s="1" t="n"/>
      <c r="U39" s="1" t="n"/>
      <c r="V39" s="1" t="n"/>
      <c r="W39" s="1" t="n"/>
      <c r="X39" s="1" t="n"/>
      <c r="Y39" s="1" t="n"/>
      <c r="Z39" s="1" t="n"/>
    </row>
    <row r="40">
      <c r="A40" s="1" t="n"/>
      <c r="B40" s="29" t="inlineStr">
        <is>
          <t>YoY escalation, P90 of 20 auction steps (×)</t>
        </is>
      </c>
      <c r="C40" s="34">
        <f>sBraYoyP90</f>
        <v/>
      </c>
      <c r="D40" s="1" t="n"/>
      <c r="E40" s="1" t="n"/>
      <c r="F40" s="1" t="n"/>
      <c r="G40" s="1" t="n"/>
      <c r="H40" s="1" t="n"/>
      <c r="I40" s="1" t="n"/>
      <c r="J40" s="1" t="n"/>
      <c r="K40" s="1" t="n"/>
      <c r="L40" s="1" t="n"/>
      <c r="M40" s="1" t="n"/>
      <c r="N40" s="1" t="n"/>
      <c r="O40" s="1" t="n"/>
      <c r="P40" s="1" t="n"/>
      <c r="Q40" s="1" t="n"/>
      <c r="R40" s="1" t="n"/>
      <c r="S40" s="1" t="n"/>
      <c r="T40" s="1" t="n"/>
      <c r="U40" s="1" t="n"/>
      <c r="V40" s="1" t="n"/>
      <c r="W40" s="1" t="n"/>
      <c r="X40" s="1" t="n"/>
      <c r="Y40" s="1" t="n"/>
      <c r="Z40" s="1" t="n"/>
    </row>
    <row r="41" ht="34" customHeight="1">
      <c r="A41" s="1" t="n"/>
      <c r="B41" s="28" t="inlineStr">
        <is>
          <t>21 auctions, DY2007/08-2027/28. The carry scenario spread has a measured distribution behind it: median step 1.05x, P90 2.92x, capped in practice by Net CONE.</t>
        </is>
      </c>
      <c r="C41" s="1" t="n"/>
      <c r="D41" s="1" t="n"/>
      <c r="E41" s="1" t="n"/>
      <c r="F41" s="1" t="n"/>
      <c r="G41" s="1" t="n"/>
      <c r="H41" s="1" t="n"/>
      <c r="I41" s="1" t="n"/>
      <c r="J41" s="1" t="n"/>
      <c r="K41" s="1" t="n"/>
      <c r="L41" s="1" t="n"/>
      <c r="M41" s="1" t="n"/>
      <c r="N41" s="1" t="n"/>
      <c r="O41" s="1" t="n"/>
      <c r="P41" s="1" t="n"/>
      <c r="Q41" s="1" t="n"/>
      <c r="R41" s="1" t="n"/>
      <c r="S41" s="1" t="n"/>
      <c r="T41" s="1" t="n"/>
      <c r="U41" s="1" t="n"/>
      <c r="V41" s="1" t="n"/>
      <c r="W41" s="1" t="n"/>
      <c r="X41" s="1" t="n"/>
      <c r="Y41" s="1" t="n"/>
      <c r="Z41" s="1" t="n"/>
    </row>
    <row r="42">
      <c r="A42" s="1" t="n"/>
      <c r="B42" s="1" t="n"/>
      <c r="C42" s="1" t="n"/>
      <c r="D42" s="1" t="n"/>
      <c r="E42" s="1" t="n"/>
      <c r="F42" s="1" t="n"/>
      <c r="G42" s="1" t="n"/>
      <c r="H42" s="1" t="n"/>
      <c r="I42" s="1" t="n"/>
      <c r="J42" s="1" t="n"/>
      <c r="K42" s="1" t="n"/>
      <c r="L42" s="1" t="n"/>
      <c r="M42" s="1" t="n"/>
      <c r="N42" s="1" t="n"/>
      <c r="O42" s="1" t="n"/>
      <c r="P42" s="1" t="n"/>
      <c r="Q42" s="1" t="n"/>
      <c r="R42" s="1" t="n"/>
      <c r="S42" s="1" t="n"/>
      <c r="T42" s="1" t="n"/>
      <c r="U42" s="1" t="n"/>
      <c r="V42" s="1" t="n"/>
      <c r="W42" s="1" t="n"/>
      <c r="X42" s="1" t="n"/>
      <c r="Y42" s="1" t="n"/>
      <c r="Z42" s="1" t="n"/>
    </row>
    <row r="43">
      <c r="A43" s="1" t="n"/>
      <c r="B43" s="1" t="n"/>
      <c r="C43" s="1" t="n"/>
      <c r="D43" s="1" t="n"/>
      <c r="E43" s="1" t="n"/>
      <c r="F43" s="1" t="n"/>
      <c r="G43" s="1" t="n"/>
      <c r="H43" s="1" t="n"/>
      <c r="I43" s="1" t="n"/>
      <c r="J43" s="1" t="n"/>
      <c r="K43" s="1" t="n"/>
      <c r="L43" s="1" t="n"/>
      <c r="M43" s="1" t="n"/>
      <c r="N43" s="1" t="n"/>
      <c r="O43" s="1" t="n"/>
      <c r="P43" s="1" t="n"/>
      <c r="Q43" s="1" t="n"/>
      <c r="R43" s="1" t="n"/>
      <c r="S43" s="1" t="n"/>
      <c r="T43" s="1" t="n"/>
      <c r="U43" s="1" t="n"/>
      <c r="V43" s="1" t="n"/>
      <c r="W43" s="1" t="n"/>
      <c r="X43" s="1" t="n"/>
      <c r="Y43" s="1" t="n"/>
      <c r="Z43" s="1" t="n"/>
    </row>
    <row r="44" ht="17" customHeight="1">
      <c r="A44" s="1" t="n"/>
      <c r="B44" s="22" t="inlineStr">
        <is>
          <t>ERCOT West clearing — measured, 2022-2026</t>
        </is>
      </c>
      <c r="C44" s="23" t="n"/>
      <c r="D44" s="23" t="n"/>
      <c r="E44" s="23" t="n"/>
      <c r="F44" s="23" t="n"/>
      <c r="G44" s="23" t="n"/>
      <c r="H44" s="23" t="n"/>
      <c r="I44" s="23" t="n"/>
      <c r="J44" s="23" t="n"/>
      <c r="K44" s="23" t="n"/>
      <c r="L44" s="23" t="n"/>
      <c r="M44" s="23" t="n"/>
      <c r="N44" s="23" t="n"/>
      <c r="O44" s="23" t="n"/>
      <c r="P44" s="23" t="n"/>
      <c r="Q44" s="23" t="n"/>
      <c r="R44" s="23" t="n"/>
      <c r="S44" s="23" t="n"/>
      <c r="T44" s="23" t="n"/>
      <c r="U44" s="1" t="n"/>
      <c r="V44" s="1" t="n"/>
      <c r="W44" s="1" t="n"/>
      <c r="X44" s="1" t="n"/>
      <c r="Y44" s="1" t="n"/>
      <c r="Z44" s="1" t="n"/>
    </row>
    <row r="45">
      <c r="A45" s="1" t="n"/>
      <c r="B45" s="29" t="inlineStr">
        <is>
          <t>Negative-price hours, 2025 (share)</t>
        </is>
      </c>
      <c r="C45" s="30">
        <f>sNegShareWest25/100</f>
        <v/>
      </c>
      <c r="D45" s="1" t="n"/>
      <c r="E45" s="1" t="n"/>
      <c r="F45" s="1" t="n"/>
      <c r="G45" s="1" t="n"/>
      <c r="H45" s="1" t="n"/>
      <c r="I45" s="1" t="n"/>
      <c r="J45" s="1" t="n"/>
      <c r="K45" s="1" t="n"/>
      <c r="L45" s="1" t="n"/>
      <c r="M45" s="1" t="n"/>
      <c r="N45" s="1" t="n"/>
      <c r="O45" s="1" t="n"/>
      <c r="P45" s="1" t="n"/>
      <c r="Q45" s="1" t="n"/>
      <c r="R45" s="1" t="n"/>
      <c r="S45" s="1" t="n"/>
      <c r="T45" s="1" t="n"/>
      <c r="U45" s="1" t="n"/>
      <c r="V45" s="1" t="n"/>
      <c r="W45" s="1" t="n"/>
      <c r="X45" s="1" t="n"/>
      <c r="Y45" s="1" t="n"/>
      <c r="Z45" s="1" t="n"/>
    </row>
    <row r="46">
      <c r="A46" s="1" t="n"/>
      <c r="B46" s="29" t="inlineStr">
        <is>
          <t>Negative-price hours, 2022 (share)</t>
        </is>
      </c>
      <c r="C46" s="30">
        <f>sNegShareWest22/100</f>
        <v/>
      </c>
      <c r="D46" s="1" t="n"/>
      <c r="E46" s="1" t="n"/>
      <c r="F46" s="1" t="n"/>
      <c r="G46" s="1" t="n"/>
      <c r="H46" s="1" t="n"/>
      <c r="I46" s="1" t="n"/>
      <c r="J46" s="1" t="n"/>
      <c r="K46" s="1" t="n"/>
      <c r="L46" s="1" t="n"/>
      <c r="M46" s="1" t="n"/>
      <c r="N46" s="1" t="n"/>
      <c r="O46" s="1" t="n"/>
      <c r="P46" s="1" t="n"/>
      <c r="Q46" s="1" t="n"/>
      <c r="R46" s="1" t="n"/>
      <c r="S46" s="1" t="n"/>
      <c r="T46" s="1" t="n"/>
      <c r="U46" s="1" t="n"/>
      <c r="V46" s="1" t="n"/>
      <c r="W46" s="1" t="n"/>
      <c r="X46" s="1" t="n"/>
      <c r="Y46" s="1" t="n"/>
      <c r="Z46" s="1" t="n"/>
    </row>
    <row r="47">
      <c r="A47" s="1" t="n"/>
      <c r="B47" s="29" t="inlineStr">
        <is>
          <t>Cheapest-quintile mean price, 2025 ($/MWh)</t>
        </is>
      </c>
      <c r="C47" s="33">
        <f>sWestCheapQ25</f>
        <v/>
      </c>
      <c r="D47" s="1" t="n"/>
      <c r="E47" s="1" t="n"/>
      <c r="F47" s="1" t="n"/>
      <c r="G47" s="1" t="n"/>
      <c r="H47" s="1" t="n"/>
      <c r="I47" s="1" t="n"/>
      <c r="J47" s="1" t="n"/>
      <c r="K47" s="1" t="n"/>
      <c r="L47" s="1" t="n"/>
      <c r="M47" s="1" t="n"/>
      <c r="N47" s="1" t="n"/>
      <c r="O47" s="1" t="n"/>
      <c r="P47" s="1" t="n"/>
      <c r="Q47" s="1" t="n"/>
      <c r="R47" s="1" t="n"/>
      <c r="S47" s="1" t="n"/>
      <c r="T47" s="1" t="n"/>
      <c r="U47" s="1" t="n"/>
      <c r="V47" s="1" t="n"/>
      <c r="W47" s="1" t="n"/>
      <c r="X47" s="1" t="n"/>
      <c r="Y47" s="1" t="n"/>
      <c r="Z47" s="1" t="n"/>
    </row>
    <row r="48">
      <c r="A48" s="1" t="n"/>
      <c r="B48" s="29" t="inlineStr">
        <is>
          <t>LZ_WEST node median, 2024 (measured, nodal)</t>
        </is>
      </c>
      <c r="C48" s="30">
        <f>sWestNodeMedian/100</f>
        <v/>
      </c>
      <c r="D48" s="1" t="n"/>
      <c r="E48" s="1" t="n"/>
      <c r="F48" s="1" t="n"/>
      <c r="G48" s="1" t="n"/>
      <c r="H48" s="1" t="n"/>
      <c r="I48" s="1" t="n"/>
      <c r="J48" s="1" t="n"/>
      <c r="K48" s="1" t="n"/>
      <c r="L48" s="1" t="n"/>
      <c r="M48" s="1" t="n"/>
      <c r="N48" s="1" t="n"/>
      <c r="O48" s="1" t="n"/>
      <c r="P48" s="1" t="n"/>
      <c r="Q48" s="1" t="n"/>
      <c r="R48" s="1" t="n"/>
      <c r="S48" s="1" t="n"/>
      <c r="T48" s="1" t="n"/>
      <c r="U48" s="1" t="n"/>
      <c r="V48" s="1" t="n"/>
      <c r="W48" s="1" t="n"/>
      <c r="X48" s="1" t="n"/>
      <c r="Y48" s="1" t="n"/>
      <c r="Z48" s="1" t="n"/>
    </row>
    <row r="49">
      <c r="A49" s="1" t="n"/>
      <c r="B49" s="29" t="inlineStr">
        <is>
          <t>Nodes at or above 25% negative hours, 2024 (of 785)</t>
        </is>
      </c>
      <c r="C49" s="30">
        <f>sNodesAt25/100</f>
        <v/>
      </c>
      <c r="D49" s="1" t="n"/>
      <c r="E49" s="1" t="n"/>
      <c r="F49" s="1" t="n"/>
      <c r="G49" s="1" t="n"/>
      <c r="H49" s="1" t="n"/>
      <c r="I49" s="1" t="n"/>
      <c r="J49" s="1" t="n"/>
      <c r="K49" s="1" t="n"/>
      <c r="L49" s="1" t="n"/>
      <c r="M49" s="1" t="n"/>
      <c r="N49" s="1" t="n"/>
      <c r="O49" s="1" t="n"/>
      <c r="P49" s="1" t="n"/>
      <c r="Q49" s="1" t="n"/>
      <c r="R49" s="1" t="n"/>
      <c r="S49" s="1" t="n"/>
      <c r="T49" s="1" t="n"/>
      <c r="U49" s="1" t="n"/>
      <c r="V49" s="1" t="n"/>
      <c r="W49" s="1" t="n"/>
      <c r="X49" s="1" t="n"/>
      <c r="Y49" s="1" t="n"/>
      <c r="Z49" s="1" t="n"/>
    </row>
    <row r="50">
      <c r="A50" s="1" t="n"/>
      <c r="B50" s="29" t="inlineStr">
        <is>
          <t>Quoted congested-node share, for contrast (%)</t>
        </is>
      </c>
      <c r="C50" s="30">
        <f>sNegPriceShare/100</f>
        <v/>
      </c>
      <c r="D50" s="1" t="n"/>
      <c r="E50" s="1" t="n"/>
      <c r="F50" s="1" t="n"/>
      <c r="G50" s="1" t="n"/>
      <c r="H50" s="1" t="n"/>
      <c r="I50" s="1" t="n"/>
      <c r="J50" s="1" t="n"/>
      <c r="K50" s="1" t="n"/>
      <c r="L50" s="1" t="n"/>
      <c r="M50" s="1" t="n"/>
      <c r="N50" s="1" t="n"/>
      <c r="O50" s="1" t="n"/>
      <c r="P50" s="1" t="n"/>
      <c r="Q50" s="1" t="n"/>
      <c r="R50" s="1" t="n"/>
      <c r="S50" s="1" t="n"/>
      <c r="T50" s="1" t="n"/>
      <c r="U50" s="1" t="n"/>
      <c r="V50" s="1" t="n"/>
      <c r="W50" s="1" t="n"/>
      <c r="X50" s="1" t="n"/>
      <c r="Y50" s="1" t="n"/>
      <c r="Z50" s="1" t="n"/>
    </row>
    <row r="51" ht="34" customHeight="1">
      <c r="A51" s="1" t="n"/>
      <c r="B51" s="28" t="inlineStr">
        <is>
          <t>Real-time settlement, 2022-2026, all 785 nodes for 2024. The deep-negative tail is West-concentrated (LZ_WEST median 11.8% vs 2.1% elsewhere), but the quoted 25-30% is not corroborated: no node reaches 25% (max 23.7%). The $35 stranded assumption buys firmed delivery above a near-zero raw floor.</t>
        </is>
      </c>
      <c r="C51" s="1" t="n"/>
      <c r="D51" s="1" t="n"/>
      <c r="E51" s="1" t="n"/>
      <c r="F51" s="1" t="n"/>
      <c r="G51" s="1" t="n"/>
      <c r="H51" s="1" t="n"/>
      <c r="I51" s="1" t="n"/>
      <c r="J51" s="1" t="n"/>
      <c r="K51" s="1" t="n"/>
      <c r="L51" s="1" t="n"/>
      <c r="M51" s="1" t="n"/>
      <c r="N51" s="1" t="n"/>
      <c r="O51" s="1" t="n"/>
      <c r="P51" s="1" t="n"/>
      <c r="Q51" s="1" t="n"/>
      <c r="R51" s="1" t="n"/>
      <c r="S51" s="1" t="n"/>
      <c r="T51" s="1" t="n"/>
      <c r="U51" s="1" t="n"/>
      <c r="V51" s="1" t="n"/>
      <c r="W51" s="1" t="n"/>
      <c r="X51" s="1" t="n"/>
      <c r="Y51" s="1" t="n"/>
      <c r="Z51" s="1" t="n"/>
    </row>
    <row r="52" ht="17" customHeight="1">
      <c r="A52" s="1" t="n"/>
      <c r="B52" s="22" t="inlineStr">
        <is>
          <t>Licensed LMP leg — held outside this workbook</t>
        </is>
      </c>
      <c r="C52" s="23" t="n"/>
      <c r="D52" s="23" t="n"/>
      <c r="E52" s="23" t="n"/>
      <c r="F52" s="23" t="n"/>
      <c r="G52" s="23" t="n"/>
      <c r="H52" s="23" t="n"/>
      <c r="I52" s="23" t="n"/>
      <c r="J52" s="23" t="n"/>
      <c r="K52" s="23" t="n"/>
      <c r="L52" s="23" t="n"/>
      <c r="M52" s="23" t="n"/>
      <c r="N52" s="23" t="n"/>
      <c r="O52" s="23" t="n"/>
      <c r="P52" s="23" t="n"/>
      <c r="Q52" s="23" t="n"/>
      <c r="R52" s="23" t="n"/>
      <c r="S52" s="23" t="n"/>
      <c r="T52" s="23" t="n"/>
      <c r="U52" s="1" t="n"/>
      <c r="V52" s="1" t="n"/>
      <c r="W52" s="1" t="n"/>
      <c r="X52" s="1" t="n"/>
      <c r="Y52" s="1" t="n"/>
      <c r="Z52" s="1" t="n"/>
    </row>
    <row r="53" ht="44" customHeight="1">
      <c r="A53" s="1" t="n"/>
      <c r="B53" s="28" t="inlineStr">
        <is>
          <t>The workbook excludes the licensed ISO LMP slice. Use the ERCOT public/operator series above for the shipped stranded-energy floor; the licensed LMP leg remains outside this workbook.</t>
        </is>
      </c>
      <c r="C53" s="1" t="n"/>
      <c r="D53" s="1" t="n"/>
      <c r="E53" s="1" t="n"/>
      <c r="F53" s="1" t="n"/>
      <c r="G53" s="1" t="n"/>
      <c r="H53" s="1" t="n"/>
      <c r="I53" s="1" t="n"/>
      <c r="J53" s="1" t="n"/>
      <c r="K53" s="1" t="n"/>
      <c r="L53" s="1" t="n"/>
      <c r="M53" s="1" t="n"/>
      <c r="N53" s="1" t="n"/>
      <c r="O53" s="1" t="n"/>
      <c r="P53" s="1" t="n"/>
      <c r="Q53" s="1" t="n"/>
      <c r="R53" s="1" t="n"/>
      <c r="S53" s="1" t="n"/>
      <c r="T53" s="1" t="n"/>
      <c r="U53" s="1" t="n"/>
      <c r="V53" s="1" t="n"/>
      <c r="W53" s="1" t="n"/>
      <c r="X53" s="1" t="n"/>
      <c r="Y53" s="1" t="n"/>
      <c r="Z53" s="1" t="n"/>
    </row>
    <row r="54">
      <c r="A54" s="1" t="n"/>
      <c r="B54" s="1" t="n"/>
      <c r="C54" s="1" t="n"/>
      <c r="D54" s="1" t="n"/>
      <c r="E54" s="1" t="n"/>
      <c r="F54" s="1" t="n"/>
      <c r="G54" s="1" t="n"/>
      <c r="H54" s="1" t="n"/>
      <c r="I54" s="1" t="n"/>
      <c r="J54" s="1" t="n"/>
      <c r="K54" s="1" t="n"/>
      <c r="L54" s="1" t="n"/>
      <c r="M54" s="1" t="n"/>
      <c r="N54" s="1" t="n"/>
      <c r="O54" s="1" t="n"/>
      <c r="P54" s="1" t="n"/>
      <c r="Q54" s="1" t="n"/>
      <c r="R54" s="1" t="n"/>
      <c r="S54" s="1" t="n"/>
      <c r="T54" s="1" t="n"/>
      <c r="U54" s="1" t="n"/>
      <c r="V54" s="1" t="n"/>
      <c r="W54" s="1" t="n"/>
      <c r="X54" s="1" t="n"/>
      <c r="Y54" s="1" t="n"/>
      <c r="Z54" s="1" t="n"/>
    </row>
    <row r="55">
      <c r="A55" s="1" t="n"/>
      <c r="B55" s="1" t="n"/>
      <c r="C55" s="1" t="n"/>
      <c r="D55" s="1" t="n"/>
      <c r="E55" s="1" t="n"/>
      <c r="F55" s="1" t="n"/>
      <c r="G55" s="1" t="n"/>
      <c r="H55" s="1" t="n"/>
      <c r="I55" s="1" t="n"/>
      <c r="J55" s="1" t="n"/>
      <c r="K55" s="1" t="n"/>
      <c r="L55" s="1" t="n"/>
      <c r="M55" s="1" t="n"/>
      <c r="N55" s="1" t="n"/>
      <c r="O55" s="1" t="n"/>
      <c r="P55" s="1" t="n"/>
      <c r="Q55" s="1" t="n"/>
      <c r="R55" s="1" t="n"/>
      <c r="S55" s="1" t="n"/>
      <c r="T55" s="1" t="n"/>
      <c r="U55" s="1" t="n"/>
      <c r="V55" s="1" t="n"/>
      <c r="W55" s="1" t="n"/>
      <c r="X55" s="1" t="n"/>
      <c r="Y55" s="1" t="n"/>
      <c r="Z55" s="1" t="n"/>
    </row>
    <row r="56">
      <c r="A56" s="1" t="n"/>
      <c r="B56" s="1" t="n"/>
      <c r="C56" s="1" t="n"/>
      <c r="D56" s="1" t="n"/>
      <c r="E56" s="1" t="n"/>
      <c r="F56" s="1" t="n"/>
      <c r="G56" s="1" t="n"/>
      <c r="H56" s="1" t="n"/>
      <c r="I56" s="1" t="n"/>
      <c r="J56" s="1" t="n"/>
      <c r="K56" s="1" t="n"/>
      <c r="L56" s="1" t="n"/>
      <c r="M56" s="1" t="n"/>
      <c r="N56" s="1" t="n"/>
      <c r="O56" s="1" t="n"/>
      <c r="P56" s="1" t="n"/>
      <c r="Q56" s="1" t="n"/>
      <c r="R56" s="1" t="n"/>
      <c r="S56" s="1" t="n"/>
      <c r="T56" s="1" t="n"/>
      <c r="U56" s="1" t="n"/>
      <c r="V56" s="1" t="n"/>
      <c r="W56" s="1" t="n"/>
      <c r="X56" s="1" t="n"/>
      <c r="Y56" s="1" t="n"/>
      <c r="Z56" s="1" t="n"/>
    </row>
    <row r="57">
      <c r="A57" s="1" t="n"/>
      <c r="B57" s="1" t="n"/>
      <c r="C57" s="1" t="n"/>
      <c r="D57" s="1" t="n"/>
      <c r="E57" s="1" t="n"/>
      <c r="F57" s="1" t="n"/>
      <c r="G57" s="1" t="n"/>
      <c r="H57" s="1" t="n"/>
      <c r="I57" s="1" t="n"/>
      <c r="J57" s="1" t="n"/>
      <c r="K57" s="1" t="n"/>
      <c r="L57" s="1" t="n"/>
      <c r="M57" s="1" t="n"/>
      <c r="N57" s="1" t="n"/>
      <c r="O57" s="1" t="n"/>
      <c r="P57" s="1" t="n"/>
      <c r="Q57" s="1" t="n"/>
      <c r="R57" s="1" t="n"/>
      <c r="S57" s="1" t="n"/>
      <c r="T57" s="1" t="n"/>
      <c r="U57" s="1" t="n"/>
      <c r="V57" s="1" t="n"/>
      <c r="W57" s="1" t="n"/>
      <c r="X57" s="1" t="n"/>
      <c r="Y57" s="1" t="n"/>
      <c r="Z57" s="1" t="n"/>
    </row>
    <row r="58">
      <c r="A58" s="1" t="n"/>
      <c r="B58" s="1" t="n"/>
      <c r="C58" s="1" t="n"/>
      <c r="D58" s="1" t="n"/>
      <c r="E58" s="1" t="n"/>
      <c r="F58" s="1" t="n"/>
      <c r="G58" s="1" t="n"/>
      <c r="H58" s="1" t="n"/>
      <c r="I58" s="1" t="n"/>
      <c r="J58" s="1" t="n"/>
      <c r="K58" s="1" t="n"/>
      <c r="L58" s="1" t="n"/>
      <c r="M58" s="1" t="n"/>
      <c r="N58" s="1" t="n"/>
      <c r="O58" s="1" t="n"/>
      <c r="P58" s="1" t="n"/>
      <c r="Q58" s="1" t="n"/>
      <c r="R58" s="1" t="n"/>
      <c r="S58" s="1" t="n"/>
      <c r="T58" s="1" t="n"/>
      <c r="U58" s="1" t="n"/>
      <c r="V58" s="1" t="n"/>
      <c r="W58" s="1" t="n"/>
      <c r="X58" s="1" t="n"/>
      <c r="Y58" s="1" t="n"/>
      <c r="Z58" s="1" t="n"/>
    </row>
    <row r="59">
      <c r="A59" s="1" t="n"/>
      <c r="B59" s="1" t="n"/>
      <c r="C59" s="1" t="n"/>
      <c r="D59" s="1" t="n"/>
      <c r="E59" s="1" t="n"/>
      <c r="F59" s="1" t="n"/>
      <c r="G59" s="1" t="n"/>
      <c r="H59" s="1" t="n"/>
      <c r="I59" s="1" t="n"/>
      <c r="J59" s="1" t="n"/>
      <c r="K59" s="1" t="n"/>
      <c r="L59" s="1" t="n"/>
      <c r="M59" s="1" t="n"/>
      <c r="N59" s="1" t="n"/>
      <c r="O59" s="1" t="n"/>
      <c r="P59" s="1" t="n"/>
      <c r="Q59" s="1" t="n"/>
      <c r="R59" s="1" t="n"/>
      <c r="S59" s="1" t="n"/>
      <c r="T59" s="1" t="n"/>
      <c r="U59" s="1" t="n"/>
      <c r="V59" s="1" t="n"/>
      <c r="W59" s="1" t="n"/>
      <c r="X59" s="1" t="n"/>
      <c r="Y59" s="1" t="n"/>
      <c r="Z59" s="1" t="n"/>
    </row>
    <row r="60">
      <c r="A60" s="1" t="n"/>
      <c r="B60" s="1" t="n"/>
      <c r="C60" s="1" t="n"/>
      <c r="D60" s="1" t="n"/>
      <c r="E60" s="1" t="n"/>
      <c r="F60" s="1" t="n"/>
      <c r="G60" s="1" t="n"/>
      <c r="H60" s="1" t="n"/>
      <c r="I60" s="1" t="n"/>
      <c r="J60" s="1" t="n"/>
      <c r="K60" s="1" t="n"/>
      <c r="L60" s="1" t="n"/>
      <c r="M60" s="1" t="n"/>
      <c r="N60" s="1" t="n"/>
      <c r="O60" s="1" t="n"/>
      <c r="P60" s="1" t="n"/>
      <c r="Q60" s="1" t="n"/>
      <c r="R60" s="1" t="n"/>
      <c r="S60" s="1" t="n"/>
      <c r="T60" s="1" t="n"/>
      <c r="U60" s="1" t="n"/>
      <c r="V60" s="1" t="n"/>
      <c r="W60" s="1" t="n"/>
      <c r="X60" s="1" t="n"/>
      <c r="Y60" s="1" t="n"/>
      <c r="Z60" s="1" t="n"/>
    </row>
    <row r="61">
      <c r="A61" s="1" t="n"/>
      <c r="B61" s="1" t="n"/>
      <c r="C61" s="1" t="n"/>
      <c r="D61" s="1" t="n"/>
      <c r="E61" s="1" t="n"/>
      <c r="F61" s="1" t="n"/>
      <c r="G61" s="1" t="n"/>
      <c r="H61" s="1" t="n"/>
      <c r="I61" s="1" t="n"/>
      <c r="J61" s="1" t="n"/>
      <c r="K61" s="1" t="n"/>
      <c r="L61" s="1" t="n"/>
      <c r="M61" s="1" t="n"/>
      <c r="N61" s="1" t="n"/>
      <c r="O61" s="1" t="n"/>
      <c r="P61" s="1" t="n"/>
      <c r="Q61" s="1" t="n"/>
      <c r="R61" s="1" t="n"/>
      <c r="S61" s="1" t="n"/>
      <c r="T61" s="1" t="n"/>
      <c r="U61" s="1" t="n"/>
      <c r="V61" s="1" t="n"/>
      <c r="W61" s="1" t="n"/>
      <c r="X61" s="1" t="n"/>
      <c r="Y61" s="1" t="n"/>
      <c r="Z61" s="1" t="n"/>
    </row>
    <row r="62">
      <c r="A62" s="1" t="n"/>
      <c r="B62" s="1" t="n"/>
      <c r="C62" s="1" t="n"/>
      <c r="D62" s="1" t="n"/>
      <c r="E62" s="1" t="n"/>
      <c r="F62" s="1" t="n"/>
      <c r="G62" s="1" t="n"/>
      <c r="H62" s="1" t="n"/>
      <c r="I62" s="1" t="n"/>
      <c r="J62" s="1" t="n"/>
      <c r="K62" s="1" t="n"/>
      <c r="L62" s="1" t="n"/>
      <c r="M62" s="1" t="n"/>
      <c r="N62" s="1" t="n"/>
      <c r="O62" s="1" t="n"/>
      <c r="P62" s="1" t="n"/>
      <c r="Q62" s="1" t="n"/>
      <c r="R62" s="1" t="n"/>
      <c r="S62" s="1" t="n"/>
      <c r="T62" s="1" t="n"/>
      <c r="U62" s="1" t="n"/>
      <c r="V62" s="1" t="n"/>
      <c r="W62" s="1" t="n"/>
      <c r="X62" s="1" t="n"/>
      <c r="Y62" s="1" t="n"/>
      <c r="Z62" s="1" t="n"/>
    </row>
    <row r="63">
      <c r="A63" s="1" t="n"/>
      <c r="B63" s="1" t="n"/>
      <c r="C63" s="1" t="n"/>
      <c r="D63" s="1" t="n"/>
      <c r="E63" s="1" t="n"/>
      <c r="F63" s="1" t="n"/>
      <c r="G63" s="1" t="n"/>
      <c r="H63" s="1" t="n"/>
      <c r="I63" s="1" t="n"/>
      <c r="J63" s="1" t="n"/>
      <c r="K63" s="1" t="n"/>
      <c r="L63" s="1" t="n"/>
      <c r="M63" s="1" t="n"/>
      <c r="N63" s="1" t="n"/>
      <c r="O63" s="1" t="n"/>
      <c r="P63" s="1" t="n"/>
      <c r="Q63" s="1" t="n"/>
      <c r="R63" s="1" t="n"/>
      <c r="S63" s="1" t="n"/>
      <c r="T63" s="1" t="n"/>
      <c r="U63" s="1" t="n"/>
      <c r="V63" s="1" t="n"/>
      <c r="W63" s="1" t="n"/>
      <c r="X63" s="1" t="n"/>
      <c r="Y63" s="1" t="n"/>
      <c r="Z63" s="1" t="n"/>
    </row>
    <row r="64">
      <c r="A64" s="1" t="n"/>
      <c r="B64" s="1" t="n"/>
      <c r="C64" s="1" t="n"/>
      <c r="D64" s="1" t="n"/>
      <c r="E64" s="1" t="n"/>
      <c r="F64" s="1" t="n"/>
      <c r="G64" s="1" t="n"/>
      <c r="H64" s="1" t="n"/>
      <c r="I64" s="1" t="n"/>
      <c r="J64" s="1" t="n"/>
      <c r="K64" s="1" t="n"/>
      <c r="L64" s="1" t="n"/>
      <c r="M64" s="1" t="n"/>
      <c r="N64" s="1" t="n"/>
      <c r="O64" s="1" t="n"/>
      <c r="P64" s="1" t="n"/>
      <c r="Q64" s="1" t="n"/>
      <c r="R64" s="1" t="n"/>
      <c r="S64" s="1" t="n"/>
      <c r="T64" s="1" t="n"/>
      <c r="U64" s="1" t="n"/>
      <c r="V64" s="1" t="n"/>
      <c r="W64" s="1" t="n"/>
      <c r="X64" s="1" t="n"/>
      <c r="Y64" s="1" t="n"/>
      <c r="Z64" s="1" t="n"/>
    </row>
    <row r="65">
      <c r="A65" s="1" t="n"/>
      <c r="B65" s="1" t="n"/>
      <c r="C65" s="1" t="n"/>
      <c r="D65" s="1" t="n"/>
      <c r="E65" s="1" t="n"/>
      <c r="F65" s="1" t="n"/>
      <c r="G65" s="1" t="n"/>
      <c r="H65" s="1" t="n"/>
      <c r="I65" s="1" t="n"/>
      <c r="J65" s="1" t="n"/>
      <c r="K65" s="1" t="n"/>
      <c r="L65" s="1" t="n"/>
      <c r="M65" s="1" t="n"/>
      <c r="N65" s="1" t="n"/>
      <c r="O65" s="1" t="n"/>
      <c r="P65" s="1" t="n"/>
      <c r="Q65" s="1" t="n"/>
      <c r="R65" s="1" t="n"/>
      <c r="S65" s="1" t="n"/>
      <c r="T65" s="1" t="n"/>
      <c r="U65" s="1" t="n"/>
      <c r="V65" s="1" t="n"/>
      <c r="W65" s="1" t="n"/>
      <c r="X65" s="1" t="n"/>
      <c r="Y65" s="1" t="n"/>
      <c r="Z65" s="1" t="n"/>
    </row>
  </sheetData>
  <pageMargins left="0.4" right="0.4" top="0.5" bottom="0.5" header="0.3" footer="0.3"/>
  <pageSetup orientation="landscape" fitToHeight="0" fitToWidth="1"/>
  <drawing xmlns:r="http://schemas.openxmlformats.org/officeDocument/2006/relationships" r:id="rId1"/>
</worksheet>
</file>

<file path=xl/worksheets/sheet12.xml><?xml version="1.0" encoding="utf-8"?>
<worksheet xmlns="http://schemas.openxmlformats.org/spreadsheetml/2006/main">
  <sheetPr>
    <tabColor rgb="0076766F"/>
    <outlinePr summaryBelow="1" summaryRight="1"/>
    <pageSetUpPr fitToPage="1"/>
  </sheetPr>
  <dimension ref="A1:J33"/>
  <sheetViews>
    <sheetView showGridLines="0" workbookViewId="0">
      <selection activeCell="A1" sqref="A1"/>
    </sheetView>
  </sheetViews>
  <sheetFormatPr baseColWidth="8" defaultRowHeight="15"/>
  <cols>
    <col width="2.5" customWidth="1" min="1" max="1"/>
    <col width="38" customWidth="1" min="2" max="2"/>
    <col width="13" customWidth="1" min="3" max="3"/>
    <col width="58" customWidth="1" min="4" max="4"/>
  </cols>
  <sheetData>
    <row r="1" ht="9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</row>
    <row r="2" ht="22" customHeight="1">
      <c r="A2" s="1" t="n"/>
      <c r="B2" s="17" t="inlineStr">
        <is>
          <t>Cost of Intelligence</t>
        </is>
      </c>
      <c r="C2" s="18" t="n"/>
      <c r="D2" s="18" t="n"/>
      <c r="E2" s="1" t="n"/>
      <c r="F2" s="1" t="n"/>
      <c r="G2" s="1" t="n"/>
      <c r="H2" s="1" t="n"/>
      <c r="I2" s="1" t="n"/>
      <c r="J2" s="1" t="n"/>
    </row>
    <row r="3">
      <c r="A3" s="1" t="n"/>
      <c r="B3" s="19" t="inlineStr">
        <is>
          <t>Margin per million tokens at the active scenario.</t>
        </is>
      </c>
      <c r="C3" s="1" t="n"/>
      <c r="D3" s="1" t="n"/>
      <c r="E3" s="1" t="n"/>
      <c r="F3" s="1" t="n"/>
      <c r="G3" s="1" t="n"/>
      <c r="H3" s="1" t="n"/>
      <c r="I3" s="1" t="n"/>
      <c r="J3" s="1" t="n"/>
    </row>
    <row r="4" ht="6" customHeight="1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</row>
    <row r="5">
      <c r="A5" s="1" t="n"/>
      <c r="B5" s="1" t="n"/>
      <c r="C5" s="1" t="n"/>
      <c r="D5" s="1" t="n"/>
      <c r="E5" s="1" t="n"/>
      <c r="F5" s="1" t="n"/>
      <c r="G5" s="1" t="n"/>
      <c r="H5" s="1" t="n"/>
      <c r="I5" s="1" t="n"/>
      <c r="J5" s="1" t="n"/>
    </row>
    <row r="6" ht="17" customHeight="1">
      <c r="A6" s="1" t="n"/>
      <c r="B6" s="22" t="inlineStr">
        <is>
          <t>Per-MTok stack</t>
        </is>
      </c>
      <c r="C6" s="23" t="n"/>
      <c r="D6" s="23" t="n"/>
      <c r="E6" s="1" t="n"/>
      <c r="F6" s="1" t="n"/>
      <c r="G6" s="1" t="n"/>
      <c r="H6" s="1" t="n"/>
      <c r="I6" s="1" t="n"/>
      <c r="J6" s="1" t="n"/>
    </row>
    <row r="7">
      <c r="A7" s="1" t="n"/>
      <c r="B7" s="29" t="inlineStr">
        <is>
          <t>Scenario revenue</t>
        </is>
      </c>
      <c r="C7" s="45">
        <f>nListPrice*(1-nCompression)</f>
        <v/>
      </c>
      <c r="D7" s="43" t="inlineStr">
        <is>
          <t>List price net of compression.</t>
        </is>
      </c>
      <c r="E7" s="1" t="n"/>
      <c r="F7" s="1" t="n"/>
      <c r="G7" s="1" t="n"/>
      <c r="H7" s="1" t="n"/>
      <c r="I7" s="1" t="n"/>
      <c r="J7" s="1" t="n"/>
    </row>
    <row r="8">
      <c r="A8" s="1" t="n"/>
      <c r="B8" s="29" t="inlineStr">
        <is>
          <t>Utilization drag</t>
        </is>
      </c>
      <c r="C8" s="82">
        <f>nUtilCal/nUtil</f>
        <v/>
      </c>
      <c r="D8" s="43" t="inlineStr">
        <is>
          <t>Fixed capacity spread over fewer served tokens.</t>
        </is>
      </c>
      <c r="E8" s="1" t="n"/>
      <c r="F8" s="1" t="n"/>
      <c r="G8" s="1" t="n"/>
      <c r="H8" s="1" t="n"/>
      <c r="I8" s="1" t="n"/>
      <c r="J8" s="1" t="n"/>
    </row>
    <row r="9">
      <c r="A9" s="1" t="n"/>
      <c r="B9" s="29" t="inlineStr">
        <is>
          <t>Inference compute</t>
        </is>
      </c>
      <c r="C9" s="45">
        <f>nInference*nGpuIdx*C8</f>
        <v/>
      </c>
      <c r="D9" s="43" t="inlineStr"/>
      <c r="E9" s="1" t="n"/>
      <c r="F9" s="1" t="n"/>
      <c r="G9" s="1" t="n"/>
      <c r="H9" s="1" t="n"/>
      <c r="I9" s="1" t="n"/>
      <c r="J9" s="1" t="n"/>
    </row>
    <row r="10">
      <c r="A10" s="1" t="n"/>
      <c r="B10" s="29" t="inlineStr">
        <is>
          <t>Training amortization</t>
        </is>
      </c>
      <c r="C10" s="45">
        <f>nAmort*C8</f>
        <v/>
      </c>
      <c r="D10" s="43" t="inlineStr"/>
      <c r="E10" s="1" t="n"/>
      <c r="F10" s="1" t="n"/>
      <c r="G10" s="1" t="n"/>
      <c r="H10" s="1" t="n"/>
      <c r="I10" s="1" t="n"/>
      <c r="J10" s="1" t="n"/>
    </row>
    <row r="11">
      <c r="A11" s="1" t="n"/>
      <c r="B11" s="29" t="inlineStr">
        <is>
          <t>Networking and storage</t>
        </is>
      </c>
      <c r="C11" s="45">
        <f>nNetworking</f>
        <v/>
      </c>
      <c r="D11" s="43" t="inlineStr"/>
      <c r="E11" s="1" t="n"/>
      <c r="F11" s="1" t="n"/>
      <c r="G11" s="1" t="n"/>
      <c r="H11" s="1" t="n"/>
      <c r="I11" s="1" t="n"/>
      <c r="J11" s="1" t="n"/>
    </row>
    <row r="12">
      <c r="A12" s="1" t="n"/>
      <c r="B12" s="29" t="inlineStr">
        <is>
          <t>Operator overhead</t>
        </is>
      </c>
      <c r="C12" s="45">
        <f>nOverheadBase*(nPower/nPowerCal)</f>
        <v/>
      </c>
      <c r="D12" s="43" t="inlineStr">
        <is>
          <t>Rides the power price.</t>
        </is>
      </c>
      <c r="E12" s="1" t="n"/>
      <c r="F12" s="1" t="n"/>
      <c r="G12" s="1" t="n"/>
      <c r="H12" s="1" t="n"/>
      <c r="I12" s="1" t="n"/>
      <c r="J12" s="1" t="n"/>
    </row>
    <row r="13">
      <c r="A13" s="1" t="n"/>
      <c r="B13" s="29" t="inlineStr">
        <is>
          <t>COD-gap carry</t>
        </is>
      </c>
      <c r="C13" s="45">
        <f>nCodBase*(1+nDelay/12)</f>
        <v/>
      </c>
      <c r="D13" s="43" t="inlineStr">
        <is>
          <t>Rides the construction delay.</t>
        </is>
      </c>
      <c r="E13" s="1" t="n"/>
      <c r="F13" s="1" t="n"/>
      <c r="G13" s="1" t="n"/>
      <c r="H13" s="1" t="n"/>
      <c r="I13" s="1" t="n"/>
      <c r="J13" s="1" t="n"/>
    </row>
    <row r="14">
      <c r="A14" s="1" t="n"/>
      <c r="B14" s="20" t="inlineStr">
        <is>
          <t>Cost of intelligence</t>
        </is>
      </c>
      <c r="C14" s="116">
        <f>SUM(C9:C13)</f>
        <v/>
      </c>
      <c r="D14" s="43" t="inlineStr"/>
      <c r="E14" s="1" t="n"/>
      <c r="F14" s="1" t="n"/>
      <c r="G14" s="1" t="n"/>
      <c r="H14" s="1" t="n"/>
      <c r="I14" s="1" t="n"/>
      <c r="J14" s="1" t="n"/>
    </row>
    <row r="15">
      <c r="A15" s="1" t="n"/>
      <c r="B15" s="20" t="inlineStr">
        <is>
          <t>Operating margin</t>
        </is>
      </c>
      <c r="C15" s="49">
        <f>C7-C14</f>
        <v/>
      </c>
      <c r="D15" s="43" t="inlineStr"/>
      <c r="E15" s="1" t="n"/>
      <c r="F15" s="1" t="n"/>
      <c r="G15" s="1" t="n"/>
      <c r="H15" s="1" t="n"/>
      <c r="I15" s="1" t="n"/>
      <c r="J15" s="1" t="n"/>
    </row>
    <row r="16">
      <c r="A16" s="1" t="n"/>
      <c r="B16" s="29" t="inlineStr">
        <is>
          <t>Margin of revenue</t>
        </is>
      </c>
      <c r="C16" s="114">
        <f>C15/C7</f>
        <v/>
      </c>
      <c r="D16" s="43" t="inlineStr"/>
      <c r="E16" s="1" t="n"/>
      <c r="F16" s="1" t="n"/>
      <c r="G16" s="1" t="n"/>
      <c r="H16" s="1" t="n"/>
      <c r="I16" s="1" t="n"/>
      <c r="J16" s="1" t="n"/>
    </row>
    <row r="17">
      <c r="A17" s="1" t="n"/>
      <c r="B17" s="20" t="inlineStr">
        <is>
          <t>DSCR</t>
        </is>
      </c>
      <c r="C17" s="70">
        <f>MAX(C15,0)/nDebtService</f>
        <v/>
      </c>
      <c r="D17" s="43" t="inlineStr">
        <is>
          <t>Margin over fixed debt service.</t>
        </is>
      </c>
      <c r="E17" s="1" t="n"/>
      <c r="F17" s="1" t="n"/>
      <c r="G17" s="1" t="n"/>
      <c r="H17" s="1" t="n"/>
      <c r="I17" s="1" t="n"/>
      <c r="J17" s="1" t="n"/>
    </row>
    <row r="18">
      <c r="A18" s="1" t="n"/>
      <c r="B18" s="20" t="inlineStr">
        <is>
          <t>Breakeven utilization</t>
        </is>
      </c>
      <c r="C18" s="118">
        <f>nUtilCal*(nInference*nGpuIdx+nAmort)/(C7-nNetworking-C12-C13)</f>
        <v/>
      </c>
      <c r="D18" s="43" t="inlineStr">
        <is>
          <t>Utilization where margin crosses zero.</t>
        </is>
      </c>
      <c r="E18" s="1" t="n"/>
      <c r="F18" s="1" t="n"/>
      <c r="G18" s="1" t="n"/>
      <c r="H18" s="1" t="n"/>
      <c r="I18" s="1" t="n"/>
      <c r="J18" s="1" t="n"/>
    </row>
    <row r="19">
      <c r="A19" s="1" t="n"/>
      <c r="B19" s="29" t="inlineStr">
        <is>
          <t>Liquidity trough</t>
        </is>
      </c>
      <c r="C19" s="45">
        <f>-nDelay*nBurn*(nPower/nPowerCal)*(1+nCompression)</f>
        <v/>
      </c>
      <c r="D19" s="43" t="inlineStr">
        <is>
          <t>Multiplicative in delay and compression.</t>
        </is>
      </c>
      <c r="E19" s="1" t="n"/>
      <c r="F19" s="1" t="n"/>
      <c r="G19" s="1" t="n"/>
      <c r="H19" s="1" t="n"/>
      <c r="I19" s="1" t="n"/>
      <c r="J19" s="1" t="n"/>
    </row>
    <row r="20">
      <c r="A20" s="1" t="n"/>
      <c r="B20" s="1" t="n"/>
      <c r="C20" s="1" t="n"/>
      <c r="D20" s="1" t="n"/>
      <c r="E20" s="1" t="n"/>
      <c r="F20" s="1" t="n"/>
      <c r="G20" s="1" t="n"/>
      <c r="H20" s="1" t="n"/>
      <c r="I20" s="1" t="n"/>
      <c r="J20" s="1" t="n"/>
    </row>
    <row r="21">
      <c r="A21" s="1" t="n"/>
      <c r="B21" s="20" t="inlineStr">
        <is>
          <t>Implied power intensity</t>
        </is>
      </c>
      <c r="C21" s="78">
        <f>nOverheadBase/nPowerCal</f>
        <v/>
      </c>
      <c r="D21" s="43" t="inlineStr">
        <is>
          <t>The overhead calibration implies the MWh required per million tokens.</t>
        </is>
      </c>
      <c r="E21" s="1" t="n"/>
      <c r="F21" s="1" t="n"/>
      <c r="G21" s="1" t="n"/>
      <c r="H21" s="1" t="n"/>
      <c r="I21" s="1" t="n"/>
      <c r="J21" s="1" t="n"/>
    </row>
    <row r="22">
      <c r="A22" s="1" t="n"/>
      <c r="B22" s="1" t="n"/>
      <c r="C22" s="1" t="n"/>
      <c r="D22" s="1" t="n"/>
      <c r="E22" s="1" t="n"/>
      <c r="F22" s="1" t="n"/>
      <c r="G22" s="1" t="n"/>
      <c r="H22" s="1" t="n"/>
      <c r="I22" s="1" t="n"/>
      <c r="J22" s="1" t="n"/>
    </row>
    <row r="23">
      <c r="A23" s="1" t="n"/>
      <c r="B23" s="1" t="n"/>
      <c r="C23" s="1" t="n"/>
      <c r="D23" s="1" t="n"/>
      <c r="E23" s="1" t="n"/>
      <c r="F23" s="1" t="n"/>
      <c r="G23" s="1" t="n"/>
      <c r="H23" s="1" t="n"/>
      <c r="I23" s="1" t="n"/>
      <c r="J23" s="1" t="n"/>
    </row>
    <row r="24">
      <c r="A24" s="1" t="n"/>
      <c r="B24" s="1" t="n"/>
      <c r="C24" s="1" t="n"/>
      <c r="D24" s="1" t="n"/>
      <c r="E24" s="1" t="n"/>
      <c r="F24" s="1" t="n"/>
      <c r="G24" s="1" t="n"/>
      <c r="H24" s="1" t="n"/>
      <c r="I24" s="1" t="n"/>
      <c r="J24" s="1" t="n"/>
    </row>
    <row r="25">
      <c r="A25" s="1" t="n"/>
      <c r="B25" s="1" t="n"/>
      <c r="C25" s="1" t="n"/>
      <c r="D25" s="1" t="n"/>
      <c r="E25" s="1" t="n"/>
      <c r="F25" s="1" t="n"/>
      <c r="G25" s="1" t="n"/>
      <c r="H25" s="1" t="n"/>
      <c r="I25" s="1" t="n"/>
      <c r="J25" s="1" t="n"/>
    </row>
    <row r="26">
      <c r="A26" s="1" t="n"/>
      <c r="B26" s="1" t="n"/>
      <c r="C26" s="1" t="n"/>
      <c r="D26" s="1" t="n"/>
      <c r="E26" s="1" t="n"/>
      <c r="F26" s="1" t="n"/>
      <c r="G26" s="1" t="n"/>
      <c r="H26" s="1" t="n"/>
      <c r="I26" s="1" t="n"/>
      <c r="J26" s="1" t="n"/>
    </row>
    <row r="27">
      <c r="A27" s="1" t="n"/>
      <c r="B27" s="1" t="n"/>
      <c r="C27" s="1" t="n"/>
      <c r="D27" s="1" t="n"/>
      <c r="E27" s="1" t="n"/>
      <c r="F27" s="1" t="n"/>
      <c r="G27" s="1" t="n"/>
      <c r="H27" s="1" t="n"/>
      <c r="I27" s="1" t="n"/>
      <c r="J27" s="1" t="n"/>
    </row>
    <row r="28">
      <c r="A28" s="1" t="n"/>
      <c r="B28" s="1" t="n"/>
      <c r="C28" s="1" t="n"/>
      <c r="D28" s="1" t="n"/>
      <c r="E28" s="1" t="n"/>
      <c r="F28" s="1" t="n"/>
      <c r="G28" s="1" t="n"/>
      <c r="H28" s="1" t="n"/>
      <c r="I28" s="1" t="n"/>
      <c r="J28" s="1" t="n"/>
    </row>
    <row r="29">
      <c r="A29" s="1" t="n"/>
      <c r="B29" s="1" t="n"/>
      <c r="C29" s="1" t="n"/>
      <c r="D29" s="1" t="n"/>
      <c r="E29" s="1" t="n"/>
      <c r="F29" s="1" t="n"/>
      <c r="G29" s="1" t="n"/>
      <c r="H29" s="1" t="n"/>
      <c r="I29" s="1" t="n"/>
      <c r="J29" s="1" t="n"/>
    </row>
    <row r="30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  <c r="J30" s="1" t="n"/>
    </row>
    <row r="31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  <c r="J31" s="1" t="n"/>
    </row>
    <row r="32">
      <c r="A32" s="1" t="n"/>
      <c r="B32" s="1" t="n"/>
      <c r="C32" s="1" t="n"/>
      <c r="D32" s="1" t="n"/>
      <c r="E32" s="1" t="n"/>
      <c r="F32" s="1" t="n"/>
      <c r="G32" s="1" t="n"/>
      <c r="H32" s="1" t="n"/>
      <c r="I32" s="1" t="n"/>
      <c r="J32" s="1" t="n"/>
    </row>
    <row r="33">
      <c r="A33" s="1" t="n"/>
      <c r="B33" s="1" t="n"/>
      <c r="C33" s="1" t="n"/>
      <c r="D33" s="1" t="n"/>
      <c r="E33" s="1" t="n"/>
      <c r="F33" s="1" t="n"/>
      <c r="G33" s="1" t="n"/>
      <c r="H33" s="1" t="n"/>
      <c r="I33" s="1" t="n"/>
      <c r="J33" s="1" t="n"/>
    </row>
  </sheetData>
  <pageMargins left="0.4" right="0.4" top="0.5" bottom="0.5" header="0.3" footer="0.3"/>
  <pageSetup orientation="landscape" fitToHeight="0" fitToWidth="1"/>
</worksheet>
</file>

<file path=xl/worksheets/sheet13.xml><?xml version="1.0" encoding="utf-8"?>
<worksheet xmlns="http://schemas.openxmlformats.org/spreadsheetml/2006/main">
  <sheetPr>
    <tabColor rgb="0076766F"/>
    <outlinePr summaryBelow="1" summaryRight="1"/>
    <pageSetUpPr fitToPage="1"/>
  </sheetPr>
  <dimension ref="A1:S43"/>
  <sheetViews>
    <sheetView showGridLines="0" workbookViewId="0">
      <selection activeCell="A1" sqref="A1"/>
    </sheetView>
  </sheetViews>
  <sheetFormatPr baseColWidth="8" defaultRowHeight="15"/>
  <cols>
    <col width="2.5" customWidth="1" min="1" max="1"/>
    <col width="30" customWidth="1" min="2" max="2"/>
    <col width="12" customWidth="1" min="3" max="3"/>
    <col width="12" customWidth="1" min="4" max="4"/>
    <col width="12" customWidth="1" min="5" max="5"/>
    <col width="12.5" customWidth="1" min="6" max="6"/>
    <col width="10" customWidth="1" min="7" max="7"/>
    <col width="10" customWidth="1" min="8" max="8"/>
    <col width="10" customWidth="1" min="9" max="9"/>
    <col width="9.5" customWidth="1" min="10" max="10"/>
    <col width="11.5" customWidth="1" min="11" max="11"/>
    <col width="14" customWidth="1" min="12" max="12"/>
    <col width="11.5" customWidth="1" min="13" max="13"/>
  </cols>
  <sheetData>
    <row r="1" ht="9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</row>
    <row r="2" ht="22" customHeight="1">
      <c r="A2" s="1" t="n"/>
      <c r="B2" s="17" t="inlineStr">
        <is>
          <t>Procurement Structures</t>
        </is>
      </c>
      <c r="C2" s="18" t="n"/>
      <c r="D2" s="18" t="n"/>
      <c r="E2" s="18" t="n"/>
      <c r="F2" s="18" t="n"/>
      <c r="G2" s="18" t="n"/>
      <c r="H2" s="18" t="n"/>
      <c r="I2" s="18" t="n"/>
      <c r="J2" s="18" t="n"/>
      <c r="K2" s="18" t="n"/>
      <c r="L2" s="18" t="n"/>
      <c r="M2" s="18" t="n"/>
      <c r="N2" s="1" t="n"/>
      <c r="O2" s="1" t="n"/>
      <c r="P2" s="1" t="n"/>
      <c r="Q2" s="1" t="n"/>
      <c r="R2" s="1" t="n"/>
      <c r="S2" s="1" t="n"/>
    </row>
    <row r="3">
      <c r="A3" s="1" t="n"/>
      <c r="B3" s="19" t="inlineStr">
        <is>
          <t>The next gigawatt has different price, carry, failure mode, and time-to-compute depending on how it is sourced.</t>
        </is>
      </c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  <c r="M3" s="1" t="n"/>
      <c r="N3" s="1" t="n"/>
      <c r="O3" s="1" t="n"/>
      <c r="P3" s="1" t="n"/>
      <c r="Q3" s="1" t="n"/>
      <c r="R3" s="1" t="n"/>
      <c r="S3" s="1" t="n"/>
    </row>
    <row r="4" ht="6" customHeight="1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  <c r="K4" s="1" t="n"/>
      <c r="L4" s="1" t="n"/>
      <c r="M4" s="1" t="n"/>
      <c r="N4" s="1" t="n"/>
      <c r="O4" s="1" t="n"/>
      <c r="P4" s="1" t="n"/>
      <c r="Q4" s="1" t="n"/>
      <c r="R4" s="1" t="n"/>
      <c r="S4" s="1" t="n"/>
    </row>
    <row r="5">
      <c r="A5" s="1" t="n"/>
      <c r="B5" s="1" t="n"/>
      <c r="C5" s="1" t="n"/>
      <c r="D5" s="1" t="n"/>
      <c r="E5" s="1" t="n"/>
      <c r="F5" s="1" t="n"/>
      <c r="G5" s="1" t="n"/>
      <c r="H5" s="1" t="n"/>
      <c r="I5" s="1" t="n"/>
      <c r="J5" s="1" t="n"/>
      <c r="K5" s="1" t="n"/>
      <c r="L5" s="1" t="n"/>
      <c r="M5" s="1" t="n"/>
      <c r="N5" s="1" t="n"/>
      <c r="O5" s="1" t="n"/>
      <c r="P5" s="1" t="n"/>
      <c r="Q5" s="1" t="n"/>
      <c r="R5" s="1" t="n"/>
      <c r="S5" s="1" t="n"/>
    </row>
    <row r="6" ht="17" customHeight="1">
      <c r="A6" s="1" t="n"/>
      <c r="B6" s="22" t="inlineStr">
        <is>
          <t>FY2026 marginal snapshot</t>
        </is>
      </c>
      <c r="C6" s="23" t="n"/>
      <c r="D6" s="23" t="n"/>
      <c r="E6" s="23" t="n"/>
      <c r="F6" s="23" t="n"/>
      <c r="G6" s="23" t="n"/>
      <c r="H6" s="23" t="n"/>
      <c r="I6" s="23" t="n"/>
      <c r="J6" s="23" t="n"/>
      <c r="K6" s="1" t="n"/>
      <c r="L6" s="1" t="n"/>
      <c r="M6" s="1" t="n"/>
      <c r="N6" s="1" t="n"/>
      <c r="O6" s="1" t="n"/>
      <c r="P6" s="1" t="n"/>
      <c r="Q6" s="1" t="n"/>
      <c r="R6" s="1" t="n"/>
      <c r="S6" s="1" t="n"/>
    </row>
    <row r="7" ht="26" customHeight="1">
      <c r="A7" s="1" t="n"/>
      <c r="B7" s="39" t="inlineStr">
        <is>
          <t>Structure</t>
        </is>
      </c>
      <c r="C7" s="52" t="inlineStr">
        <is>
          <t>Power ($/MWh)</t>
        </is>
      </c>
      <c r="D7" s="52" t="inlineStr">
        <is>
          <t>Δ overhead ($/MTok)</t>
        </is>
      </c>
      <c r="E7" s="52" t="inlineStr">
        <is>
          <t>COD carry ($/MTok)</t>
        </is>
      </c>
      <c r="F7" s="52" t="inlineStr">
        <is>
          <t>CoI ($/MTok)</t>
        </is>
      </c>
      <c r="G7" s="52" t="inlineStr">
        <is>
          <t>RA CoI ($/MTok)</t>
        </is>
      </c>
      <c r="H7" s="52" t="inlineStr">
        <is>
          <t>Δ vs best ($/MTok)</t>
        </is>
      </c>
      <c r="I7" s="52" t="inlineStr">
        <is>
          <t>Margin ($/MTok)</t>
        </is>
      </c>
      <c r="J7" s="52" t="inlineStr">
        <is>
          <t>DSCR</t>
        </is>
      </c>
      <c r="K7" s="1" t="n"/>
      <c r="L7" s="1" t="n"/>
      <c r="M7" s="1" t="n"/>
      <c r="N7" s="1" t="n"/>
      <c r="O7" s="1" t="n"/>
      <c r="P7" s="1" t="n"/>
      <c r="Q7" s="1" t="n"/>
      <c r="R7" s="1" t="n"/>
      <c r="S7" s="1" t="n"/>
    </row>
    <row r="8">
      <c r="A8" s="1" t="n"/>
      <c r="B8" s="122">
        <f>INDEX(StructTable,1,1)</f>
        <v/>
      </c>
      <c r="C8" s="103">
        <f>(INDEX(StructTable,1,3)+INDEX(StructTable,1,4))*(1+INDEX(StructTable,1,5))</f>
        <v/>
      </c>
      <c r="D8" s="107">
        <f>(C8-nPower)*PowerIntensity</f>
        <v/>
      </c>
      <c r="E8" s="107">
        <f>nCodBase*(1+INDEX(StructTable,1,6)/12)</f>
        <v/>
      </c>
      <c r="F8" s="107">
        <f>CoiCost+D8+E8-CoI!$C$13</f>
        <v/>
      </c>
      <c r="G8" s="94">
        <f>F8/(1-RiskHaircut*INDEX(StructTable,1,6)/12)</f>
        <v/>
      </c>
      <c r="H8" s="107">
        <f>G8-MIN($G$8:$G$11)</f>
        <v/>
      </c>
      <c r="I8" s="107">
        <f>CoiRevenue-G8</f>
        <v/>
      </c>
      <c r="J8" s="112">
        <f>MAX(CoiRevenue-G8,0)/nDebtService</f>
        <v/>
      </c>
      <c r="K8" s="1" t="n"/>
      <c r="L8" s="1" t="n"/>
      <c r="M8" s="1" t="n"/>
      <c r="N8" s="1" t="n"/>
      <c r="O8" s="1" t="n"/>
      <c r="P8" s="1" t="n"/>
      <c r="Q8" s="1" t="n"/>
      <c r="R8" s="1" t="n"/>
      <c r="S8" s="1" t="n"/>
    </row>
    <row r="9">
      <c r="A9" s="1" t="n"/>
      <c r="B9" s="122">
        <f>INDEX(StructTable,2,1)</f>
        <v/>
      </c>
      <c r="C9" s="103">
        <f>(INDEX(StructTable,2,3)+INDEX(StructTable,2,4))*(1+INDEX(StructTable,2,5))</f>
        <v/>
      </c>
      <c r="D9" s="107">
        <f>(C9-nPower)*PowerIntensity</f>
        <v/>
      </c>
      <c r="E9" s="107">
        <f>nCodBase*(1+INDEX(StructTable,2,6)/12)</f>
        <v/>
      </c>
      <c r="F9" s="107">
        <f>CoiCost+D9+E9-CoI!$C$13</f>
        <v/>
      </c>
      <c r="G9" s="94">
        <f>F9/(1-RiskHaircut*INDEX(StructTable,2,6)/12)</f>
        <v/>
      </c>
      <c r="H9" s="107">
        <f>G9-MIN($G$8:$G$11)</f>
        <v/>
      </c>
      <c r="I9" s="107">
        <f>CoiRevenue-G9</f>
        <v/>
      </c>
      <c r="J9" s="112">
        <f>MAX(CoiRevenue-G9,0)/nDebtService</f>
        <v/>
      </c>
      <c r="K9" s="1" t="n"/>
      <c r="L9" s="1" t="n"/>
      <c r="M9" s="1" t="n"/>
      <c r="N9" s="1" t="n"/>
      <c r="O9" s="1" t="n"/>
      <c r="P9" s="1" t="n"/>
      <c r="Q9" s="1" t="n"/>
      <c r="R9" s="1" t="n"/>
      <c r="S9" s="1" t="n"/>
    </row>
    <row r="10">
      <c r="A10" s="1" t="n"/>
      <c r="B10" s="122">
        <f>INDEX(StructTable,3,1)</f>
        <v/>
      </c>
      <c r="C10" s="103">
        <f>(INDEX(StructTable,3,3)+INDEX(StructTable,3,4))*(1+INDEX(StructTable,3,5))</f>
        <v/>
      </c>
      <c r="D10" s="107">
        <f>(C10-nPower)*PowerIntensity</f>
        <v/>
      </c>
      <c r="E10" s="107">
        <f>nCodBase*(1+INDEX(StructTable,3,6)/12)</f>
        <v/>
      </c>
      <c r="F10" s="107">
        <f>CoiCost+D10+E10-CoI!$C$13</f>
        <v/>
      </c>
      <c r="G10" s="94">
        <f>F10/(1-RiskHaircut*INDEX(StructTable,3,6)/12)</f>
        <v/>
      </c>
      <c r="H10" s="107">
        <f>G10-MIN($G$8:$G$11)</f>
        <v/>
      </c>
      <c r="I10" s="107">
        <f>CoiRevenue-G10</f>
        <v/>
      </c>
      <c r="J10" s="112">
        <f>MAX(CoiRevenue-G10,0)/nDebtService</f>
        <v/>
      </c>
      <c r="K10" s="1" t="n"/>
      <c r="L10" s="1" t="n"/>
      <c r="M10" s="1" t="n"/>
      <c r="N10" s="1" t="n"/>
      <c r="O10" s="1" t="n"/>
      <c r="P10" s="1" t="n"/>
      <c r="Q10" s="1" t="n"/>
      <c r="R10" s="1" t="n"/>
      <c r="S10" s="1" t="n"/>
    </row>
    <row r="11">
      <c r="A11" s="1" t="n"/>
      <c r="B11" s="122">
        <f>INDEX(StructTable,4,1)</f>
        <v/>
      </c>
      <c r="C11" s="103">
        <f>(INDEX(StructTable,4,3)+INDEX(StructTable,4,4))*(1+INDEX(StructTable,4,5))</f>
        <v/>
      </c>
      <c r="D11" s="107">
        <f>(C11-nPower)*PowerIntensity</f>
        <v/>
      </c>
      <c r="E11" s="107">
        <f>nCodBase*(1+INDEX(StructTable,4,6)/12)</f>
        <v/>
      </c>
      <c r="F11" s="107">
        <f>CoiCost+D11+E11-CoI!$C$13</f>
        <v/>
      </c>
      <c r="G11" s="94">
        <f>F11/(1-RiskHaircut*INDEX(StructTable,4,6)/12)</f>
        <v/>
      </c>
      <c r="H11" s="107">
        <f>G11-MIN($G$8:$G$11)</f>
        <v/>
      </c>
      <c r="I11" s="107">
        <f>CoiRevenue-G11</f>
        <v/>
      </c>
      <c r="J11" s="112">
        <f>MAX(CoiRevenue-G11,0)/nDebtService</f>
        <v/>
      </c>
      <c r="K11" s="1" t="n"/>
      <c r="L11" s="1" t="n"/>
      <c r="M11" s="1" t="n"/>
      <c r="N11" s="1" t="n"/>
      <c r="O11" s="1" t="n"/>
      <c r="P11" s="1" t="n"/>
      <c r="Q11" s="1" t="n"/>
      <c r="R11" s="1" t="n"/>
      <c r="S11" s="1" t="n"/>
    </row>
    <row r="12">
      <c r="A12" s="1" t="n"/>
      <c r="B12" s="1" t="n"/>
      <c r="C12" s="1" t="n"/>
      <c r="D12" s="1" t="n"/>
      <c r="E12" s="1" t="n"/>
      <c r="F12" s="1" t="n"/>
      <c r="G12" s="1" t="n"/>
      <c r="H12" s="1" t="n"/>
      <c r="I12" s="1" t="n"/>
      <c r="J12" s="1" t="n"/>
      <c r="K12" s="1" t="n"/>
      <c r="L12" s="1" t="n"/>
      <c r="M12" s="1" t="n"/>
      <c r="N12" s="1" t="n"/>
      <c r="O12" s="1" t="n"/>
      <c r="P12" s="1" t="n"/>
      <c r="Q12" s="1" t="n"/>
      <c r="R12" s="1" t="n"/>
      <c r="S12" s="1" t="n"/>
    </row>
    <row r="13">
      <c r="A13" s="1" t="n"/>
      <c r="B13" s="29" t="inlineStr">
        <is>
          <t>Risk haircut per delay-year</t>
        </is>
      </c>
      <c r="C13" s="98" t="n">
        <v>0.05</v>
      </c>
      <c r="D13" s="43" t="inlineStr">
        <is>
          <t>Utilization-equivalent haircut per year of structure delay.</t>
        </is>
      </c>
      <c r="E13" s="1" t="n"/>
      <c r="F13" s="1" t="n"/>
      <c r="G13" s="1" t="n"/>
      <c r="H13" s="1" t="n"/>
      <c r="I13" s="1" t="n"/>
      <c r="J13" s="1" t="n"/>
      <c r="K13" s="1" t="n"/>
      <c r="L13" s="1" t="n"/>
      <c r="M13" s="1" t="n"/>
      <c r="N13" s="1" t="n"/>
      <c r="O13" s="1" t="n"/>
      <c r="P13" s="1" t="n"/>
      <c r="Q13" s="1" t="n"/>
      <c r="R13" s="1" t="n"/>
      <c r="S13" s="1" t="n"/>
    </row>
    <row r="14">
      <c r="A14" s="1" t="n"/>
      <c r="B14" s="1" t="n"/>
      <c r="C14" s="1" t="n"/>
      <c r="D14" s="1" t="n"/>
      <c r="E14" s="1" t="n"/>
      <c r="F14" s="1" t="n"/>
      <c r="G14" s="1" t="n"/>
      <c r="H14" s="1" t="n"/>
      <c r="I14" s="1" t="n"/>
      <c r="J14" s="1" t="n"/>
      <c r="K14" s="1" t="n"/>
      <c r="L14" s="1" t="n"/>
      <c r="M14" s="1" t="n"/>
      <c r="N14" s="1" t="n"/>
      <c r="O14" s="1" t="n"/>
      <c r="P14" s="1" t="n"/>
      <c r="Q14" s="1" t="n"/>
      <c r="R14" s="1" t="n"/>
      <c r="S14" s="1" t="n"/>
    </row>
    <row r="15">
      <c r="A15" s="1" t="n"/>
      <c r="B15" s="20" t="inlineStr">
        <is>
          <t>Cheapest marginal source</t>
        </is>
      </c>
      <c r="C15" s="75">
        <f>INDEX(B8:B11,MATCH(MIN(G8:G11),G8:G11,0))</f>
        <v/>
      </c>
      <c r="D15" s="1" t="n"/>
      <c r="E15" s="1" t="n"/>
      <c r="F15" s="1" t="n"/>
      <c r="G15" s="1" t="n"/>
      <c r="H15" s="1" t="n"/>
      <c r="I15" s="1" t="n"/>
      <c r="J15" s="1" t="n"/>
      <c r="K15" s="1" t="n"/>
      <c r="L15" s="1" t="n"/>
      <c r="M15" s="1" t="n"/>
      <c r="N15" s="1" t="n"/>
      <c r="O15" s="1" t="n"/>
      <c r="P15" s="1" t="n"/>
      <c r="Q15" s="1" t="n"/>
      <c r="R15" s="1" t="n"/>
      <c r="S15" s="1" t="n"/>
    </row>
    <row r="16">
      <c r="A16" s="1" t="n"/>
      <c r="B16" s="20" t="inlineStr">
        <is>
          <t>Its RA CoI ($/MTok)</t>
        </is>
      </c>
      <c r="C16" s="49">
        <f>MIN(G8:G11)</f>
        <v/>
      </c>
      <c r="D16" s="1" t="n"/>
      <c r="E16" s="1" t="n"/>
      <c r="F16" s="1" t="n"/>
      <c r="G16" s="1" t="n"/>
      <c r="H16" s="1" t="n"/>
      <c r="I16" s="1" t="n"/>
      <c r="J16" s="1" t="n"/>
      <c r="K16" s="1" t="n"/>
      <c r="L16" s="1" t="n"/>
      <c r="M16" s="1" t="n"/>
      <c r="N16" s="1" t="n"/>
      <c r="O16" s="1" t="n"/>
      <c r="P16" s="1" t="n"/>
      <c r="Q16" s="1" t="n"/>
      <c r="R16" s="1" t="n"/>
      <c r="S16" s="1" t="n"/>
    </row>
    <row r="17">
      <c r="A17" s="1" t="n"/>
      <c r="B17" s="1" t="n"/>
      <c r="C17" s="1" t="n"/>
      <c r="D17" s="1" t="n"/>
      <c r="E17" s="1" t="n"/>
      <c r="F17" s="1" t="n"/>
      <c r="G17" s="1" t="n"/>
      <c r="H17" s="1" t="n"/>
      <c r="I17" s="1" t="n"/>
      <c r="J17" s="1" t="n"/>
      <c r="K17" s="1" t="n"/>
      <c r="L17" s="1" t="n"/>
      <c r="M17" s="1" t="n"/>
      <c r="N17" s="1" t="n"/>
      <c r="O17" s="1" t="n"/>
      <c r="P17" s="1" t="n"/>
      <c r="Q17" s="1" t="n"/>
      <c r="R17" s="1" t="n"/>
      <c r="S17" s="1" t="n"/>
    </row>
    <row r="18">
      <c r="A18" s="1" t="n"/>
      <c r="B18" s="43" t="inlineStr">
        <is>
          <t>The marginal snapshot is context, not the answer. No source absorbs the whole envelope, and the caps bind on Portfolio. The N-SMR row prices at its U2-COD year and carries the longest delay risk.</t>
        </is>
      </c>
      <c r="C18" s="1" t="n"/>
      <c r="D18" s="1" t="n"/>
      <c r="E18" s="1" t="n"/>
      <c r="F18" s="1" t="n"/>
      <c r="G18" s="1" t="n"/>
      <c r="H18" s="1" t="n"/>
      <c r="I18" s="1" t="n"/>
      <c r="J18" s="1" t="n"/>
      <c r="K18" s="1" t="n"/>
      <c r="L18" s="1" t="n"/>
      <c r="M18" s="1" t="n"/>
      <c r="N18" s="1" t="n"/>
      <c r="O18" s="1" t="n"/>
      <c r="P18" s="1" t="n"/>
      <c r="Q18" s="1" t="n"/>
      <c r="R18" s="1" t="n"/>
      <c r="S18" s="1" t="n"/>
    </row>
    <row r="19">
      <c r="A19" s="1" t="n"/>
      <c r="B19" s="1" t="n"/>
      <c r="C19" s="1" t="n"/>
      <c r="D19" s="1" t="n"/>
      <c r="E19" s="1" t="n"/>
      <c r="F19" s="1" t="n"/>
      <c r="G19" s="1" t="n"/>
      <c r="H19" s="1" t="n"/>
      <c r="I19" s="1" t="n"/>
      <c r="J19" s="1" t="n"/>
      <c r="K19" s="1" t="n"/>
      <c r="L19" s="1" t="n"/>
      <c r="M19" s="1" t="n"/>
      <c r="N19" s="1" t="n"/>
      <c r="O19" s="1" t="n"/>
      <c r="P19" s="1" t="n"/>
      <c r="Q19" s="1" t="n"/>
      <c r="R19" s="1" t="n"/>
      <c r="S19" s="1" t="n"/>
    </row>
    <row r="20">
      <c r="A20" s="1" t="n"/>
      <c r="B20" s="1" t="n"/>
      <c r="C20" s="1" t="n"/>
      <c r="D20" s="1" t="n"/>
      <c r="E20" s="1" t="n"/>
      <c r="F20" s="1" t="n"/>
      <c r="G20" s="1" t="n"/>
      <c r="H20" s="1" t="n"/>
      <c r="I20" s="1" t="n"/>
      <c r="J20" s="1" t="n"/>
      <c r="K20" s="1" t="n"/>
      <c r="L20" s="1" t="n"/>
      <c r="M20" s="1" t="n"/>
      <c r="N20" s="1" t="n"/>
      <c r="O20" s="1" t="n"/>
      <c r="P20" s="1" t="n"/>
      <c r="Q20" s="1" t="n"/>
      <c r="R20" s="1" t="n"/>
      <c r="S20" s="1" t="n"/>
    </row>
    <row r="21" ht="17" customHeight="1">
      <c r="A21" s="1" t="n"/>
      <c r="B21" s="22" t="inlineStr">
        <is>
          <t>Time-to-compute scorecard</t>
        </is>
      </c>
      <c r="C21" s="23" t="n"/>
      <c r="D21" s="23" t="n"/>
      <c r="E21" s="23" t="n"/>
      <c r="F21" s="23" t="n"/>
      <c r="G21" s="23" t="n"/>
      <c r="H21" s="23" t="n"/>
      <c r="I21" s="23" t="n"/>
      <c r="J21" s="23" t="n"/>
      <c r="K21" s="23" t="n"/>
      <c r="L21" s="23" t="n"/>
      <c r="M21" s="23" t="n"/>
      <c r="N21" s="1" t="n"/>
      <c r="O21" s="1" t="n"/>
      <c r="P21" s="1" t="n"/>
      <c r="Q21" s="1" t="n"/>
      <c r="R21" s="1" t="n"/>
      <c r="S21" s="1" t="n"/>
    </row>
    <row r="22" ht="26" customHeight="1">
      <c r="A22" s="1" t="n"/>
      <c r="B22" s="39" t="inlineStr">
        <is>
          <t>Structure</t>
        </is>
      </c>
      <c r="C22" s="52" t="inlineStr">
        <is>
          <t>Order year</t>
        </is>
      </c>
      <c r="D22" s="52" t="inlineStr">
        <is>
          <t>Lands year</t>
        </is>
      </c>
      <c r="E22" s="52" t="inlineStr">
        <is>
          <t>Powered year</t>
        </is>
      </c>
      <c r="F22" s="52" t="inlineStr">
        <is>
          <t>Lead-time months</t>
        </is>
      </c>
      <c r="G22" s="52" t="inlineStr">
        <is>
          <t>Return</t>
        </is>
      </c>
      <c r="H22" s="52" t="inlineStr">
        <is>
          <t>Duration</t>
        </is>
      </c>
      <c r="I22" s="52" t="inlineStr">
        <is>
          <t>Location</t>
        </is>
      </c>
      <c r="J22" s="52" t="inlineStr">
        <is>
          <t>Type</t>
        </is>
      </c>
      <c r="K22" s="52" t="inlineStr">
        <is>
          <t>Efficiency</t>
        </is>
      </c>
      <c r="L22" s="52" t="inlineStr">
        <is>
          <t>Time-to-compute</t>
        </is>
      </c>
      <c r="M22" s="52" t="inlineStr">
        <is>
          <t>Deal score</t>
        </is>
      </c>
      <c r="N22" s="1" t="n"/>
      <c r="O22" s="1" t="n"/>
      <c r="P22" s="1" t="n"/>
      <c r="Q22" s="1" t="n"/>
      <c r="R22" s="1" t="n"/>
      <c r="S22" s="1" t="n"/>
    </row>
    <row r="23">
      <c r="A23" s="1" t="n"/>
      <c r="B23" s="122">
        <f>INDEX(StructTable,1,1)</f>
        <v/>
      </c>
      <c r="C23" s="123" t="n">
        <v>2026</v>
      </c>
      <c r="D23" s="123" t="n">
        <v>2026</v>
      </c>
      <c r="E23" s="123" t="n">
        <v>2026</v>
      </c>
      <c r="F23" s="106">
        <f>MAX(0,(E23-C23)*12)</f>
        <v/>
      </c>
      <c r="G23" s="108">
        <f>IF(MAX($G$8:$G$11)=MIN($G$8:$G$11),3,1+4*(MAX($G$8:$G$11)-G8)/(MAX($G$8:$G$11)-MIN($G$8:$G$11)))</f>
        <v/>
      </c>
      <c r="H23" s="108">
        <f>CHOOSE(1,2,3,3,5)</f>
        <v/>
      </c>
      <c r="I23" s="108">
        <f>CHOOSE(1,2,4,3,4)</f>
        <v/>
      </c>
      <c r="J23" s="108">
        <f>CHOOSE(1,3,4,3,5)</f>
        <v/>
      </c>
      <c r="K23" s="108">
        <f>CHOOSE(1,3,4,3,4)</f>
        <v/>
      </c>
      <c r="L23" s="92">
        <f>IF(MAX($F$23:$F$26)=MIN($F$23:$F$26),3,1+4*(MAX($F$23:$F$26)-F23)/(MAX($F$23:$F$26)-MIN($F$23:$F$26)))</f>
        <v/>
      </c>
      <c r="M23" s="92">
        <f>0.30*G23+0.10*H23+0.15*I23+0.10*J23+0.10*K23+0.25*L23</f>
        <v/>
      </c>
      <c r="N23" s="1" t="n"/>
      <c r="O23" s="1" t="n"/>
      <c r="P23" s="1" t="n"/>
      <c r="Q23" s="1" t="n"/>
      <c r="R23" s="1" t="n"/>
      <c r="S23" s="1" t="n"/>
    </row>
    <row r="24">
      <c r="A24" s="1" t="n"/>
      <c r="B24" s="122">
        <f>INDEX(StructTable,2,1)</f>
        <v/>
      </c>
      <c r="C24" s="123" t="n">
        <v>2026</v>
      </c>
      <c r="D24" s="123">
        <f>nCapPpaStart</f>
        <v/>
      </c>
      <c r="E24" s="123">
        <f>nCapPpaStart</f>
        <v/>
      </c>
      <c r="F24" s="106">
        <f>MAX(0,(E24-C24)*12)</f>
        <v/>
      </c>
      <c r="G24" s="108">
        <f>IF(MAX($G$8:$G$11)=MIN($G$8:$G$11),3,1+4*(MAX($G$8:$G$11)-G9)/(MAX($G$8:$G$11)-MIN($G$8:$G$11)))</f>
        <v/>
      </c>
      <c r="H24" s="108">
        <f>CHOOSE(2,2,3,3,5)</f>
        <v/>
      </c>
      <c r="I24" s="108">
        <f>CHOOSE(2,2,4,3,4)</f>
        <v/>
      </c>
      <c r="J24" s="108">
        <f>CHOOSE(2,3,4,3,5)</f>
        <v/>
      </c>
      <c r="K24" s="108">
        <f>CHOOSE(2,3,4,3,4)</f>
        <v/>
      </c>
      <c r="L24" s="92">
        <f>IF(MAX($F$23:$F$26)=MIN($F$23:$F$26),3,1+4*(MAX($F$23:$F$26)-F24)/(MAX($F$23:$F$26)-MIN($F$23:$F$26)))</f>
        <v/>
      </c>
      <c r="M24" s="92">
        <f>0.30*G24+0.10*H24+0.15*I24+0.10*J24+0.10*K24+0.25*L24</f>
        <v/>
      </c>
      <c r="N24" s="1" t="n"/>
      <c r="O24" s="1" t="n"/>
      <c r="P24" s="1" t="n"/>
      <c r="Q24" s="1" t="n"/>
      <c r="R24" s="1" t="n"/>
      <c r="S24" s="1" t="n"/>
    </row>
    <row r="25">
      <c r="A25" s="1" t="n"/>
      <c r="B25" s="122">
        <f>INDEX(StructTable,3,1)</f>
        <v/>
      </c>
      <c r="C25" s="123" t="n">
        <v>2026</v>
      </c>
      <c r="D25" s="123">
        <f>2026+CEILING(INDEX(StructTable,3,6)/12,1)</f>
        <v/>
      </c>
      <c r="E25" s="123">
        <f>2026+CEILING(INDEX(StructTable,3,6)/12,1)</f>
        <v/>
      </c>
      <c r="F25" s="106">
        <f>MAX(0,(E25-C25)*12)</f>
        <v/>
      </c>
      <c r="G25" s="108">
        <f>IF(MAX($G$8:$G$11)=MIN($G$8:$G$11),3,1+4*(MAX($G$8:$G$11)-G10)/(MAX($G$8:$G$11)-MIN($G$8:$G$11)))</f>
        <v/>
      </c>
      <c r="H25" s="108">
        <f>CHOOSE(3,2,3,3,5)</f>
        <v/>
      </c>
      <c r="I25" s="108">
        <f>CHOOSE(3,2,4,3,4)</f>
        <v/>
      </c>
      <c r="J25" s="108">
        <f>CHOOSE(3,3,4,3,5)</f>
        <v/>
      </c>
      <c r="K25" s="108">
        <f>CHOOSE(3,3,4,3,4)</f>
        <v/>
      </c>
      <c r="L25" s="92">
        <f>IF(MAX($F$23:$F$26)=MIN($F$23:$F$26),3,1+4*(MAX($F$23:$F$26)-F25)/(MAX($F$23:$F$26)-MIN($F$23:$F$26)))</f>
        <v/>
      </c>
      <c r="M25" s="92">
        <f>0.30*G25+0.10*H25+0.15*I25+0.10*J25+0.10*K25+0.25*L25</f>
        <v/>
      </c>
      <c r="N25" s="1" t="n"/>
      <c r="O25" s="1" t="n"/>
      <c r="P25" s="1" t="n"/>
      <c r="Q25" s="1" t="n"/>
      <c r="R25" s="1" t="n"/>
      <c r="S25" s="1" t="n"/>
    </row>
    <row r="26">
      <c r="A26" s="1" t="n"/>
      <c r="B26" s="122">
        <f>INDEX(StructTable,4,1)</f>
        <v/>
      </c>
      <c r="C26" s="123" t="n">
        <v>2026</v>
      </c>
      <c r="D26" s="124">
        <f>sNsmrCodU1</f>
        <v/>
      </c>
      <c r="E26" s="124">
        <f>sNsmrCodU2</f>
        <v/>
      </c>
      <c r="F26" s="106">
        <f>MAX(0,(E26-C26)*12)</f>
        <v/>
      </c>
      <c r="G26" s="108">
        <f>IF(MAX($G$8:$G$11)=MIN($G$8:$G$11),3,1+4*(MAX($G$8:$G$11)-G11)/(MAX($G$8:$G$11)-MIN($G$8:$G$11)))</f>
        <v/>
      </c>
      <c r="H26" s="108">
        <f>CHOOSE(4,2,3,3,5)</f>
        <v/>
      </c>
      <c r="I26" s="108">
        <f>CHOOSE(4,2,4,3,4)</f>
        <v/>
      </c>
      <c r="J26" s="108">
        <f>CHOOSE(4,3,4,3,5)</f>
        <v/>
      </c>
      <c r="K26" s="108">
        <f>CHOOSE(4,3,4,3,4)</f>
        <v/>
      </c>
      <c r="L26" s="92">
        <f>IF(MAX($F$23:$F$26)=MIN($F$23:$F$26),3,1+4*(MAX($F$23:$F$26)-F26)/(MAX($F$23:$F$26)-MIN($F$23:$F$26)))</f>
        <v/>
      </c>
      <c r="M26" s="92">
        <f>0.30*G26+0.10*H26+0.15*I26+0.10*J26+0.10*K26+0.25*L26</f>
        <v/>
      </c>
      <c r="N26" s="1" t="n"/>
      <c r="O26" s="1" t="n"/>
      <c r="P26" s="1" t="n"/>
      <c r="Q26" s="1" t="n"/>
      <c r="R26" s="1" t="n"/>
      <c r="S26" s="1" t="n"/>
    </row>
    <row r="27">
      <c r="A27" s="1" t="n"/>
      <c r="B27" s="1" t="n"/>
      <c r="C27" s="1" t="n"/>
      <c r="D27" s="1" t="n"/>
      <c r="E27" s="1" t="n"/>
      <c r="F27" s="1" t="n"/>
      <c r="G27" s="1" t="n"/>
      <c r="H27" s="1" t="n"/>
      <c r="I27" s="1" t="n"/>
      <c r="J27" s="1" t="n"/>
      <c r="K27" s="1" t="n"/>
      <c r="L27" s="1" t="n"/>
      <c r="M27" s="1" t="n"/>
      <c r="N27" s="1" t="n"/>
      <c r="O27" s="1" t="n"/>
      <c r="P27" s="1" t="n"/>
      <c r="Q27" s="1" t="n"/>
      <c r="R27" s="1" t="n"/>
      <c r="S27" s="1" t="n"/>
    </row>
    <row r="28" ht="24" customHeight="1">
      <c r="A28" s="1" t="n"/>
      <c r="B28" s="125" t="inlineStr">
        <is>
          <t>Fastest by time-to-compute</t>
        </is>
      </c>
      <c r="C28" s="75">
        <f>INDEX(B23:B26,MATCH(MAX(L23:L26),L23:L26,0))</f>
        <v/>
      </c>
      <c r="D28" s="1" t="n"/>
      <c r="E28" s="1" t="n"/>
      <c r="F28" s="1" t="n"/>
      <c r="G28" s="1" t="n"/>
      <c r="H28" s="1" t="n"/>
      <c r="I28" s="1" t="n"/>
      <c r="J28" s="1" t="n"/>
      <c r="K28" s="1" t="n"/>
      <c r="L28" s="1" t="n"/>
      <c r="M28" s="1" t="n"/>
      <c r="N28" s="1" t="n"/>
      <c r="O28" s="1" t="n"/>
      <c r="P28" s="1" t="n"/>
      <c r="Q28" s="1" t="n"/>
      <c r="R28" s="1" t="n"/>
      <c r="S28" s="1" t="n"/>
    </row>
    <row r="29">
      <c r="A29" s="1" t="n"/>
      <c r="B29" s="29" t="inlineStr">
        <is>
          <t>Best deal score</t>
        </is>
      </c>
      <c r="C29" s="126">
        <f>INDEX(B23:B26,MATCH(MAX(M23:M26),M23:M26,0))</f>
        <v/>
      </c>
      <c r="D29" s="1" t="n"/>
      <c r="E29" s="1" t="n"/>
      <c r="F29" s="29" t="inlineStr">
        <is>
          <t>Score</t>
        </is>
      </c>
      <c r="G29" s="83">
        <f>MAX(M23:M26)</f>
        <v/>
      </c>
      <c r="H29" s="1" t="n"/>
      <c r="I29" s="1" t="n"/>
      <c r="J29" s="1" t="n"/>
      <c r="K29" s="1" t="n"/>
      <c r="L29" s="1" t="n"/>
      <c r="M29" s="1" t="n"/>
      <c r="N29" s="1" t="n"/>
      <c r="O29" s="1" t="n"/>
      <c r="P29" s="1" t="n"/>
      <c r="Q29" s="1" t="n"/>
      <c r="R29" s="1" t="n"/>
      <c r="S29" s="1" t="n"/>
    </row>
    <row r="30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  <c r="J30" s="1" t="n"/>
      <c r="K30" s="1" t="n"/>
      <c r="L30" s="1" t="n"/>
      <c r="M30" s="1" t="n"/>
      <c r="N30" s="1" t="n"/>
      <c r="O30" s="1" t="n"/>
      <c r="P30" s="1" t="n"/>
      <c r="Q30" s="1" t="n"/>
      <c r="R30" s="1" t="n"/>
      <c r="S30" s="1" t="n"/>
    </row>
    <row r="31" ht="36" customHeight="1">
      <c r="A31" s="1" t="n"/>
      <c r="B31" s="28" t="inlineStr">
        <is>
          <t>A faster structure can score above a cheaper one because the ordering problem is capacity arriving on the contract clock, not power price alone.</t>
        </is>
      </c>
      <c r="C31" s="1" t="n"/>
      <c r="D31" s="1" t="n"/>
      <c r="E31" s="1" t="n"/>
      <c r="F31" s="1" t="n"/>
      <c r="G31" s="1" t="n"/>
      <c r="H31" s="1" t="n"/>
      <c r="I31" s="1" t="n"/>
      <c r="J31" s="1" t="n"/>
      <c r="K31" s="1" t="n"/>
      <c r="L31" s="1" t="n"/>
      <c r="M31" s="1" t="n"/>
      <c r="N31" s="1" t="n"/>
      <c r="O31" s="1" t="n"/>
      <c r="P31" s="1" t="n"/>
      <c r="Q31" s="1" t="n"/>
      <c r="R31" s="1" t="n"/>
      <c r="S31" s="1" t="n"/>
    </row>
    <row r="32">
      <c r="A32" s="1" t="n"/>
      <c r="B32" s="1" t="n"/>
      <c r="C32" s="1" t="n"/>
      <c r="D32" s="1" t="n"/>
      <c r="E32" s="1" t="n"/>
      <c r="F32" s="1" t="n"/>
      <c r="G32" s="1" t="n"/>
      <c r="H32" s="1" t="n"/>
      <c r="I32" s="1" t="n"/>
      <c r="J32" s="1" t="n"/>
      <c r="K32" s="1" t="n"/>
      <c r="L32" s="1" t="n"/>
      <c r="M32" s="1" t="n"/>
      <c r="N32" s="1" t="n"/>
      <c r="O32" s="1" t="n"/>
      <c r="P32" s="1" t="n"/>
      <c r="Q32" s="1" t="n"/>
      <c r="R32" s="1" t="n"/>
      <c r="S32" s="1" t="n"/>
    </row>
    <row r="33">
      <c r="A33" s="1" t="n"/>
      <c r="B33" s="1" t="n"/>
      <c r="C33" s="1" t="n"/>
      <c r="D33" s="1" t="n"/>
      <c r="E33" s="1" t="n"/>
      <c r="F33" s="1" t="n"/>
      <c r="G33" s="1" t="n"/>
      <c r="H33" s="1" t="n"/>
      <c r="I33" s="1" t="n"/>
      <c r="J33" s="1" t="n"/>
      <c r="K33" s="1" t="n"/>
      <c r="L33" s="1" t="n"/>
      <c r="M33" s="1" t="n"/>
      <c r="N33" s="1" t="n"/>
      <c r="O33" s="1" t="n"/>
      <c r="P33" s="1" t="n"/>
      <c r="Q33" s="1" t="n"/>
      <c r="R33" s="1" t="n"/>
      <c r="S33" s="1" t="n"/>
    </row>
    <row r="34">
      <c r="A34" s="1" t="n"/>
      <c r="B34" s="1" t="n"/>
      <c r="C34" s="1" t="n"/>
      <c r="D34" s="1" t="n"/>
      <c r="E34" s="1" t="n"/>
      <c r="F34" s="1" t="n"/>
      <c r="G34" s="1" t="n"/>
      <c r="H34" s="1" t="n"/>
      <c r="I34" s="1" t="n"/>
      <c r="J34" s="1" t="n"/>
      <c r="K34" s="1" t="n"/>
      <c r="L34" s="1" t="n"/>
      <c r="M34" s="1" t="n"/>
      <c r="N34" s="1" t="n"/>
      <c r="O34" s="1" t="n"/>
      <c r="P34" s="1" t="n"/>
      <c r="Q34" s="1" t="n"/>
      <c r="R34" s="1" t="n"/>
      <c r="S34" s="1" t="n"/>
    </row>
    <row r="35">
      <c r="A35" s="1" t="n"/>
      <c r="B35" s="1" t="n"/>
      <c r="C35" s="1" t="n"/>
      <c r="D35" s="1" t="n"/>
      <c r="E35" s="1" t="n"/>
      <c r="F35" s="1" t="n"/>
      <c r="G35" s="1" t="n"/>
      <c r="H35" s="1" t="n"/>
      <c r="I35" s="1" t="n"/>
      <c r="J35" s="1" t="n"/>
      <c r="K35" s="1" t="n"/>
      <c r="L35" s="1" t="n"/>
      <c r="M35" s="1" t="n"/>
      <c r="N35" s="1" t="n"/>
      <c r="O35" s="1" t="n"/>
      <c r="P35" s="1" t="n"/>
      <c r="Q35" s="1" t="n"/>
      <c r="R35" s="1" t="n"/>
      <c r="S35" s="1" t="n"/>
    </row>
    <row r="36">
      <c r="A36" s="1" t="n"/>
      <c r="B36" s="1" t="n"/>
      <c r="C36" s="1" t="n"/>
      <c r="D36" s="1" t="n"/>
      <c r="E36" s="1" t="n"/>
      <c r="F36" s="1" t="n"/>
      <c r="G36" s="1" t="n"/>
      <c r="H36" s="1" t="n"/>
      <c r="I36" s="1" t="n"/>
      <c r="J36" s="1" t="n"/>
      <c r="K36" s="1" t="n"/>
      <c r="L36" s="1" t="n"/>
      <c r="M36" s="1" t="n"/>
      <c r="N36" s="1" t="n"/>
      <c r="O36" s="1" t="n"/>
      <c r="P36" s="1" t="n"/>
      <c r="Q36" s="1" t="n"/>
      <c r="R36" s="1" t="n"/>
      <c r="S36" s="1" t="n"/>
    </row>
    <row r="37">
      <c r="A37" s="1" t="n"/>
      <c r="B37" s="1" t="n"/>
      <c r="C37" s="1" t="n"/>
      <c r="D37" s="1" t="n"/>
      <c r="E37" s="1" t="n"/>
      <c r="F37" s="1" t="n"/>
      <c r="G37" s="1" t="n"/>
      <c r="H37" s="1" t="n"/>
      <c r="I37" s="1" t="n"/>
      <c r="J37" s="1" t="n"/>
      <c r="K37" s="1" t="n"/>
      <c r="L37" s="1" t="n"/>
      <c r="M37" s="1" t="n"/>
      <c r="N37" s="1" t="n"/>
      <c r="O37" s="1" t="n"/>
      <c r="P37" s="1" t="n"/>
      <c r="Q37" s="1" t="n"/>
      <c r="R37" s="1" t="n"/>
      <c r="S37" s="1" t="n"/>
    </row>
    <row r="38">
      <c r="A38" s="1" t="n"/>
      <c r="B38" s="1" t="n"/>
      <c r="C38" s="1" t="n"/>
      <c r="D38" s="1" t="n"/>
      <c r="E38" s="1" t="n"/>
      <c r="F38" s="1" t="n"/>
      <c r="G38" s="1" t="n"/>
      <c r="H38" s="1" t="n"/>
      <c r="I38" s="1" t="n"/>
      <c r="J38" s="1" t="n"/>
      <c r="K38" s="1" t="n"/>
      <c r="L38" s="1" t="n"/>
      <c r="M38" s="1" t="n"/>
      <c r="N38" s="1" t="n"/>
      <c r="O38" s="1" t="n"/>
      <c r="P38" s="1" t="n"/>
      <c r="Q38" s="1" t="n"/>
      <c r="R38" s="1" t="n"/>
      <c r="S38" s="1" t="n"/>
    </row>
    <row r="39">
      <c r="A39" s="1" t="n"/>
      <c r="B39" s="1" t="n"/>
      <c r="C39" s="1" t="n"/>
      <c r="D39" s="1" t="n"/>
      <c r="E39" s="1" t="n"/>
      <c r="F39" s="1" t="n"/>
      <c r="G39" s="1" t="n"/>
      <c r="H39" s="1" t="n"/>
      <c r="I39" s="1" t="n"/>
      <c r="J39" s="1" t="n"/>
      <c r="K39" s="1" t="n"/>
      <c r="L39" s="1" t="n"/>
      <c r="M39" s="1" t="n"/>
      <c r="N39" s="1" t="n"/>
      <c r="O39" s="1" t="n"/>
      <c r="P39" s="1" t="n"/>
      <c r="Q39" s="1" t="n"/>
      <c r="R39" s="1" t="n"/>
      <c r="S39" s="1" t="n"/>
    </row>
    <row r="40">
      <c r="A40" s="1" t="n"/>
      <c r="B40" s="1" t="n"/>
      <c r="C40" s="1" t="n"/>
      <c r="D40" s="1" t="n"/>
      <c r="E40" s="1" t="n"/>
      <c r="F40" s="1" t="n"/>
      <c r="G40" s="1" t="n"/>
      <c r="H40" s="1" t="n"/>
      <c r="I40" s="1" t="n"/>
      <c r="J40" s="1" t="n"/>
      <c r="K40" s="1" t="n"/>
      <c r="L40" s="1" t="n"/>
      <c r="M40" s="1" t="n"/>
      <c r="N40" s="1" t="n"/>
      <c r="O40" s="1" t="n"/>
      <c r="P40" s="1" t="n"/>
      <c r="Q40" s="1" t="n"/>
      <c r="R40" s="1" t="n"/>
      <c r="S40" s="1" t="n"/>
    </row>
    <row r="41">
      <c r="A41" s="1" t="n"/>
      <c r="B41" s="1" t="n"/>
      <c r="C41" s="1" t="n"/>
      <c r="D41" s="1" t="n"/>
      <c r="E41" s="1" t="n"/>
      <c r="F41" s="1" t="n"/>
      <c r="G41" s="1" t="n"/>
      <c r="H41" s="1" t="n"/>
      <c r="I41" s="1" t="n"/>
      <c r="J41" s="1" t="n"/>
      <c r="K41" s="1" t="n"/>
      <c r="L41" s="1" t="n"/>
      <c r="M41" s="1" t="n"/>
      <c r="N41" s="1" t="n"/>
      <c r="O41" s="1" t="n"/>
      <c r="P41" s="1" t="n"/>
      <c r="Q41" s="1" t="n"/>
      <c r="R41" s="1" t="n"/>
      <c r="S41" s="1" t="n"/>
    </row>
    <row r="42">
      <c r="A42" s="1" t="n"/>
      <c r="B42" s="1" t="n"/>
      <c r="C42" s="1" t="n"/>
      <c r="D42" s="1" t="n"/>
      <c r="E42" s="1" t="n"/>
      <c r="F42" s="1" t="n"/>
      <c r="G42" s="1" t="n"/>
      <c r="H42" s="1" t="n"/>
      <c r="I42" s="1" t="n"/>
      <c r="J42" s="1" t="n"/>
      <c r="K42" s="1" t="n"/>
      <c r="L42" s="1" t="n"/>
      <c r="M42" s="1" t="n"/>
      <c r="N42" s="1" t="n"/>
      <c r="O42" s="1" t="n"/>
      <c r="P42" s="1" t="n"/>
      <c r="Q42" s="1" t="n"/>
      <c r="R42" s="1" t="n"/>
      <c r="S42" s="1" t="n"/>
    </row>
    <row r="43">
      <c r="A43" s="1" t="n"/>
      <c r="B43" s="1" t="n"/>
      <c r="C43" s="1" t="n"/>
      <c r="D43" s="1" t="n"/>
      <c r="E43" s="1" t="n"/>
      <c r="F43" s="1" t="n"/>
      <c r="G43" s="1" t="n"/>
      <c r="H43" s="1" t="n"/>
      <c r="I43" s="1" t="n"/>
      <c r="J43" s="1" t="n"/>
      <c r="K43" s="1" t="n"/>
      <c r="L43" s="1" t="n"/>
      <c r="M43" s="1" t="n"/>
      <c r="N43" s="1" t="n"/>
      <c r="O43" s="1" t="n"/>
      <c r="P43" s="1" t="n"/>
      <c r="Q43" s="1" t="n"/>
      <c r="R43" s="1" t="n"/>
      <c r="S43" s="1" t="n"/>
    </row>
  </sheetData>
  <pageMargins left="0.4" right="0.4" top="0.5" bottom="0.5" header="0.3" footer="0.3"/>
  <pageSetup orientation="landscape" fitToHeight="0" fitToWidth="1"/>
</worksheet>
</file>

<file path=xl/worksheets/sheet14.xml><?xml version="1.0" encoding="utf-8"?>
<worksheet xmlns="http://schemas.openxmlformats.org/spreadsheetml/2006/main">
  <sheetPr>
    <tabColor rgb="0076766F"/>
    <outlinePr summaryBelow="1" summaryRight="1"/>
    <pageSetUpPr fitToPage="1"/>
  </sheetPr>
  <dimension ref="A1:J33"/>
  <sheetViews>
    <sheetView showGridLines="0" workbookViewId="0">
      <selection activeCell="A1" sqref="A1"/>
    </sheetView>
  </sheetViews>
  <sheetFormatPr baseColWidth="8" defaultRowHeight="15"/>
  <cols>
    <col width="2.5" customWidth="1" min="1" max="1"/>
    <col width="38" customWidth="1" min="2" max="2"/>
    <col width="13" customWidth="1" min="3" max="3"/>
    <col width="62" customWidth="1" min="4" max="4"/>
  </cols>
  <sheetData>
    <row r="1" ht="9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</row>
    <row r="2" ht="22" customHeight="1">
      <c r="A2" s="1" t="n"/>
      <c r="B2" s="17" t="inlineStr">
        <is>
          <t>Fuel Escalator</t>
        </is>
      </c>
      <c r="C2" s="18" t="n"/>
      <c r="D2" s="18" t="n"/>
      <c r="E2" s="1" t="n"/>
      <c r="F2" s="1" t="n"/>
      <c r="G2" s="1" t="n"/>
      <c r="H2" s="1" t="n"/>
      <c r="I2" s="1" t="n"/>
      <c r="J2" s="1" t="n"/>
    </row>
    <row r="3">
      <c r="A3" s="1" t="n"/>
      <c r="B3" s="19" t="inlineStr">
        <is>
          <t>Assembly-weighted escalation vs the Aug-2025 anchor. Feed and fabrication are market; conversion and enrichment are assumed.</t>
        </is>
      </c>
      <c r="C3" s="1" t="n"/>
      <c r="D3" s="1" t="n"/>
      <c r="E3" s="1" t="n"/>
      <c r="F3" s="1" t="n"/>
      <c r="G3" s="1" t="n"/>
      <c r="H3" s="1" t="n"/>
      <c r="I3" s="1" t="n"/>
      <c r="J3" s="1" t="n"/>
    </row>
    <row r="4" ht="6" customHeight="1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</row>
    <row r="5">
      <c r="A5" s="1" t="n"/>
      <c r="B5" s="1" t="n"/>
      <c r="C5" s="1" t="n"/>
      <c r="D5" s="1" t="n"/>
      <c r="E5" s="1" t="n"/>
      <c r="F5" s="1" t="n"/>
      <c r="G5" s="1" t="n"/>
      <c r="H5" s="1" t="n"/>
      <c r="I5" s="1" t="n"/>
      <c r="J5" s="1" t="n"/>
    </row>
    <row r="6" ht="17" customHeight="1">
      <c r="A6" s="1" t="n"/>
      <c r="B6" s="22" t="inlineStr">
        <is>
          <t>Fabrication composite</t>
        </is>
      </c>
      <c r="C6" s="23" t="n"/>
      <c r="D6" s="23" t="n"/>
      <c r="E6" s="1" t="n"/>
      <c r="F6" s="1" t="n"/>
      <c r="G6" s="1" t="n"/>
      <c r="H6" s="1" t="n"/>
      <c r="I6" s="1" t="n"/>
      <c r="J6" s="1" t="n"/>
    </row>
    <row r="7">
      <c r="A7" s="1" t="n"/>
      <c r="B7" s="29" t="inlineStr">
        <is>
          <t>ECI labor leg</t>
        </is>
      </c>
      <c r="C7" s="127">
        <f>sWFabEci*sEciCur/sEciAnchor</f>
        <v/>
      </c>
      <c r="D7" s="1" t="n"/>
      <c r="E7" s="1" t="n"/>
      <c r="F7" s="1" t="n"/>
      <c r="G7" s="1" t="n"/>
      <c r="H7" s="1" t="n"/>
      <c r="I7" s="1" t="n"/>
      <c r="J7" s="1" t="n"/>
    </row>
    <row r="8">
      <c r="A8" s="1" t="n"/>
      <c r="B8" s="29" t="inlineStr">
        <is>
          <t>Industrial electric power leg</t>
        </is>
      </c>
      <c r="C8" s="127">
        <f>sWFabIep*sIepCur/sIepAnchor</f>
        <v/>
      </c>
      <c r="D8" s="1" t="n"/>
      <c r="E8" s="1" t="n"/>
      <c r="F8" s="1" t="n"/>
      <c r="G8" s="1" t="n"/>
      <c r="H8" s="1" t="n"/>
      <c r="I8" s="1" t="n"/>
      <c r="J8" s="1" t="n"/>
    </row>
    <row r="9">
      <c r="A9" s="1" t="n"/>
      <c r="B9" s="29" t="inlineStr">
        <is>
          <t>Nonferrous mill shapes leg</t>
        </is>
      </c>
      <c r="C9" s="127">
        <f>sWFabSmp*sSmpCur/sSmpAnchor</f>
        <v/>
      </c>
      <c r="D9" s="1" t="n"/>
      <c r="E9" s="1" t="n"/>
      <c r="F9" s="1" t="n"/>
      <c r="G9" s="1" t="n"/>
      <c r="H9" s="1" t="n"/>
      <c r="I9" s="1" t="n"/>
      <c r="J9" s="1" t="n"/>
    </row>
    <row r="10">
      <c r="A10" s="1" t="n"/>
      <c r="B10" s="29" t="inlineStr">
        <is>
          <t>Fabricated metal leg</t>
        </is>
      </c>
      <c r="C10" s="127">
        <f>sWFabFmp*sFmpCur/sFmpAnchor</f>
        <v/>
      </c>
      <c r="D10" s="1" t="n"/>
      <c r="E10" s="1" t="n"/>
      <c r="F10" s="1" t="n"/>
      <c r="G10" s="1" t="n"/>
      <c r="H10" s="1" t="n"/>
      <c r="I10" s="1" t="n"/>
      <c r="J10" s="1" t="n"/>
    </row>
    <row r="11">
      <c r="A11" s="1" t="n"/>
      <c r="B11" s="20" t="inlineStr">
        <is>
          <t>Fabrication composite</t>
        </is>
      </c>
      <c r="C11" s="128">
        <f>SUM(C7:C10)</f>
        <v/>
      </c>
      <c r="D11" s="1" t="n"/>
      <c r="E11" s="1" t="n"/>
      <c r="F11" s="1" t="n"/>
      <c r="G11" s="1" t="n"/>
      <c r="H11" s="1" t="n"/>
      <c r="I11" s="1" t="n"/>
      <c r="J11" s="1" t="n"/>
    </row>
    <row r="12">
      <c r="A12" s="1" t="n"/>
      <c r="B12" s="1" t="n"/>
      <c r="C12" s="1" t="n"/>
      <c r="D12" s="1" t="n"/>
      <c r="E12" s="1" t="n"/>
      <c r="F12" s="1" t="n"/>
      <c r="G12" s="1" t="n"/>
      <c r="H12" s="1" t="n"/>
      <c r="I12" s="1" t="n"/>
      <c r="J12" s="1" t="n"/>
    </row>
    <row r="13" ht="17" customHeight="1">
      <c r="A13" s="1" t="n"/>
      <c r="B13" s="22" t="inlineStr">
        <is>
          <t>Assembly escalator</t>
        </is>
      </c>
      <c r="C13" s="23" t="n"/>
      <c r="D13" s="23" t="n"/>
      <c r="E13" s="1" t="n"/>
      <c r="F13" s="1" t="n"/>
      <c r="G13" s="1" t="n"/>
      <c r="H13" s="1" t="n"/>
      <c r="I13" s="1" t="n"/>
      <c r="J13" s="1" t="n"/>
    </row>
    <row r="14">
      <c r="A14" s="1" t="n"/>
      <c r="B14" s="29" t="inlineStr">
        <is>
          <t>Feed ratio (capture, overridable)</t>
        </is>
      </c>
      <c r="C14" s="127">
        <f>IF(nFeedRatioOverride&gt;0,nFeedRatioOverride,sFeedCur/sFeedAnchor)</f>
        <v/>
      </c>
      <c r="D14" s="43" t="inlineStr"/>
      <c r="E14" s="1" t="n"/>
      <c r="F14" s="1" t="n"/>
      <c r="G14" s="1" t="n"/>
      <c r="H14" s="1" t="n"/>
      <c r="I14" s="1" t="n"/>
      <c r="J14" s="1" t="n"/>
    </row>
    <row r="15">
      <c r="A15" s="1" t="n"/>
      <c r="B15" s="29" t="inlineStr">
        <is>
          <t>Feed leg</t>
        </is>
      </c>
      <c r="C15" s="127">
        <f>sWFeed*C14</f>
        <v/>
      </c>
      <c r="D15" s="43" t="inlineStr"/>
      <c r="E15" s="1" t="n"/>
      <c r="F15" s="1" t="n"/>
      <c r="G15" s="1" t="n"/>
      <c r="H15" s="1" t="n"/>
      <c r="I15" s="1" t="n"/>
      <c r="J15" s="1" t="n"/>
    </row>
    <row r="16">
      <c r="A16" s="1" t="n"/>
      <c r="B16" s="29" t="inlineStr">
        <is>
          <t>Conversion leg</t>
        </is>
      </c>
      <c r="C16" s="127">
        <f>sWConv*nConv</f>
        <v/>
      </c>
      <c r="D16" s="43" t="inlineStr">
        <is>
          <t>Assumed range for sensitivity testing.</t>
        </is>
      </c>
      <c r="E16" s="1" t="n"/>
      <c r="F16" s="1" t="n"/>
      <c r="G16" s="1" t="n"/>
      <c r="H16" s="1" t="n"/>
      <c r="I16" s="1" t="n"/>
      <c r="J16" s="1" t="n"/>
    </row>
    <row r="17">
      <c r="A17" s="1" t="n"/>
      <c r="B17" s="29" t="inlineStr">
        <is>
          <t>Enrichment leg</t>
        </is>
      </c>
      <c r="C17" s="127">
        <f>sWSwu*nSwu</f>
        <v/>
      </c>
      <c r="D17" s="43" t="inlineStr">
        <is>
          <t>Assumed range for sensitivity testing.</t>
        </is>
      </c>
      <c r="E17" s="1" t="n"/>
      <c r="F17" s="1" t="n"/>
      <c r="G17" s="1" t="n"/>
      <c r="H17" s="1" t="n"/>
      <c r="I17" s="1" t="n"/>
      <c r="J17" s="1" t="n"/>
    </row>
    <row r="18">
      <c r="A18" s="1" t="n"/>
      <c r="B18" s="29" t="inlineStr">
        <is>
          <t>Fabrication leg</t>
        </is>
      </c>
      <c r="C18" s="127">
        <f>sWFab*FabComposite</f>
        <v/>
      </c>
      <c r="D18" s="43" t="inlineStr"/>
      <c r="E18" s="1" t="n"/>
      <c r="F18" s="1" t="n"/>
      <c r="G18" s="1" t="n"/>
      <c r="H18" s="1" t="n"/>
      <c r="I18" s="1" t="n"/>
      <c r="J18" s="1" t="n"/>
    </row>
    <row r="19">
      <c r="A19" s="1" t="n"/>
      <c r="B19" s="20" t="inlineStr">
        <is>
          <t>Fuel escalator vs Aug-2025</t>
        </is>
      </c>
      <c r="C19" s="128">
        <f>SUM(C15:C18)</f>
        <v/>
      </c>
      <c r="D19" s="1" t="n"/>
      <c r="E19" s="1" t="n"/>
      <c r="F19" s="1" t="n"/>
      <c r="G19" s="1" t="n"/>
      <c r="H19" s="1" t="n"/>
      <c r="I19" s="1" t="n"/>
      <c r="J19" s="1" t="n"/>
    </row>
    <row r="20">
      <c r="A20" s="1" t="n"/>
      <c r="B20" s="1" t="n"/>
      <c r="C20" s="1" t="n"/>
      <c r="D20" s="1" t="n"/>
      <c r="E20" s="1" t="n"/>
      <c r="F20" s="1" t="n"/>
      <c r="G20" s="1" t="n"/>
      <c r="H20" s="1" t="n"/>
      <c r="I20" s="1" t="n"/>
      <c r="J20" s="1" t="n"/>
    </row>
    <row r="21">
      <c r="A21" s="1" t="n"/>
      <c r="B21" s="43" t="inlineStr">
        <is>
          <t>Checks reconciles this composite against an independent derivation.</t>
        </is>
      </c>
      <c r="C21" s="1" t="n"/>
      <c r="D21" s="1" t="n"/>
      <c r="E21" s="1" t="n"/>
      <c r="F21" s="1" t="n"/>
      <c r="G21" s="1" t="n"/>
      <c r="H21" s="1" t="n"/>
      <c r="I21" s="1" t="n"/>
      <c r="J21" s="1" t="n"/>
    </row>
    <row r="22">
      <c r="A22" s="1" t="n"/>
      <c r="B22" s="1" t="n"/>
      <c r="C22" s="1" t="n"/>
      <c r="D22" s="1" t="n"/>
      <c r="E22" s="1" t="n"/>
      <c r="F22" s="1" t="n"/>
      <c r="G22" s="1" t="n"/>
      <c r="H22" s="1" t="n"/>
      <c r="I22" s="1" t="n"/>
      <c r="J22" s="1" t="n"/>
    </row>
    <row r="23">
      <c r="A23" s="1" t="n"/>
      <c r="B23" s="1" t="n"/>
      <c r="C23" s="1" t="n"/>
      <c r="D23" s="1" t="n"/>
      <c r="E23" s="1" t="n"/>
      <c r="F23" s="1" t="n"/>
      <c r="G23" s="1" t="n"/>
      <c r="H23" s="1" t="n"/>
      <c r="I23" s="1" t="n"/>
      <c r="J23" s="1" t="n"/>
    </row>
    <row r="24">
      <c r="A24" s="1" t="n"/>
      <c r="B24" s="1" t="n"/>
      <c r="C24" s="1" t="n"/>
      <c r="D24" s="1" t="n"/>
      <c r="E24" s="1" t="n"/>
      <c r="F24" s="1" t="n"/>
      <c r="G24" s="1" t="n"/>
      <c r="H24" s="1" t="n"/>
      <c r="I24" s="1" t="n"/>
      <c r="J24" s="1" t="n"/>
    </row>
    <row r="25">
      <c r="A25" s="1" t="n"/>
      <c r="B25" s="1" t="n"/>
      <c r="C25" s="1" t="n"/>
      <c r="D25" s="1" t="n"/>
      <c r="E25" s="1" t="n"/>
      <c r="F25" s="1" t="n"/>
      <c r="G25" s="1" t="n"/>
      <c r="H25" s="1" t="n"/>
      <c r="I25" s="1" t="n"/>
      <c r="J25" s="1" t="n"/>
    </row>
    <row r="26">
      <c r="A26" s="1" t="n"/>
      <c r="B26" s="1" t="n"/>
      <c r="C26" s="1" t="n"/>
      <c r="D26" s="1" t="n"/>
      <c r="E26" s="1" t="n"/>
      <c r="F26" s="1" t="n"/>
      <c r="G26" s="1" t="n"/>
      <c r="H26" s="1" t="n"/>
      <c r="I26" s="1" t="n"/>
      <c r="J26" s="1" t="n"/>
    </row>
    <row r="27">
      <c r="A27" s="1" t="n"/>
      <c r="B27" s="1" t="n"/>
      <c r="C27" s="1" t="n"/>
      <c r="D27" s="1" t="n"/>
      <c r="E27" s="1" t="n"/>
      <c r="F27" s="1" t="n"/>
      <c r="G27" s="1" t="n"/>
      <c r="H27" s="1" t="n"/>
      <c r="I27" s="1" t="n"/>
      <c r="J27" s="1" t="n"/>
    </row>
    <row r="28">
      <c r="A28" s="1" t="n"/>
      <c r="B28" s="1" t="n"/>
      <c r="C28" s="1" t="n"/>
      <c r="D28" s="1" t="n"/>
      <c r="E28" s="1" t="n"/>
      <c r="F28" s="1" t="n"/>
      <c r="G28" s="1" t="n"/>
      <c r="H28" s="1" t="n"/>
      <c r="I28" s="1" t="n"/>
      <c r="J28" s="1" t="n"/>
    </row>
    <row r="29">
      <c r="A29" s="1" t="n"/>
      <c r="B29" s="1" t="n"/>
      <c r="C29" s="1" t="n"/>
      <c r="D29" s="1" t="n"/>
      <c r="E29" s="1" t="n"/>
      <c r="F29" s="1" t="n"/>
      <c r="G29" s="1" t="n"/>
      <c r="H29" s="1" t="n"/>
      <c r="I29" s="1" t="n"/>
      <c r="J29" s="1" t="n"/>
    </row>
    <row r="30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  <c r="J30" s="1" t="n"/>
    </row>
    <row r="31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  <c r="J31" s="1" t="n"/>
    </row>
    <row r="32">
      <c r="A32" s="1" t="n"/>
      <c r="B32" s="1" t="n"/>
      <c r="C32" s="1" t="n"/>
      <c r="D32" s="1" t="n"/>
      <c r="E32" s="1" t="n"/>
      <c r="F32" s="1" t="n"/>
      <c r="G32" s="1" t="n"/>
      <c r="H32" s="1" t="n"/>
      <c r="I32" s="1" t="n"/>
      <c r="J32" s="1" t="n"/>
    </row>
    <row r="33">
      <c r="A33" s="1" t="n"/>
      <c r="B33" s="1" t="n"/>
      <c r="C33" s="1" t="n"/>
      <c r="D33" s="1" t="n"/>
      <c r="E33" s="1" t="n"/>
      <c r="F33" s="1" t="n"/>
      <c r="G33" s="1" t="n"/>
      <c r="H33" s="1" t="n"/>
      <c r="I33" s="1" t="n"/>
      <c r="J33" s="1" t="n"/>
    </row>
  </sheetData>
  <pageMargins left="0.4" right="0.4" top="0.5" bottom="0.5" header="0.3" footer="0.3"/>
  <pageSetup orientation="landscape" fitToHeight="0" fitToWidth="1"/>
</worksheet>
</file>

<file path=xl/worksheets/sheet15.xml><?xml version="1.0" encoding="utf-8"?>
<worksheet xmlns="http://schemas.openxmlformats.org/spreadsheetml/2006/main">
  <sheetPr>
    <tabColor rgb="00BCD1CA"/>
    <outlinePr summaryBelow="1" summaryRight="1"/>
    <pageSetUpPr fitToPage="1"/>
  </sheetPr>
  <dimension ref="A1:M48"/>
  <sheetViews>
    <sheetView showGridLines="0" workbookViewId="0">
      <pane xSplit="1" ySplit="7" topLeftCell="B8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.5" customWidth="1" min="1" max="1"/>
    <col width="38" customWidth="1" min="2" max="2"/>
    <col width="14" customWidth="1" min="3" max="3"/>
    <col width="12" customWidth="1" min="4" max="4"/>
    <col width="36" customWidth="1" min="5" max="5"/>
    <col width="34" customWidth="1" min="6" max="6"/>
    <col width="76" customWidth="1" min="7" max="7"/>
  </cols>
  <sheetData>
    <row r="1" ht="9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</row>
    <row r="2" ht="22" customHeight="1">
      <c r="A2" s="1" t="n"/>
      <c r="B2" s="17" t="inlineStr">
        <is>
          <t>Live Constraint Tape</t>
        </is>
      </c>
      <c r="C2" s="18" t="n"/>
      <c r="D2" s="18" t="n"/>
      <c r="E2" s="18" t="n"/>
      <c r="F2" s="18" t="n"/>
      <c r="G2" s="18" t="n"/>
      <c r="H2" s="1" t="n"/>
      <c r="I2" s="1" t="n"/>
      <c r="J2" s="1" t="n"/>
      <c r="K2" s="1" t="n"/>
      <c r="L2" s="1" t="n"/>
      <c r="M2" s="1" t="n"/>
    </row>
    <row r="3">
      <c r="A3" s="1" t="n"/>
      <c r="B3" s="19" t="inlineStr">
        <is>
          <t>Snapshot bridge to the browser-live market context; workbook formulas remain auditable and static.</t>
        </is>
      </c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  <c r="M3" s="1" t="n"/>
    </row>
    <row r="4" ht="6" customHeight="1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  <c r="K4" s="1" t="n"/>
      <c r="L4" s="1" t="n"/>
      <c r="M4" s="1" t="n"/>
    </row>
    <row r="5">
      <c r="A5" s="1" t="n"/>
      <c r="B5" s="1" t="n"/>
      <c r="C5" s="1" t="n"/>
      <c r="D5" s="1" t="n"/>
      <c r="E5" s="1" t="n"/>
      <c r="F5" s="1" t="n"/>
      <c r="G5" s="1" t="n"/>
      <c r="H5" s="1" t="n"/>
      <c r="I5" s="1" t="n"/>
      <c r="J5" s="1" t="n"/>
      <c r="K5" s="1" t="n"/>
      <c r="L5" s="1" t="n"/>
      <c r="M5" s="1" t="n"/>
    </row>
    <row r="6" ht="17" customHeight="1">
      <c r="A6" s="1" t="n"/>
      <c r="B6" s="22" t="inlineStr">
        <is>
          <t>Tracked /model constraint tape</t>
        </is>
      </c>
      <c r="C6" s="23" t="n"/>
      <c r="D6" s="23" t="n"/>
      <c r="E6" s="23" t="n"/>
      <c r="F6" s="23" t="n"/>
      <c r="G6" s="23" t="n"/>
      <c r="H6" s="1" t="n"/>
      <c r="I6" s="1" t="n"/>
      <c r="J6" s="1" t="n"/>
      <c r="K6" s="1" t="n"/>
      <c r="L6" s="1" t="n"/>
      <c r="M6" s="1" t="n"/>
    </row>
    <row r="7" ht="26" customHeight="1">
      <c r="A7" s="1" t="n"/>
      <c r="B7" s="39" t="inlineStr">
        <is>
          <t>Metric</t>
        </is>
      </c>
      <c r="C7" s="52" t="inlineStr">
        <is>
          <t>Value</t>
        </is>
      </c>
      <c r="D7" s="52" t="inlineStr">
        <is>
          <t>Unit</t>
        </is>
      </c>
      <c r="E7" s="52" t="inlineStr">
        <is>
          <t>Source key</t>
        </is>
      </c>
      <c r="F7" s="52" t="inlineStr">
        <is>
          <t>Basis</t>
        </is>
      </c>
      <c r="G7" s="52" t="inlineStr">
        <is>
          <t>Decision use</t>
        </is>
      </c>
      <c r="H7" s="1" t="n"/>
      <c r="I7" s="1" t="n"/>
      <c r="J7" s="1" t="n"/>
      <c r="K7" s="1" t="n"/>
      <c r="L7" s="1" t="n"/>
      <c r="M7" s="1" t="n"/>
    </row>
    <row r="8">
      <c r="A8" s="1" t="n"/>
      <c r="B8" s="53" t="inlineStr">
        <is>
          <t>Tape generated at</t>
        </is>
      </c>
      <c r="C8" s="129" t="inlineStr">
        <is>
          <t>2026-07-07T20:24:20Z</t>
        </is>
      </c>
      <c r="D8" s="85" t="inlineStr"/>
      <c r="E8" s="85" t="inlineStr">
        <is>
          <t>generated_at</t>
        </is>
      </c>
      <c r="F8" s="85" t="inlineStr">
        <is>
          <t>max source-artifact timestamp</t>
        </is>
      </c>
      <c r="G8" s="85" t="inlineStr">
        <is>
          <t>The static workbook snapshot must disclose the live-context vintage.</t>
        </is>
      </c>
      <c r="H8" s="1" t="n"/>
      <c r="I8" s="1" t="n"/>
      <c r="J8" s="1" t="n"/>
      <c r="K8" s="1" t="n"/>
      <c r="L8" s="1" t="n"/>
      <c r="M8" s="1" t="n"/>
    </row>
    <row r="9">
      <c r="A9" s="1" t="n"/>
      <c r="B9" s="58" t="inlineStr">
        <is>
          <t>PJM capacity price step</t>
        </is>
      </c>
      <c r="C9" s="108" t="n">
        <v>9.333333333333334</v>
      </c>
      <c r="D9" s="85" t="inlineStr">
        <is>
          <t>x</t>
        </is>
      </c>
      <c r="E9" s="85" t="inlineStr">
        <is>
          <t>capacity_price.bra_step_2425_to_2526</t>
        </is>
      </c>
      <c r="F9" s="85" t="inlineStr">
        <is>
          <t>PJM BRA RTO delivery-year clearing prices</t>
        </is>
      </c>
      <c r="G9" s="85" t="inlineStr">
        <is>
          <t>Capacity price shock sizes timing exposure; it does not overwrite the procurement model path.</t>
        </is>
      </c>
      <c r="H9" s="1" t="n"/>
      <c r="I9" s="1" t="n"/>
      <c r="J9" s="1" t="n"/>
      <c r="K9" s="1" t="n"/>
      <c r="L9" s="1" t="n"/>
      <c r="M9" s="1" t="n"/>
    </row>
    <row r="10">
      <c r="A10" s="1" t="n"/>
      <c r="B10" s="58" t="inlineStr">
        <is>
          <t>Hyperscaler capex absorption</t>
        </is>
      </c>
      <c r="C10" s="73" t="n">
        <v>433.899</v>
      </c>
      <c r="D10" s="85" t="inlineStr">
        <is>
          <t>$B</t>
        </is>
      </c>
      <c r="E10" s="85" t="inlineStr">
        <is>
          <t>demand_spine.trailing4q_latest_usd_b</t>
        </is>
      </c>
      <c r="F10" s="85" t="inlineStr">
        <is>
          <t>2017Q3 to 2026Q1</t>
        </is>
      </c>
      <c r="G10" s="85" t="inlineStr">
        <is>
          <t>The demand spine is a financing-capacity stress record, not a direct $-to-GW conversion.</t>
        </is>
      </c>
      <c r="H10" s="1" t="n"/>
      <c r="I10" s="1" t="n"/>
      <c r="J10" s="1" t="n"/>
      <c r="K10" s="1" t="n"/>
      <c r="L10" s="1" t="n"/>
      <c r="M10" s="1" t="n"/>
    </row>
    <row r="11">
      <c r="A11" s="1" t="n"/>
      <c r="B11" s="58" t="inlineStr">
        <is>
          <t>Fuel fabrication composite</t>
        </is>
      </c>
      <c r="C11" s="130" t="n">
        <v>1.010255531987559</v>
      </c>
      <c r="D11" s="85" t="inlineStr">
        <is>
          <t>x</t>
        </is>
      </c>
      <c r="E11" s="85" t="inlineStr">
        <is>
          <t>fuel_escalator.fabrication_composite</t>
        </is>
      </c>
      <c r="F11" s="85" t="inlineStr">
        <is>
          <t>2026-05</t>
        </is>
      </c>
      <c r="G11" s="85" t="inlineStr">
        <is>
          <t>BLS-backed fabrication leg; conversion and SWU remain pending, so full fuel escalation stays labeled.</t>
        </is>
      </c>
      <c r="H11" s="1" t="n"/>
      <c r="I11" s="1" t="n"/>
      <c r="J11" s="1" t="n"/>
      <c r="K11" s="1" t="n"/>
      <c r="L11" s="1" t="n"/>
      <c r="M11" s="1" t="n"/>
    </row>
    <row r="12">
      <c r="A12" s="1" t="n"/>
      <c r="B12" s="58" t="inlineStr">
        <is>
          <t>Fuel feed proxy ratio</t>
        </is>
      </c>
      <c r="C12" s="130" t="n">
        <v>1.156087875488375</v>
      </c>
      <c r="D12" s="85" t="inlineStr">
        <is>
          <t>x</t>
        </is>
      </c>
      <c r="E12" s="85" t="inlineStr">
        <is>
          <t>fuel_escalator.feed_proxy_ratio</t>
        </is>
      </c>
      <c r="F12" s="85" t="inlineStr">
        <is>
          <t>[PROXY] feed proxy</t>
        </is>
      </c>
      <c r="G12" s="85" t="inlineStr">
        <is>
          <t>[PROXY] avg(spot, long-term), Cameco-published UxC/TradeTech industry averages</t>
        </is>
      </c>
      <c r="H12" s="1" t="n"/>
      <c r="I12" s="1" t="n"/>
      <c r="J12" s="1" t="n"/>
      <c r="K12" s="1" t="n"/>
      <c r="L12" s="1" t="n"/>
      <c r="M12" s="1" t="n"/>
    </row>
    <row r="13">
      <c r="A13" s="1" t="n"/>
      <c r="B13" s="58" t="inlineStr">
        <is>
          <t>Fuel live-weight coverage</t>
        </is>
      </c>
      <c r="C13" s="55" t="n">
        <v>0.66</v>
      </c>
      <c r="D13" s="85" t="inlineStr">
        <is>
          <t>%</t>
        </is>
      </c>
      <c r="E13" s="85" t="inlineStr">
        <is>
          <t>fuel_escalator.live_weight_coverage</t>
        </is>
      </c>
      <c r="F13" s="85" t="inlineStr">
        <is>
          <t>priced fuel-leg coverage</t>
        </is>
      </c>
      <c r="G13" s="85" t="inlineStr">
        <is>
          <t>Only the live-backed weight is priced; pending legs stay as explicit assumptions.</t>
        </is>
      </c>
      <c r="H13" s="1" t="n"/>
      <c r="I13" s="1" t="n"/>
      <c r="J13" s="1" t="n"/>
      <c r="K13" s="1" t="n"/>
      <c r="L13" s="1" t="n"/>
      <c r="M13" s="1" t="n"/>
    </row>
    <row r="14">
      <c r="A14" s="1" t="n"/>
      <c r="B14" s="58" t="inlineStr">
        <is>
          <t>Risk priced composite</t>
        </is>
      </c>
      <c r="C14" s="130" t="n">
        <v>0.4800000000000001</v>
      </c>
      <c r="D14" s="85" t="inlineStr">
        <is>
          <t>score</t>
        </is>
      </c>
      <c r="E14" s="85" t="inlineStr">
        <is>
          <t>risk_composite.composite_priced</t>
        </is>
      </c>
      <c r="F14" s="85" t="inlineStr">
        <is>
          <t>3 of 8 factors priced</t>
        </is>
      </c>
      <c r="G14" s="85" t="inlineStr">
        <is>
          <t>Two tested legs turn contrarian on 12-month forward-change, so the priced composite stays a readout rather than the discount driver.</t>
        </is>
      </c>
      <c r="H14" s="1" t="n"/>
      <c r="I14" s="1" t="n"/>
      <c r="J14" s="1" t="n"/>
      <c r="K14" s="1" t="n"/>
      <c r="L14" s="1" t="n"/>
      <c r="M14" s="1" t="n"/>
    </row>
    <row r="15">
      <c r="A15" s="1" t="n"/>
      <c r="B15" s="58" t="inlineStr">
        <is>
          <t>Rao recognized-revenue floor</t>
        </is>
      </c>
      <c r="C15" s="73" t="n">
        <v>5</v>
      </c>
      <c r="D15" s="85" t="inlineStr">
        <is>
          <t>$B</t>
        </is>
      </c>
      <c r="E15" s="85" t="inlineStr">
        <is>
          <t>sworn_floors.recognized_revenue_floor_usd_b</t>
        </is>
      </c>
      <c r="F15" s="85" t="inlineStr">
        <is>
          <t>court-sworn floor</t>
        </is>
      </c>
      <c r="G15" s="85" t="inlineStr">
        <is>
          <t>Anchor below company-stated run-rate observations; not interchangeable with ARR.</t>
        </is>
      </c>
      <c r="H15" s="1" t="n"/>
      <c r="I15" s="1" t="n"/>
      <c r="J15" s="1" t="n"/>
      <c r="K15" s="1" t="n"/>
      <c r="L15" s="1" t="n"/>
      <c r="M15" s="1" t="n"/>
    </row>
    <row r="16">
      <c r="A16" s="1" t="n"/>
      <c r="B16" s="58" t="inlineStr">
        <is>
          <t>Rao outside-capital floor</t>
        </is>
      </c>
      <c r="C16" s="73" t="n">
        <v>60</v>
      </c>
      <c r="D16" s="85" t="inlineStr">
        <is>
          <t>$B</t>
        </is>
      </c>
      <c r="E16" s="85" t="inlineStr">
        <is>
          <t>sworn_floors.outside_capital_floor_usd_b</t>
        </is>
      </c>
      <c r="F16" s="85" t="inlineStr">
        <is>
          <t>court-sworn floor</t>
        </is>
      </c>
      <c r="G16" s="85" t="inlineStr">
        <is>
          <t>Capital raised is a financing-capacity anchor, not available liquidity by itself.</t>
        </is>
      </c>
      <c r="H16" s="1" t="n"/>
      <c r="I16" s="1" t="n"/>
      <c r="J16" s="1" t="n"/>
      <c r="K16" s="1" t="n"/>
      <c r="L16" s="1" t="n"/>
      <c r="M16" s="1" t="n"/>
    </row>
    <row r="17">
      <c r="A17" s="1" t="n"/>
      <c r="B17" s="58" t="inlineStr">
        <is>
          <t>Rao compute-spend floor</t>
        </is>
      </c>
      <c r="C17" s="73" t="n">
        <v>10</v>
      </c>
      <c r="D17" s="85" t="inlineStr">
        <is>
          <t>$B</t>
        </is>
      </c>
      <c r="E17" s="85" t="inlineStr">
        <is>
          <t>sworn_floors.compute_spend_floor_usd_b</t>
        </is>
      </c>
      <c r="F17" s="85" t="inlineStr">
        <is>
          <t>court-sworn floor</t>
        </is>
      </c>
      <c r="G17" s="85" t="inlineStr">
        <is>
          <t>Compute spend floor keeps the demand spine grounded below the run-rate story.</t>
        </is>
      </c>
      <c r="H17" s="1" t="n"/>
      <c r="I17" s="1" t="n"/>
      <c r="J17" s="1" t="n"/>
      <c r="K17" s="1" t="n"/>
      <c r="L17" s="1" t="n"/>
      <c r="M17" s="1" t="n"/>
    </row>
    <row r="18">
      <c r="A18" s="1" t="n"/>
      <c r="B18" s="58" t="inlineStr">
        <is>
          <t>PJM surplus-hour share</t>
        </is>
      </c>
      <c r="C18" s="110" t="n">
        <v>0.903522910430578</v>
      </c>
      <c r="D18" s="85" t="inlineStr">
        <is>
          <t>%</t>
        </is>
      </c>
      <c r="E18" s="85" t="inlineStr">
        <is>
          <t>stranded_energy.pjm_surplus_hour_share</t>
        </is>
      </c>
      <c r="F18" s="85" t="inlineStr">
        <is>
          <t>surplus hours, Jan 1 to Jul 1, 2026</t>
        </is>
      </c>
      <c r="G18" s="85" t="inlineStr">
        <is>
          <t>Useful energy must still clear transfer, congestion, and site absorption.</t>
        </is>
      </c>
      <c r="H18" s="1" t="n"/>
      <c r="I18" s="1" t="n"/>
      <c r="J18" s="1" t="n"/>
      <c r="K18" s="1" t="n"/>
      <c r="L18" s="1" t="n"/>
      <c r="M18" s="1" t="n"/>
    </row>
    <row r="19">
      <c r="A19" s="1" t="n"/>
      <c r="B19" s="58" t="inlineStr">
        <is>
          <t>ERCOT max negative-hour share</t>
        </is>
      </c>
      <c r="C19" s="110" t="n">
        <v>0.2365664845173042</v>
      </c>
      <c r="D19" s="85" t="inlineStr">
        <is>
          <t>%</t>
        </is>
      </c>
      <c r="E19" s="85" t="inlineStr">
        <is>
          <t>ercot_nodal.max_neg_share_hourly</t>
        </is>
      </c>
      <c r="F19" s="85" t="inlineStr">
        <is>
          <t>full-coverage mapped resource nodes</t>
        </is>
      </c>
      <c r="G19" s="85" t="inlineStr">
        <is>
          <t>Negative-hour upside finances only after a site proves it can absorb the node.</t>
        </is>
      </c>
      <c r="H19" s="1" t="n"/>
      <c r="I19" s="1" t="n"/>
      <c r="J19" s="1" t="n"/>
      <c r="K19" s="1" t="n"/>
      <c r="L19" s="1" t="n"/>
      <c r="M19" s="1" t="n"/>
    </row>
    <row r="20">
      <c r="A20" s="1" t="n"/>
      <c r="B20" s="58" t="inlineStr">
        <is>
          <t>Retired-nuclear screen rows</t>
        </is>
      </c>
      <c r="C20" s="106" t="n">
        <v>30</v>
      </c>
      <c r="D20" s="85" t="inlineStr">
        <is>
          <t>rows</t>
        </is>
      </c>
      <c r="E20" s="85" t="inlineStr">
        <is>
          <t>siting_screen.site_count</t>
        </is>
      </c>
      <c r="F20" s="85" t="inlineStr">
        <is>
          <t>Zion leads the screen</t>
        </is>
      </c>
      <c r="G20" s="85" t="inlineStr">
        <is>
          <t>The screen is a diligence queue, not a portfolio cap by itself.</t>
        </is>
      </c>
      <c r="H20" s="1" t="n"/>
      <c r="I20" s="1" t="n"/>
      <c r="J20" s="1" t="n"/>
      <c r="K20" s="1" t="n"/>
      <c r="L20" s="1" t="n"/>
      <c r="M20" s="1" t="n"/>
    </row>
    <row r="21">
      <c r="A21" s="1" t="n"/>
      <c r="B21" s="1" t="n"/>
      <c r="C21" s="1" t="n"/>
      <c r="D21" s="1" t="n"/>
      <c r="E21" s="1" t="n"/>
      <c r="F21" s="1" t="n"/>
      <c r="G21" s="1" t="n"/>
      <c r="H21" s="1" t="n"/>
      <c r="I21" s="1" t="n"/>
      <c r="J21" s="1" t="n"/>
      <c r="K21" s="1" t="n"/>
      <c r="L21" s="1" t="n"/>
      <c r="M21" s="1" t="n"/>
    </row>
    <row r="22">
      <c r="A22" s="1" t="n"/>
      <c r="B22" s="1" t="n"/>
      <c r="C22" s="1" t="n"/>
      <c r="D22" s="1" t="n"/>
      <c r="E22" s="1" t="n"/>
      <c r="F22" s="1" t="n"/>
      <c r="G22" s="1" t="n"/>
      <c r="H22" s="1" t="n"/>
      <c r="I22" s="1" t="n"/>
      <c r="J22" s="1" t="n"/>
      <c r="K22" s="1" t="n"/>
      <c r="L22" s="1" t="n"/>
      <c r="M22" s="1" t="n"/>
    </row>
    <row r="23" ht="17" customHeight="1">
      <c r="A23" s="1" t="n"/>
      <c r="B23" s="22" t="inlineStr">
        <is>
          <t>Browser-live context</t>
        </is>
      </c>
      <c r="C23" s="23" t="n"/>
      <c r="D23" s="23" t="n"/>
      <c r="E23" s="23" t="n"/>
      <c r="F23" s="23" t="n"/>
      <c r="G23" s="23" t="n"/>
      <c r="H23" s="1" t="n"/>
      <c r="I23" s="1" t="n"/>
      <c r="J23" s="1" t="n"/>
      <c r="K23" s="1" t="n"/>
      <c r="L23" s="1" t="n"/>
      <c r="M23" s="1" t="n"/>
    </row>
    <row r="24" ht="26" customHeight="1">
      <c r="A24" s="1" t="n"/>
      <c r="B24" s="39" t="inlineStr">
        <is>
          <t>Feed</t>
        </is>
      </c>
      <c r="C24" s="52" t="inlineStr">
        <is>
          <t>Pinned value</t>
        </is>
      </c>
      <c r="D24" s="52" t="inlineStr">
        <is>
          <t>As of</t>
        </is>
      </c>
      <c r="E24" s="52" t="inlineStr">
        <is>
          <t>Endpoint / series</t>
        </is>
      </c>
      <c r="F24" s="52" t="inlineStr">
        <is>
          <t>Status in Excel</t>
        </is>
      </c>
      <c r="G24" s="52" t="inlineStr">
        <is>
          <t>Model use</t>
        </is>
      </c>
      <c r="H24" s="1" t="n"/>
      <c r="I24" s="1" t="n"/>
      <c r="J24" s="1" t="n"/>
      <c r="K24" s="1" t="n"/>
      <c r="L24" s="1" t="n"/>
      <c r="M24" s="1" t="n"/>
    </row>
    <row r="25">
      <c r="A25" s="1" t="n"/>
      <c r="B25" s="58" t="inlineStr">
        <is>
          <t>HY OAS</t>
        </is>
      </c>
      <c r="C25" s="110" t="n">
        <v>0.0272</v>
      </c>
      <c r="D25" s="85" t="inlineStr">
        <is>
          <t>2026-07-06</t>
        </is>
      </c>
      <c r="E25" s="85" t="inlineStr">
        <is>
          <t>BAMLH0A0HYM2</t>
        </is>
      </c>
      <c r="F25" s="85" t="inlineStr">
        <is>
          <t>Pinned fallback; browser route refreshes live when available</t>
        </is>
      </c>
      <c r="G25" s="85" t="inlineStr">
        <is>
          <t>FOAK / credit-risk pressure around financing windows</t>
        </is>
      </c>
      <c r="H25" s="1" t="n"/>
      <c r="I25" s="1" t="n"/>
      <c r="J25" s="1" t="n"/>
      <c r="K25" s="1" t="n"/>
      <c r="L25" s="1" t="n"/>
      <c r="M25" s="1" t="n"/>
    </row>
    <row r="26">
      <c r="A26" s="1" t="n"/>
      <c r="B26" s="58" t="inlineStr">
        <is>
          <t>BAA - 10Y</t>
        </is>
      </c>
      <c r="C26" s="110" t="n">
        <v>0.0154</v>
      </c>
      <c r="D26" s="85" t="inlineStr">
        <is>
          <t>2026-07-01</t>
        </is>
      </c>
      <c r="E26" s="85" t="inlineStr">
        <is>
          <t>BAA10Y</t>
        </is>
      </c>
      <c r="F26" s="85" t="inlineStr">
        <is>
          <t>Pinned fallback; browser route refreshes live when available</t>
        </is>
      </c>
      <c r="G26" s="85" t="inlineStr">
        <is>
          <t>Investment-grade spread pressure around long-duration obligations</t>
        </is>
      </c>
      <c r="H26" s="1" t="n"/>
      <c r="I26" s="1" t="n"/>
      <c r="J26" s="1" t="n"/>
      <c r="K26" s="1" t="n"/>
      <c r="L26" s="1" t="n"/>
      <c r="M26" s="1" t="n"/>
    </row>
    <row r="27">
      <c r="A27" s="1" t="n"/>
      <c r="B27" s="58" t="inlineStr">
        <is>
          <t>DGS10</t>
        </is>
      </c>
      <c r="C27" s="110" t="n">
        <v>0.0449</v>
      </c>
      <c r="D27" s="85" t="inlineStr">
        <is>
          <t>2026-07-02</t>
        </is>
      </c>
      <c r="E27" s="85" t="inlineStr">
        <is>
          <t>DGS10</t>
        </is>
      </c>
      <c r="F27" s="85" t="inlineStr">
        <is>
          <t>Pinned fallback; browser route refreshes live when available</t>
        </is>
      </c>
      <c r="G27" s="85" t="inlineStr">
        <is>
          <t>Treasury-rate base for financing-cost context</t>
        </is>
      </c>
      <c r="H27" s="1" t="n"/>
      <c r="I27" s="1" t="n"/>
      <c r="J27" s="1" t="n"/>
      <c r="K27" s="1" t="n"/>
      <c r="L27" s="1" t="n"/>
      <c r="M27" s="1" t="n"/>
    </row>
    <row r="28">
      <c r="A28" s="1" t="n"/>
      <c r="B28" s="58" t="inlineStr">
        <is>
          <t>Fuel tape</t>
        </is>
      </c>
      <c r="C28" s="53" t="inlineStr">
        <is>
          <t>context feed</t>
        </is>
      </c>
      <c r="D28" s="85" t="inlineStr"/>
      <c r="E28" s="85" t="inlineStr">
        <is>
          <t>/api/live/fuel</t>
        </is>
      </c>
      <c r="F28" s="85" t="inlineStr">
        <is>
          <t>BLS + Cameco refresh in browser</t>
        </is>
      </c>
      <c r="G28" s="85" t="inlineStr">
        <is>
          <t>Updates fabrication and feed proxy legs while preserving pending conversion/SWU labels.</t>
        </is>
      </c>
      <c r="H28" s="1" t="n"/>
      <c r="I28" s="1" t="n"/>
      <c r="J28" s="1" t="n"/>
      <c r="K28" s="1" t="n"/>
      <c r="L28" s="1" t="n"/>
      <c r="M28" s="1" t="n"/>
    </row>
    <row r="29">
      <c r="A29" s="1" t="n"/>
      <c r="B29" s="58" t="inlineStr">
        <is>
          <t>Financing tape</t>
        </is>
      </c>
      <c r="C29" s="53" t="inlineStr">
        <is>
          <t>context feed</t>
        </is>
      </c>
      <c r="D29" s="85" t="inlineStr"/>
      <c r="E29" s="85" t="inlineStr">
        <is>
          <t>/api/live/fred?series=hy_oas,baa10y,dgs10</t>
        </is>
      </c>
      <c r="F29" s="85" t="inlineStr">
        <is>
          <t>FRED refresh in browser</t>
        </is>
      </c>
      <c r="G29" s="85" t="inlineStr">
        <is>
          <t>Rates and spreads remain context unless the model explicitly consumes them.</t>
        </is>
      </c>
      <c r="H29" s="1" t="n"/>
      <c r="I29" s="1" t="n"/>
      <c r="J29" s="1" t="n"/>
      <c r="K29" s="1" t="n"/>
      <c r="L29" s="1" t="n"/>
      <c r="M29" s="1" t="n"/>
    </row>
    <row r="30">
      <c r="A30" s="1" t="n"/>
      <c r="B30" s="58" t="inlineStr">
        <is>
          <t>FMP workspace</t>
        </is>
      </c>
      <c r="C30" s="53" t="inlineStr">
        <is>
          <t>context feed</t>
        </is>
      </c>
      <c r="D30" s="85" t="inlineStr"/>
      <c r="E30" s="85" t="inlineStr">
        <is>
          <t>/api/fmp/[...path]</t>
        </is>
      </c>
      <c r="F30" s="85" t="inlineStr">
        <is>
          <t>live market workspace, not pasted into Excel</t>
        </is>
      </c>
      <c r="G30" s="85" t="inlineStr">
        <is>
          <t>Equity prices, estimates, transcripts, and peer multiples reprice the bottleneck around the model.</t>
        </is>
      </c>
      <c r="H30" s="1" t="n"/>
      <c r="I30" s="1" t="n"/>
      <c r="J30" s="1" t="n"/>
      <c r="K30" s="1" t="n"/>
      <c r="L30" s="1" t="n"/>
      <c r="M30" s="1" t="n"/>
    </row>
    <row r="31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  <c r="J31" s="1" t="n"/>
      <c r="K31" s="1" t="n"/>
      <c r="L31" s="1" t="n"/>
      <c r="M31" s="1" t="n"/>
    </row>
    <row r="32">
      <c r="A32" s="1" t="n"/>
      <c r="B32" s="1" t="n"/>
      <c r="C32" s="1" t="n"/>
      <c r="D32" s="1" t="n"/>
      <c r="E32" s="1" t="n"/>
      <c r="F32" s="1" t="n"/>
      <c r="G32" s="1" t="n"/>
      <c r="H32" s="1" t="n"/>
      <c r="I32" s="1" t="n"/>
      <c r="J32" s="1" t="n"/>
      <c r="K32" s="1" t="n"/>
      <c r="L32" s="1" t="n"/>
      <c r="M32" s="1" t="n"/>
    </row>
    <row r="33" ht="17" customHeight="1">
      <c r="A33" s="1" t="n"/>
      <c r="B33" s="22" t="inlineStr">
        <is>
          <t>Workbook tie-outs</t>
        </is>
      </c>
      <c r="C33" s="23" t="n"/>
      <c r="D33" s="23" t="n"/>
      <c r="E33" s="23" t="n"/>
      <c r="F33" s="23" t="n"/>
      <c r="G33" s="23" t="n"/>
      <c r="H33" s="1" t="n"/>
      <c r="I33" s="1" t="n"/>
      <c r="J33" s="1" t="n"/>
      <c r="K33" s="1" t="n"/>
      <c r="L33" s="1" t="n"/>
      <c r="M33" s="1" t="n"/>
    </row>
    <row r="34" ht="26" customHeight="1">
      <c r="A34" s="1" t="n"/>
      <c r="B34" s="39" t="inlineStr">
        <is>
          <t>Tie-out</t>
        </is>
      </c>
      <c r="C34" s="52" t="inlineStr">
        <is>
          <t>Workbook</t>
        </is>
      </c>
      <c r="D34" s="52" t="inlineStr">
        <is>
          <t>LiveTape</t>
        </is>
      </c>
      <c r="E34" s="52" t="inlineStr">
        <is>
          <t>Delta</t>
        </is>
      </c>
      <c r="F34" s="52" t="inlineStr">
        <is>
          <t>Pass</t>
        </is>
      </c>
      <c r="G34" s="52" t="inlineStr">
        <is>
          <t>Basis</t>
        </is>
      </c>
      <c r="H34" s="1" t="n"/>
      <c r="I34" s="1" t="n"/>
      <c r="J34" s="1" t="n"/>
      <c r="K34" s="1" t="n"/>
      <c r="L34" s="1" t="n"/>
      <c r="M34" s="1" t="n"/>
    </row>
    <row r="35">
      <c r="A35" s="1" t="n"/>
      <c r="B35" s="58" t="inlineStr">
        <is>
          <t>Fuel fabrication composite tie-out</t>
        </is>
      </c>
      <c r="C35" s="131">
        <f>FabComposite</f>
        <v/>
      </c>
      <c r="D35" s="131">
        <f>LiveTapeFabComposite</f>
        <v/>
      </c>
      <c r="E35" s="130">
        <f>C35-D35</f>
        <v/>
      </c>
      <c r="F35" s="132">
        <f>ABS(E35)&lt;0.0001</f>
        <v/>
      </c>
      <c r="G35" s="85" t="inlineStr">
        <is>
          <t>LiveTape fabrication value must match the Fuel sheet's indexed composite.</t>
        </is>
      </c>
      <c r="H35" s="1" t="n"/>
      <c r="I35" s="1" t="n"/>
      <c r="J35" s="1" t="n"/>
      <c r="K35" s="1" t="n"/>
      <c r="L35" s="1" t="n"/>
      <c r="M35" s="1" t="n"/>
    </row>
    <row r="36">
      <c r="A36" s="1" t="n"/>
      <c r="B36" s="58" t="inlineStr">
        <is>
          <t>Recognized-revenue floor tie-out</t>
        </is>
      </c>
      <c r="C36" s="133">
        <f>RevenueBridgeRecognizedFloorB</f>
        <v/>
      </c>
      <c r="D36" s="133">
        <f>LiveTapeRecognizedRevenueFloorB</f>
        <v/>
      </c>
      <c r="E36" s="130">
        <f>C36-D36</f>
        <v/>
      </c>
      <c r="F36" s="132">
        <f>ABS(E36)&lt;0.0001</f>
        <v/>
      </c>
      <c r="G36" s="85" t="inlineStr">
        <is>
          <t>Court-sworn floor must tie to the Anthropic revenue-basis bridge.</t>
        </is>
      </c>
      <c r="H36" s="1" t="n"/>
      <c r="I36" s="1" t="n"/>
      <c r="J36" s="1" t="n"/>
      <c r="K36" s="1" t="n"/>
      <c r="L36" s="1" t="n"/>
      <c r="M36" s="1" t="n"/>
    </row>
    <row r="37">
      <c r="A37" s="1" t="n"/>
      <c r="B37" s="1" t="n"/>
      <c r="C37" s="1" t="n"/>
      <c r="D37" s="1" t="n"/>
      <c r="E37" s="1" t="n"/>
      <c r="F37" s="1" t="n"/>
      <c r="G37" s="1" t="n"/>
      <c r="H37" s="1" t="n"/>
      <c r="I37" s="1" t="n"/>
      <c r="J37" s="1" t="n"/>
      <c r="K37" s="1" t="n"/>
      <c r="L37" s="1" t="n"/>
      <c r="M37" s="1" t="n"/>
    </row>
    <row r="38">
      <c r="A38" s="1" t="n"/>
      <c r="B38" s="1" t="n"/>
      <c r="C38" s="1" t="n"/>
      <c r="D38" s="1" t="n"/>
      <c r="E38" s="1" t="n"/>
      <c r="F38" s="1" t="n"/>
      <c r="G38" s="1" t="n"/>
      <c r="H38" s="1" t="n"/>
      <c r="I38" s="1" t="n"/>
      <c r="J38" s="1" t="n"/>
      <c r="K38" s="1" t="n"/>
      <c r="L38" s="1" t="n"/>
      <c r="M38" s="1" t="n"/>
    </row>
    <row r="39">
      <c r="A39" s="1" t="n"/>
      <c r="B39" s="1" t="n"/>
      <c r="C39" s="1" t="n"/>
      <c r="D39" s="1" t="n"/>
      <c r="E39" s="1" t="n"/>
      <c r="F39" s="1" t="n"/>
      <c r="G39" s="1" t="n"/>
      <c r="H39" s="1" t="n"/>
      <c r="I39" s="1" t="n"/>
      <c r="J39" s="1" t="n"/>
      <c r="K39" s="1" t="n"/>
      <c r="L39" s="1" t="n"/>
      <c r="M39" s="1" t="n"/>
    </row>
    <row r="40">
      <c r="A40" s="1" t="n"/>
      <c r="B40" s="1" t="n"/>
      <c r="C40" s="1" t="n"/>
      <c r="D40" s="1" t="n"/>
      <c r="E40" s="1" t="n"/>
      <c r="F40" s="1" t="n"/>
      <c r="G40" s="1" t="n"/>
      <c r="H40" s="1" t="n"/>
      <c r="I40" s="1" t="n"/>
      <c r="J40" s="1" t="n"/>
      <c r="K40" s="1" t="n"/>
      <c r="L40" s="1" t="n"/>
      <c r="M40" s="1" t="n"/>
    </row>
    <row r="41">
      <c r="A41" s="1" t="n"/>
      <c r="B41" s="1" t="n"/>
      <c r="C41" s="1" t="n"/>
      <c r="D41" s="1" t="n"/>
      <c r="E41" s="1" t="n"/>
      <c r="F41" s="1" t="n"/>
      <c r="G41" s="1" t="n"/>
      <c r="H41" s="1" t="n"/>
      <c r="I41" s="1" t="n"/>
      <c r="J41" s="1" t="n"/>
      <c r="K41" s="1" t="n"/>
      <c r="L41" s="1" t="n"/>
      <c r="M41" s="1" t="n"/>
    </row>
    <row r="42">
      <c r="A42" s="1" t="n"/>
      <c r="B42" s="1" t="n"/>
      <c r="C42" s="1" t="n"/>
      <c r="D42" s="1" t="n"/>
      <c r="E42" s="1" t="n"/>
      <c r="F42" s="1" t="n"/>
      <c r="G42" s="1" t="n"/>
      <c r="H42" s="1" t="n"/>
      <c r="I42" s="1" t="n"/>
      <c r="J42" s="1" t="n"/>
      <c r="K42" s="1" t="n"/>
      <c r="L42" s="1" t="n"/>
      <c r="M42" s="1" t="n"/>
    </row>
    <row r="43">
      <c r="A43" s="1" t="n"/>
      <c r="B43" s="1" t="n"/>
      <c r="C43" s="1" t="n"/>
      <c r="D43" s="1" t="n"/>
      <c r="E43" s="1" t="n"/>
      <c r="F43" s="1" t="n"/>
      <c r="G43" s="1" t="n"/>
      <c r="H43" s="1" t="n"/>
      <c r="I43" s="1" t="n"/>
      <c r="J43" s="1" t="n"/>
      <c r="K43" s="1" t="n"/>
      <c r="L43" s="1" t="n"/>
      <c r="M43" s="1" t="n"/>
    </row>
    <row r="44">
      <c r="A44" s="1" t="n"/>
      <c r="B44" s="1" t="n"/>
      <c r="C44" s="1" t="n"/>
      <c r="D44" s="1" t="n"/>
      <c r="E44" s="1" t="n"/>
      <c r="F44" s="1" t="n"/>
      <c r="G44" s="1" t="n"/>
      <c r="H44" s="1" t="n"/>
      <c r="I44" s="1" t="n"/>
      <c r="J44" s="1" t="n"/>
      <c r="K44" s="1" t="n"/>
      <c r="L44" s="1" t="n"/>
      <c r="M44" s="1" t="n"/>
    </row>
    <row r="45">
      <c r="A45" s="1" t="n"/>
      <c r="B45" s="1" t="n"/>
      <c r="C45" s="1" t="n"/>
      <c r="D45" s="1" t="n"/>
      <c r="E45" s="1" t="n"/>
      <c r="F45" s="1" t="n"/>
      <c r="G45" s="1" t="n"/>
      <c r="H45" s="1" t="n"/>
      <c r="I45" s="1" t="n"/>
      <c r="J45" s="1" t="n"/>
      <c r="K45" s="1" t="n"/>
      <c r="L45" s="1" t="n"/>
      <c r="M45" s="1" t="n"/>
    </row>
    <row r="46">
      <c r="A46" s="1" t="n"/>
      <c r="B46" s="1" t="n"/>
      <c r="C46" s="1" t="n"/>
      <c r="D46" s="1" t="n"/>
      <c r="E46" s="1" t="n"/>
      <c r="F46" s="1" t="n"/>
      <c r="G46" s="1" t="n"/>
      <c r="H46" s="1" t="n"/>
      <c r="I46" s="1" t="n"/>
      <c r="J46" s="1" t="n"/>
      <c r="K46" s="1" t="n"/>
      <c r="L46" s="1" t="n"/>
      <c r="M46" s="1" t="n"/>
    </row>
    <row r="47">
      <c r="A47" s="1" t="n"/>
      <c r="B47" s="1" t="n"/>
      <c r="C47" s="1" t="n"/>
      <c r="D47" s="1" t="n"/>
      <c r="E47" s="1" t="n"/>
      <c r="F47" s="1" t="n"/>
      <c r="G47" s="1" t="n"/>
      <c r="H47" s="1" t="n"/>
      <c r="I47" s="1" t="n"/>
      <c r="J47" s="1" t="n"/>
      <c r="K47" s="1" t="n"/>
      <c r="L47" s="1" t="n"/>
      <c r="M47" s="1" t="n"/>
    </row>
    <row r="48">
      <c r="A48" s="1" t="n"/>
      <c r="B48" s="1" t="n"/>
      <c r="C48" s="1" t="n"/>
      <c r="D48" s="1" t="n"/>
      <c r="E48" s="1" t="n"/>
      <c r="F48" s="1" t="n"/>
      <c r="G48" s="1" t="n"/>
      <c r="H48" s="1" t="n"/>
      <c r="I48" s="1" t="n"/>
      <c r="J48" s="1" t="n"/>
      <c r="K48" s="1" t="n"/>
      <c r="L48" s="1" t="n"/>
      <c r="M48" s="1" t="n"/>
    </row>
  </sheetData>
  <pageMargins left="0.4" right="0.4" top="0.5" bottom="0.5" header="0.3" footer="0.3"/>
  <pageSetup orientation="landscape" fitToHeight="0" fitToWidth="1"/>
</worksheet>
</file>

<file path=xl/worksheets/sheet16.xml><?xml version="1.0" encoding="utf-8"?>
<worksheet xmlns="http://schemas.openxmlformats.org/spreadsheetml/2006/main">
  <sheetPr>
    <tabColor rgb="00F3E2C4"/>
    <outlinePr summaryBelow="1" summaryRight="1"/>
    <pageSetUpPr fitToPage="1"/>
  </sheetPr>
  <dimension ref="A1:L41"/>
  <sheetViews>
    <sheetView showGridLines="0" workbookViewId="0">
      <selection activeCell="A1" sqref="A1"/>
    </sheetView>
  </sheetViews>
  <sheetFormatPr baseColWidth="8" defaultRowHeight="15"/>
  <cols>
    <col width="2.5" customWidth="1" min="1" max="1"/>
    <col width="46" customWidth="1" min="2" max="2"/>
    <col width="11" customWidth="1" min="3" max="3"/>
    <col width="11" customWidth="1" min="4" max="4"/>
    <col width="13" customWidth="1" min="5" max="5"/>
    <col width="64" customWidth="1" min="6" max="6"/>
  </cols>
  <sheetData>
    <row r="1" ht="9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</row>
    <row r="2" ht="22" customHeight="1">
      <c r="A2" s="1" t="n"/>
      <c r="B2" s="17" t="inlineStr">
        <is>
          <t>Risk</t>
        </is>
      </c>
      <c r="C2" s="18" t="n"/>
      <c r="D2" s="18" t="n"/>
      <c r="E2" s="18" t="n"/>
      <c r="F2" s="18" t="n"/>
      <c r="G2" s="1" t="n"/>
      <c r="H2" s="1" t="n"/>
      <c r="I2" s="1" t="n"/>
      <c r="J2" s="1" t="n"/>
      <c r="K2" s="1" t="n"/>
      <c r="L2" s="1" t="n"/>
    </row>
    <row r="3">
      <c r="A3" s="1" t="n"/>
      <c r="B3" s="19" t="inlineStr">
        <is>
          <t>Weighted exposures, priced into the discount rate.</t>
        </is>
      </c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</row>
    <row r="4" ht="6" customHeight="1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  <c r="K4" s="1" t="n"/>
      <c r="L4" s="1" t="n"/>
    </row>
    <row r="5">
      <c r="A5" s="1" t="n"/>
      <c r="B5" s="1" t="n"/>
      <c r="C5" s="1" t="n"/>
      <c r="D5" s="1" t="n"/>
      <c r="E5" s="1" t="n"/>
      <c r="F5" s="1" t="n"/>
      <c r="G5" s="1" t="n"/>
      <c r="H5" s="1" t="n"/>
      <c r="I5" s="1" t="n"/>
      <c r="J5" s="1" t="n"/>
      <c r="K5" s="1" t="n"/>
      <c r="L5" s="1" t="n"/>
    </row>
    <row r="6" ht="17" customHeight="1">
      <c r="A6" s="1" t="n"/>
      <c r="B6" s="22" t="inlineStr">
        <is>
          <t>Factors — stated judgments</t>
        </is>
      </c>
      <c r="C6" s="23" t="n"/>
      <c r="D6" s="23" t="n"/>
      <c r="E6" s="23" t="n"/>
      <c r="F6" s="23" t="n"/>
      <c r="G6" s="1" t="n"/>
      <c r="H6" s="1" t="n"/>
      <c r="I6" s="1" t="n"/>
      <c r="J6" s="1" t="n"/>
      <c r="K6" s="1" t="n"/>
      <c r="L6" s="1" t="n"/>
    </row>
    <row r="7" ht="14" customHeight="1">
      <c r="A7" s="1" t="n"/>
      <c r="B7" s="39" t="inlineStr">
        <is>
          <t>Factor</t>
        </is>
      </c>
      <c r="C7" s="40" t="inlineStr">
        <is>
          <t>Weight</t>
        </is>
      </c>
      <c r="D7" s="40" t="inlineStr">
        <is>
          <t>Score 1-5</t>
        </is>
      </c>
      <c r="E7" s="40" t="inlineStr">
        <is>
          <t>Weighted</t>
        </is>
      </c>
      <c r="F7" s="40" t="inlineStr">
        <is>
          <t>What it prices</t>
        </is>
      </c>
      <c r="G7" s="1" t="n"/>
      <c r="H7" s="1" t="n"/>
      <c r="I7" s="1" t="n"/>
      <c r="J7" s="1" t="n"/>
      <c r="K7" s="1" t="n"/>
      <c r="L7" s="1" t="n"/>
    </row>
    <row r="8">
      <c r="A8" s="1" t="n"/>
      <c r="B8" s="53" t="inlineStr">
        <is>
          <t>Country and geopolitical</t>
        </is>
      </c>
      <c r="C8" s="86" t="n">
        <v>0.2</v>
      </c>
      <c r="D8" s="88" t="n">
        <v>3</v>
      </c>
      <c r="E8" s="108">
        <f>C8*D8</f>
        <v/>
      </c>
      <c r="F8" s="43" t="inlineStr">
        <is>
          <t>Supply-chain concentration and the China-India premium; tariff and export-control whiplash.</t>
        </is>
      </c>
      <c r="G8" s="1" t="n"/>
      <c r="H8" s="1" t="n"/>
      <c r="I8" s="1" t="n"/>
      <c r="J8" s="1" t="n"/>
      <c r="K8" s="1" t="n"/>
      <c r="L8" s="1" t="n"/>
    </row>
    <row r="9">
      <c r="A9" s="1" t="n"/>
      <c r="B9" s="53" t="inlineStr">
        <is>
          <t>Regulatory and licensing</t>
        </is>
      </c>
      <c r="C9" s="86" t="n">
        <v>0.15</v>
      </c>
      <c r="D9" s="88" t="n">
        <v>4</v>
      </c>
      <c r="E9" s="108">
        <f>C9*D9</f>
        <v/>
      </c>
      <c r="F9" s="43" t="inlineStr">
        <is>
          <t>NRC design approval and inspection cadence; the July-2029 interconnection gate; red tape as the dominant schedule cost.</t>
        </is>
      </c>
      <c r="G9" s="1" t="n"/>
      <c r="H9" s="1" t="n"/>
      <c r="I9" s="1" t="n"/>
      <c r="J9" s="1" t="n"/>
      <c r="K9" s="1" t="n"/>
      <c r="L9" s="1" t="n"/>
    </row>
    <row r="10">
      <c r="A10" s="1" t="n"/>
      <c r="B10" s="53" t="inlineStr">
        <is>
          <t>Tax-credit regime</t>
        </is>
      </c>
      <c r="C10" s="86" t="n">
        <v>0.1</v>
      </c>
      <c r="D10" s="88" t="n">
        <v>3</v>
      </c>
      <c r="E10" s="108">
        <f>C10*D10</f>
        <v/>
      </c>
      <c r="F10" s="43" t="inlineStr">
        <is>
          <t>ITC/PTC sunset and phase-down risk; the credit is contractually netted out of the PPA price, so its repeal lands on the buyer.</t>
        </is>
      </c>
      <c r="G10" s="1" t="n"/>
      <c r="H10" s="1" t="n"/>
      <c r="I10" s="1" t="n"/>
      <c r="J10" s="1" t="n"/>
      <c r="K10" s="1" t="n"/>
      <c r="L10" s="1" t="n"/>
    </row>
    <row r="11">
      <c r="A11" s="1" t="n"/>
      <c r="B11" s="53" t="inlineStr">
        <is>
          <t>First-of-a-kind execution</t>
        </is>
      </c>
      <c r="C11" s="86" t="n">
        <v>0.2</v>
      </c>
      <c r="D11" s="88" t="n">
        <v>4</v>
      </c>
      <c r="E11" s="108">
        <f>C11*D11</f>
        <v/>
      </c>
      <c r="F11" s="43" t="inlineStr">
        <is>
          <t>No N-SMR has been deployed this way; output and COD confidence are the operator's own stated concern.</t>
        </is>
      </c>
      <c r="G11" s="1" t="n"/>
      <c r="H11" s="1" t="n"/>
      <c r="I11" s="1" t="n"/>
      <c r="J11" s="1" t="n"/>
      <c r="K11" s="1" t="n"/>
      <c r="L11" s="1" t="n"/>
    </row>
    <row r="12">
      <c r="A12" s="1" t="n"/>
      <c r="B12" s="53" t="inlineStr">
        <is>
          <t>Civil labor market</t>
        </is>
      </c>
      <c r="C12" s="86" t="n">
        <v>0.1</v>
      </c>
      <c r="D12" s="88" t="n">
        <v>4</v>
      </c>
      <c r="E12" s="108">
        <f>C12*D12</f>
        <v/>
      </c>
      <c r="F12" s="43" t="inlineStr">
        <is>
          <t>Electricians and plumbers are the binding trade; the shortage forces mega-campus topology.</t>
        </is>
      </c>
      <c r="G12" s="1" t="n"/>
      <c r="H12" s="1" t="n"/>
      <c r="I12" s="1" t="n"/>
      <c r="J12" s="1" t="n"/>
      <c r="K12" s="1" t="n"/>
      <c r="L12" s="1" t="n"/>
    </row>
    <row r="13">
      <c r="A13" s="1" t="n"/>
      <c r="B13" s="53" t="inlineStr">
        <is>
          <t>Community and environment</t>
        </is>
      </c>
      <c r="C13" s="86" t="n">
        <v>0.05</v>
      </c>
      <c r="D13" s="88" t="n">
        <v>2</v>
      </c>
      <c r="E13" s="108">
        <f>C13*D13</f>
        <v/>
      </c>
      <c r="F13" s="43" t="inlineStr">
        <is>
          <t>Payments in lieu of taxes settle community exposure upfront; thermal discharge burdens are real but priced.</t>
        </is>
      </c>
      <c r="G13" s="1" t="n"/>
      <c r="H13" s="1" t="n"/>
      <c r="I13" s="1" t="n"/>
      <c r="J13" s="1" t="n"/>
      <c r="K13" s="1" t="n"/>
      <c r="L13" s="1" t="n"/>
    </row>
    <row r="14">
      <c r="A14" s="1" t="n"/>
      <c r="B14" s="53" t="inlineStr">
        <is>
          <t>Fab and lithography concentration</t>
        </is>
      </c>
      <c r="C14" s="86" t="n">
        <v>0.1</v>
      </c>
      <c r="D14" s="88" t="n">
        <v>3</v>
      </c>
      <c r="E14" s="108">
        <f>C14*D14</f>
        <v/>
      </c>
      <c r="F14" s="43" t="inlineStr">
        <is>
          <t>Logic and memory capacity choke at a handful of fabs and ultimately one lithographer.</t>
        </is>
      </c>
      <c r="G14" s="1" t="n"/>
      <c r="H14" s="1" t="n"/>
      <c r="I14" s="1" t="n"/>
      <c r="J14" s="1" t="n"/>
      <c r="K14" s="1" t="n"/>
      <c r="L14" s="1" t="n"/>
    </row>
    <row r="15">
      <c r="A15" s="1" t="n"/>
      <c r="B15" s="53" t="inlineStr">
        <is>
          <t>Grid stability and firming</t>
        </is>
      </c>
      <c r="C15" s="86" t="n">
        <v>0.1</v>
      </c>
      <c r="D15" s="88" t="n">
        <v>3</v>
      </c>
      <c r="E15" s="108">
        <f>C15*D15</f>
        <v/>
      </c>
      <c r="F15" s="43" t="inlineStr">
        <is>
          <t>Synchronous training swings of hundreds of megawatts; firming costs and blackout exposure justify behind-the-meter supply.</t>
        </is>
      </c>
      <c r="G15" s="1" t="n"/>
      <c r="H15" s="1" t="n"/>
      <c r="I15" s="1" t="n"/>
      <c r="J15" s="1" t="n"/>
      <c r="K15" s="1" t="n"/>
      <c r="L15" s="1" t="n"/>
    </row>
    <row r="16">
      <c r="A16" s="1" t="n"/>
      <c r="B16" s="20" t="inlineStr">
        <is>
          <t>Composite (0 = riskless, 1 = worst case)</t>
        </is>
      </c>
      <c r="C16" s="120">
        <f>SUMPRODUCT(C8:C15,D8:D15)/SUM(C8:C15)/5</f>
        <v/>
      </c>
      <c r="D16" s="1" t="n"/>
      <c r="E16" s="1" t="n"/>
      <c r="F16" s="1" t="n"/>
      <c r="G16" s="1" t="n"/>
      <c r="H16" s="1" t="n"/>
      <c r="I16" s="1" t="n"/>
      <c r="J16" s="1" t="n"/>
      <c r="K16" s="1" t="n"/>
      <c r="L16" s="1" t="n"/>
    </row>
    <row r="17">
      <c r="A17" s="1" t="n"/>
      <c r="B17" s="1" t="n"/>
      <c r="C17" s="1" t="n"/>
      <c r="D17" s="1" t="n"/>
      <c r="E17" s="1" t="n"/>
      <c r="F17" s="1" t="n"/>
      <c r="G17" s="1" t="n"/>
      <c r="H17" s="1" t="n"/>
      <c r="I17" s="1" t="n"/>
      <c r="J17" s="1" t="n"/>
      <c r="K17" s="1" t="n"/>
      <c r="L17" s="1" t="n"/>
    </row>
    <row r="18" ht="17" customHeight="1">
      <c r="A18" s="1" t="n"/>
      <c r="B18" s="22" t="inlineStr">
        <is>
          <t>Into the discount rate</t>
        </is>
      </c>
      <c r="C18" s="23" t="n"/>
      <c r="D18" s="23" t="n"/>
      <c r="E18" s="23" t="n"/>
      <c r="F18" s="23" t="n"/>
      <c r="G18" s="1" t="n"/>
      <c r="H18" s="1" t="n"/>
      <c r="I18" s="1" t="n"/>
      <c r="J18" s="1" t="n"/>
      <c r="K18" s="1" t="n"/>
      <c r="L18" s="1" t="n"/>
    </row>
    <row r="19">
      <c r="A19" s="1" t="n"/>
      <c r="B19" s="29" t="inlineStr">
        <is>
          <t>Maximum risk premium at composite = 1</t>
        </is>
      </c>
      <c r="C19" s="101" t="n">
        <v>0.06</v>
      </c>
      <c r="D19" s="1" t="n"/>
      <c r="E19" s="1" t="n"/>
      <c r="F19" s="1" t="n"/>
      <c r="G19" s="1" t="n"/>
      <c r="H19" s="1" t="n"/>
      <c r="I19" s="1" t="n"/>
      <c r="J19" s="1" t="n"/>
      <c r="K19" s="1" t="n"/>
      <c r="L19" s="1" t="n"/>
    </row>
    <row r="20">
      <c r="A20" s="1" t="n"/>
      <c r="B20" s="29" t="inlineStr">
        <is>
          <t>Risk premium</t>
        </is>
      </c>
      <c r="C20" s="114">
        <f>RiskComposite*nMaxRiskPrem</f>
        <v/>
      </c>
      <c r="D20" s="1" t="n"/>
      <c r="E20" s="1" t="n"/>
      <c r="F20" s="1" t="n"/>
      <c r="G20" s="1" t="n"/>
      <c r="H20" s="1" t="n"/>
      <c r="I20" s="1" t="n"/>
      <c r="J20" s="1" t="n"/>
      <c r="K20" s="1" t="n"/>
      <c r="L20" s="1" t="n"/>
    </row>
    <row r="21">
      <c r="A21" s="1" t="n"/>
      <c r="B21" s="20" t="inlineStr">
        <is>
          <t>Risk-adjusted discount rate</t>
        </is>
      </c>
      <c r="C21" s="120">
        <f>nDisc+RiskComposite*nMaxRiskPrem</f>
        <v/>
      </c>
      <c r="D21" s="1" t="n"/>
      <c r="E21" s="1" t="n"/>
      <c r="F21" s="43" t="inlineStr">
        <is>
          <t>Base rate plus the composite premium; discounts the savings and risk-adjusts the structure comparison.</t>
        </is>
      </c>
      <c r="G21" s="1" t="n"/>
      <c r="H21" s="1" t="n"/>
      <c r="I21" s="1" t="n"/>
      <c r="J21" s="1" t="n"/>
      <c r="K21" s="1" t="n"/>
      <c r="L21" s="1" t="n"/>
    </row>
    <row r="22">
      <c r="A22" s="1" t="n"/>
      <c r="B22" s="1" t="n"/>
      <c r="C22" s="1" t="n"/>
      <c r="D22" s="1" t="n"/>
      <c r="E22" s="1" t="n"/>
      <c r="F22" s="1" t="n"/>
      <c r="G22" s="1" t="n"/>
      <c r="H22" s="1" t="n"/>
      <c r="I22" s="1" t="n"/>
      <c r="J22" s="1" t="n"/>
      <c r="K22" s="1" t="n"/>
      <c r="L22" s="1" t="n"/>
    </row>
    <row r="23">
      <c r="A23" s="1" t="n"/>
      <c r="B23" s="43" t="inlineStr">
        <is>
          <t>Country spreads, credit indices, and labor series can price this composite directly.</t>
        </is>
      </c>
      <c r="C23" s="1" t="n"/>
      <c r="D23" s="1" t="n"/>
      <c r="E23" s="1" t="n"/>
      <c r="F23" s="1" t="n"/>
      <c r="G23" s="1" t="n"/>
      <c r="H23" s="1" t="n"/>
      <c r="I23" s="1" t="n"/>
      <c r="J23" s="1" t="n"/>
      <c r="K23" s="1" t="n"/>
      <c r="L23" s="1" t="n"/>
    </row>
    <row r="24">
      <c r="A24" s="1" t="n"/>
      <c r="B24" s="1" t="n"/>
      <c r="C24" s="1" t="n"/>
      <c r="D24" s="1" t="n"/>
      <c r="E24" s="1" t="n"/>
      <c r="F24" s="1" t="n"/>
      <c r="G24" s="1" t="n"/>
      <c r="H24" s="1" t="n"/>
      <c r="I24" s="1" t="n"/>
      <c r="J24" s="1" t="n"/>
      <c r="K24" s="1" t="n"/>
      <c r="L24" s="1" t="n"/>
    </row>
    <row r="25" ht="17" customHeight="1">
      <c r="A25" s="1" t="n"/>
      <c r="B25" s="22" t="inlineStr">
        <is>
          <t>Priced composite v1 — Jun-2026 series</t>
        </is>
      </c>
      <c r="C25" s="23" t="n"/>
      <c r="D25" s="23" t="n"/>
      <c r="E25" s="23" t="n"/>
      <c r="F25" s="23" t="n"/>
      <c r="G25" s="1" t="n"/>
      <c r="H25" s="1" t="n"/>
      <c r="I25" s="1" t="n"/>
      <c r="J25" s="1" t="n"/>
      <c r="K25" s="1" t="n"/>
      <c r="L25" s="1" t="n"/>
    </row>
    <row r="26">
      <c r="A26" s="1" t="n"/>
      <c r="B26" s="29" t="inlineStr">
        <is>
          <t>Composite, stated judgments</t>
        </is>
      </c>
      <c r="C26" s="30">
        <f>RiskComposite</f>
        <v/>
      </c>
      <c r="D26" s="1" t="n"/>
      <c r="E26" s="1" t="n"/>
      <c r="F26" s="1" t="n"/>
      <c r="G26" s="1" t="n"/>
      <c r="H26" s="1" t="n"/>
      <c r="I26" s="1" t="n"/>
      <c r="J26" s="1" t="n"/>
      <c r="K26" s="1" t="n"/>
      <c r="L26" s="1" t="n"/>
    </row>
    <row r="27">
      <c r="A27" s="1" t="n"/>
      <c r="B27" s="29" t="inlineStr">
        <is>
          <t>Composite, priced where a series exists (3 of 8 factors)</t>
        </is>
      </c>
      <c r="C27" s="118">
        <f>(C8*sRiskPricedCountry+C9*D9+C10*D10+C11*sRiskPricedFoak+C12*sRiskPricedLabor+C13*D13+C14*D14+C15*D15)/SUM(C8:C15)/5</f>
        <v/>
      </c>
      <c r="D27" s="1" t="n"/>
      <c r="E27" s="1" t="n"/>
      <c r="F27" s="1" t="n"/>
      <c r="G27" s="1" t="n"/>
      <c r="H27" s="1" t="n"/>
      <c r="I27" s="1" t="n"/>
      <c r="J27" s="1" t="n"/>
      <c r="K27" s="1" t="n"/>
      <c r="L27" s="1" t="n"/>
    </row>
    <row r="28">
      <c r="A28" s="1" t="n"/>
      <c r="B28" s="29" t="inlineStr">
        <is>
          <t>Delta, priced minus judgment</t>
        </is>
      </c>
      <c r="C28" s="114">
        <f>C27-C26</f>
        <v/>
      </c>
      <c r="D28" s="1" t="n"/>
      <c r="E28" s="1" t="n"/>
      <c r="F28" s="1" t="n"/>
      <c r="G28" s="1" t="n"/>
      <c r="H28" s="1" t="n"/>
      <c r="I28" s="1" t="n"/>
      <c r="J28" s="1" t="n"/>
      <c r="K28" s="1" t="n"/>
      <c r="L28" s="1" t="n"/>
    </row>
    <row r="29" ht="44" customHeight="1">
      <c r="A29" s="1" t="n"/>
      <c r="B29" s="28" t="inlineStr">
        <is>
          <t>Each priced factor maps its latest print to a 1-5 score by percentile in its own 10y window (BAA10Y, HY OAS, ECI mfg). Backtested Jun-2026: the mapping is contrarian on both testable legs, so the stated judgments stand — and price risk above the market read. Five factors remain unpriced.</t>
        </is>
      </c>
      <c r="C29" s="1" t="n"/>
      <c r="D29" s="1" t="n"/>
      <c r="E29" s="1" t="n"/>
      <c r="F29" s="1" t="n"/>
      <c r="G29" s="1" t="n"/>
      <c r="H29" s="1" t="n"/>
      <c r="I29" s="1" t="n"/>
      <c r="J29" s="1" t="n"/>
      <c r="K29" s="1" t="n"/>
      <c r="L29" s="1" t="n"/>
    </row>
    <row r="30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  <c r="J30" s="1" t="n"/>
      <c r="K30" s="1" t="n"/>
      <c r="L30" s="1" t="n"/>
    </row>
    <row r="31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  <c r="J31" s="1" t="n"/>
      <c r="K31" s="1" t="n"/>
      <c r="L31" s="1" t="n"/>
    </row>
    <row r="32">
      <c r="A32" s="1" t="n"/>
      <c r="B32" s="1" t="n"/>
      <c r="C32" s="1" t="n"/>
      <c r="D32" s="1" t="n"/>
      <c r="E32" s="1" t="n"/>
      <c r="F32" s="1" t="n"/>
      <c r="G32" s="1" t="n"/>
      <c r="H32" s="1" t="n"/>
      <c r="I32" s="1" t="n"/>
      <c r="J32" s="1" t="n"/>
      <c r="K32" s="1" t="n"/>
      <c r="L32" s="1" t="n"/>
    </row>
    <row r="33">
      <c r="A33" s="1" t="n"/>
      <c r="B33" s="1" t="n"/>
      <c r="C33" s="1" t="n"/>
      <c r="D33" s="1" t="n"/>
      <c r="E33" s="1" t="n"/>
      <c r="F33" s="1" t="n"/>
      <c r="G33" s="1" t="n"/>
      <c r="H33" s="1" t="n"/>
      <c r="I33" s="1" t="n"/>
      <c r="J33" s="1" t="n"/>
      <c r="K33" s="1" t="n"/>
      <c r="L33" s="1" t="n"/>
    </row>
    <row r="34">
      <c r="A34" s="1" t="n"/>
      <c r="B34" s="1" t="n"/>
      <c r="C34" s="1" t="n"/>
      <c r="D34" s="1" t="n"/>
      <c r="E34" s="1" t="n"/>
      <c r="F34" s="1" t="n"/>
      <c r="G34" s="1" t="n"/>
      <c r="H34" s="1" t="n"/>
      <c r="I34" s="1" t="n"/>
      <c r="J34" s="1" t="n"/>
      <c r="K34" s="1" t="n"/>
      <c r="L34" s="1" t="n"/>
    </row>
    <row r="35">
      <c r="A35" s="1" t="n"/>
      <c r="B35" s="1" t="n"/>
      <c r="C35" s="1" t="n"/>
      <c r="D35" s="1" t="n"/>
      <c r="E35" s="1" t="n"/>
      <c r="F35" s="1" t="n"/>
      <c r="G35" s="1" t="n"/>
      <c r="H35" s="1" t="n"/>
      <c r="I35" s="1" t="n"/>
      <c r="J35" s="1" t="n"/>
      <c r="K35" s="1" t="n"/>
      <c r="L35" s="1" t="n"/>
    </row>
    <row r="36">
      <c r="A36" s="1" t="n"/>
      <c r="B36" s="1" t="n"/>
      <c r="C36" s="1" t="n"/>
      <c r="D36" s="1" t="n"/>
      <c r="E36" s="1" t="n"/>
      <c r="F36" s="1" t="n"/>
      <c r="G36" s="1" t="n"/>
      <c r="H36" s="1" t="n"/>
      <c r="I36" s="1" t="n"/>
      <c r="J36" s="1" t="n"/>
      <c r="K36" s="1" t="n"/>
      <c r="L36" s="1" t="n"/>
    </row>
    <row r="37">
      <c r="A37" s="1" t="n"/>
      <c r="B37" s="1" t="n"/>
      <c r="C37" s="1" t="n"/>
      <c r="D37" s="1" t="n"/>
      <c r="E37" s="1" t="n"/>
      <c r="F37" s="1" t="n"/>
      <c r="G37" s="1" t="n"/>
      <c r="H37" s="1" t="n"/>
      <c r="I37" s="1" t="n"/>
      <c r="J37" s="1" t="n"/>
      <c r="K37" s="1" t="n"/>
      <c r="L37" s="1" t="n"/>
    </row>
    <row r="38">
      <c r="A38" s="1" t="n"/>
      <c r="B38" s="1" t="n"/>
      <c r="C38" s="1" t="n"/>
      <c r="D38" s="1" t="n"/>
      <c r="E38" s="1" t="n"/>
      <c r="F38" s="1" t="n"/>
      <c r="G38" s="1" t="n"/>
      <c r="H38" s="1" t="n"/>
      <c r="I38" s="1" t="n"/>
      <c r="J38" s="1" t="n"/>
      <c r="K38" s="1" t="n"/>
      <c r="L38" s="1" t="n"/>
    </row>
    <row r="39">
      <c r="A39" s="1" t="n"/>
      <c r="B39" s="1" t="n"/>
      <c r="C39" s="1" t="n"/>
      <c r="D39" s="1" t="n"/>
      <c r="E39" s="1" t="n"/>
      <c r="F39" s="1" t="n"/>
      <c r="G39" s="1" t="n"/>
      <c r="H39" s="1" t="n"/>
      <c r="I39" s="1" t="n"/>
      <c r="J39" s="1" t="n"/>
      <c r="K39" s="1" t="n"/>
      <c r="L39" s="1" t="n"/>
    </row>
    <row r="40">
      <c r="A40" s="1" t="n"/>
      <c r="B40" s="1" t="n"/>
      <c r="C40" s="1" t="n"/>
      <c r="D40" s="1" t="n"/>
      <c r="E40" s="1" t="n"/>
      <c r="F40" s="1" t="n"/>
      <c r="G40" s="1" t="n"/>
      <c r="H40" s="1" t="n"/>
      <c r="I40" s="1" t="n"/>
      <c r="J40" s="1" t="n"/>
      <c r="K40" s="1" t="n"/>
      <c r="L40" s="1" t="n"/>
    </row>
    <row r="41">
      <c r="A41" s="1" t="n"/>
      <c r="B41" s="1" t="n"/>
      <c r="C41" s="1" t="n"/>
      <c r="D41" s="1" t="n"/>
      <c r="E41" s="1" t="n"/>
      <c r="F41" s="1" t="n"/>
      <c r="G41" s="1" t="n"/>
      <c r="H41" s="1" t="n"/>
      <c r="I41" s="1" t="n"/>
      <c r="J41" s="1" t="n"/>
      <c r="K41" s="1" t="n"/>
      <c r="L41" s="1" t="n"/>
    </row>
  </sheetData>
  <pageMargins left="0.4" right="0.4" top="0.5" bottom="0.5" header="0.3" footer="0.3"/>
  <pageSetup orientation="landscape" fitToHeight="0" fitToWidth="1"/>
</worksheet>
</file>

<file path=xl/worksheets/sheet17.xml><?xml version="1.0" encoding="utf-8"?>
<worksheet xmlns="http://schemas.openxmlformats.org/spreadsheetml/2006/main">
  <sheetPr>
    <tabColor rgb="00EB8360"/>
    <outlinePr summaryBelow="1" summaryRight="1"/>
    <pageSetUpPr fitToPage="1"/>
  </sheetPr>
  <dimension ref="A1:M63"/>
  <sheetViews>
    <sheetView showGridLines="0" workbookViewId="0">
      <selection activeCell="A1" sqref="A1"/>
    </sheetView>
  </sheetViews>
  <sheetFormatPr baseColWidth="8" defaultRowHeight="15"/>
  <cols>
    <col width="2.5" customWidth="1" min="1" max="1"/>
    <col width="34" customWidth="1" min="2" max="2"/>
    <col width="34" customWidth="1" min="3" max="3"/>
    <col width="18" customWidth="1" min="4" max="4"/>
    <col width="28" customWidth="1" min="5" max="5"/>
    <col width="20" customWidth="1" min="6" max="6"/>
    <col width="40" customWidth="1" min="7" max="7"/>
  </cols>
  <sheetData>
    <row r="1" ht="9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</row>
    <row r="2" ht="22" customHeight="1">
      <c r="A2" s="1" t="n"/>
      <c r="B2" s="17" t="inlineStr">
        <is>
          <t>Credit</t>
        </is>
      </c>
      <c r="C2" s="18" t="n"/>
      <c r="D2" s="18" t="n"/>
      <c r="E2" s="18" t="n"/>
      <c r="F2" s="18" t="n"/>
      <c r="G2" s="18" t="n"/>
      <c r="H2" s="1" t="n"/>
      <c r="I2" s="1" t="n"/>
      <c r="J2" s="1" t="n"/>
      <c r="K2" s="1" t="n"/>
      <c r="L2" s="1" t="n"/>
      <c r="M2" s="1" t="n"/>
    </row>
    <row r="3">
      <c r="A3" s="1" t="n"/>
      <c r="B3" s="19" t="inlineStr">
        <is>
          <t>How lenders price the deployment gap.</t>
        </is>
      </c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  <c r="M3" s="1" t="n"/>
    </row>
    <row r="4" ht="6" customHeight="1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  <c r="K4" s="1" t="n"/>
      <c r="L4" s="1" t="n"/>
      <c r="M4" s="1" t="n"/>
    </row>
    <row r="5">
      <c r="A5" s="1" t="n"/>
      <c r="B5" s="1" t="n"/>
      <c r="C5" s="1" t="n"/>
      <c r="D5" s="1" t="n"/>
      <c r="E5" s="1" t="n"/>
      <c r="F5" s="1" t="n"/>
      <c r="G5" s="1" t="n"/>
      <c r="H5" s="1" t="n"/>
      <c r="I5" s="1" t="n"/>
      <c r="J5" s="1" t="n"/>
      <c r="K5" s="1" t="n"/>
      <c r="L5" s="1" t="n"/>
      <c r="M5" s="1" t="n"/>
    </row>
    <row r="6" ht="17" customHeight="1">
      <c r="A6" s="1" t="n"/>
      <c r="B6" s="22" t="inlineStr">
        <is>
          <t>DDTL 4.0 term sheet, as filed</t>
        </is>
      </c>
      <c r="C6" s="23" t="n"/>
      <c r="D6" s="23" t="n"/>
      <c r="E6" s="1" t="n"/>
      <c r="F6" s="1" t="n"/>
      <c r="G6" s="1" t="n"/>
      <c r="H6" s="1" t="n"/>
      <c r="I6" s="1" t="n"/>
      <c r="J6" s="1" t="n"/>
      <c r="K6" s="1" t="n"/>
      <c r="L6" s="1" t="n"/>
      <c r="M6" s="1" t="n"/>
    </row>
    <row r="7">
      <c r="A7" s="1" t="n"/>
      <c r="B7" s="29" t="inlineStr">
        <is>
          <t>Committed facility ($M)</t>
        </is>
      </c>
      <c r="C7" s="32">
        <f>sDdtlSize</f>
        <v/>
      </c>
      <c r="D7" s="43" t="inlineStr"/>
      <c r="E7" s="1" t="n"/>
      <c r="F7" s="1" t="n"/>
      <c r="G7" s="1" t="n"/>
      <c r="H7" s="1" t="n"/>
      <c r="I7" s="1" t="n"/>
      <c r="J7" s="1" t="n"/>
      <c r="K7" s="1" t="n"/>
      <c r="L7" s="1" t="n"/>
      <c r="M7" s="1" t="n"/>
    </row>
    <row r="8">
      <c r="A8" s="1" t="n"/>
      <c r="B8" s="29" t="inlineStr">
        <is>
          <t>Floating spread over SOFR (%)</t>
        </is>
      </c>
      <c r="C8" s="117">
        <f>sDdtlSpread</f>
        <v/>
      </c>
      <c r="D8" s="43" t="inlineStr">
        <is>
          <t>Fixed tranche about 5.9% per the same release.</t>
        </is>
      </c>
      <c r="E8" s="1" t="n"/>
      <c r="F8" s="1" t="n"/>
      <c r="G8" s="1" t="n"/>
      <c r="H8" s="1" t="n"/>
      <c r="I8" s="1" t="n"/>
      <c r="J8" s="1" t="n"/>
      <c r="K8" s="1" t="n"/>
      <c r="L8" s="1" t="n"/>
      <c r="M8" s="1" t="n"/>
    </row>
    <row r="9">
      <c r="A9" s="1" t="n"/>
      <c r="B9" s="29" t="inlineStr">
        <is>
          <t>LTV ceiling, IG counterparties (%)</t>
        </is>
      </c>
      <c r="C9" s="31">
        <f>sLtvIg</f>
        <v/>
      </c>
      <c r="D9" s="43" t="inlineStr">
        <is>
          <t>Dec-2024 facility agreement.</t>
        </is>
      </c>
      <c r="E9" s="1" t="n"/>
      <c r="F9" s="1" t="n"/>
      <c r="G9" s="1" t="n"/>
      <c r="H9" s="1" t="n"/>
      <c r="I9" s="1" t="n"/>
      <c r="J9" s="1" t="n"/>
      <c r="K9" s="1" t="n"/>
      <c r="L9" s="1" t="n"/>
      <c r="M9" s="1" t="n"/>
    </row>
    <row r="10">
      <c r="A10" s="1" t="n"/>
      <c r="B10" s="29" t="inlineStr">
        <is>
          <t>LTV ceiling, non-IG step-down (%)</t>
        </is>
      </c>
      <c r="C10" s="31">
        <f>sLtvNonIg</f>
        <v/>
      </c>
      <c r="D10" s="43" t="inlineStr"/>
      <c r="E10" s="1" t="n"/>
      <c r="F10" s="1" t="n"/>
      <c r="G10" s="1" t="n"/>
      <c r="H10" s="1" t="n"/>
      <c r="I10" s="1" t="n"/>
      <c r="J10" s="1" t="n"/>
      <c r="K10" s="1" t="n"/>
      <c r="L10" s="1" t="n"/>
      <c r="M10" s="1" t="n"/>
    </row>
    <row r="11">
      <c r="A11" s="1" t="n"/>
      <c r="B11" s="29" t="inlineStr">
        <is>
          <t>Collateral useful life (years)</t>
        </is>
      </c>
      <c r="C11" s="31">
        <f>sCrwvLife</f>
        <v/>
      </c>
      <c r="D11" s="43" t="inlineStr">
        <is>
          <t>Meta runs servers at 5.5 for context.</t>
        </is>
      </c>
      <c r="E11" s="1" t="n"/>
      <c r="F11" s="1" t="n"/>
      <c r="G11" s="1" t="n"/>
      <c r="H11" s="1" t="n"/>
      <c r="I11" s="1" t="n"/>
      <c r="J11" s="1" t="n"/>
      <c r="K11" s="1" t="n"/>
      <c r="L11" s="1" t="n"/>
      <c r="M11" s="1" t="n"/>
    </row>
    <row r="12">
      <c r="A12" s="1" t="n"/>
      <c r="B12" s="1" t="n"/>
      <c r="C12" s="1" t="n"/>
      <c r="D12" s="1" t="n"/>
      <c r="E12" s="1" t="n"/>
      <c r="F12" s="1" t="n"/>
      <c r="G12" s="1" t="n"/>
      <c r="H12" s="1" t="n"/>
      <c r="I12" s="1" t="n"/>
      <c r="J12" s="1" t="n"/>
      <c r="K12" s="1" t="n"/>
      <c r="L12" s="1" t="n"/>
      <c r="M12" s="1" t="n"/>
    </row>
    <row r="13" ht="17" customHeight="1">
      <c r="A13" s="1" t="n"/>
      <c r="B13" s="22" t="inlineStr">
        <is>
          <t>Coverage</t>
        </is>
      </c>
      <c r="C13" s="23" t="n"/>
      <c r="D13" s="23" t="n"/>
      <c r="E13" s="1" t="n"/>
      <c r="F13" s="1" t="n"/>
      <c r="G13" s="1" t="n"/>
      <c r="H13" s="1" t="n"/>
      <c r="I13" s="1" t="n"/>
      <c r="J13" s="1" t="n"/>
      <c r="K13" s="1" t="n"/>
      <c r="L13" s="1" t="n"/>
      <c r="M13" s="1" t="n"/>
    </row>
    <row r="14">
      <c r="A14" s="1" t="n"/>
      <c r="B14" s="20" t="inlineStr">
        <is>
          <t>RPO backlog over debt principal</t>
        </is>
      </c>
      <c r="C14" s="70">
        <f>sCrwvRpo/sCrwvDebt</f>
        <v/>
      </c>
      <c r="D14" s="43" t="inlineStr">
        <is>
          <t>Contracted-revenue cover.</t>
        </is>
      </c>
      <c r="E14" s="1" t="n"/>
      <c r="F14" s="1" t="n"/>
      <c r="G14" s="1" t="n"/>
      <c r="H14" s="1" t="n"/>
      <c r="I14" s="1" t="n"/>
      <c r="J14" s="1" t="n"/>
      <c r="K14" s="1" t="n"/>
      <c r="L14" s="1" t="n"/>
      <c r="M14" s="1" t="n"/>
    </row>
    <row r="15">
      <c r="A15" s="1" t="n"/>
      <c r="B15" s="20" t="inlineStr">
        <is>
          <t>Debt over FY2025 revenue</t>
        </is>
      </c>
      <c r="C15" s="70">
        <f>sCrwvDebt/sCrwvRev</f>
        <v/>
      </c>
      <c r="D15" s="43" t="inlineStr"/>
      <c r="E15" s="1" t="n"/>
      <c r="F15" s="1" t="n"/>
      <c r="G15" s="1" t="n"/>
      <c r="H15" s="1" t="n"/>
      <c r="I15" s="1" t="n"/>
      <c r="J15" s="1" t="n"/>
      <c r="K15" s="1" t="n"/>
      <c r="L15" s="1" t="n"/>
      <c r="M15" s="1" t="n"/>
    </row>
    <row r="16">
      <c r="A16" s="1" t="n"/>
      <c r="B16" s="20" t="inlineStr">
        <is>
          <t>RPO growth, 2024 to 2025</t>
        </is>
      </c>
      <c r="C16" s="70">
        <f>sCrwvRpo/sCrwvRpo24</f>
        <v/>
      </c>
      <c r="D16" s="43" t="inlineStr"/>
      <c r="E16" s="1" t="n"/>
      <c r="F16" s="1" t="n"/>
      <c r="G16" s="1" t="n"/>
      <c r="H16" s="1" t="n"/>
      <c r="I16" s="1" t="n"/>
      <c r="J16" s="1" t="n"/>
      <c r="K16" s="1" t="n"/>
      <c r="L16" s="1" t="n"/>
      <c r="M16" s="1" t="n"/>
    </row>
    <row r="17">
      <c r="A17" s="1" t="n"/>
      <c r="B17" s="20" t="inlineStr">
        <is>
          <t>Largest-customer share of 2024 revenue (%)</t>
        </is>
      </c>
      <c r="C17" s="79">
        <f>sCrwvConc</f>
        <v/>
      </c>
      <c r="D17" s="43" t="inlineStr">
        <is>
          <t>Concentration rides the covenant trigger.</t>
        </is>
      </c>
      <c r="E17" s="1" t="n"/>
      <c r="F17" s="1" t="n"/>
      <c r="G17" s="1" t="n"/>
      <c r="H17" s="1" t="n"/>
      <c r="I17" s="1" t="n"/>
      <c r="J17" s="1" t="n"/>
      <c r="K17" s="1" t="n"/>
      <c r="L17" s="1" t="n"/>
      <c r="M17" s="1" t="n"/>
    </row>
    <row r="18">
      <c r="A18" s="1" t="n"/>
      <c r="B18" s="20" t="inlineStr">
        <is>
          <t>Contracted-not-powered (MW)</t>
        </is>
      </c>
      <c r="C18" s="79">
        <f>CrwvGapMW</f>
        <v/>
      </c>
      <c r="D18" s="43" t="inlineStr">
        <is>
          <t>The gap the structure prices.</t>
        </is>
      </c>
      <c r="E18" s="1" t="n"/>
      <c r="F18" s="1" t="n"/>
      <c r="G18" s="1" t="n"/>
      <c r="H18" s="1" t="n"/>
      <c r="I18" s="1" t="n"/>
      <c r="J18" s="1" t="n"/>
      <c r="K18" s="1" t="n"/>
      <c r="L18" s="1" t="n"/>
      <c r="M18" s="1" t="n"/>
    </row>
    <row r="19">
      <c r="A19" s="1" t="n"/>
      <c r="B19" s="1" t="n"/>
      <c r="C19" s="1" t="n"/>
      <c r="D19" s="1" t="n"/>
      <c r="E19" s="1" t="n"/>
      <c r="F19" s="1" t="n"/>
      <c r="G19" s="1" t="n"/>
      <c r="H19" s="1" t="n"/>
      <c r="I19" s="1" t="n"/>
      <c r="J19" s="1" t="n"/>
      <c r="K19" s="1" t="n"/>
      <c r="L19" s="1" t="n"/>
      <c r="M19" s="1" t="n"/>
    </row>
    <row r="20" ht="17" customHeight="1">
      <c r="A20" s="1" t="n"/>
      <c r="B20" s="22" t="inlineStr">
        <is>
          <t>Covenant headroom</t>
        </is>
      </c>
      <c r="C20" s="23" t="n"/>
      <c r="D20" s="23" t="n"/>
      <c r="E20" s="1" t="n"/>
      <c r="F20" s="1" t="n"/>
      <c r="G20" s="1" t="n"/>
      <c r="H20" s="1" t="n"/>
      <c r="I20" s="1" t="n"/>
      <c r="J20" s="1" t="n"/>
      <c r="K20" s="1" t="n"/>
      <c r="L20" s="1" t="n"/>
      <c r="M20" s="1" t="n"/>
    </row>
    <row r="21">
      <c r="A21" s="1" t="n"/>
      <c r="B21" s="29" t="inlineStr">
        <is>
          <t>Collateral fair value, assumed ($M)</t>
        </is>
      </c>
      <c r="C21" s="99" t="n">
        <v>30000</v>
      </c>
      <c r="D21" s="43" t="inlineStr">
        <is>
          <t>Undisclosed in filings; the lever to test.</t>
        </is>
      </c>
      <c r="E21" s="1" t="n"/>
      <c r="F21" s="1" t="n"/>
      <c r="G21" s="1" t="n"/>
      <c r="H21" s="1" t="n"/>
      <c r="I21" s="1" t="n"/>
      <c r="J21" s="1" t="n"/>
      <c r="K21" s="1" t="n"/>
      <c r="L21" s="1" t="n"/>
      <c r="M21" s="1" t="n"/>
    </row>
    <row r="22">
      <c r="A22" s="1" t="n"/>
      <c r="B22" s="29" t="inlineStr">
        <is>
          <t>Counterparty quality</t>
        </is>
      </c>
      <c r="C22" s="134" t="inlineStr">
        <is>
          <t>IG</t>
        </is>
      </c>
      <c r="D22" s="1" t="n"/>
      <c r="E22" s="1" t="n"/>
      <c r="F22" s="1" t="n"/>
      <c r="G22" s="1" t="n"/>
      <c r="H22" s="1" t="n"/>
      <c r="I22" s="1" t="n"/>
      <c r="J22" s="1" t="n"/>
      <c r="K22" s="1" t="n"/>
      <c r="L22" s="1" t="n"/>
      <c r="M22" s="1" t="n"/>
    </row>
    <row r="23">
      <c r="A23" s="1" t="n"/>
      <c r="B23" s="29" t="inlineStr">
        <is>
          <t>Applicable LTV ceiling</t>
        </is>
      </c>
      <c r="C23" s="48">
        <f>IF(C22="IG",sLtvIg,sLtvNonIg)/100</f>
        <v/>
      </c>
      <c r="D23" s="1" t="n"/>
      <c r="E23" s="1" t="n"/>
      <c r="F23" s="1" t="n"/>
      <c r="G23" s="1" t="n"/>
      <c r="H23" s="1" t="n"/>
      <c r="I23" s="1" t="n"/>
      <c r="J23" s="1" t="n"/>
      <c r="K23" s="1" t="n"/>
      <c r="L23" s="1" t="n"/>
      <c r="M23" s="1" t="n"/>
    </row>
    <row r="24">
      <c r="A24" s="1" t="n"/>
      <c r="B24" s="29" t="inlineStr">
        <is>
          <t>Maximum debt at ceiling ($M)</t>
        </is>
      </c>
      <c r="C24" s="71">
        <f>C23*C21</f>
        <v/>
      </c>
      <c r="D24" s="1" t="n"/>
      <c r="E24" s="1" t="n"/>
      <c r="F24" s="1" t="n"/>
      <c r="G24" s="1" t="n"/>
      <c r="H24" s="1" t="n"/>
      <c r="I24" s="1" t="n"/>
      <c r="J24" s="1" t="n"/>
      <c r="K24" s="1" t="n"/>
      <c r="L24" s="1" t="n"/>
      <c r="M24" s="1" t="n"/>
    </row>
    <row r="25">
      <c r="A25" s="1" t="n"/>
      <c r="B25" s="20" t="inlineStr">
        <is>
          <t>Headroom vs drawn principal ($M)</t>
        </is>
      </c>
      <c r="C25" s="47">
        <f>C24-sCrwvDebt</f>
        <v/>
      </c>
      <c r="D25" s="1" t="n"/>
      <c r="E25" s="1" t="n"/>
      <c r="F25" s="1" t="n"/>
      <c r="G25" s="1" t="n"/>
      <c r="H25" s="1" t="n"/>
      <c r="I25" s="1" t="n"/>
      <c r="J25" s="1" t="n"/>
      <c r="K25" s="1" t="n"/>
      <c r="L25" s="1" t="n"/>
      <c r="M25" s="1" t="n"/>
    </row>
    <row r="26">
      <c r="A26" s="1" t="n"/>
      <c r="B26" s="1" t="n"/>
      <c r="C26" s="1" t="n"/>
      <c r="D26" s="1" t="n"/>
      <c r="E26" s="1" t="n"/>
      <c r="F26" s="1" t="n"/>
      <c r="G26" s="1" t="n"/>
      <c r="H26" s="1" t="n"/>
      <c r="I26" s="1" t="n"/>
      <c r="J26" s="1" t="n"/>
      <c r="K26" s="1" t="n"/>
      <c r="L26" s="1" t="n"/>
      <c r="M26" s="1" t="n"/>
    </row>
    <row r="27" ht="17" customHeight="1">
      <c r="A27" s="1" t="n"/>
      <c r="B27" s="22" t="inlineStr">
        <is>
          <t>Demand backdrop ($M; mixed bases, not additive)</t>
        </is>
      </c>
      <c r="C27" s="23" t="n"/>
      <c r="D27" s="23" t="n"/>
      <c r="E27" s="1" t="n"/>
      <c r="F27" s="1" t="n"/>
      <c r="G27" s="1" t="n"/>
      <c r="H27" s="1" t="n"/>
      <c r="I27" s="1" t="n"/>
      <c r="J27" s="1" t="n"/>
      <c r="K27" s="1" t="n"/>
      <c r="L27" s="1" t="n"/>
      <c r="M27" s="1" t="n"/>
    </row>
    <row r="28">
      <c r="A28" s="1" t="n"/>
      <c r="B28" s="29" t="inlineStr">
        <is>
          <t>NVIDIA purchase commitments, FY2026</t>
        </is>
      </c>
      <c r="C28" s="32">
        <f>sNvda26</f>
        <v/>
      </c>
      <c r="D28" s="1" t="n"/>
      <c r="E28" s="1" t="n"/>
      <c r="F28" s="1" t="n"/>
      <c r="G28" s="1" t="n"/>
      <c r="H28" s="1" t="n"/>
      <c r="I28" s="1" t="n"/>
      <c r="J28" s="1" t="n"/>
      <c r="K28" s="1" t="n"/>
      <c r="L28" s="1" t="n"/>
      <c r="M28" s="1" t="n"/>
    </row>
    <row r="29">
      <c r="A29" s="1" t="n"/>
      <c r="B29" s="29" t="inlineStr">
        <is>
          <t>NVIDIA purchase commitments, FY2025</t>
        </is>
      </c>
      <c r="C29" s="32">
        <f>sNvda25</f>
        <v/>
      </c>
      <c r="D29" s="1" t="n"/>
      <c r="E29" s="1" t="n"/>
      <c r="F29" s="1" t="n"/>
      <c r="G29" s="1" t="n"/>
      <c r="H29" s="1" t="n"/>
      <c r="I29" s="1" t="n"/>
      <c r="J29" s="1" t="n"/>
      <c r="K29" s="1" t="n"/>
      <c r="L29" s="1" t="n"/>
      <c r="M29" s="1" t="n"/>
    </row>
    <row r="30">
      <c r="A30" s="1" t="n"/>
      <c r="B30" s="29" t="inlineStr">
        <is>
          <t>Alphabet capex, FY2025</t>
        </is>
      </c>
      <c r="C30" s="32">
        <f>sGoogCapex</f>
        <v/>
      </c>
      <c r="D30" s="1" t="n"/>
      <c r="E30" s="1" t="n"/>
      <c r="F30" s="1" t="n"/>
      <c r="G30" s="1" t="n"/>
      <c r="H30" s="1" t="n"/>
      <c r="I30" s="1" t="n"/>
      <c r="J30" s="1" t="n"/>
      <c r="K30" s="1" t="n"/>
      <c r="L30" s="1" t="n"/>
      <c r="M30" s="1" t="n"/>
    </row>
    <row r="31">
      <c r="A31" s="1" t="n"/>
      <c r="B31" s="29" t="inlineStr">
        <is>
          <t>Microsoft P&amp;E additions, 9M FY2026</t>
        </is>
      </c>
      <c r="C31" s="32">
        <f>sMsftCapex</f>
        <v/>
      </c>
      <c r="D31" s="1" t="n"/>
      <c r="E31" s="1" t="n"/>
      <c r="F31" s="1" t="n"/>
      <c r="G31" s="1" t="n"/>
      <c r="H31" s="1" t="n"/>
      <c r="I31" s="1" t="n"/>
      <c r="J31" s="1" t="n"/>
      <c r="K31" s="1" t="n"/>
      <c r="L31" s="1" t="n"/>
      <c r="M31" s="1" t="n"/>
    </row>
    <row r="32">
      <c r="A32" s="1" t="n"/>
      <c r="B32" s="20" t="inlineStr">
        <is>
          <t>Commitment growth, NVIDIA y/y</t>
        </is>
      </c>
      <c r="C32" s="70">
        <f>sNvda26/sNvda25</f>
        <v/>
      </c>
      <c r="D32" s="1" t="n"/>
      <c r="E32" s="1" t="n"/>
      <c r="F32" s="1" t="n"/>
      <c r="G32" s="1" t="n"/>
      <c r="H32" s="1" t="n"/>
      <c r="I32" s="1" t="n"/>
      <c r="J32" s="1" t="n"/>
      <c r="K32" s="1" t="n"/>
      <c r="L32" s="1" t="n"/>
      <c r="M32" s="1" t="n"/>
    </row>
    <row r="33">
      <c r="A33" s="1" t="n"/>
      <c r="B33" s="1" t="n"/>
      <c r="C33" s="1" t="n"/>
      <c r="D33" s="1" t="n"/>
      <c r="E33" s="1" t="n"/>
      <c r="F33" s="1" t="n"/>
      <c r="G33" s="1" t="n"/>
      <c r="H33" s="1" t="n"/>
      <c r="I33" s="1" t="n"/>
      <c r="J33" s="1" t="n"/>
      <c r="K33" s="1" t="n"/>
      <c r="L33" s="1" t="n"/>
      <c r="M33" s="1" t="n"/>
    </row>
    <row r="34">
      <c r="A34" s="1" t="n"/>
      <c r="B34" s="1" t="n"/>
      <c r="C34" s="1" t="n"/>
      <c r="D34" s="1" t="n"/>
      <c r="E34" s="1" t="n"/>
      <c r="F34" s="1" t="n"/>
      <c r="G34" s="1" t="n"/>
      <c r="H34" s="1" t="n"/>
      <c r="I34" s="1" t="n"/>
      <c r="J34" s="1" t="n"/>
      <c r="K34" s="1" t="n"/>
      <c r="L34" s="1" t="n"/>
      <c r="M34" s="1" t="n"/>
    </row>
    <row r="35" ht="17" customHeight="1">
      <c r="A35" s="1" t="n"/>
      <c r="B35" s="22" t="inlineStr">
        <is>
          <t>Accounting treatment map</t>
        </is>
      </c>
      <c r="C35" s="23" t="n"/>
      <c r="D35" s="23" t="n"/>
      <c r="E35" s="23" t="n"/>
      <c r="F35" s="23" t="n"/>
      <c r="G35" s="23" t="n"/>
      <c r="H35" s="1" t="n"/>
      <c r="I35" s="1" t="n"/>
      <c r="J35" s="1" t="n"/>
      <c r="K35" s="1" t="n"/>
      <c r="L35" s="1" t="n"/>
      <c r="M35" s="1" t="n"/>
    </row>
    <row r="36" ht="26" customHeight="1">
      <c r="A36" s="1" t="n"/>
      <c r="B36" s="39" t="inlineStr">
        <is>
          <t>Instrument</t>
        </is>
      </c>
      <c r="C36" s="52" t="inlineStr">
        <is>
          <t>Primary treatment</t>
        </is>
      </c>
      <c r="D36" s="52" t="inlineStr">
        <is>
          <t>ASC / accounting test</t>
        </is>
      </c>
      <c r="E36" s="52" t="inlineStr">
        <is>
          <t>Value status</t>
        </is>
      </c>
      <c r="F36" s="52" t="inlineStr">
        <is>
          <t>Model view</t>
        </is>
      </c>
      <c r="G36" s="52" t="inlineStr">
        <is>
          <t>Where it lands</t>
        </is>
      </c>
      <c r="H36" s="1" t="n"/>
      <c r="I36" s="1" t="n"/>
      <c r="J36" s="1" t="n"/>
      <c r="K36" s="1" t="n"/>
      <c r="L36" s="1" t="n"/>
      <c r="M36" s="1" t="n"/>
    </row>
    <row r="37" ht="42" customHeight="1">
      <c r="A37" s="1" t="n"/>
      <c r="B37" s="80" t="inlineStr">
        <is>
          <t>Utility tariff floor / take-or-pay power</t>
        </is>
      </c>
      <c r="C37" s="80" t="inlineStr">
        <is>
          <t>Minimum purchase commitment</t>
        </is>
      </c>
      <c r="D37" s="76" t="inlineStr">
        <is>
          <t>ASC 440; ASC 842 test for dedicated switchyard or conveyance plant</t>
        </is>
      </c>
      <c r="E37" s="76" t="inlineStr">
        <is>
          <t>Known only when tariff floor, term, and price are disclosed</t>
        </is>
      </c>
      <c r="F37" s="80" t="inlineStr">
        <is>
          <t>GAAP / cash</t>
        </is>
      </c>
      <c r="G37" s="76" t="inlineStr">
        <is>
          <t>Commitment schedule plus COD-gap carry; not added to residual power obligations</t>
        </is>
      </c>
      <c r="H37" s="1" t="n"/>
      <c r="I37" s="1" t="n"/>
      <c r="J37" s="1" t="n"/>
      <c r="K37" s="1" t="n"/>
      <c r="L37" s="1" t="n"/>
      <c r="M37" s="1" t="n"/>
    </row>
    <row r="38" ht="42" customHeight="1">
      <c r="A38" s="1" t="n"/>
      <c r="B38" s="80" t="inlineStr">
        <is>
          <t>Dedicated direct PPA or BTM generation</t>
        </is>
      </c>
      <c r="C38" s="80" t="inlineStr">
        <is>
          <t>ROU asset / lease liability when buyer controls an identified asset</t>
        </is>
      </c>
      <c r="D38" s="76" t="inlineStr">
        <is>
          <t>ASC 842 first; ASC 815 when virtual or financial PPA</t>
        </is>
      </c>
      <c r="E38" s="76" t="inlineStr">
        <is>
          <t>Unknown until physical, virtual, and dedicated-asset terms are known</t>
        </is>
      </c>
      <c r="F38" s="80" t="inlineStr">
        <is>
          <t>GAAP / cash</t>
        </is>
      </c>
      <c r="G38" s="76" t="inlineStr">
        <is>
          <t>Lease, derivative, or OpEx split; never double-count as energy OpEx</t>
        </is>
      </c>
      <c r="H38" s="1" t="n"/>
      <c r="I38" s="1" t="n"/>
      <c r="J38" s="1" t="n"/>
      <c r="K38" s="1" t="n"/>
      <c r="L38" s="1" t="n"/>
      <c r="M38" s="1" t="n"/>
    </row>
    <row r="39" ht="42" customHeight="1">
      <c r="A39" s="1" t="n"/>
      <c r="B39" s="80" t="inlineStr">
        <is>
          <t>Water, emissions, CBA, and PILOT</t>
        </is>
      </c>
      <c r="C39" s="80" t="inlineStr">
        <is>
          <t>Minimum commitment or contingent obligation</t>
        </is>
      </c>
      <c r="D39" s="76" t="inlineStr">
        <is>
          <t>ASC 440 for unconditional floors; ASC 450 for trigger-based exposure</t>
        </is>
      </c>
      <c r="E39" s="76" t="inlineStr">
        <is>
          <t>Sensitivity input when trigger dependent</t>
        </is>
      </c>
      <c r="F39" s="80" t="inlineStr">
        <is>
          <t>cash / contingency</t>
        </is>
      </c>
      <c r="G39" s="76" t="inlineStr">
        <is>
          <t>Commitment schedule or stress panel, depending on trigger certainty</t>
        </is>
      </c>
      <c r="H39" s="1" t="n"/>
      <c r="I39" s="1" t="n"/>
      <c r="J39" s="1" t="n"/>
      <c r="K39" s="1" t="n"/>
      <c r="L39" s="1" t="n"/>
      <c r="M39" s="1" t="n"/>
    </row>
    <row r="40" ht="42" customHeight="1">
      <c r="A40" s="1" t="n"/>
      <c r="B40" s="80" t="inlineStr">
        <is>
          <t>Talen/AWS PPA minimum commitment</t>
        </is>
      </c>
      <c r="C40" s="80" t="inlineStr">
        <is>
          <t>Take-or-pay test required; USD magnitude unknown</t>
        </is>
      </c>
      <c r="D40" s="76" t="inlineStr">
        <is>
          <t>ASC 842 embedded-lease; ASC 815 derivative; ASC 440 disclosure candidate</t>
        </is>
      </c>
      <c r="E40" s="76" t="inlineStr">
        <is>
          <t>Unknown: price undisclosed</t>
        </is>
      </c>
      <c r="F40" s="80" t="inlineStr">
        <is>
          <t>reviewer view</t>
        </is>
      </c>
      <c r="G40" s="76" t="inlineStr">
        <is>
          <t>Power/site obligations; the MW ramp is known but USD is not</t>
        </is>
      </c>
      <c r="H40" s="1" t="n"/>
      <c r="I40" s="1" t="n"/>
      <c r="J40" s="1" t="n"/>
      <c r="K40" s="1" t="n"/>
      <c r="L40" s="1" t="n"/>
      <c r="M40" s="1" t="n"/>
    </row>
    <row r="41" ht="42" customHeight="1">
      <c r="A41" s="1" t="n"/>
      <c r="B41" s="80" t="inlineStr">
        <is>
          <t>CoreWeave RPO</t>
        </is>
      </c>
      <c r="C41" s="80" t="inlineStr">
        <is>
          <t>Contracted revenue backlog; not liability</t>
        </is>
      </c>
      <c r="D41" s="76" t="inlineStr">
        <is>
          <t>Covenant collateral context</t>
        </is>
      </c>
      <c r="E41" s="135">
        <f>sCrwvRpo</f>
        <v/>
      </c>
      <c r="F41" s="80" t="inlineStr">
        <is>
          <t>management / covenant</t>
        </is>
      </c>
      <c r="G41" s="76" t="inlineStr">
        <is>
          <t>Coverage numerator, not an obligation total</t>
        </is>
      </c>
      <c r="H41" s="1" t="n"/>
      <c r="I41" s="1" t="n"/>
      <c r="J41" s="1" t="n"/>
      <c r="K41" s="1" t="n"/>
      <c r="L41" s="1" t="n"/>
      <c r="M41" s="1" t="n"/>
    </row>
    <row r="42">
      <c r="A42" s="1" t="n"/>
      <c r="B42" s="1" t="n"/>
      <c r="C42" s="1" t="n"/>
      <c r="D42" s="1" t="n"/>
      <c r="E42" s="1" t="n"/>
      <c r="F42" s="1" t="n"/>
      <c r="G42" s="1" t="n"/>
      <c r="H42" s="1" t="n"/>
      <c r="I42" s="1" t="n"/>
      <c r="J42" s="1" t="n"/>
      <c r="K42" s="1" t="n"/>
      <c r="L42" s="1" t="n"/>
      <c r="M42" s="1" t="n"/>
    </row>
    <row r="43">
      <c r="A43" s="1" t="n"/>
      <c r="B43" s="1" t="n"/>
      <c r="C43" s="1" t="n"/>
      <c r="D43" s="1" t="n"/>
      <c r="E43" s="1" t="n"/>
      <c r="F43" s="1" t="n"/>
      <c r="G43" s="1" t="n"/>
      <c r="H43" s="1" t="n"/>
      <c r="I43" s="1" t="n"/>
      <c r="J43" s="1" t="n"/>
      <c r="K43" s="1" t="n"/>
      <c r="L43" s="1" t="n"/>
      <c r="M43" s="1" t="n"/>
    </row>
    <row r="44">
      <c r="A44" s="1" t="n"/>
      <c r="B44" s="1" t="n"/>
      <c r="C44" s="1" t="n"/>
      <c r="D44" s="1" t="n"/>
      <c r="E44" s="1" t="n"/>
      <c r="F44" s="1" t="n"/>
      <c r="G44" s="1" t="n"/>
      <c r="H44" s="1" t="n"/>
      <c r="I44" s="1" t="n"/>
      <c r="J44" s="1" t="n"/>
      <c r="K44" s="1" t="n"/>
      <c r="L44" s="1" t="n"/>
      <c r="M44" s="1" t="n"/>
    </row>
    <row r="45" ht="17" customHeight="1">
      <c r="A45" s="1" t="n"/>
      <c r="B45" s="22" t="inlineStr">
        <is>
          <t>SPV capital stack and private-credit mechanics</t>
        </is>
      </c>
      <c r="C45" s="23" t="n"/>
      <c r="D45" s="23" t="n"/>
      <c r="E45" s="23" t="n"/>
      <c r="F45" s="23" t="n"/>
      <c r="G45" s="23" t="n"/>
      <c r="H45" s="1" t="n"/>
      <c r="I45" s="1" t="n"/>
      <c r="J45" s="1" t="n"/>
      <c r="K45" s="1" t="n"/>
      <c r="L45" s="1" t="n"/>
      <c r="M45" s="1" t="n"/>
    </row>
    <row r="46" ht="26" customHeight="1">
      <c r="A46" s="1" t="n"/>
      <c r="B46" s="39" t="inlineStr">
        <is>
          <t>Layer</t>
        </is>
      </c>
      <c r="C46" s="52" t="inlineStr">
        <is>
          <t>Source / formula</t>
        </is>
      </c>
      <c r="D46" s="52" t="inlineStr">
        <is>
          <t>Amount / status</t>
        </is>
      </c>
      <c r="E46" s="52" t="inlineStr">
        <is>
          <t>Advance / covenant mechanic</t>
        </is>
      </c>
      <c r="F46" s="52" t="inlineStr">
        <is>
          <t>Evidence</t>
        </is>
      </c>
      <c r="G46" s="52" t="inlineStr">
        <is>
          <t>Treatment</t>
        </is>
      </c>
      <c r="H46" s="1" t="n"/>
      <c r="I46" s="1" t="n"/>
      <c r="J46" s="1" t="n"/>
      <c r="K46" s="1" t="n"/>
      <c r="L46" s="1" t="n"/>
      <c r="M46" s="1" t="n"/>
    </row>
    <row r="47" ht="38" customHeight="1">
      <c r="A47" s="1" t="n"/>
      <c r="B47" s="80" t="inlineStr">
        <is>
          <t>Collateral pool</t>
        </is>
      </c>
      <c r="C47" s="76" t="inlineStr">
        <is>
          <t>Collateral fair value</t>
        </is>
      </c>
      <c r="D47" s="80" t="inlineStr">
        <is>
          <t>Unknown: fair value undisclosed</t>
        </is>
      </c>
      <c r="E47" s="76" t="inlineStr">
        <is>
          <t>current LTV cannot be computed</t>
        </is>
      </c>
      <c r="F47" s="80" t="inlineStr">
        <is>
          <t>FIN-coreweave-ltv_current</t>
        </is>
      </c>
      <c r="G47" s="76" t="inlineStr">
        <is>
          <t>Do not assume compliance or headroom without collateral telemetry</t>
        </is>
      </c>
      <c r="H47" s="1" t="n"/>
      <c r="I47" s="1" t="n"/>
      <c r="J47" s="1" t="n"/>
      <c r="K47" s="1" t="n"/>
      <c r="L47" s="1" t="n"/>
      <c r="M47" s="1" t="n"/>
    </row>
    <row r="48" ht="38" customHeight="1">
      <c r="A48" s="1" t="n"/>
      <c r="B48" s="80" t="inlineStr">
        <is>
          <t>Senior ABS/private-credit debt</t>
        </is>
      </c>
      <c r="C48" s="76" t="inlineStr">
        <is>
          <t>CoreWeave DDTL 4.0 committed facility</t>
        </is>
      </c>
      <c r="D48" s="135">
        <f>sDdtlSize</f>
        <v/>
      </c>
      <c r="E48" s="76" t="inlineStr">
        <is>
          <t>SOFR + spread; LTV ceiling applies</t>
        </is>
      </c>
      <c r="F48" s="80" t="inlineStr">
        <is>
          <t>CL-20260609-023 / CL-20260609-024</t>
        </is>
      </c>
      <c r="G48" s="76" t="inlineStr">
        <is>
          <t>Debt principal / committed facility view</t>
        </is>
      </c>
      <c r="H48" s="1" t="n"/>
      <c r="I48" s="1" t="n"/>
      <c r="J48" s="1" t="n"/>
      <c r="K48" s="1" t="n"/>
      <c r="L48" s="1" t="n"/>
      <c r="M48" s="1" t="n"/>
    </row>
    <row r="49" ht="38" customHeight="1">
      <c r="A49" s="1" t="n"/>
      <c r="B49" s="80" t="inlineStr">
        <is>
          <t>TPU SPV debt comparator</t>
        </is>
      </c>
      <c r="C49" s="76" t="inlineStr">
        <is>
          <t>Reported TPU SPV debt financing</t>
        </is>
      </c>
      <c r="D49" s="135">
        <f>sTpuSpvDebt</f>
        <v/>
      </c>
      <c r="E49" s="76" t="inlineStr">
        <is>
          <t>Comparator only; do not import into Anthropic base case</t>
        </is>
      </c>
      <c r="F49" s="80" t="inlineStr">
        <is>
          <t>CL-20260611-078</t>
        </is>
      </c>
      <c r="G49" s="76" t="inlineStr">
        <is>
          <t>Capital-formation precedent, secondhand source tier</t>
        </is>
      </c>
      <c r="H49" s="1" t="n"/>
      <c r="I49" s="1" t="n"/>
      <c r="J49" s="1" t="n"/>
      <c r="K49" s="1" t="n"/>
      <c r="L49" s="1" t="n"/>
      <c r="M49" s="1" t="n"/>
    </row>
    <row r="50" ht="38" customHeight="1">
      <c r="A50" s="1" t="n"/>
      <c r="B50" s="80" t="inlineStr">
        <is>
          <t>Equity/sponsor contribution</t>
        </is>
      </c>
      <c r="C50" s="76" t="inlineStr">
        <is>
          <t>Residual after advance rate</t>
        </is>
      </c>
      <c r="D50" s="80" t="inlineStr">
        <is>
          <t>Unknown: sponsor equity undisclosed</t>
        </is>
      </c>
      <c r="E50" s="76" t="inlineStr">
        <is>
          <t>Planning input, not a sourced fact</t>
        </is>
      </c>
      <c r="F50" s="80" t="inlineStr">
        <is>
          <t>unknown</t>
        </is>
      </c>
      <c r="G50" s="76" t="inlineStr">
        <is>
          <t>Required residual capital; not modeled as a base-case fact</t>
        </is>
      </c>
      <c r="H50" s="1" t="n"/>
      <c r="I50" s="1" t="n"/>
      <c r="J50" s="1" t="n"/>
      <c r="K50" s="1" t="n"/>
      <c r="L50" s="1" t="n"/>
      <c r="M50" s="1" t="n"/>
    </row>
    <row r="51" ht="38" customHeight="1">
      <c r="A51" s="1" t="n"/>
      <c r="B51" s="80" t="inlineStr">
        <is>
          <t>Liquidity trough / cash sweep</t>
        </is>
      </c>
      <c r="C51" s="76" t="inlineStr">
        <is>
          <t>Cash balance and flow schedule</t>
        </is>
      </c>
      <c r="D51" s="80" t="inlineStr">
        <is>
          <t>Unknown: cash-flow schedule undisclosed</t>
        </is>
      </c>
      <c r="E51" s="76" t="inlineStr">
        <is>
          <t>Stress-panel only until source support exists</t>
        </is>
      </c>
      <c r="F51" s="80" t="inlineStr">
        <is>
          <t>LIQ-coreweave-trough</t>
        </is>
      </c>
      <c r="G51" s="76" t="inlineStr">
        <is>
          <t>Do not synthesize cash troughs from debt principal alone</t>
        </is>
      </c>
      <c r="H51" s="1" t="n"/>
      <c r="I51" s="1" t="n"/>
      <c r="J51" s="1" t="n"/>
      <c r="K51" s="1" t="n"/>
      <c r="L51" s="1" t="n"/>
      <c r="M51" s="1" t="n"/>
    </row>
    <row r="52">
      <c r="A52" s="1" t="n"/>
      <c r="B52" s="1" t="n"/>
      <c r="C52" s="1" t="n"/>
      <c r="D52" s="1" t="n"/>
      <c r="E52" s="1" t="n"/>
      <c r="F52" s="1" t="n"/>
      <c r="G52" s="1" t="n"/>
      <c r="H52" s="1" t="n"/>
      <c r="I52" s="1" t="n"/>
      <c r="J52" s="1" t="n"/>
      <c r="K52" s="1" t="n"/>
      <c r="L52" s="1" t="n"/>
      <c r="M52" s="1" t="n"/>
    </row>
    <row r="53">
      <c r="A53" s="1" t="n"/>
      <c r="B53" s="1" t="n"/>
      <c r="C53" s="1" t="n"/>
      <c r="D53" s="1" t="n"/>
      <c r="E53" s="1" t="n"/>
      <c r="F53" s="1" t="n"/>
      <c r="G53" s="1" t="n"/>
      <c r="H53" s="1" t="n"/>
      <c r="I53" s="1" t="n"/>
      <c r="J53" s="1" t="n"/>
      <c r="K53" s="1" t="n"/>
      <c r="L53" s="1" t="n"/>
      <c r="M53" s="1" t="n"/>
    </row>
    <row r="54">
      <c r="A54" s="1" t="n"/>
      <c r="B54" s="1" t="n"/>
      <c r="C54" s="1" t="n"/>
      <c r="D54" s="1" t="n"/>
      <c r="E54" s="1" t="n"/>
      <c r="F54" s="1" t="n"/>
      <c r="G54" s="1" t="n"/>
      <c r="H54" s="1" t="n"/>
      <c r="I54" s="1" t="n"/>
      <c r="J54" s="1" t="n"/>
      <c r="K54" s="1" t="n"/>
      <c r="L54" s="1" t="n"/>
      <c r="M54" s="1" t="n"/>
    </row>
    <row r="55">
      <c r="A55" s="1" t="n"/>
      <c r="B55" s="1" t="n"/>
      <c r="C55" s="1" t="n"/>
      <c r="D55" s="1" t="n"/>
      <c r="E55" s="1" t="n"/>
      <c r="F55" s="1" t="n"/>
      <c r="G55" s="1" t="n"/>
      <c r="H55" s="1" t="n"/>
      <c r="I55" s="1" t="n"/>
      <c r="J55" s="1" t="n"/>
      <c r="K55" s="1" t="n"/>
      <c r="L55" s="1" t="n"/>
      <c r="M55" s="1" t="n"/>
    </row>
    <row r="56">
      <c r="A56" s="1" t="n"/>
      <c r="B56" s="1" t="n"/>
      <c r="C56" s="1" t="n"/>
      <c r="D56" s="1" t="n"/>
      <c r="E56" s="1" t="n"/>
      <c r="F56" s="1" t="n"/>
      <c r="G56" s="1" t="n"/>
      <c r="H56" s="1" t="n"/>
      <c r="I56" s="1" t="n"/>
      <c r="J56" s="1" t="n"/>
      <c r="K56" s="1" t="n"/>
      <c r="L56" s="1" t="n"/>
      <c r="M56" s="1" t="n"/>
    </row>
    <row r="57">
      <c r="A57" s="1" t="n"/>
      <c r="B57" s="1" t="n"/>
      <c r="C57" s="1" t="n"/>
      <c r="D57" s="1" t="n"/>
      <c r="E57" s="1" t="n"/>
      <c r="F57" s="1" t="n"/>
      <c r="G57" s="1" t="n"/>
      <c r="H57" s="1" t="n"/>
      <c r="I57" s="1" t="n"/>
      <c r="J57" s="1" t="n"/>
      <c r="K57" s="1" t="n"/>
      <c r="L57" s="1" t="n"/>
      <c r="M57" s="1" t="n"/>
    </row>
    <row r="58">
      <c r="A58" s="1" t="n"/>
      <c r="B58" s="1" t="n"/>
      <c r="C58" s="1" t="n"/>
      <c r="D58" s="1" t="n"/>
      <c r="E58" s="1" t="n"/>
      <c r="F58" s="1" t="n"/>
      <c r="G58" s="1" t="n"/>
      <c r="H58" s="1" t="n"/>
      <c r="I58" s="1" t="n"/>
      <c r="J58" s="1" t="n"/>
      <c r="K58" s="1" t="n"/>
      <c r="L58" s="1" t="n"/>
      <c r="M58" s="1" t="n"/>
    </row>
    <row r="59">
      <c r="A59" s="1" t="n"/>
      <c r="B59" s="1" t="n"/>
      <c r="C59" s="1" t="n"/>
      <c r="D59" s="1" t="n"/>
      <c r="E59" s="1" t="n"/>
      <c r="F59" s="1" t="n"/>
      <c r="G59" s="1" t="n"/>
      <c r="H59" s="1" t="n"/>
      <c r="I59" s="1" t="n"/>
      <c r="J59" s="1" t="n"/>
      <c r="K59" s="1" t="n"/>
      <c r="L59" s="1" t="n"/>
      <c r="M59" s="1" t="n"/>
    </row>
    <row r="60">
      <c r="A60" s="1" t="n"/>
      <c r="B60" s="1" t="n"/>
      <c r="C60" s="1" t="n"/>
      <c r="D60" s="1" t="n"/>
      <c r="E60" s="1" t="n"/>
      <c r="F60" s="1" t="n"/>
      <c r="G60" s="1" t="n"/>
      <c r="H60" s="1" t="n"/>
      <c r="I60" s="1" t="n"/>
      <c r="J60" s="1" t="n"/>
      <c r="K60" s="1" t="n"/>
      <c r="L60" s="1" t="n"/>
      <c r="M60" s="1" t="n"/>
    </row>
    <row r="61">
      <c r="A61" s="1" t="n"/>
      <c r="B61" s="1" t="n"/>
      <c r="C61" s="1" t="n"/>
      <c r="D61" s="1" t="n"/>
      <c r="E61" s="1" t="n"/>
      <c r="F61" s="1" t="n"/>
      <c r="G61" s="1" t="n"/>
      <c r="H61" s="1" t="n"/>
      <c r="I61" s="1" t="n"/>
      <c r="J61" s="1" t="n"/>
      <c r="K61" s="1" t="n"/>
      <c r="L61" s="1" t="n"/>
      <c r="M61" s="1" t="n"/>
    </row>
    <row r="62">
      <c r="A62" s="1" t="n"/>
      <c r="B62" s="1" t="n"/>
      <c r="C62" s="1" t="n"/>
      <c r="D62" s="1" t="n"/>
      <c r="E62" s="1" t="n"/>
      <c r="F62" s="1" t="n"/>
      <c r="G62" s="1" t="n"/>
      <c r="H62" s="1" t="n"/>
      <c r="I62" s="1" t="n"/>
      <c r="J62" s="1" t="n"/>
      <c r="K62" s="1" t="n"/>
      <c r="L62" s="1" t="n"/>
      <c r="M62" s="1" t="n"/>
    </row>
    <row r="63">
      <c r="A63" s="1" t="n"/>
      <c r="B63" s="1" t="n"/>
      <c r="C63" s="1" t="n"/>
      <c r="D63" s="1" t="n"/>
      <c r="E63" s="1" t="n"/>
      <c r="F63" s="1" t="n"/>
      <c r="G63" s="1" t="n"/>
      <c r="H63" s="1" t="n"/>
      <c r="I63" s="1" t="n"/>
      <c r="J63" s="1" t="n"/>
      <c r="K63" s="1" t="n"/>
      <c r="L63" s="1" t="n"/>
      <c r="M63" s="1" t="n"/>
    </row>
  </sheetData>
  <dataValidations count="1">
    <dataValidation sqref="C22" showDropDown="0" showInputMessage="0" showErrorMessage="0" allowBlank="0" type="list">
      <formula1>"IG,Non-IG"</formula1>
    </dataValidation>
  </dataValidations>
  <pageMargins left="0.4" right="0.4" top="0.5" bottom="0.5" header="0.3" footer="0.3"/>
  <pageSetup orientation="landscape" fitToHeight="0" fitToWidth="1"/>
  <rowBreaks count="1" manualBreakCount="1">
    <brk id="44" min="0" max="16383" man="1"/>
  </rowBreaks>
</worksheet>
</file>

<file path=xl/worksheets/sheet18.xml><?xml version="1.0" encoding="utf-8"?>
<worksheet xmlns="http://schemas.openxmlformats.org/spreadsheetml/2006/main">
  <sheetPr>
    <tabColor rgb="00D97757"/>
    <outlinePr summaryBelow="1" summaryRight="1"/>
    <pageSetUpPr fitToPage="1"/>
  </sheetPr>
  <dimension ref="A1:U432"/>
  <sheetViews>
    <sheetView showGridLines="0" workbookViewId="0">
      <selection activeCell="A1" sqref="A1"/>
    </sheetView>
  </sheetViews>
  <sheetFormatPr baseColWidth="8" defaultRowHeight="15"/>
  <cols>
    <col width="2.5" customWidth="1" min="1" max="1"/>
    <col width="32" customWidth="1" min="2" max="2"/>
    <col width="13" customWidth="1" min="3" max="3"/>
    <col width="13" customWidth="1" min="4" max="4"/>
    <col width="15" customWidth="1" min="5" max="5"/>
    <col width="13" customWidth="1" min="6" max="6"/>
    <col width="13" customWidth="1" min="7" max="7"/>
    <col width="16" customWidth="1" min="8" max="8"/>
    <col width="12" customWidth="1" min="9" max="9"/>
    <col width="13" customWidth="1" min="10" max="10"/>
    <col width="13" customWidth="1" min="11" max="11"/>
    <col width="16" customWidth="1" min="12" max="12"/>
    <col width="15" customWidth="1" min="13" max="13"/>
    <col width="15" customWidth="1" min="14" max="14"/>
    <col width="18" customWidth="1" min="15" max="15"/>
  </cols>
  <sheetData>
    <row r="1" ht="9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</row>
    <row r="2" ht="22" customHeight="1">
      <c r="A2" s="1" t="n"/>
      <c r="B2" s="17" t="inlineStr">
        <is>
          <t>Monte Carlo</t>
        </is>
      </c>
      <c r="C2" s="18" t="n"/>
      <c r="D2" s="18" t="n"/>
      <c r="E2" s="18" t="n"/>
      <c r="F2" s="18" t="n"/>
      <c r="G2" s="18" t="n"/>
      <c r="H2" s="18" t="n"/>
      <c r="I2" s="18" t="n"/>
      <c r="J2" s="18" t="n"/>
      <c r="K2" s="18" t="n"/>
      <c r="L2" s="18" t="n"/>
      <c r="M2" s="18" t="n"/>
      <c r="N2" s="18" t="n"/>
      <c r="O2" s="18" t="n"/>
      <c r="P2" s="1" t="n"/>
      <c r="Q2" s="1" t="n"/>
      <c r="R2" s="1" t="n"/>
      <c r="S2" s="1" t="n"/>
      <c r="T2" s="1" t="n"/>
      <c r="U2" s="1" t="n"/>
    </row>
    <row r="3">
      <c r="A3" s="1" t="n"/>
      <c r="B3" s="19" t="inlineStr">
        <is>
          <t>400 live draws between Bear and Bull, plus COD slip, availability, and useful-life depreciation. F9 re-rolls.</t>
        </is>
      </c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  <c r="M3" s="1" t="n"/>
      <c r="N3" s="1" t="n"/>
      <c r="O3" s="1" t="n"/>
      <c r="P3" s="1" t="n"/>
      <c r="Q3" s="1" t="n"/>
      <c r="R3" s="1" t="n"/>
      <c r="S3" s="1" t="n"/>
      <c r="T3" s="1" t="n"/>
      <c r="U3" s="1" t="n"/>
    </row>
    <row r="4" ht="6" customHeight="1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  <c r="K4" s="1" t="n"/>
      <c r="L4" s="1" t="n"/>
      <c r="M4" s="1" t="n"/>
      <c r="N4" s="1" t="n"/>
      <c r="O4" s="1" t="n"/>
      <c r="P4" s="1" t="n"/>
      <c r="Q4" s="1" t="n"/>
      <c r="R4" s="1" t="n"/>
      <c r="S4" s="1" t="n"/>
      <c r="T4" s="1" t="n"/>
      <c r="U4" s="1" t="n"/>
    </row>
    <row r="5">
      <c r="A5" s="1" t="n"/>
      <c r="B5" s="1" t="n"/>
      <c r="C5" s="1" t="n"/>
      <c r="D5" s="1" t="n"/>
      <c r="E5" s="1" t="n"/>
      <c r="F5" s="1" t="n"/>
      <c r="G5" s="1" t="n"/>
      <c r="H5" s="1" t="n"/>
      <c r="I5" s="1" t="n"/>
      <c r="J5" s="1" t="n"/>
      <c r="K5" s="1" t="n"/>
      <c r="L5" s="1" t="n"/>
      <c r="M5" s="1" t="n"/>
      <c r="N5" s="1" t="n"/>
      <c r="O5" s="1" t="n"/>
      <c r="P5" s="1" t="n"/>
      <c r="Q5" s="1" t="n"/>
      <c r="R5" s="1" t="n"/>
      <c r="S5" s="1" t="n"/>
      <c r="T5" s="1" t="n"/>
      <c r="U5" s="1" t="n"/>
    </row>
    <row r="6" ht="17" customHeight="1">
      <c r="A6" s="1" t="n"/>
      <c r="B6" s="22" t="inlineStr">
        <is>
          <t>Outcome distribution</t>
        </is>
      </c>
      <c r="C6" s="23" t="n"/>
      <c r="D6" s="23" t="n"/>
      <c r="E6" s="23" t="n"/>
      <c r="F6" s="23" t="n"/>
      <c r="G6" s="23" t="n"/>
      <c r="H6" s="23" t="n"/>
      <c r="I6" s="23" t="n"/>
      <c r="J6" s="23" t="n"/>
      <c r="K6" s="23" t="n"/>
      <c r="L6" s="23" t="n"/>
      <c r="M6" s="23" t="n"/>
      <c r="N6" s="23" t="n"/>
      <c r="O6" s="23" t="n"/>
      <c r="P6" s="1" t="n"/>
      <c r="Q6" s="1" t="n"/>
      <c r="R6" s="1" t="n"/>
      <c r="S6" s="1" t="n"/>
      <c r="T6" s="1" t="n"/>
      <c r="U6" s="1" t="n"/>
    </row>
    <row r="7" ht="14" customHeight="1">
      <c r="A7" s="1" t="n"/>
      <c r="B7" s="39" t="inlineStr">
        <is>
          <t>Percentile</t>
        </is>
      </c>
      <c r="C7" s="40" t="inlineStr">
        <is>
          <t>Margin ($/MTok)</t>
        </is>
      </c>
      <c r="D7" s="40" t="inlineStr">
        <is>
          <t>DSCR</t>
        </is>
      </c>
      <c r="E7" s="40" t="inlineStr">
        <is>
          <t>Blended FY2030 ($/MWh)</t>
        </is>
      </c>
      <c r="F7" s="40" t="inlineStr">
        <is>
          <t>N-SMR FY2034 ($/MWh)</t>
        </is>
      </c>
      <c r="G7" s="40" t="inlineStr">
        <is>
          <t>Shortfall dmg ($M/yr)</t>
        </is>
      </c>
      <c r="H7" s="1" t="n"/>
      <c r="I7" s="1" t="n"/>
      <c r="J7" s="1" t="n"/>
      <c r="K7" s="1" t="n"/>
      <c r="L7" s="1" t="n"/>
      <c r="M7" s="1" t="n"/>
      <c r="N7" s="1" t="n"/>
      <c r="O7" s="1" t="n"/>
      <c r="P7" s="1" t="n"/>
      <c r="Q7" s="1" t="n"/>
      <c r="R7" s="1" t="n"/>
      <c r="S7" s="1" t="n"/>
      <c r="T7" s="1" t="n"/>
      <c r="U7" s="1" t="n"/>
    </row>
    <row r="8">
      <c r="A8" s="1" t="n"/>
      <c r="B8" s="29" t="inlineStr">
        <is>
          <t>P5</t>
        </is>
      </c>
      <c r="C8" s="45">
        <f>PERCENTILE($F$21:$F$420,0.05)</f>
        <v/>
      </c>
      <c r="D8" s="66">
        <f>PERCENTILE($G$21:$G$420,0.05)</f>
        <v/>
      </c>
      <c r="E8" s="71">
        <f>PERCENTILE($H$21:$H$420,0.05)</f>
        <v/>
      </c>
      <c r="F8" s="45">
        <f>PERCENTILE($L$21:$L$420,0.05)</f>
        <v/>
      </c>
      <c r="G8" s="63">
        <f>PERCENTILE($M$21:$M$420,0.05)</f>
        <v/>
      </c>
      <c r="H8" s="1" t="n"/>
      <c r="I8" s="1" t="n"/>
      <c r="J8" s="1" t="n"/>
      <c r="K8" s="1" t="n"/>
      <c r="L8" s="1" t="n"/>
      <c r="M8" s="1" t="n"/>
      <c r="N8" s="1" t="n"/>
      <c r="O8" s="1" t="n"/>
      <c r="P8" s="1" t="n"/>
      <c r="Q8" s="1" t="n"/>
      <c r="R8" s="1" t="n"/>
      <c r="S8" s="1" t="n"/>
      <c r="T8" s="1" t="n"/>
      <c r="U8" s="1" t="n"/>
    </row>
    <row r="9">
      <c r="A9" s="1" t="n"/>
      <c r="B9" s="29" t="inlineStr">
        <is>
          <t>P25</t>
        </is>
      </c>
      <c r="C9" s="45">
        <f>PERCENTILE($F$21:$F$420,0.25)</f>
        <v/>
      </c>
      <c r="D9" s="66">
        <f>PERCENTILE($G$21:$G$420,0.25)</f>
        <v/>
      </c>
      <c r="E9" s="71">
        <f>PERCENTILE($H$21:$H$420,0.25)</f>
        <v/>
      </c>
      <c r="F9" s="45">
        <f>PERCENTILE($L$21:$L$420,0.25)</f>
        <v/>
      </c>
      <c r="G9" s="63">
        <f>PERCENTILE($M$21:$M$420,0.25)</f>
        <v/>
      </c>
      <c r="H9" s="1" t="n"/>
      <c r="I9" s="1" t="n"/>
      <c r="J9" s="1" t="n"/>
      <c r="K9" s="1" t="n"/>
      <c r="L9" s="1" t="n"/>
      <c r="M9" s="1" t="n"/>
      <c r="N9" s="1" t="n"/>
      <c r="O9" s="1" t="n"/>
      <c r="P9" s="1" t="n"/>
      <c r="Q9" s="1" t="n"/>
      <c r="R9" s="1" t="n"/>
      <c r="S9" s="1" t="n"/>
      <c r="T9" s="1" t="n"/>
      <c r="U9" s="1" t="n"/>
    </row>
    <row r="10">
      <c r="A10" s="1" t="n"/>
      <c r="B10" s="20" t="inlineStr">
        <is>
          <t>P50</t>
        </is>
      </c>
      <c r="C10" s="49">
        <f>PERCENTILE($F$21:$F$420,0.5)</f>
        <v/>
      </c>
      <c r="D10" s="66">
        <f>PERCENTILE($G$21:$G$420,0.5)</f>
        <v/>
      </c>
      <c r="E10" s="71">
        <f>PERCENTILE($H$21:$H$420,0.5)</f>
        <v/>
      </c>
      <c r="F10" s="45">
        <f>PERCENTILE($L$21:$L$420,0.5)</f>
        <v/>
      </c>
      <c r="G10" s="63">
        <f>PERCENTILE($M$21:$M$420,0.5)</f>
        <v/>
      </c>
      <c r="H10" s="1" t="n"/>
      <c r="I10" s="1" t="n"/>
      <c r="J10" s="1" t="n"/>
      <c r="K10" s="1" t="n"/>
      <c r="L10" s="1" t="n"/>
      <c r="M10" s="1" t="n"/>
      <c r="N10" s="1" t="n"/>
      <c r="O10" s="1" t="n"/>
      <c r="P10" s="1" t="n"/>
      <c r="Q10" s="1" t="n"/>
      <c r="R10" s="1" t="n"/>
      <c r="S10" s="1" t="n"/>
      <c r="T10" s="1" t="n"/>
      <c r="U10" s="1" t="n"/>
    </row>
    <row r="11">
      <c r="A11" s="1" t="n"/>
      <c r="B11" s="29" t="inlineStr">
        <is>
          <t>P75</t>
        </is>
      </c>
      <c r="C11" s="45">
        <f>PERCENTILE($F$21:$F$420,0.75)</f>
        <v/>
      </c>
      <c r="D11" s="66">
        <f>PERCENTILE($G$21:$G$420,0.75)</f>
        <v/>
      </c>
      <c r="E11" s="71">
        <f>PERCENTILE($H$21:$H$420,0.75)</f>
        <v/>
      </c>
      <c r="F11" s="45">
        <f>PERCENTILE($L$21:$L$420,0.75)</f>
        <v/>
      </c>
      <c r="G11" s="63">
        <f>PERCENTILE($M$21:$M$420,0.75)</f>
        <v/>
      </c>
      <c r="H11" s="1" t="n"/>
      <c r="I11" s="1" t="n"/>
      <c r="J11" s="1" t="n"/>
      <c r="K11" s="1" t="n"/>
      <c r="L11" s="1" t="n"/>
      <c r="M11" s="1" t="n"/>
      <c r="N11" s="1" t="n"/>
      <c r="O11" s="1" t="n"/>
      <c r="P11" s="1" t="n"/>
      <c r="Q11" s="1" t="n"/>
      <c r="R11" s="1" t="n"/>
      <c r="S11" s="1" t="n"/>
      <c r="T11" s="1" t="n"/>
      <c r="U11" s="1" t="n"/>
    </row>
    <row r="12">
      <c r="A12" s="1" t="n"/>
      <c r="B12" s="29" t="inlineStr">
        <is>
          <t>P95</t>
        </is>
      </c>
      <c r="C12" s="45">
        <f>PERCENTILE($F$21:$F$420,0.95)</f>
        <v/>
      </c>
      <c r="D12" s="66">
        <f>PERCENTILE($G$21:$G$420,0.95)</f>
        <v/>
      </c>
      <c r="E12" s="71">
        <f>PERCENTILE($H$21:$H$420,0.95)</f>
        <v/>
      </c>
      <c r="F12" s="45">
        <f>PERCENTILE($L$21:$L$420,0.95)</f>
        <v/>
      </c>
      <c r="G12" s="63">
        <f>PERCENTILE($M$21:$M$420,0.95)</f>
        <v/>
      </c>
      <c r="H12" s="1" t="n"/>
      <c r="I12" s="1" t="n"/>
      <c r="J12" s="1" t="n"/>
      <c r="K12" s="1" t="n"/>
      <c r="L12" s="1" t="n"/>
      <c r="M12" s="1" t="n"/>
      <c r="N12" s="1" t="n"/>
      <c r="O12" s="1" t="n"/>
      <c r="P12" s="1" t="n"/>
      <c r="Q12" s="1" t="n"/>
      <c r="R12" s="1" t="n"/>
      <c r="S12" s="1" t="n"/>
      <c r="T12" s="1" t="n"/>
      <c r="U12" s="1" t="n"/>
    </row>
    <row r="13">
      <c r="A13" s="1" t="n"/>
      <c r="B13" s="20" t="inlineStr">
        <is>
          <t>Probability margin is underwater</t>
        </is>
      </c>
      <c r="C13" s="118">
        <f>COUNTIF($F$21:$F$420,"&lt;0")/400</f>
        <v/>
      </c>
      <c r="D13" s="1" t="n"/>
      <c r="E13" s="1" t="n"/>
      <c r="F13" s="1" t="n"/>
      <c r="G13" s="1" t="n"/>
      <c r="H13" s="1" t="n"/>
      <c r="I13" s="1" t="n"/>
      <c r="J13" s="1" t="n"/>
      <c r="K13" s="1" t="n"/>
      <c r="L13" s="1" t="n"/>
      <c r="M13" s="1" t="n"/>
      <c r="N13" s="1" t="n"/>
      <c r="O13" s="1" t="n"/>
      <c r="P13" s="1" t="n"/>
      <c r="Q13" s="1" t="n"/>
      <c r="R13" s="1" t="n"/>
      <c r="S13" s="1" t="n"/>
      <c r="T13" s="1" t="n"/>
      <c r="U13" s="1" t="n"/>
    </row>
    <row r="14">
      <c r="A14" s="1" t="n"/>
      <c r="B14" s="20" t="inlineStr">
        <is>
          <t>Probability the N-SMR misses FY2034 entirely</t>
        </is>
      </c>
      <c r="C14" s="118">
        <f>COUNTIF($L$21:$L$420,0)/400</f>
        <v/>
      </c>
      <c r="D14" s="1" t="n"/>
      <c r="E14" s="1" t="n"/>
      <c r="F14" s="1" t="n"/>
      <c r="G14" s="1" t="n"/>
      <c r="H14" s="1" t="n"/>
      <c r="I14" s="1" t="n"/>
      <c r="J14" s="1" t="n"/>
      <c r="K14" s="1" t="n"/>
      <c r="L14" s="1" t="n"/>
      <c r="M14" s="1" t="n"/>
      <c r="N14" s="1" t="n"/>
      <c r="O14" s="1" t="n"/>
      <c r="P14" s="1" t="n"/>
      <c r="Q14" s="1" t="n"/>
      <c r="R14" s="1" t="n"/>
      <c r="S14" s="1" t="n"/>
      <c r="T14" s="1" t="n"/>
      <c r="U14" s="1" t="n"/>
    </row>
    <row r="15">
      <c r="A15" s="1" t="n"/>
      <c r="B15" s="43" t="inlineStr">
        <is>
          <t>Draws are joint and independent; correlated draws would widen the tails.</t>
        </is>
      </c>
      <c r="C15" s="1" t="n"/>
      <c r="D15" s="1" t="n"/>
      <c r="E15" s="1" t="n"/>
      <c r="F15" s="1" t="n"/>
      <c r="G15" s="1" t="n"/>
      <c r="H15" s="1" t="n"/>
      <c r="I15" s="1" t="n"/>
      <c r="J15" s="1" t="n"/>
      <c r="K15" s="1" t="n"/>
      <c r="L15" s="1" t="n"/>
      <c r="M15" s="1" t="n"/>
      <c r="N15" s="1" t="n"/>
      <c r="O15" s="1" t="n"/>
      <c r="P15" s="1" t="n"/>
      <c r="Q15" s="1" t="n"/>
      <c r="R15" s="1" t="n"/>
      <c r="S15" s="1" t="n"/>
      <c r="T15" s="1" t="n"/>
      <c r="U15" s="1" t="n"/>
    </row>
    <row r="16">
      <c r="A16" s="1" t="n"/>
      <c r="B16" s="29" t="inlineStr">
        <is>
          <t>COD slip draw, maximum (months)</t>
        </is>
      </c>
      <c r="C16" s="104" t="n">
        <v>36</v>
      </c>
      <c r="D16" s="1" t="n"/>
      <c r="E16" s="1" t="n"/>
      <c r="F16" s="1" t="n"/>
      <c r="G16" s="1" t="n"/>
      <c r="H16" s="1" t="n"/>
      <c r="I16" s="1" t="n"/>
      <c r="J16" s="1" t="n"/>
      <c r="K16" s="1" t="n"/>
      <c r="L16" s="1" t="n"/>
      <c r="M16" s="1" t="n"/>
      <c r="N16" s="1" t="n"/>
      <c r="O16" s="1" t="n"/>
      <c r="P16" s="1" t="n"/>
      <c r="Q16" s="1" t="n"/>
      <c r="R16" s="1" t="n"/>
      <c r="S16" s="1" t="n"/>
      <c r="T16" s="1" t="n"/>
      <c r="U16" s="1" t="n"/>
    </row>
    <row r="17">
      <c r="A17" s="1" t="n"/>
      <c r="B17" s="29" t="inlineStr">
        <is>
          <t>Availability draw band (min / max)</t>
        </is>
      </c>
      <c r="C17" s="101" t="n">
        <v>0.8</v>
      </c>
      <c r="D17" s="101" t="n">
        <v>0.95</v>
      </c>
      <c r="E17" s="1" t="n"/>
      <c r="F17" s="1" t="n"/>
      <c r="G17" s="1" t="n"/>
      <c r="H17" s="1" t="n"/>
      <c r="I17" s="1" t="n"/>
      <c r="J17" s="1" t="n"/>
      <c r="K17" s="1" t="n"/>
      <c r="L17" s="1" t="n"/>
      <c r="M17" s="1" t="n"/>
      <c r="N17" s="1" t="n"/>
      <c r="O17" s="1" t="n"/>
      <c r="P17" s="1" t="n"/>
      <c r="Q17" s="1" t="n"/>
      <c r="R17" s="1" t="n"/>
      <c r="S17" s="1" t="n"/>
      <c r="T17" s="1" t="n"/>
      <c r="U17" s="1" t="n"/>
    </row>
    <row r="18">
      <c r="A18" s="1" t="n"/>
      <c r="B18" s="29" t="inlineStr">
        <is>
          <t>Useful life draw band (min / base / max)</t>
        </is>
      </c>
      <c r="C18" s="100" t="n">
        <v>3</v>
      </c>
      <c r="D18" s="100" t="n">
        <v>5.5</v>
      </c>
      <c r="E18" s="100" t="n">
        <v>8</v>
      </c>
      <c r="F18" s="1" t="n"/>
      <c r="G18" s="1" t="n"/>
      <c r="H18" s="1" t="n"/>
      <c r="I18" s="1" t="n"/>
      <c r="J18" s="1" t="n"/>
      <c r="K18" s="1" t="n"/>
      <c r="L18" s="1" t="n"/>
      <c r="M18" s="1" t="n"/>
      <c r="N18" s="1" t="n"/>
      <c r="O18" s="1" t="n"/>
      <c r="P18" s="1" t="n"/>
      <c r="Q18" s="1" t="n"/>
      <c r="R18" s="1" t="n"/>
      <c r="S18" s="1" t="n"/>
      <c r="T18" s="1" t="n"/>
      <c r="U18" s="1" t="n"/>
    </row>
    <row r="19" ht="17" customHeight="1">
      <c r="A19" s="1" t="n"/>
      <c r="B19" s="22" t="inlineStr">
        <is>
          <t>Draws</t>
        </is>
      </c>
      <c r="C19" s="23" t="n"/>
      <c r="D19" s="23" t="n"/>
      <c r="E19" s="23" t="n"/>
      <c r="F19" s="23" t="n"/>
      <c r="G19" s="23" t="n"/>
      <c r="H19" s="23" t="n"/>
      <c r="I19" s="23" t="n"/>
      <c r="J19" s="23" t="n"/>
      <c r="K19" s="23" t="n"/>
      <c r="L19" s="23" t="n"/>
      <c r="M19" s="23" t="n"/>
      <c r="N19" s="23" t="n"/>
      <c r="O19" s="23" t="n"/>
      <c r="P19" s="1" t="n"/>
      <c r="Q19" s="1" t="n"/>
      <c r="R19" s="1" t="n"/>
      <c r="S19" s="1" t="n"/>
      <c r="T19" s="1" t="n"/>
      <c r="U19" s="1" t="n"/>
    </row>
    <row r="20" ht="14" customHeight="1">
      <c r="A20" s="1" t="n"/>
      <c r="B20" s="39" t="inlineStr">
        <is>
          <t>Draw</t>
        </is>
      </c>
      <c r="C20" s="40" t="inlineStr">
        <is>
          <t>Compression</t>
        </is>
      </c>
      <c r="D20" s="40" t="inlineStr">
        <is>
          <t>Utilization</t>
        </is>
      </c>
      <c r="E20" s="40" t="inlineStr">
        <is>
          <t>Power ($/MWh)</t>
        </is>
      </c>
      <c r="F20" s="40" t="inlineStr">
        <is>
          <t>Margin ($/MTok)</t>
        </is>
      </c>
      <c r="G20" s="40" t="inlineStr">
        <is>
          <t>DSCR</t>
        </is>
      </c>
      <c r="H20" s="40" t="inlineStr">
        <is>
          <t>Blended FY2030 ($/MWh)</t>
        </is>
      </c>
      <c r="I20" s="40" t="inlineStr">
        <is>
          <t>Delay (mo)</t>
        </is>
      </c>
      <c r="J20" s="40" t="inlineStr">
        <is>
          <t>COD slip (mo)</t>
        </is>
      </c>
      <c r="K20" s="40" t="inlineStr">
        <is>
          <t>Availability</t>
        </is>
      </c>
      <c r="L20" s="40" t="inlineStr">
        <is>
          <t>N-SMR FY2034 ($/MWh)</t>
        </is>
      </c>
      <c r="M20" s="40" t="inlineStr">
        <is>
          <t>Shortfall dmg ($M/yr)</t>
        </is>
      </c>
      <c r="N20" s="40" t="inlineStr">
        <is>
          <t>Useful life (yrs)</t>
        </is>
      </c>
      <c r="O20" s="40" t="inlineStr">
        <is>
          <t>Depreciation delta ($/MTok)</t>
        </is>
      </c>
      <c r="P20" s="1" t="n"/>
      <c r="Q20" s="1" t="n"/>
      <c r="R20" s="1" t="n"/>
      <c r="S20" s="1" t="n"/>
      <c r="T20" s="1" t="n"/>
      <c r="U20" s="1" t="n"/>
    </row>
    <row r="21" ht="12" customHeight="1">
      <c r="A21" s="1" t="n"/>
      <c r="B21" s="38" t="n">
        <v>1</v>
      </c>
      <c r="C21" s="114">
        <f>Assumptions!$F$8+RAND()*(Assumptions!$D$8-Assumptions!$F$8)</f>
        <v/>
      </c>
      <c r="D21" s="114">
        <f>Assumptions!$D$9+RAND()*(Assumptions!$F$9-Assumptions!$D$9)</f>
        <v/>
      </c>
      <c r="E21" s="71">
        <f>Assumptions!$F$11+RAND()*(Assumptions!$D$11-Assumptions!$F$11)</f>
        <v/>
      </c>
      <c r="F21" s="45">
        <f>nListPrice*(1-C21)-(nInference*nGpuIdx+nAmort)*nUtilCal/D21-nNetworking-nOverheadBase*(E21/nPowerCal)-nCodBase*(1+I21/12)-O21</f>
        <v/>
      </c>
      <c r="G21" s="66">
        <f>MAX(F21,0)/nDebtService</f>
        <v/>
      </c>
      <c r="H21" s="71">
        <f>Anthropic!$J$18*Anthropic!$J$27+Anthropic!$J$19*Anthropic!$J$28+Anthropic!$J$20*Anthropic!$J$29+Anthropic!$J$21*E21*(1+nPowerCagr)^4*(1+nResidualBasisMarkup+nScarcityAlpha*POWER(Anthropic!$J$21,nScarcityGamma))</f>
        <v/>
      </c>
      <c r="I21" s="113">
        <f>Assumptions!$F$10+RAND()*(Assumptions!$D$10-Assumptions!$F$10)</f>
        <v/>
      </c>
      <c r="J21" s="113">
        <f>RAND()*nCodSlipMaxMo</f>
        <v/>
      </c>
      <c r="K21" s="114">
        <f>nAvailDrawMin+RAND()*(nAvailDrawMax-nAvailDrawMin)</f>
        <v/>
      </c>
      <c r="L21" s="45">
        <f>IF(2034&lt;sNsmrCodU1+J21/12,0,(nNsmrCap+nNsmrOpx*(1+sNsmrOpxEsc)^8+nNsmrFuel*FuelEsc*(1+nFuelCagr)^8-nNsmrItc)*IF(2034&lt;sNsmrCodU1+J21/12+nStepFirst,1,IF(nStepGated="Yes",(1+nStepPct)^(INT((2034-sNsmrCodU1-J21/12-nStepFirst)/nStepEvery)+1),1))+nExclPrem*(1-nFlexRelief)-nProdCredit)</f>
        <v/>
      </c>
      <c r="M21" s="63">
        <f>MIN(nShortfallCapM,MAX(0,sNsmrAvailY2-K21)*sNsmrUnitMw*sNsmrUnits*8760*NsmrPrice2033/1000000)</f>
        <v/>
      </c>
      <c r="N21" s="82">
        <f>IF(RAND()&lt;0.5,nUsefulLifeDrawBase-(nUsefulLifeDrawBase-nUsefulLifeDrawMin)*BETA.INV(RAND(),1.15,1.15),nUsefulLifeDrawBase+(nUsefulLifeDrawMax-nUsefulLifeDrawBase)*BETA.INV(RAND(),1.15,1.15))</f>
        <v/>
      </c>
      <c r="O21" s="45">
        <f>((nInference*nGpuIdx+nAmort)*nUtilCal/D21)*(nUsefulLifeDrawBase/N21-1)</f>
        <v/>
      </c>
      <c r="P21" s="1" t="n"/>
      <c r="Q21" s="1" t="n"/>
      <c r="R21" s="1" t="n"/>
      <c r="S21" s="1" t="n"/>
      <c r="T21" s="1" t="n"/>
      <c r="U21" s="1" t="n"/>
    </row>
    <row r="22" ht="12" customHeight="1">
      <c r="A22" s="1" t="n"/>
      <c r="B22" s="38" t="n">
        <v>2</v>
      </c>
      <c r="C22" s="114">
        <f>Assumptions!$F$8+RAND()*(Assumptions!$D$8-Assumptions!$F$8)</f>
        <v/>
      </c>
      <c r="D22" s="114">
        <f>Assumptions!$D$9+RAND()*(Assumptions!$F$9-Assumptions!$D$9)</f>
        <v/>
      </c>
      <c r="E22" s="71">
        <f>Assumptions!$F$11+RAND()*(Assumptions!$D$11-Assumptions!$F$11)</f>
        <v/>
      </c>
      <c r="F22" s="45">
        <f>nListPrice*(1-C22)-(nInference*nGpuIdx+nAmort)*nUtilCal/D22-nNetworking-nOverheadBase*(E22/nPowerCal)-nCodBase*(1+I22/12)-O22</f>
        <v/>
      </c>
      <c r="G22" s="66">
        <f>MAX(F22,0)/nDebtService</f>
        <v/>
      </c>
      <c r="H22" s="71">
        <f>Anthropic!$J$18*Anthropic!$J$27+Anthropic!$J$19*Anthropic!$J$28+Anthropic!$J$20*Anthropic!$J$29+Anthropic!$J$21*E22*(1+nPowerCagr)^4*(1+nResidualBasisMarkup+nScarcityAlpha*POWER(Anthropic!$J$21,nScarcityGamma))</f>
        <v/>
      </c>
      <c r="I22" s="113">
        <f>Assumptions!$F$10+RAND()*(Assumptions!$D$10-Assumptions!$F$10)</f>
        <v/>
      </c>
      <c r="J22" s="113">
        <f>RAND()*nCodSlipMaxMo</f>
        <v/>
      </c>
      <c r="K22" s="114">
        <f>nAvailDrawMin+RAND()*(nAvailDrawMax-nAvailDrawMin)</f>
        <v/>
      </c>
      <c r="L22" s="45">
        <f>IF(2034&lt;sNsmrCodU1+J22/12,0,(nNsmrCap+nNsmrOpx*(1+sNsmrOpxEsc)^8+nNsmrFuel*FuelEsc*(1+nFuelCagr)^8-nNsmrItc)*IF(2034&lt;sNsmrCodU1+J22/12+nStepFirst,1,IF(nStepGated="Yes",(1+nStepPct)^(INT((2034-sNsmrCodU1-J22/12-nStepFirst)/nStepEvery)+1),1))+nExclPrem*(1-nFlexRelief)-nProdCredit)</f>
        <v/>
      </c>
      <c r="M22" s="63">
        <f>MIN(nShortfallCapM,MAX(0,sNsmrAvailY2-K22)*sNsmrUnitMw*sNsmrUnits*8760*NsmrPrice2033/1000000)</f>
        <v/>
      </c>
      <c r="N22" s="82">
        <f>IF(RAND()&lt;0.5,nUsefulLifeDrawBase-(nUsefulLifeDrawBase-nUsefulLifeDrawMin)*BETA.INV(RAND(),1.15,1.15),nUsefulLifeDrawBase+(nUsefulLifeDrawMax-nUsefulLifeDrawBase)*BETA.INV(RAND(),1.15,1.15))</f>
        <v/>
      </c>
      <c r="O22" s="45">
        <f>((nInference*nGpuIdx+nAmort)*nUtilCal/D22)*(nUsefulLifeDrawBase/N22-1)</f>
        <v/>
      </c>
      <c r="P22" s="1" t="n"/>
      <c r="Q22" s="1" t="n"/>
      <c r="R22" s="1" t="n"/>
      <c r="S22" s="1" t="n"/>
      <c r="T22" s="1" t="n"/>
      <c r="U22" s="1" t="n"/>
    </row>
    <row r="23" ht="12" customHeight="1">
      <c r="A23" s="1" t="n"/>
      <c r="B23" s="38" t="n">
        <v>3</v>
      </c>
      <c r="C23" s="114">
        <f>Assumptions!$F$8+RAND()*(Assumptions!$D$8-Assumptions!$F$8)</f>
        <v/>
      </c>
      <c r="D23" s="114">
        <f>Assumptions!$D$9+RAND()*(Assumptions!$F$9-Assumptions!$D$9)</f>
        <v/>
      </c>
      <c r="E23" s="71">
        <f>Assumptions!$F$11+RAND()*(Assumptions!$D$11-Assumptions!$F$11)</f>
        <v/>
      </c>
      <c r="F23" s="45">
        <f>nListPrice*(1-C23)-(nInference*nGpuIdx+nAmort)*nUtilCal/D23-nNetworking-nOverheadBase*(E23/nPowerCal)-nCodBase*(1+I23/12)-O23</f>
        <v/>
      </c>
      <c r="G23" s="66">
        <f>MAX(F23,0)/nDebtService</f>
        <v/>
      </c>
      <c r="H23" s="71">
        <f>Anthropic!$J$18*Anthropic!$J$27+Anthropic!$J$19*Anthropic!$J$28+Anthropic!$J$20*Anthropic!$J$29+Anthropic!$J$21*E23*(1+nPowerCagr)^4*(1+nResidualBasisMarkup+nScarcityAlpha*POWER(Anthropic!$J$21,nScarcityGamma))</f>
        <v/>
      </c>
      <c r="I23" s="113">
        <f>Assumptions!$F$10+RAND()*(Assumptions!$D$10-Assumptions!$F$10)</f>
        <v/>
      </c>
      <c r="J23" s="113">
        <f>RAND()*nCodSlipMaxMo</f>
        <v/>
      </c>
      <c r="K23" s="114">
        <f>nAvailDrawMin+RAND()*(nAvailDrawMax-nAvailDrawMin)</f>
        <v/>
      </c>
      <c r="L23" s="45">
        <f>IF(2034&lt;sNsmrCodU1+J23/12,0,(nNsmrCap+nNsmrOpx*(1+sNsmrOpxEsc)^8+nNsmrFuel*FuelEsc*(1+nFuelCagr)^8-nNsmrItc)*IF(2034&lt;sNsmrCodU1+J23/12+nStepFirst,1,IF(nStepGated="Yes",(1+nStepPct)^(INT((2034-sNsmrCodU1-J23/12-nStepFirst)/nStepEvery)+1),1))+nExclPrem*(1-nFlexRelief)-nProdCredit)</f>
        <v/>
      </c>
      <c r="M23" s="63">
        <f>MIN(nShortfallCapM,MAX(0,sNsmrAvailY2-K23)*sNsmrUnitMw*sNsmrUnits*8760*NsmrPrice2033/1000000)</f>
        <v/>
      </c>
      <c r="N23" s="82">
        <f>IF(RAND()&lt;0.5,nUsefulLifeDrawBase-(nUsefulLifeDrawBase-nUsefulLifeDrawMin)*BETA.INV(RAND(),1.15,1.15),nUsefulLifeDrawBase+(nUsefulLifeDrawMax-nUsefulLifeDrawBase)*BETA.INV(RAND(),1.15,1.15))</f>
        <v/>
      </c>
      <c r="O23" s="45">
        <f>((nInference*nGpuIdx+nAmort)*nUtilCal/D23)*(nUsefulLifeDrawBase/N23-1)</f>
        <v/>
      </c>
      <c r="P23" s="1" t="n"/>
      <c r="Q23" s="1" t="n"/>
      <c r="R23" s="1" t="n"/>
      <c r="S23" s="1" t="n"/>
      <c r="T23" s="1" t="n"/>
      <c r="U23" s="1" t="n"/>
    </row>
    <row r="24" ht="12" customHeight="1">
      <c r="A24" s="1" t="n"/>
      <c r="B24" s="38" t="n">
        <v>4</v>
      </c>
      <c r="C24" s="114">
        <f>Assumptions!$F$8+RAND()*(Assumptions!$D$8-Assumptions!$F$8)</f>
        <v/>
      </c>
      <c r="D24" s="114">
        <f>Assumptions!$D$9+RAND()*(Assumptions!$F$9-Assumptions!$D$9)</f>
        <v/>
      </c>
      <c r="E24" s="71">
        <f>Assumptions!$F$11+RAND()*(Assumptions!$D$11-Assumptions!$F$11)</f>
        <v/>
      </c>
      <c r="F24" s="45">
        <f>nListPrice*(1-C24)-(nInference*nGpuIdx+nAmort)*nUtilCal/D24-nNetworking-nOverheadBase*(E24/nPowerCal)-nCodBase*(1+I24/12)-O24</f>
        <v/>
      </c>
      <c r="G24" s="66">
        <f>MAX(F24,0)/nDebtService</f>
        <v/>
      </c>
      <c r="H24" s="71">
        <f>Anthropic!$J$18*Anthropic!$J$27+Anthropic!$J$19*Anthropic!$J$28+Anthropic!$J$20*Anthropic!$J$29+Anthropic!$J$21*E24*(1+nPowerCagr)^4*(1+nResidualBasisMarkup+nScarcityAlpha*POWER(Anthropic!$J$21,nScarcityGamma))</f>
        <v/>
      </c>
      <c r="I24" s="113">
        <f>Assumptions!$F$10+RAND()*(Assumptions!$D$10-Assumptions!$F$10)</f>
        <v/>
      </c>
      <c r="J24" s="113">
        <f>RAND()*nCodSlipMaxMo</f>
        <v/>
      </c>
      <c r="K24" s="114">
        <f>nAvailDrawMin+RAND()*(nAvailDrawMax-nAvailDrawMin)</f>
        <v/>
      </c>
      <c r="L24" s="45">
        <f>IF(2034&lt;sNsmrCodU1+J24/12,0,(nNsmrCap+nNsmrOpx*(1+sNsmrOpxEsc)^8+nNsmrFuel*FuelEsc*(1+nFuelCagr)^8-nNsmrItc)*IF(2034&lt;sNsmrCodU1+J24/12+nStepFirst,1,IF(nStepGated="Yes",(1+nStepPct)^(INT((2034-sNsmrCodU1-J24/12-nStepFirst)/nStepEvery)+1),1))+nExclPrem*(1-nFlexRelief)-nProdCredit)</f>
        <v/>
      </c>
      <c r="M24" s="63">
        <f>MIN(nShortfallCapM,MAX(0,sNsmrAvailY2-K24)*sNsmrUnitMw*sNsmrUnits*8760*NsmrPrice2033/1000000)</f>
        <v/>
      </c>
      <c r="N24" s="82">
        <f>IF(RAND()&lt;0.5,nUsefulLifeDrawBase-(nUsefulLifeDrawBase-nUsefulLifeDrawMin)*BETA.INV(RAND(),1.15,1.15),nUsefulLifeDrawBase+(nUsefulLifeDrawMax-nUsefulLifeDrawBase)*BETA.INV(RAND(),1.15,1.15))</f>
        <v/>
      </c>
      <c r="O24" s="45">
        <f>((nInference*nGpuIdx+nAmort)*nUtilCal/D24)*(nUsefulLifeDrawBase/N24-1)</f>
        <v/>
      </c>
      <c r="P24" s="1" t="n"/>
      <c r="Q24" s="1" t="n"/>
      <c r="R24" s="1" t="n"/>
      <c r="S24" s="1" t="n"/>
      <c r="T24" s="1" t="n"/>
      <c r="U24" s="1" t="n"/>
    </row>
    <row r="25" ht="12" customHeight="1">
      <c r="A25" s="1" t="n"/>
      <c r="B25" s="38" t="n">
        <v>5</v>
      </c>
      <c r="C25" s="114">
        <f>Assumptions!$F$8+RAND()*(Assumptions!$D$8-Assumptions!$F$8)</f>
        <v/>
      </c>
      <c r="D25" s="114">
        <f>Assumptions!$D$9+RAND()*(Assumptions!$F$9-Assumptions!$D$9)</f>
        <v/>
      </c>
      <c r="E25" s="71">
        <f>Assumptions!$F$11+RAND()*(Assumptions!$D$11-Assumptions!$F$11)</f>
        <v/>
      </c>
      <c r="F25" s="45">
        <f>nListPrice*(1-C25)-(nInference*nGpuIdx+nAmort)*nUtilCal/D25-nNetworking-nOverheadBase*(E25/nPowerCal)-nCodBase*(1+I25/12)-O25</f>
        <v/>
      </c>
      <c r="G25" s="66">
        <f>MAX(F25,0)/nDebtService</f>
        <v/>
      </c>
      <c r="H25" s="71">
        <f>Anthropic!$J$18*Anthropic!$J$27+Anthropic!$J$19*Anthropic!$J$28+Anthropic!$J$20*Anthropic!$J$29+Anthropic!$J$21*E25*(1+nPowerCagr)^4*(1+nResidualBasisMarkup+nScarcityAlpha*POWER(Anthropic!$J$21,nScarcityGamma))</f>
        <v/>
      </c>
      <c r="I25" s="113">
        <f>Assumptions!$F$10+RAND()*(Assumptions!$D$10-Assumptions!$F$10)</f>
        <v/>
      </c>
      <c r="J25" s="113">
        <f>RAND()*nCodSlipMaxMo</f>
        <v/>
      </c>
      <c r="K25" s="114">
        <f>nAvailDrawMin+RAND()*(nAvailDrawMax-nAvailDrawMin)</f>
        <v/>
      </c>
      <c r="L25" s="45">
        <f>IF(2034&lt;sNsmrCodU1+J25/12,0,(nNsmrCap+nNsmrOpx*(1+sNsmrOpxEsc)^8+nNsmrFuel*FuelEsc*(1+nFuelCagr)^8-nNsmrItc)*IF(2034&lt;sNsmrCodU1+J25/12+nStepFirst,1,IF(nStepGated="Yes",(1+nStepPct)^(INT((2034-sNsmrCodU1-J25/12-nStepFirst)/nStepEvery)+1),1))+nExclPrem*(1-nFlexRelief)-nProdCredit)</f>
        <v/>
      </c>
      <c r="M25" s="63">
        <f>MIN(nShortfallCapM,MAX(0,sNsmrAvailY2-K25)*sNsmrUnitMw*sNsmrUnits*8760*NsmrPrice2033/1000000)</f>
        <v/>
      </c>
      <c r="N25" s="82">
        <f>IF(RAND()&lt;0.5,nUsefulLifeDrawBase-(nUsefulLifeDrawBase-nUsefulLifeDrawMin)*BETA.INV(RAND(),1.15,1.15),nUsefulLifeDrawBase+(nUsefulLifeDrawMax-nUsefulLifeDrawBase)*BETA.INV(RAND(),1.15,1.15))</f>
        <v/>
      </c>
      <c r="O25" s="45">
        <f>((nInference*nGpuIdx+nAmort)*nUtilCal/D25)*(nUsefulLifeDrawBase/N25-1)</f>
        <v/>
      </c>
      <c r="P25" s="1" t="n"/>
      <c r="Q25" s="1" t="n"/>
      <c r="R25" s="1" t="n"/>
      <c r="S25" s="1" t="n"/>
      <c r="T25" s="1" t="n"/>
      <c r="U25" s="1" t="n"/>
    </row>
    <row r="26" ht="12" customHeight="1">
      <c r="A26" s="1" t="n"/>
      <c r="B26" s="38" t="n">
        <v>6</v>
      </c>
      <c r="C26" s="114">
        <f>Assumptions!$F$8+RAND()*(Assumptions!$D$8-Assumptions!$F$8)</f>
        <v/>
      </c>
      <c r="D26" s="114">
        <f>Assumptions!$D$9+RAND()*(Assumptions!$F$9-Assumptions!$D$9)</f>
        <v/>
      </c>
      <c r="E26" s="71">
        <f>Assumptions!$F$11+RAND()*(Assumptions!$D$11-Assumptions!$F$11)</f>
        <v/>
      </c>
      <c r="F26" s="45">
        <f>nListPrice*(1-C26)-(nInference*nGpuIdx+nAmort)*nUtilCal/D26-nNetworking-nOverheadBase*(E26/nPowerCal)-nCodBase*(1+I26/12)-O26</f>
        <v/>
      </c>
      <c r="G26" s="66">
        <f>MAX(F26,0)/nDebtService</f>
        <v/>
      </c>
      <c r="H26" s="71">
        <f>Anthropic!$J$18*Anthropic!$J$27+Anthropic!$J$19*Anthropic!$J$28+Anthropic!$J$20*Anthropic!$J$29+Anthropic!$J$21*E26*(1+nPowerCagr)^4*(1+nResidualBasisMarkup+nScarcityAlpha*POWER(Anthropic!$J$21,nScarcityGamma))</f>
        <v/>
      </c>
      <c r="I26" s="113">
        <f>Assumptions!$F$10+RAND()*(Assumptions!$D$10-Assumptions!$F$10)</f>
        <v/>
      </c>
      <c r="J26" s="113">
        <f>RAND()*nCodSlipMaxMo</f>
        <v/>
      </c>
      <c r="K26" s="114">
        <f>nAvailDrawMin+RAND()*(nAvailDrawMax-nAvailDrawMin)</f>
        <v/>
      </c>
      <c r="L26" s="45">
        <f>IF(2034&lt;sNsmrCodU1+J26/12,0,(nNsmrCap+nNsmrOpx*(1+sNsmrOpxEsc)^8+nNsmrFuel*FuelEsc*(1+nFuelCagr)^8-nNsmrItc)*IF(2034&lt;sNsmrCodU1+J26/12+nStepFirst,1,IF(nStepGated="Yes",(1+nStepPct)^(INT((2034-sNsmrCodU1-J26/12-nStepFirst)/nStepEvery)+1),1))+nExclPrem*(1-nFlexRelief)-nProdCredit)</f>
        <v/>
      </c>
      <c r="M26" s="63">
        <f>MIN(nShortfallCapM,MAX(0,sNsmrAvailY2-K26)*sNsmrUnitMw*sNsmrUnits*8760*NsmrPrice2033/1000000)</f>
        <v/>
      </c>
      <c r="N26" s="82">
        <f>IF(RAND()&lt;0.5,nUsefulLifeDrawBase-(nUsefulLifeDrawBase-nUsefulLifeDrawMin)*BETA.INV(RAND(),1.15,1.15),nUsefulLifeDrawBase+(nUsefulLifeDrawMax-nUsefulLifeDrawBase)*BETA.INV(RAND(),1.15,1.15))</f>
        <v/>
      </c>
      <c r="O26" s="45">
        <f>((nInference*nGpuIdx+nAmort)*nUtilCal/D26)*(nUsefulLifeDrawBase/N26-1)</f>
        <v/>
      </c>
      <c r="P26" s="1" t="n"/>
      <c r="Q26" s="1" t="n"/>
      <c r="R26" s="1" t="n"/>
      <c r="S26" s="1" t="n"/>
      <c r="T26" s="1" t="n"/>
      <c r="U26" s="1" t="n"/>
    </row>
    <row r="27" ht="12" customHeight="1">
      <c r="A27" s="1" t="n"/>
      <c r="B27" s="38" t="n">
        <v>7</v>
      </c>
      <c r="C27" s="114">
        <f>Assumptions!$F$8+RAND()*(Assumptions!$D$8-Assumptions!$F$8)</f>
        <v/>
      </c>
      <c r="D27" s="114">
        <f>Assumptions!$D$9+RAND()*(Assumptions!$F$9-Assumptions!$D$9)</f>
        <v/>
      </c>
      <c r="E27" s="71">
        <f>Assumptions!$F$11+RAND()*(Assumptions!$D$11-Assumptions!$F$11)</f>
        <v/>
      </c>
      <c r="F27" s="45">
        <f>nListPrice*(1-C27)-(nInference*nGpuIdx+nAmort)*nUtilCal/D27-nNetworking-nOverheadBase*(E27/nPowerCal)-nCodBase*(1+I27/12)-O27</f>
        <v/>
      </c>
      <c r="G27" s="66">
        <f>MAX(F27,0)/nDebtService</f>
        <v/>
      </c>
      <c r="H27" s="71">
        <f>Anthropic!$J$18*Anthropic!$J$27+Anthropic!$J$19*Anthropic!$J$28+Anthropic!$J$20*Anthropic!$J$29+Anthropic!$J$21*E27*(1+nPowerCagr)^4*(1+nResidualBasisMarkup+nScarcityAlpha*POWER(Anthropic!$J$21,nScarcityGamma))</f>
        <v/>
      </c>
      <c r="I27" s="113">
        <f>Assumptions!$F$10+RAND()*(Assumptions!$D$10-Assumptions!$F$10)</f>
        <v/>
      </c>
      <c r="J27" s="113">
        <f>RAND()*nCodSlipMaxMo</f>
        <v/>
      </c>
      <c r="K27" s="114">
        <f>nAvailDrawMin+RAND()*(nAvailDrawMax-nAvailDrawMin)</f>
        <v/>
      </c>
      <c r="L27" s="45">
        <f>IF(2034&lt;sNsmrCodU1+J27/12,0,(nNsmrCap+nNsmrOpx*(1+sNsmrOpxEsc)^8+nNsmrFuel*FuelEsc*(1+nFuelCagr)^8-nNsmrItc)*IF(2034&lt;sNsmrCodU1+J27/12+nStepFirst,1,IF(nStepGated="Yes",(1+nStepPct)^(INT((2034-sNsmrCodU1-J27/12-nStepFirst)/nStepEvery)+1),1))+nExclPrem*(1-nFlexRelief)-nProdCredit)</f>
        <v/>
      </c>
      <c r="M27" s="63">
        <f>MIN(nShortfallCapM,MAX(0,sNsmrAvailY2-K27)*sNsmrUnitMw*sNsmrUnits*8760*NsmrPrice2033/1000000)</f>
        <v/>
      </c>
      <c r="N27" s="82">
        <f>IF(RAND()&lt;0.5,nUsefulLifeDrawBase-(nUsefulLifeDrawBase-nUsefulLifeDrawMin)*BETA.INV(RAND(),1.15,1.15),nUsefulLifeDrawBase+(nUsefulLifeDrawMax-nUsefulLifeDrawBase)*BETA.INV(RAND(),1.15,1.15))</f>
        <v/>
      </c>
      <c r="O27" s="45">
        <f>((nInference*nGpuIdx+nAmort)*nUtilCal/D27)*(nUsefulLifeDrawBase/N27-1)</f>
        <v/>
      </c>
      <c r="P27" s="1" t="n"/>
      <c r="Q27" s="1" t="n"/>
      <c r="R27" s="1" t="n"/>
      <c r="S27" s="1" t="n"/>
      <c r="T27" s="1" t="n"/>
      <c r="U27" s="1" t="n"/>
    </row>
    <row r="28" ht="12" customHeight="1">
      <c r="A28" s="1" t="n"/>
      <c r="B28" s="38" t="n">
        <v>8</v>
      </c>
      <c r="C28" s="114">
        <f>Assumptions!$F$8+RAND()*(Assumptions!$D$8-Assumptions!$F$8)</f>
        <v/>
      </c>
      <c r="D28" s="114">
        <f>Assumptions!$D$9+RAND()*(Assumptions!$F$9-Assumptions!$D$9)</f>
        <v/>
      </c>
      <c r="E28" s="71">
        <f>Assumptions!$F$11+RAND()*(Assumptions!$D$11-Assumptions!$F$11)</f>
        <v/>
      </c>
      <c r="F28" s="45">
        <f>nListPrice*(1-C28)-(nInference*nGpuIdx+nAmort)*nUtilCal/D28-nNetworking-nOverheadBase*(E28/nPowerCal)-nCodBase*(1+I28/12)-O28</f>
        <v/>
      </c>
      <c r="G28" s="66">
        <f>MAX(F28,0)/nDebtService</f>
        <v/>
      </c>
      <c r="H28" s="71">
        <f>Anthropic!$J$18*Anthropic!$J$27+Anthropic!$J$19*Anthropic!$J$28+Anthropic!$J$20*Anthropic!$J$29+Anthropic!$J$21*E28*(1+nPowerCagr)^4*(1+nResidualBasisMarkup+nScarcityAlpha*POWER(Anthropic!$J$21,nScarcityGamma))</f>
        <v/>
      </c>
      <c r="I28" s="113">
        <f>Assumptions!$F$10+RAND()*(Assumptions!$D$10-Assumptions!$F$10)</f>
        <v/>
      </c>
      <c r="J28" s="113">
        <f>RAND()*nCodSlipMaxMo</f>
        <v/>
      </c>
      <c r="K28" s="114">
        <f>nAvailDrawMin+RAND()*(nAvailDrawMax-nAvailDrawMin)</f>
        <v/>
      </c>
      <c r="L28" s="45">
        <f>IF(2034&lt;sNsmrCodU1+J28/12,0,(nNsmrCap+nNsmrOpx*(1+sNsmrOpxEsc)^8+nNsmrFuel*FuelEsc*(1+nFuelCagr)^8-nNsmrItc)*IF(2034&lt;sNsmrCodU1+J28/12+nStepFirst,1,IF(nStepGated="Yes",(1+nStepPct)^(INT((2034-sNsmrCodU1-J28/12-nStepFirst)/nStepEvery)+1),1))+nExclPrem*(1-nFlexRelief)-nProdCredit)</f>
        <v/>
      </c>
      <c r="M28" s="63">
        <f>MIN(nShortfallCapM,MAX(0,sNsmrAvailY2-K28)*sNsmrUnitMw*sNsmrUnits*8760*NsmrPrice2033/1000000)</f>
        <v/>
      </c>
      <c r="N28" s="82">
        <f>IF(RAND()&lt;0.5,nUsefulLifeDrawBase-(nUsefulLifeDrawBase-nUsefulLifeDrawMin)*BETA.INV(RAND(),1.15,1.15),nUsefulLifeDrawBase+(nUsefulLifeDrawMax-nUsefulLifeDrawBase)*BETA.INV(RAND(),1.15,1.15))</f>
        <v/>
      </c>
      <c r="O28" s="45">
        <f>((nInference*nGpuIdx+nAmort)*nUtilCal/D28)*(nUsefulLifeDrawBase/N28-1)</f>
        <v/>
      </c>
      <c r="P28" s="1" t="n"/>
      <c r="Q28" s="1" t="n"/>
      <c r="R28" s="1" t="n"/>
      <c r="S28" s="1" t="n"/>
      <c r="T28" s="1" t="n"/>
      <c r="U28" s="1" t="n"/>
    </row>
    <row r="29" ht="12" customHeight="1">
      <c r="A29" s="1" t="n"/>
      <c r="B29" s="38" t="n">
        <v>9</v>
      </c>
      <c r="C29" s="114">
        <f>Assumptions!$F$8+RAND()*(Assumptions!$D$8-Assumptions!$F$8)</f>
        <v/>
      </c>
      <c r="D29" s="114">
        <f>Assumptions!$D$9+RAND()*(Assumptions!$F$9-Assumptions!$D$9)</f>
        <v/>
      </c>
      <c r="E29" s="71">
        <f>Assumptions!$F$11+RAND()*(Assumptions!$D$11-Assumptions!$F$11)</f>
        <v/>
      </c>
      <c r="F29" s="45">
        <f>nListPrice*(1-C29)-(nInference*nGpuIdx+nAmort)*nUtilCal/D29-nNetworking-nOverheadBase*(E29/nPowerCal)-nCodBase*(1+I29/12)-O29</f>
        <v/>
      </c>
      <c r="G29" s="66">
        <f>MAX(F29,0)/nDebtService</f>
        <v/>
      </c>
      <c r="H29" s="71">
        <f>Anthropic!$J$18*Anthropic!$J$27+Anthropic!$J$19*Anthropic!$J$28+Anthropic!$J$20*Anthropic!$J$29+Anthropic!$J$21*E29*(1+nPowerCagr)^4*(1+nResidualBasisMarkup+nScarcityAlpha*POWER(Anthropic!$J$21,nScarcityGamma))</f>
        <v/>
      </c>
      <c r="I29" s="113">
        <f>Assumptions!$F$10+RAND()*(Assumptions!$D$10-Assumptions!$F$10)</f>
        <v/>
      </c>
      <c r="J29" s="113">
        <f>RAND()*nCodSlipMaxMo</f>
        <v/>
      </c>
      <c r="K29" s="114">
        <f>nAvailDrawMin+RAND()*(nAvailDrawMax-nAvailDrawMin)</f>
        <v/>
      </c>
      <c r="L29" s="45">
        <f>IF(2034&lt;sNsmrCodU1+J29/12,0,(nNsmrCap+nNsmrOpx*(1+sNsmrOpxEsc)^8+nNsmrFuel*FuelEsc*(1+nFuelCagr)^8-nNsmrItc)*IF(2034&lt;sNsmrCodU1+J29/12+nStepFirst,1,IF(nStepGated="Yes",(1+nStepPct)^(INT((2034-sNsmrCodU1-J29/12-nStepFirst)/nStepEvery)+1),1))+nExclPrem*(1-nFlexRelief)-nProdCredit)</f>
        <v/>
      </c>
      <c r="M29" s="63">
        <f>MIN(nShortfallCapM,MAX(0,sNsmrAvailY2-K29)*sNsmrUnitMw*sNsmrUnits*8760*NsmrPrice2033/1000000)</f>
        <v/>
      </c>
      <c r="N29" s="82">
        <f>IF(RAND()&lt;0.5,nUsefulLifeDrawBase-(nUsefulLifeDrawBase-nUsefulLifeDrawMin)*BETA.INV(RAND(),1.15,1.15),nUsefulLifeDrawBase+(nUsefulLifeDrawMax-nUsefulLifeDrawBase)*BETA.INV(RAND(),1.15,1.15))</f>
        <v/>
      </c>
      <c r="O29" s="45">
        <f>((nInference*nGpuIdx+nAmort)*nUtilCal/D29)*(nUsefulLifeDrawBase/N29-1)</f>
        <v/>
      </c>
      <c r="P29" s="1" t="n"/>
      <c r="Q29" s="1" t="n"/>
      <c r="R29" s="1" t="n"/>
      <c r="S29" s="1" t="n"/>
      <c r="T29" s="1" t="n"/>
      <c r="U29" s="1" t="n"/>
    </row>
    <row r="30" ht="12" customHeight="1">
      <c r="A30" s="1" t="n"/>
      <c r="B30" s="38" t="n">
        <v>10</v>
      </c>
      <c r="C30" s="114">
        <f>Assumptions!$F$8+RAND()*(Assumptions!$D$8-Assumptions!$F$8)</f>
        <v/>
      </c>
      <c r="D30" s="114">
        <f>Assumptions!$D$9+RAND()*(Assumptions!$F$9-Assumptions!$D$9)</f>
        <v/>
      </c>
      <c r="E30" s="71">
        <f>Assumptions!$F$11+RAND()*(Assumptions!$D$11-Assumptions!$F$11)</f>
        <v/>
      </c>
      <c r="F30" s="45">
        <f>nListPrice*(1-C30)-(nInference*nGpuIdx+nAmort)*nUtilCal/D30-nNetworking-nOverheadBase*(E30/nPowerCal)-nCodBase*(1+I30/12)-O30</f>
        <v/>
      </c>
      <c r="G30" s="66">
        <f>MAX(F30,0)/nDebtService</f>
        <v/>
      </c>
      <c r="H30" s="71">
        <f>Anthropic!$J$18*Anthropic!$J$27+Anthropic!$J$19*Anthropic!$J$28+Anthropic!$J$20*Anthropic!$J$29+Anthropic!$J$21*E30*(1+nPowerCagr)^4*(1+nResidualBasisMarkup+nScarcityAlpha*POWER(Anthropic!$J$21,nScarcityGamma))</f>
        <v/>
      </c>
      <c r="I30" s="113">
        <f>Assumptions!$F$10+RAND()*(Assumptions!$D$10-Assumptions!$F$10)</f>
        <v/>
      </c>
      <c r="J30" s="113">
        <f>RAND()*nCodSlipMaxMo</f>
        <v/>
      </c>
      <c r="K30" s="114">
        <f>nAvailDrawMin+RAND()*(nAvailDrawMax-nAvailDrawMin)</f>
        <v/>
      </c>
      <c r="L30" s="45">
        <f>IF(2034&lt;sNsmrCodU1+J30/12,0,(nNsmrCap+nNsmrOpx*(1+sNsmrOpxEsc)^8+nNsmrFuel*FuelEsc*(1+nFuelCagr)^8-nNsmrItc)*IF(2034&lt;sNsmrCodU1+J30/12+nStepFirst,1,IF(nStepGated="Yes",(1+nStepPct)^(INT((2034-sNsmrCodU1-J30/12-nStepFirst)/nStepEvery)+1),1))+nExclPrem*(1-nFlexRelief)-nProdCredit)</f>
        <v/>
      </c>
      <c r="M30" s="63">
        <f>MIN(nShortfallCapM,MAX(0,sNsmrAvailY2-K30)*sNsmrUnitMw*sNsmrUnits*8760*NsmrPrice2033/1000000)</f>
        <v/>
      </c>
      <c r="N30" s="82">
        <f>IF(RAND()&lt;0.5,nUsefulLifeDrawBase-(nUsefulLifeDrawBase-nUsefulLifeDrawMin)*BETA.INV(RAND(),1.15,1.15),nUsefulLifeDrawBase+(nUsefulLifeDrawMax-nUsefulLifeDrawBase)*BETA.INV(RAND(),1.15,1.15))</f>
        <v/>
      </c>
      <c r="O30" s="45">
        <f>((nInference*nGpuIdx+nAmort)*nUtilCal/D30)*(nUsefulLifeDrawBase/N30-1)</f>
        <v/>
      </c>
      <c r="P30" s="1" t="n"/>
      <c r="Q30" s="1" t="n"/>
      <c r="R30" s="1" t="n"/>
      <c r="S30" s="1" t="n"/>
      <c r="T30" s="1" t="n"/>
      <c r="U30" s="1" t="n"/>
    </row>
    <row r="31" ht="12" customHeight="1">
      <c r="A31" s="1" t="n"/>
      <c r="B31" s="38" t="n">
        <v>11</v>
      </c>
      <c r="C31" s="114">
        <f>Assumptions!$F$8+RAND()*(Assumptions!$D$8-Assumptions!$F$8)</f>
        <v/>
      </c>
      <c r="D31" s="114">
        <f>Assumptions!$D$9+RAND()*(Assumptions!$F$9-Assumptions!$D$9)</f>
        <v/>
      </c>
      <c r="E31" s="71">
        <f>Assumptions!$F$11+RAND()*(Assumptions!$D$11-Assumptions!$F$11)</f>
        <v/>
      </c>
      <c r="F31" s="45">
        <f>nListPrice*(1-C31)-(nInference*nGpuIdx+nAmort)*nUtilCal/D31-nNetworking-nOverheadBase*(E31/nPowerCal)-nCodBase*(1+I31/12)-O31</f>
        <v/>
      </c>
      <c r="G31" s="66">
        <f>MAX(F31,0)/nDebtService</f>
        <v/>
      </c>
      <c r="H31" s="71">
        <f>Anthropic!$J$18*Anthropic!$J$27+Anthropic!$J$19*Anthropic!$J$28+Anthropic!$J$20*Anthropic!$J$29+Anthropic!$J$21*E31*(1+nPowerCagr)^4*(1+nResidualBasisMarkup+nScarcityAlpha*POWER(Anthropic!$J$21,nScarcityGamma))</f>
        <v/>
      </c>
      <c r="I31" s="113">
        <f>Assumptions!$F$10+RAND()*(Assumptions!$D$10-Assumptions!$F$10)</f>
        <v/>
      </c>
      <c r="J31" s="113">
        <f>RAND()*nCodSlipMaxMo</f>
        <v/>
      </c>
      <c r="K31" s="114">
        <f>nAvailDrawMin+RAND()*(nAvailDrawMax-nAvailDrawMin)</f>
        <v/>
      </c>
      <c r="L31" s="45">
        <f>IF(2034&lt;sNsmrCodU1+J31/12,0,(nNsmrCap+nNsmrOpx*(1+sNsmrOpxEsc)^8+nNsmrFuel*FuelEsc*(1+nFuelCagr)^8-nNsmrItc)*IF(2034&lt;sNsmrCodU1+J31/12+nStepFirst,1,IF(nStepGated="Yes",(1+nStepPct)^(INT((2034-sNsmrCodU1-J31/12-nStepFirst)/nStepEvery)+1),1))+nExclPrem*(1-nFlexRelief)-nProdCredit)</f>
        <v/>
      </c>
      <c r="M31" s="63">
        <f>MIN(nShortfallCapM,MAX(0,sNsmrAvailY2-K31)*sNsmrUnitMw*sNsmrUnits*8760*NsmrPrice2033/1000000)</f>
        <v/>
      </c>
      <c r="N31" s="82">
        <f>IF(RAND()&lt;0.5,nUsefulLifeDrawBase-(nUsefulLifeDrawBase-nUsefulLifeDrawMin)*BETA.INV(RAND(),1.15,1.15),nUsefulLifeDrawBase+(nUsefulLifeDrawMax-nUsefulLifeDrawBase)*BETA.INV(RAND(),1.15,1.15))</f>
        <v/>
      </c>
      <c r="O31" s="45">
        <f>((nInference*nGpuIdx+nAmort)*nUtilCal/D31)*(nUsefulLifeDrawBase/N31-1)</f>
        <v/>
      </c>
      <c r="P31" s="1" t="n"/>
      <c r="Q31" s="1" t="n"/>
      <c r="R31" s="1" t="n"/>
      <c r="S31" s="1" t="n"/>
      <c r="T31" s="1" t="n"/>
      <c r="U31" s="1" t="n"/>
    </row>
    <row r="32" ht="12" customHeight="1">
      <c r="A32" s="1" t="n"/>
      <c r="B32" s="38" t="n">
        <v>12</v>
      </c>
      <c r="C32" s="114">
        <f>Assumptions!$F$8+RAND()*(Assumptions!$D$8-Assumptions!$F$8)</f>
        <v/>
      </c>
      <c r="D32" s="114">
        <f>Assumptions!$D$9+RAND()*(Assumptions!$F$9-Assumptions!$D$9)</f>
        <v/>
      </c>
      <c r="E32" s="71">
        <f>Assumptions!$F$11+RAND()*(Assumptions!$D$11-Assumptions!$F$11)</f>
        <v/>
      </c>
      <c r="F32" s="45">
        <f>nListPrice*(1-C32)-(nInference*nGpuIdx+nAmort)*nUtilCal/D32-nNetworking-nOverheadBase*(E32/nPowerCal)-nCodBase*(1+I32/12)-O32</f>
        <v/>
      </c>
      <c r="G32" s="66">
        <f>MAX(F32,0)/nDebtService</f>
        <v/>
      </c>
      <c r="H32" s="71">
        <f>Anthropic!$J$18*Anthropic!$J$27+Anthropic!$J$19*Anthropic!$J$28+Anthropic!$J$20*Anthropic!$J$29+Anthropic!$J$21*E32*(1+nPowerCagr)^4*(1+nResidualBasisMarkup+nScarcityAlpha*POWER(Anthropic!$J$21,nScarcityGamma))</f>
        <v/>
      </c>
      <c r="I32" s="113">
        <f>Assumptions!$F$10+RAND()*(Assumptions!$D$10-Assumptions!$F$10)</f>
        <v/>
      </c>
      <c r="J32" s="113">
        <f>RAND()*nCodSlipMaxMo</f>
        <v/>
      </c>
      <c r="K32" s="114">
        <f>nAvailDrawMin+RAND()*(nAvailDrawMax-nAvailDrawMin)</f>
        <v/>
      </c>
      <c r="L32" s="45">
        <f>IF(2034&lt;sNsmrCodU1+J32/12,0,(nNsmrCap+nNsmrOpx*(1+sNsmrOpxEsc)^8+nNsmrFuel*FuelEsc*(1+nFuelCagr)^8-nNsmrItc)*IF(2034&lt;sNsmrCodU1+J32/12+nStepFirst,1,IF(nStepGated="Yes",(1+nStepPct)^(INT((2034-sNsmrCodU1-J32/12-nStepFirst)/nStepEvery)+1),1))+nExclPrem*(1-nFlexRelief)-nProdCredit)</f>
        <v/>
      </c>
      <c r="M32" s="63">
        <f>MIN(nShortfallCapM,MAX(0,sNsmrAvailY2-K32)*sNsmrUnitMw*sNsmrUnits*8760*NsmrPrice2033/1000000)</f>
        <v/>
      </c>
      <c r="N32" s="82">
        <f>IF(RAND()&lt;0.5,nUsefulLifeDrawBase-(nUsefulLifeDrawBase-nUsefulLifeDrawMin)*BETA.INV(RAND(),1.15,1.15),nUsefulLifeDrawBase+(nUsefulLifeDrawMax-nUsefulLifeDrawBase)*BETA.INV(RAND(),1.15,1.15))</f>
        <v/>
      </c>
      <c r="O32" s="45">
        <f>((nInference*nGpuIdx+nAmort)*nUtilCal/D32)*(nUsefulLifeDrawBase/N32-1)</f>
        <v/>
      </c>
      <c r="P32" s="1" t="n"/>
      <c r="Q32" s="1" t="n"/>
      <c r="R32" s="1" t="n"/>
      <c r="S32" s="1" t="n"/>
      <c r="T32" s="1" t="n"/>
      <c r="U32" s="1" t="n"/>
    </row>
    <row r="33" ht="12" customHeight="1">
      <c r="A33" s="1" t="n"/>
      <c r="B33" s="38" t="n">
        <v>13</v>
      </c>
      <c r="C33" s="114">
        <f>Assumptions!$F$8+RAND()*(Assumptions!$D$8-Assumptions!$F$8)</f>
        <v/>
      </c>
      <c r="D33" s="114">
        <f>Assumptions!$D$9+RAND()*(Assumptions!$F$9-Assumptions!$D$9)</f>
        <v/>
      </c>
      <c r="E33" s="71">
        <f>Assumptions!$F$11+RAND()*(Assumptions!$D$11-Assumptions!$F$11)</f>
        <v/>
      </c>
      <c r="F33" s="45">
        <f>nListPrice*(1-C33)-(nInference*nGpuIdx+nAmort)*nUtilCal/D33-nNetworking-nOverheadBase*(E33/nPowerCal)-nCodBase*(1+I33/12)-O33</f>
        <v/>
      </c>
      <c r="G33" s="66">
        <f>MAX(F33,0)/nDebtService</f>
        <v/>
      </c>
      <c r="H33" s="71">
        <f>Anthropic!$J$18*Anthropic!$J$27+Anthropic!$J$19*Anthropic!$J$28+Anthropic!$J$20*Anthropic!$J$29+Anthropic!$J$21*E33*(1+nPowerCagr)^4*(1+nResidualBasisMarkup+nScarcityAlpha*POWER(Anthropic!$J$21,nScarcityGamma))</f>
        <v/>
      </c>
      <c r="I33" s="113">
        <f>Assumptions!$F$10+RAND()*(Assumptions!$D$10-Assumptions!$F$10)</f>
        <v/>
      </c>
      <c r="J33" s="113">
        <f>RAND()*nCodSlipMaxMo</f>
        <v/>
      </c>
      <c r="K33" s="114">
        <f>nAvailDrawMin+RAND()*(nAvailDrawMax-nAvailDrawMin)</f>
        <v/>
      </c>
      <c r="L33" s="45">
        <f>IF(2034&lt;sNsmrCodU1+J33/12,0,(nNsmrCap+nNsmrOpx*(1+sNsmrOpxEsc)^8+nNsmrFuel*FuelEsc*(1+nFuelCagr)^8-nNsmrItc)*IF(2034&lt;sNsmrCodU1+J33/12+nStepFirst,1,IF(nStepGated="Yes",(1+nStepPct)^(INT((2034-sNsmrCodU1-J33/12-nStepFirst)/nStepEvery)+1),1))+nExclPrem*(1-nFlexRelief)-nProdCredit)</f>
        <v/>
      </c>
      <c r="M33" s="63">
        <f>MIN(nShortfallCapM,MAX(0,sNsmrAvailY2-K33)*sNsmrUnitMw*sNsmrUnits*8760*NsmrPrice2033/1000000)</f>
        <v/>
      </c>
      <c r="N33" s="82">
        <f>IF(RAND()&lt;0.5,nUsefulLifeDrawBase-(nUsefulLifeDrawBase-nUsefulLifeDrawMin)*BETA.INV(RAND(),1.15,1.15),nUsefulLifeDrawBase+(nUsefulLifeDrawMax-nUsefulLifeDrawBase)*BETA.INV(RAND(),1.15,1.15))</f>
        <v/>
      </c>
      <c r="O33" s="45">
        <f>((nInference*nGpuIdx+nAmort)*nUtilCal/D33)*(nUsefulLifeDrawBase/N33-1)</f>
        <v/>
      </c>
      <c r="P33" s="1" t="n"/>
      <c r="Q33" s="1" t="n"/>
      <c r="R33" s="1" t="n"/>
      <c r="S33" s="1" t="n"/>
      <c r="T33" s="1" t="n"/>
      <c r="U33" s="1" t="n"/>
    </row>
    <row r="34" ht="12" customHeight="1">
      <c r="A34" s="1" t="n"/>
      <c r="B34" s="38" t="n">
        <v>14</v>
      </c>
      <c r="C34" s="114">
        <f>Assumptions!$F$8+RAND()*(Assumptions!$D$8-Assumptions!$F$8)</f>
        <v/>
      </c>
      <c r="D34" s="114">
        <f>Assumptions!$D$9+RAND()*(Assumptions!$F$9-Assumptions!$D$9)</f>
        <v/>
      </c>
      <c r="E34" s="71">
        <f>Assumptions!$F$11+RAND()*(Assumptions!$D$11-Assumptions!$F$11)</f>
        <v/>
      </c>
      <c r="F34" s="45">
        <f>nListPrice*(1-C34)-(nInference*nGpuIdx+nAmort)*nUtilCal/D34-nNetworking-nOverheadBase*(E34/nPowerCal)-nCodBase*(1+I34/12)-O34</f>
        <v/>
      </c>
      <c r="G34" s="66">
        <f>MAX(F34,0)/nDebtService</f>
        <v/>
      </c>
      <c r="H34" s="71">
        <f>Anthropic!$J$18*Anthropic!$J$27+Anthropic!$J$19*Anthropic!$J$28+Anthropic!$J$20*Anthropic!$J$29+Anthropic!$J$21*E34*(1+nPowerCagr)^4*(1+nResidualBasisMarkup+nScarcityAlpha*POWER(Anthropic!$J$21,nScarcityGamma))</f>
        <v/>
      </c>
      <c r="I34" s="113">
        <f>Assumptions!$F$10+RAND()*(Assumptions!$D$10-Assumptions!$F$10)</f>
        <v/>
      </c>
      <c r="J34" s="113">
        <f>RAND()*nCodSlipMaxMo</f>
        <v/>
      </c>
      <c r="K34" s="114">
        <f>nAvailDrawMin+RAND()*(nAvailDrawMax-nAvailDrawMin)</f>
        <v/>
      </c>
      <c r="L34" s="45">
        <f>IF(2034&lt;sNsmrCodU1+J34/12,0,(nNsmrCap+nNsmrOpx*(1+sNsmrOpxEsc)^8+nNsmrFuel*FuelEsc*(1+nFuelCagr)^8-nNsmrItc)*IF(2034&lt;sNsmrCodU1+J34/12+nStepFirst,1,IF(nStepGated="Yes",(1+nStepPct)^(INT((2034-sNsmrCodU1-J34/12-nStepFirst)/nStepEvery)+1),1))+nExclPrem*(1-nFlexRelief)-nProdCredit)</f>
        <v/>
      </c>
      <c r="M34" s="63">
        <f>MIN(nShortfallCapM,MAX(0,sNsmrAvailY2-K34)*sNsmrUnitMw*sNsmrUnits*8760*NsmrPrice2033/1000000)</f>
        <v/>
      </c>
      <c r="N34" s="82">
        <f>IF(RAND()&lt;0.5,nUsefulLifeDrawBase-(nUsefulLifeDrawBase-nUsefulLifeDrawMin)*BETA.INV(RAND(),1.15,1.15),nUsefulLifeDrawBase+(nUsefulLifeDrawMax-nUsefulLifeDrawBase)*BETA.INV(RAND(),1.15,1.15))</f>
        <v/>
      </c>
      <c r="O34" s="45">
        <f>((nInference*nGpuIdx+nAmort)*nUtilCal/D34)*(nUsefulLifeDrawBase/N34-1)</f>
        <v/>
      </c>
      <c r="P34" s="1" t="n"/>
      <c r="Q34" s="1" t="n"/>
      <c r="R34" s="1" t="n"/>
      <c r="S34" s="1" t="n"/>
      <c r="T34" s="1" t="n"/>
      <c r="U34" s="1" t="n"/>
    </row>
    <row r="35" ht="12" customHeight="1">
      <c r="A35" s="1" t="n"/>
      <c r="B35" s="38" t="n">
        <v>15</v>
      </c>
      <c r="C35" s="114">
        <f>Assumptions!$F$8+RAND()*(Assumptions!$D$8-Assumptions!$F$8)</f>
        <v/>
      </c>
      <c r="D35" s="114">
        <f>Assumptions!$D$9+RAND()*(Assumptions!$F$9-Assumptions!$D$9)</f>
        <v/>
      </c>
      <c r="E35" s="71">
        <f>Assumptions!$F$11+RAND()*(Assumptions!$D$11-Assumptions!$F$11)</f>
        <v/>
      </c>
      <c r="F35" s="45">
        <f>nListPrice*(1-C35)-(nInference*nGpuIdx+nAmort)*nUtilCal/D35-nNetworking-nOverheadBase*(E35/nPowerCal)-nCodBase*(1+I35/12)-O35</f>
        <v/>
      </c>
      <c r="G35" s="66">
        <f>MAX(F35,0)/nDebtService</f>
        <v/>
      </c>
      <c r="H35" s="71">
        <f>Anthropic!$J$18*Anthropic!$J$27+Anthropic!$J$19*Anthropic!$J$28+Anthropic!$J$20*Anthropic!$J$29+Anthropic!$J$21*E35*(1+nPowerCagr)^4*(1+nResidualBasisMarkup+nScarcityAlpha*POWER(Anthropic!$J$21,nScarcityGamma))</f>
        <v/>
      </c>
      <c r="I35" s="113">
        <f>Assumptions!$F$10+RAND()*(Assumptions!$D$10-Assumptions!$F$10)</f>
        <v/>
      </c>
      <c r="J35" s="113">
        <f>RAND()*nCodSlipMaxMo</f>
        <v/>
      </c>
      <c r="K35" s="114">
        <f>nAvailDrawMin+RAND()*(nAvailDrawMax-nAvailDrawMin)</f>
        <v/>
      </c>
      <c r="L35" s="45">
        <f>IF(2034&lt;sNsmrCodU1+J35/12,0,(nNsmrCap+nNsmrOpx*(1+sNsmrOpxEsc)^8+nNsmrFuel*FuelEsc*(1+nFuelCagr)^8-nNsmrItc)*IF(2034&lt;sNsmrCodU1+J35/12+nStepFirst,1,IF(nStepGated="Yes",(1+nStepPct)^(INT((2034-sNsmrCodU1-J35/12-nStepFirst)/nStepEvery)+1),1))+nExclPrem*(1-nFlexRelief)-nProdCredit)</f>
        <v/>
      </c>
      <c r="M35" s="63">
        <f>MIN(nShortfallCapM,MAX(0,sNsmrAvailY2-K35)*sNsmrUnitMw*sNsmrUnits*8760*NsmrPrice2033/1000000)</f>
        <v/>
      </c>
      <c r="N35" s="82">
        <f>IF(RAND()&lt;0.5,nUsefulLifeDrawBase-(nUsefulLifeDrawBase-nUsefulLifeDrawMin)*BETA.INV(RAND(),1.15,1.15),nUsefulLifeDrawBase+(nUsefulLifeDrawMax-nUsefulLifeDrawBase)*BETA.INV(RAND(),1.15,1.15))</f>
        <v/>
      </c>
      <c r="O35" s="45">
        <f>((nInference*nGpuIdx+nAmort)*nUtilCal/D35)*(nUsefulLifeDrawBase/N35-1)</f>
        <v/>
      </c>
      <c r="P35" s="1" t="n"/>
      <c r="Q35" s="1" t="n"/>
      <c r="R35" s="1" t="n"/>
      <c r="S35" s="1" t="n"/>
      <c r="T35" s="1" t="n"/>
      <c r="U35" s="1" t="n"/>
    </row>
    <row r="36" ht="12" customHeight="1">
      <c r="A36" s="1" t="n"/>
      <c r="B36" s="38" t="n">
        <v>16</v>
      </c>
      <c r="C36" s="114">
        <f>Assumptions!$F$8+RAND()*(Assumptions!$D$8-Assumptions!$F$8)</f>
        <v/>
      </c>
      <c r="D36" s="114">
        <f>Assumptions!$D$9+RAND()*(Assumptions!$F$9-Assumptions!$D$9)</f>
        <v/>
      </c>
      <c r="E36" s="71">
        <f>Assumptions!$F$11+RAND()*(Assumptions!$D$11-Assumptions!$F$11)</f>
        <v/>
      </c>
      <c r="F36" s="45">
        <f>nListPrice*(1-C36)-(nInference*nGpuIdx+nAmort)*nUtilCal/D36-nNetworking-nOverheadBase*(E36/nPowerCal)-nCodBase*(1+I36/12)-O36</f>
        <v/>
      </c>
      <c r="G36" s="66">
        <f>MAX(F36,0)/nDebtService</f>
        <v/>
      </c>
      <c r="H36" s="71">
        <f>Anthropic!$J$18*Anthropic!$J$27+Anthropic!$J$19*Anthropic!$J$28+Anthropic!$J$20*Anthropic!$J$29+Anthropic!$J$21*E36*(1+nPowerCagr)^4*(1+nResidualBasisMarkup+nScarcityAlpha*POWER(Anthropic!$J$21,nScarcityGamma))</f>
        <v/>
      </c>
      <c r="I36" s="113">
        <f>Assumptions!$F$10+RAND()*(Assumptions!$D$10-Assumptions!$F$10)</f>
        <v/>
      </c>
      <c r="J36" s="113">
        <f>RAND()*nCodSlipMaxMo</f>
        <v/>
      </c>
      <c r="K36" s="114">
        <f>nAvailDrawMin+RAND()*(nAvailDrawMax-nAvailDrawMin)</f>
        <v/>
      </c>
      <c r="L36" s="45">
        <f>IF(2034&lt;sNsmrCodU1+J36/12,0,(nNsmrCap+nNsmrOpx*(1+sNsmrOpxEsc)^8+nNsmrFuel*FuelEsc*(1+nFuelCagr)^8-nNsmrItc)*IF(2034&lt;sNsmrCodU1+J36/12+nStepFirst,1,IF(nStepGated="Yes",(1+nStepPct)^(INT((2034-sNsmrCodU1-J36/12-nStepFirst)/nStepEvery)+1),1))+nExclPrem*(1-nFlexRelief)-nProdCredit)</f>
        <v/>
      </c>
      <c r="M36" s="63">
        <f>MIN(nShortfallCapM,MAX(0,sNsmrAvailY2-K36)*sNsmrUnitMw*sNsmrUnits*8760*NsmrPrice2033/1000000)</f>
        <v/>
      </c>
      <c r="N36" s="82">
        <f>IF(RAND()&lt;0.5,nUsefulLifeDrawBase-(nUsefulLifeDrawBase-nUsefulLifeDrawMin)*BETA.INV(RAND(),1.15,1.15),nUsefulLifeDrawBase+(nUsefulLifeDrawMax-nUsefulLifeDrawBase)*BETA.INV(RAND(),1.15,1.15))</f>
        <v/>
      </c>
      <c r="O36" s="45">
        <f>((nInference*nGpuIdx+nAmort)*nUtilCal/D36)*(nUsefulLifeDrawBase/N36-1)</f>
        <v/>
      </c>
      <c r="P36" s="1" t="n"/>
      <c r="Q36" s="1" t="n"/>
      <c r="R36" s="1" t="n"/>
      <c r="S36" s="1" t="n"/>
      <c r="T36" s="1" t="n"/>
      <c r="U36" s="1" t="n"/>
    </row>
    <row r="37" ht="12" customHeight="1">
      <c r="A37" s="1" t="n"/>
      <c r="B37" s="38" t="n">
        <v>17</v>
      </c>
      <c r="C37" s="114">
        <f>Assumptions!$F$8+RAND()*(Assumptions!$D$8-Assumptions!$F$8)</f>
        <v/>
      </c>
      <c r="D37" s="114">
        <f>Assumptions!$D$9+RAND()*(Assumptions!$F$9-Assumptions!$D$9)</f>
        <v/>
      </c>
      <c r="E37" s="71">
        <f>Assumptions!$F$11+RAND()*(Assumptions!$D$11-Assumptions!$F$11)</f>
        <v/>
      </c>
      <c r="F37" s="45">
        <f>nListPrice*(1-C37)-(nInference*nGpuIdx+nAmort)*nUtilCal/D37-nNetworking-nOverheadBase*(E37/nPowerCal)-nCodBase*(1+I37/12)-O37</f>
        <v/>
      </c>
      <c r="G37" s="66">
        <f>MAX(F37,0)/nDebtService</f>
        <v/>
      </c>
      <c r="H37" s="71">
        <f>Anthropic!$J$18*Anthropic!$J$27+Anthropic!$J$19*Anthropic!$J$28+Anthropic!$J$20*Anthropic!$J$29+Anthropic!$J$21*E37*(1+nPowerCagr)^4*(1+nResidualBasisMarkup+nScarcityAlpha*POWER(Anthropic!$J$21,nScarcityGamma))</f>
        <v/>
      </c>
      <c r="I37" s="113">
        <f>Assumptions!$F$10+RAND()*(Assumptions!$D$10-Assumptions!$F$10)</f>
        <v/>
      </c>
      <c r="J37" s="113">
        <f>RAND()*nCodSlipMaxMo</f>
        <v/>
      </c>
      <c r="K37" s="114">
        <f>nAvailDrawMin+RAND()*(nAvailDrawMax-nAvailDrawMin)</f>
        <v/>
      </c>
      <c r="L37" s="45">
        <f>IF(2034&lt;sNsmrCodU1+J37/12,0,(nNsmrCap+nNsmrOpx*(1+sNsmrOpxEsc)^8+nNsmrFuel*FuelEsc*(1+nFuelCagr)^8-nNsmrItc)*IF(2034&lt;sNsmrCodU1+J37/12+nStepFirst,1,IF(nStepGated="Yes",(1+nStepPct)^(INT((2034-sNsmrCodU1-J37/12-nStepFirst)/nStepEvery)+1),1))+nExclPrem*(1-nFlexRelief)-nProdCredit)</f>
        <v/>
      </c>
      <c r="M37" s="63">
        <f>MIN(nShortfallCapM,MAX(0,sNsmrAvailY2-K37)*sNsmrUnitMw*sNsmrUnits*8760*NsmrPrice2033/1000000)</f>
        <v/>
      </c>
      <c r="N37" s="82">
        <f>IF(RAND()&lt;0.5,nUsefulLifeDrawBase-(nUsefulLifeDrawBase-nUsefulLifeDrawMin)*BETA.INV(RAND(),1.15,1.15),nUsefulLifeDrawBase+(nUsefulLifeDrawMax-nUsefulLifeDrawBase)*BETA.INV(RAND(),1.15,1.15))</f>
        <v/>
      </c>
      <c r="O37" s="45">
        <f>((nInference*nGpuIdx+nAmort)*nUtilCal/D37)*(nUsefulLifeDrawBase/N37-1)</f>
        <v/>
      </c>
      <c r="P37" s="1" t="n"/>
      <c r="Q37" s="1" t="n"/>
      <c r="R37" s="1" t="n"/>
      <c r="S37" s="1" t="n"/>
      <c r="T37" s="1" t="n"/>
      <c r="U37" s="1" t="n"/>
    </row>
    <row r="38" ht="12" customHeight="1">
      <c r="A38" s="1" t="n"/>
      <c r="B38" s="38" t="n">
        <v>18</v>
      </c>
      <c r="C38" s="114">
        <f>Assumptions!$F$8+RAND()*(Assumptions!$D$8-Assumptions!$F$8)</f>
        <v/>
      </c>
      <c r="D38" s="114">
        <f>Assumptions!$D$9+RAND()*(Assumptions!$F$9-Assumptions!$D$9)</f>
        <v/>
      </c>
      <c r="E38" s="71">
        <f>Assumptions!$F$11+RAND()*(Assumptions!$D$11-Assumptions!$F$11)</f>
        <v/>
      </c>
      <c r="F38" s="45">
        <f>nListPrice*(1-C38)-(nInference*nGpuIdx+nAmort)*nUtilCal/D38-nNetworking-nOverheadBase*(E38/nPowerCal)-nCodBase*(1+I38/12)-O38</f>
        <v/>
      </c>
      <c r="G38" s="66">
        <f>MAX(F38,0)/nDebtService</f>
        <v/>
      </c>
      <c r="H38" s="71">
        <f>Anthropic!$J$18*Anthropic!$J$27+Anthropic!$J$19*Anthropic!$J$28+Anthropic!$J$20*Anthropic!$J$29+Anthropic!$J$21*E38*(1+nPowerCagr)^4*(1+nResidualBasisMarkup+nScarcityAlpha*POWER(Anthropic!$J$21,nScarcityGamma))</f>
        <v/>
      </c>
      <c r="I38" s="113">
        <f>Assumptions!$F$10+RAND()*(Assumptions!$D$10-Assumptions!$F$10)</f>
        <v/>
      </c>
      <c r="J38" s="113">
        <f>RAND()*nCodSlipMaxMo</f>
        <v/>
      </c>
      <c r="K38" s="114">
        <f>nAvailDrawMin+RAND()*(nAvailDrawMax-nAvailDrawMin)</f>
        <v/>
      </c>
      <c r="L38" s="45">
        <f>IF(2034&lt;sNsmrCodU1+J38/12,0,(nNsmrCap+nNsmrOpx*(1+sNsmrOpxEsc)^8+nNsmrFuel*FuelEsc*(1+nFuelCagr)^8-nNsmrItc)*IF(2034&lt;sNsmrCodU1+J38/12+nStepFirst,1,IF(nStepGated="Yes",(1+nStepPct)^(INT((2034-sNsmrCodU1-J38/12-nStepFirst)/nStepEvery)+1),1))+nExclPrem*(1-nFlexRelief)-nProdCredit)</f>
        <v/>
      </c>
      <c r="M38" s="63">
        <f>MIN(nShortfallCapM,MAX(0,sNsmrAvailY2-K38)*sNsmrUnitMw*sNsmrUnits*8760*NsmrPrice2033/1000000)</f>
        <v/>
      </c>
      <c r="N38" s="82">
        <f>IF(RAND()&lt;0.5,nUsefulLifeDrawBase-(nUsefulLifeDrawBase-nUsefulLifeDrawMin)*BETA.INV(RAND(),1.15,1.15),nUsefulLifeDrawBase+(nUsefulLifeDrawMax-nUsefulLifeDrawBase)*BETA.INV(RAND(),1.15,1.15))</f>
        <v/>
      </c>
      <c r="O38" s="45">
        <f>((nInference*nGpuIdx+nAmort)*nUtilCal/D38)*(nUsefulLifeDrawBase/N38-1)</f>
        <v/>
      </c>
      <c r="P38" s="1" t="n"/>
      <c r="Q38" s="1" t="n"/>
      <c r="R38" s="1" t="n"/>
      <c r="S38" s="1" t="n"/>
      <c r="T38" s="1" t="n"/>
      <c r="U38" s="1" t="n"/>
    </row>
    <row r="39" ht="12" customHeight="1">
      <c r="A39" s="1" t="n"/>
      <c r="B39" s="38" t="n">
        <v>19</v>
      </c>
      <c r="C39" s="114">
        <f>Assumptions!$F$8+RAND()*(Assumptions!$D$8-Assumptions!$F$8)</f>
        <v/>
      </c>
      <c r="D39" s="114">
        <f>Assumptions!$D$9+RAND()*(Assumptions!$F$9-Assumptions!$D$9)</f>
        <v/>
      </c>
      <c r="E39" s="71">
        <f>Assumptions!$F$11+RAND()*(Assumptions!$D$11-Assumptions!$F$11)</f>
        <v/>
      </c>
      <c r="F39" s="45">
        <f>nListPrice*(1-C39)-(nInference*nGpuIdx+nAmort)*nUtilCal/D39-nNetworking-nOverheadBase*(E39/nPowerCal)-nCodBase*(1+I39/12)-O39</f>
        <v/>
      </c>
      <c r="G39" s="66">
        <f>MAX(F39,0)/nDebtService</f>
        <v/>
      </c>
      <c r="H39" s="71">
        <f>Anthropic!$J$18*Anthropic!$J$27+Anthropic!$J$19*Anthropic!$J$28+Anthropic!$J$20*Anthropic!$J$29+Anthropic!$J$21*E39*(1+nPowerCagr)^4*(1+nResidualBasisMarkup+nScarcityAlpha*POWER(Anthropic!$J$21,nScarcityGamma))</f>
        <v/>
      </c>
      <c r="I39" s="113">
        <f>Assumptions!$F$10+RAND()*(Assumptions!$D$10-Assumptions!$F$10)</f>
        <v/>
      </c>
      <c r="J39" s="113">
        <f>RAND()*nCodSlipMaxMo</f>
        <v/>
      </c>
      <c r="K39" s="114">
        <f>nAvailDrawMin+RAND()*(nAvailDrawMax-nAvailDrawMin)</f>
        <v/>
      </c>
      <c r="L39" s="45">
        <f>IF(2034&lt;sNsmrCodU1+J39/12,0,(nNsmrCap+nNsmrOpx*(1+sNsmrOpxEsc)^8+nNsmrFuel*FuelEsc*(1+nFuelCagr)^8-nNsmrItc)*IF(2034&lt;sNsmrCodU1+J39/12+nStepFirst,1,IF(nStepGated="Yes",(1+nStepPct)^(INT((2034-sNsmrCodU1-J39/12-nStepFirst)/nStepEvery)+1),1))+nExclPrem*(1-nFlexRelief)-nProdCredit)</f>
        <v/>
      </c>
      <c r="M39" s="63">
        <f>MIN(nShortfallCapM,MAX(0,sNsmrAvailY2-K39)*sNsmrUnitMw*sNsmrUnits*8760*NsmrPrice2033/1000000)</f>
        <v/>
      </c>
      <c r="N39" s="82">
        <f>IF(RAND()&lt;0.5,nUsefulLifeDrawBase-(nUsefulLifeDrawBase-nUsefulLifeDrawMin)*BETA.INV(RAND(),1.15,1.15),nUsefulLifeDrawBase+(nUsefulLifeDrawMax-nUsefulLifeDrawBase)*BETA.INV(RAND(),1.15,1.15))</f>
        <v/>
      </c>
      <c r="O39" s="45">
        <f>((nInference*nGpuIdx+nAmort)*nUtilCal/D39)*(nUsefulLifeDrawBase/N39-1)</f>
        <v/>
      </c>
      <c r="P39" s="1" t="n"/>
      <c r="Q39" s="1" t="n"/>
      <c r="R39" s="1" t="n"/>
      <c r="S39" s="1" t="n"/>
      <c r="T39" s="1" t="n"/>
      <c r="U39" s="1" t="n"/>
    </row>
    <row r="40" ht="12" customHeight="1">
      <c r="A40" s="1" t="n"/>
      <c r="B40" s="38" t="n">
        <v>20</v>
      </c>
      <c r="C40" s="114">
        <f>Assumptions!$F$8+RAND()*(Assumptions!$D$8-Assumptions!$F$8)</f>
        <v/>
      </c>
      <c r="D40" s="114">
        <f>Assumptions!$D$9+RAND()*(Assumptions!$F$9-Assumptions!$D$9)</f>
        <v/>
      </c>
      <c r="E40" s="71">
        <f>Assumptions!$F$11+RAND()*(Assumptions!$D$11-Assumptions!$F$11)</f>
        <v/>
      </c>
      <c r="F40" s="45">
        <f>nListPrice*(1-C40)-(nInference*nGpuIdx+nAmort)*nUtilCal/D40-nNetworking-nOverheadBase*(E40/nPowerCal)-nCodBase*(1+I40/12)-O40</f>
        <v/>
      </c>
      <c r="G40" s="66">
        <f>MAX(F40,0)/nDebtService</f>
        <v/>
      </c>
      <c r="H40" s="71">
        <f>Anthropic!$J$18*Anthropic!$J$27+Anthropic!$J$19*Anthropic!$J$28+Anthropic!$J$20*Anthropic!$J$29+Anthropic!$J$21*E40*(1+nPowerCagr)^4*(1+nResidualBasisMarkup+nScarcityAlpha*POWER(Anthropic!$J$21,nScarcityGamma))</f>
        <v/>
      </c>
      <c r="I40" s="113">
        <f>Assumptions!$F$10+RAND()*(Assumptions!$D$10-Assumptions!$F$10)</f>
        <v/>
      </c>
      <c r="J40" s="113">
        <f>RAND()*nCodSlipMaxMo</f>
        <v/>
      </c>
      <c r="K40" s="114">
        <f>nAvailDrawMin+RAND()*(nAvailDrawMax-nAvailDrawMin)</f>
        <v/>
      </c>
      <c r="L40" s="45">
        <f>IF(2034&lt;sNsmrCodU1+J40/12,0,(nNsmrCap+nNsmrOpx*(1+sNsmrOpxEsc)^8+nNsmrFuel*FuelEsc*(1+nFuelCagr)^8-nNsmrItc)*IF(2034&lt;sNsmrCodU1+J40/12+nStepFirst,1,IF(nStepGated="Yes",(1+nStepPct)^(INT((2034-sNsmrCodU1-J40/12-nStepFirst)/nStepEvery)+1),1))+nExclPrem*(1-nFlexRelief)-nProdCredit)</f>
        <v/>
      </c>
      <c r="M40" s="63">
        <f>MIN(nShortfallCapM,MAX(0,sNsmrAvailY2-K40)*sNsmrUnitMw*sNsmrUnits*8760*NsmrPrice2033/1000000)</f>
        <v/>
      </c>
      <c r="N40" s="82">
        <f>IF(RAND()&lt;0.5,nUsefulLifeDrawBase-(nUsefulLifeDrawBase-nUsefulLifeDrawMin)*BETA.INV(RAND(),1.15,1.15),nUsefulLifeDrawBase+(nUsefulLifeDrawMax-nUsefulLifeDrawBase)*BETA.INV(RAND(),1.15,1.15))</f>
        <v/>
      </c>
      <c r="O40" s="45">
        <f>((nInference*nGpuIdx+nAmort)*nUtilCal/D40)*(nUsefulLifeDrawBase/N40-1)</f>
        <v/>
      </c>
      <c r="P40" s="1" t="n"/>
      <c r="Q40" s="1" t="n"/>
      <c r="R40" s="1" t="n"/>
      <c r="S40" s="1" t="n"/>
      <c r="T40" s="1" t="n"/>
      <c r="U40" s="1" t="n"/>
    </row>
    <row r="41" ht="12" customHeight="1">
      <c r="A41" s="1" t="n"/>
      <c r="B41" s="38" t="n">
        <v>21</v>
      </c>
      <c r="C41" s="114">
        <f>Assumptions!$F$8+RAND()*(Assumptions!$D$8-Assumptions!$F$8)</f>
        <v/>
      </c>
      <c r="D41" s="114">
        <f>Assumptions!$D$9+RAND()*(Assumptions!$F$9-Assumptions!$D$9)</f>
        <v/>
      </c>
      <c r="E41" s="71">
        <f>Assumptions!$F$11+RAND()*(Assumptions!$D$11-Assumptions!$F$11)</f>
        <v/>
      </c>
      <c r="F41" s="45">
        <f>nListPrice*(1-C41)-(nInference*nGpuIdx+nAmort)*nUtilCal/D41-nNetworking-nOverheadBase*(E41/nPowerCal)-nCodBase*(1+I41/12)-O41</f>
        <v/>
      </c>
      <c r="G41" s="66">
        <f>MAX(F41,0)/nDebtService</f>
        <v/>
      </c>
      <c r="H41" s="71">
        <f>Anthropic!$J$18*Anthropic!$J$27+Anthropic!$J$19*Anthropic!$J$28+Anthropic!$J$20*Anthropic!$J$29+Anthropic!$J$21*E41*(1+nPowerCagr)^4*(1+nResidualBasisMarkup+nScarcityAlpha*POWER(Anthropic!$J$21,nScarcityGamma))</f>
        <v/>
      </c>
      <c r="I41" s="113">
        <f>Assumptions!$F$10+RAND()*(Assumptions!$D$10-Assumptions!$F$10)</f>
        <v/>
      </c>
      <c r="J41" s="113">
        <f>RAND()*nCodSlipMaxMo</f>
        <v/>
      </c>
      <c r="K41" s="114">
        <f>nAvailDrawMin+RAND()*(nAvailDrawMax-nAvailDrawMin)</f>
        <v/>
      </c>
      <c r="L41" s="45">
        <f>IF(2034&lt;sNsmrCodU1+J41/12,0,(nNsmrCap+nNsmrOpx*(1+sNsmrOpxEsc)^8+nNsmrFuel*FuelEsc*(1+nFuelCagr)^8-nNsmrItc)*IF(2034&lt;sNsmrCodU1+J41/12+nStepFirst,1,IF(nStepGated="Yes",(1+nStepPct)^(INT((2034-sNsmrCodU1-J41/12-nStepFirst)/nStepEvery)+1),1))+nExclPrem*(1-nFlexRelief)-nProdCredit)</f>
        <v/>
      </c>
      <c r="M41" s="63">
        <f>MIN(nShortfallCapM,MAX(0,sNsmrAvailY2-K41)*sNsmrUnitMw*sNsmrUnits*8760*NsmrPrice2033/1000000)</f>
        <v/>
      </c>
      <c r="N41" s="82">
        <f>IF(RAND()&lt;0.5,nUsefulLifeDrawBase-(nUsefulLifeDrawBase-nUsefulLifeDrawMin)*BETA.INV(RAND(),1.15,1.15),nUsefulLifeDrawBase+(nUsefulLifeDrawMax-nUsefulLifeDrawBase)*BETA.INV(RAND(),1.15,1.15))</f>
        <v/>
      </c>
      <c r="O41" s="45">
        <f>((nInference*nGpuIdx+nAmort)*nUtilCal/D41)*(nUsefulLifeDrawBase/N41-1)</f>
        <v/>
      </c>
      <c r="P41" s="1" t="n"/>
      <c r="Q41" s="1" t="n"/>
      <c r="R41" s="1" t="n"/>
      <c r="S41" s="1" t="n"/>
      <c r="T41" s="1" t="n"/>
      <c r="U41" s="1" t="n"/>
    </row>
    <row r="42" ht="12" customHeight="1">
      <c r="A42" s="1" t="n"/>
      <c r="B42" s="38" t="n">
        <v>22</v>
      </c>
      <c r="C42" s="114">
        <f>Assumptions!$F$8+RAND()*(Assumptions!$D$8-Assumptions!$F$8)</f>
        <v/>
      </c>
      <c r="D42" s="114">
        <f>Assumptions!$D$9+RAND()*(Assumptions!$F$9-Assumptions!$D$9)</f>
        <v/>
      </c>
      <c r="E42" s="71">
        <f>Assumptions!$F$11+RAND()*(Assumptions!$D$11-Assumptions!$F$11)</f>
        <v/>
      </c>
      <c r="F42" s="45">
        <f>nListPrice*(1-C42)-(nInference*nGpuIdx+nAmort)*nUtilCal/D42-nNetworking-nOverheadBase*(E42/nPowerCal)-nCodBase*(1+I42/12)-O42</f>
        <v/>
      </c>
      <c r="G42" s="66">
        <f>MAX(F42,0)/nDebtService</f>
        <v/>
      </c>
      <c r="H42" s="71">
        <f>Anthropic!$J$18*Anthropic!$J$27+Anthropic!$J$19*Anthropic!$J$28+Anthropic!$J$20*Anthropic!$J$29+Anthropic!$J$21*E42*(1+nPowerCagr)^4*(1+nResidualBasisMarkup+nScarcityAlpha*POWER(Anthropic!$J$21,nScarcityGamma))</f>
        <v/>
      </c>
      <c r="I42" s="113">
        <f>Assumptions!$F$10+RAND()*(Assumptions!$D$10-Assumptions!$F$10)</f>
        <v/>
      </c>
      <c r="J42" s="113">
        <f>RAND()*nCodSlipMaxMo</f>
        <v/>
      </c>
      <c r="K42" s="114">
        <f>nAvailDrawMin+RAND()*(nAvailDrawMax-nAvailDrawMin)</f>
        <v/>
      </c>
      <c r="L42" s="45">
        <f>IF(2034&lt;sNsmrCodU1+J42/12,0,(nNsmrCap+nNsmrOpx*(1+sNsmrOpxEsc)^8+nNsmrFuel*FuelEsc*(1+nFuelCagr)^8-nNsmrItc)*IF(2034&lt;sNsmrCodU1+J42/12+nStepFirst,1,IF(nStepGated="Yes",(1+nStepPct)^(INT((2034-sNsmrCodU1-J42/12-nStepFirst)/nStepEvery)+1),1))+nExclPrem*(1-nFlexRelief)-nProdCredit)</f>
        <v/>
      </c>
      <c r="M42" s="63">
        <f>MIN(nShortfallCapM,MAX(0,sNsmrAvailY2-K42)*sNsmrUnitMw*sNsmrUnits*8760*NsmrPrice2033/1000000)</f>
        <v/>
      </c>
      <c r="N42" s="82">
        <f>IF(RAND()&lt;0.5,nUsefulLifeDrawBase-(nUsefulLifeDrawBase-nUsefulLifeDrawMin)*BETA.INV(RAND(),1.15,1.15),nUsefulLifeDrawBase+(nUsefulLifeDrawMax-nUsefulLifeDrawBase)*BETA.INV(RAND(),1.15,1.15))</f>
        <v/>
      </c>
      <c r="O42" s="45">
        <f>((nInference*nGpuIdx+nAmort)*nUtilCal/D42)*(nUsefulLifeDrawBase/N42-1)</f>
        <v/>
      </c>
      <c r="P42" s="1" t="n"/>
      <c r="Q42" s="1" t="n"/>
      <c r="R42" s="1" t="n"/>
      <c r="S42" s="1" t="n"/>
      <c r="T42" s="1" t="n"/>
      <c r="U42" s="1" t="n"/>
    </row>
    <row r="43" ht="12" customHeight="1">
      <c r="A43" s="1" t="n"/>
      <c r="B43" s="38" t="n">
        <v>23</v>
      </c>
      <c r="C43" s="114">
        <f>Assumptions!$F$8+RAND()*(Assumptions!$D$8-Assumptions!$F$8)</f>
        <v/>
      </c>
      <c r="D43" s="114">
        <f>Assumptions!$D$9+RAND()*(Assumptions!$F$9-Assumptions!$D$9)</f>
        <v/>
      </c>
      <c r="E43" s="71">
        <f>Assumptions!$F$11+RAND()*(Assumptions!$D$11-Assumptions!$F$11)</f>
        <v/>
      </c>
      <c r="F43" s="45">
        <f>nListPrice*(1-C43)-(nInference*nGpuIdx+nAmort)*nUtilCal/D43-nNetworking-nOverheadBase*(E43/nPowerCal)-nCodBase*(1+I43/12)-O43</f>
        <v/>
      </c>
      <c r="G43" s="66">
        <f>MAX(F43,0)/nDebtService</f>
        <v/>
      </c>
      <c r="H43" s="71">
        <f>Anthropic!$J$18*Anthropic!$J$27+Anthropic!$J$19*Anthropic!$J$28+Anthropic!$J$20*Anthropic!$J$29+Anthropic!$J$21*E43*(1+nPowerCagr)^4*(1+nResidualBasisMarkup+nScarcityAlpha*POWER(Anthropic!$J$21,nScarcityGamma))</f>
        <v/>
      </c>
      <c r="I43" s="113">
        <f>Assumptions!$F$10+RAND()*(Assumptions!$D$10-Assumptions!$F$10)</f>
        <v/>
      </c>
      <c r="J43" s="113">
        <f>RAND()*nCodSlipMaxMo</f>
        <v/>
      </c>
      <c r="K43" s="114">
        <f>nAvailDrawMin+RAND()*(nAvailDrawMax-nAvailDrawMin)</f>
        <v/>
      </c>
      <c r="L43" s="45">
        <f>IF(2034&lt;sNsmrCodU1+J43/12,0,(nNsmrCap+nNsmrOpx*(1+sNsmrOpxEsc)^8+nNsmrFuel*FuelEsc*(1+nFuelCagr)^8-nNsmrItc)*IF(2034&lt;sNsmrCodU1+J43/12+nStepFirst,1,IF(nStepGated="Yes",(1+nStepPct)^(INT((2034-sNsmrCodU1-J43/12-nStepFirst)/nStepEvery)+1),1))+nExclPrem*(1-nFlexRelief)-nProdCredit)</f>
        <v/>
      </c>
      <c r="M43" s="63">
        <f>MIN(nShortfallCapM,MAX(0,sNsmrAvailY2-K43)*sNsmrUnitMw*sNsmrUnits*8760*NsmrPrice2033/1000000)</f>
        <v/>
      </c>
      <c r="N43" s="82">
        <f>IF(RAND()&lt;0.5,nUsefulLifeDrawBase-(nUsefulLifeDrawBase-nUsefulLifeDrawMin)*BETA.INV(RAND(),1.15,1.15),nUsefulLifeDrawBase+(nUsefulLifeDrawMax-nUsefulLifeDrawBase)*BETA.INV(RAND(),1.15,1.15))</f>
        <v/>
      </c>
      <c r="O43" s="45">
        <f>((nInference*nGpuIdx+nAmort)*nUtilCal/D43)*(nUsefulLifeDrawBase/N43-1)</f>
        <v/>
      </c>
      <c r="P43" s="1" t="n"/>
      <c r="Q43" s="1" t="n"/>
      <c r="R43" s="1" t="n"/>
      <c r="S43" s="1" t="n"/>
      <c r="T43" s="1" t="n"/>
      <c r="U43" s="1" t="n"/>
    </row>
    <row r="44" ht="12" customHeight="1">
      <c r="A44" s="1" t="n"/>
      <c r="B44" s="38" t="n">
        <v>24</v>
      </c>
      <c r="C44" s="114">
        <f>Assumptions!$F$8+RAND()*(Assumptions!$D$8-Assumptions!$F$8)</f>
        <v/>
      </c>
      <c r="D44" s="114">
        <f>Assumptions!$D$9+RAND()*(Assumptions!$F$9-Assumptions!$D$9)</f>
        <v/>
      </c>
      <c r="E44" s="71">
        <f>Assumptions!$F$11+RAND()*(Assumptions!$D$11-Assumptions!$F$11)</f>
        <v/>
      </c>
      <c r="F44" s="45">
        <f>nListPrice*(1-C44)-(nInference*nGpuIdx+nAmort)*nUtilCal/D44-nNetworking-nOverheadBase*(E44/nPowerCal)-nCodBase*(1+I44/12)-O44</f>
        <v/>
      </c>
      <c r="G44" s="66">
        <f>MAX(F44,0)/nDebtService</f>
        <v/>
      </c>
      <c r="H44" s="71">
        <f>Anthropic!$J$18*Anthropic!$J$27+Anthropic!$J$19*Anthropic!$J$28+Anthropic!$J$20*Anthropic!$J$29+Anthropic!$J$21*E44*(1+nPowerCagr)^4*(1+nResidualBasisMarkup+nScarcityAlpha*POWER(Anthropic!$J$21,nScarcityGamma))</f>
        <v/>
      </c>
      <c r="I44" s="113">
        <f>Assumptions!$F$10+RAND()*(Assumptions!$D$10-Assumptions!$F$10)</f>
        <v/>
      </c>
      <c r="J44" s="113">
        <f>RAND()*nCodSlipMaxMo</f>
        <v/>
      </c>
      <c r="K44" s="114">
        <f>nAvailDrawMin+RAND()*(nAvailDrawMax-nAvailDrawMin)</f>
        <v/>
      </c>
      <c r="L44" s="45">
        <f>IF(2034&lt;sNsmrCodU1+J44/12,0,(nNsmrCap+nNsmrOpx*(1+sNsmrOpxEsc)^8+nNsmrFuel*FuelEsc*(1+nFuelCagr)^8-nNsmrItc)*IF(2034&lt;sNsmrCodU1+J44/12+nStepFirst,1,IF(nStepGated="Yes",(1+nStepPct)^(INT((2034-sNsmrCodU1-J44/12-nStepFirst)/nStepEvery)+1),1))+nExclPrem*(1-nFlexRelief)-nProdCredit)</f>
        <v/>
      </c>
      <c r="M44" s="63">
        <f>MIN(nShortfallCapM,MAX(0,sNsmrAvailY2-K44)*sNsmrUnitMw*sNsmrUnits*8760*NsmrPrice2033/1000000)</f>
        <v/>
      </c>
      <c r="N44" s="82">
        <f>IF(RAND()&lt;0.5,nUsefulLifeDrawBase-(nUsefulLifeDrawBase-nUsefulLifeDrawMin)*BETA.INV(RAND(),1.15,1.15),nUsefulLifeDrawBase+(nUsefulLifeDrawMax-nUsefulLifeDrawBase)*BETA.INV(RAND(),1.15,1.15))</f>
        <v/>
      </c>
      <c r="O44" s="45">
        <f>((nInference*nGpuIdx+nAmort)*nUtilCal/D44)*(nUsefulLifeDrawBase/N44-1)</f>
        <v/>
      </c>
      <c r="P44" s="1" t="n"/>
      <c r="Q44" s="1" t="n"/>
      <c r="R44" s="1" t="n"/>
      <c r="S44" s="1" t="n"/>
      <c r="T44" s="1" t="n"/>
      <c r="U44" s="1" t="n"/>
    </row>
    <row r="45" ht="12" customHeight="1">
      <c r="A45" s="1" t="n"/>
      <c r="B45" s="38" t="n">
        <v>25</v>
      </c>
      <c r="C45" s="114">
        <f>Assumptions!$F$8+RAND()*(Assumptions!$D$8-Assumptions!$F$8)</f>
        <v/>
      </c>
      <c r="D45" s="114">
        <f>Assumptions!$D$9+RAND()*(Assumptions!$F$9-Assumptions!$D$9)</f>
        <v/>
      </c>
      <c r="E45" s="71">
        <f>Assumptions!$F$11+RAND()*(Assumptions!$D$11-Assumptions!$F$11)</f>
        <v/>
      </c>
      <c r="F45" s="45">
        <f>nListPrice*(1-C45)-(nInference*nGpuIdx+nAmort)*nUtilCal/D45-nNetworking-nOverheadBase*(E45/nPowerCal)-nCodBase*(1+I45/12)-O45</f>
        <v/>
      </c>
      <c r="G45" s="66">
        <f>MAX(F45,0)/nDebtService</f>
        <v/>
      </c>
      <c r="H45" s="71">
        <f>Anthropic!$J$18*Anthropic!$J$27+Anthropic!$J$19*Anthropic!$J$28+Anthropic!$J$20*Anthropic!$J$29+Anthropic!$J$21*E45*(1+nPowerCagr)^4*(1+nResidualBasisMarkup+nScarcityAlpha*POWER(Anthropic!$J$21,nScarcityGamma))</f>
        <v/>
      </c>
      <c r="I45" s="113">
        <f>Assumptions!$F$10+RAND()*(Assumptions!$D$10-Assumptions!$F$10)</f>
        <v/>
      </c>
      <c r="J45" s="113">
        <f>RAND()*nCodSlipMaxMo</f>
        <v/>
      </c>
      <c r="K45" s="114">
        <f>nAvailDrawMin+RAND()*(nAvailDrawMax-nAvailDrawMin)</f>
        <v/>
      </c>
      <c r="L45" s="45">
        <f>IF(2034&lt;sNsmrCodU1+J45/12,0,(nNsmrCap+nNsmrOpx*(1+sNsmrOpxEsc)^8+nNsmrFuel*FuelEsc*(1+nFuelCagr)^8-nNsmrItc)*IF(2034&lt;sNsmrCodU1+J45/12+nStepFirst,1,IF(nStepGated="Yes",(1+nStepPct)^(INT((2034-sNsmrCodU1-J45/12-nStepFirst)/nStepEvery)+1),1))+nExclPrem*(1-nFlexRelief)-nProdCredit)</f>
        <v/>
      </c>
      <c r="M45" s="63">
        <f>MIN(nShortfallCapM,MAX(0,sNsmrAvailY2-K45)*sNsmrUnitMw*sNsmrUnits*8760*NsmrPrice2033/1000000)</f>
        <v/>
      </c>
      <c r="N45" s="82">
        <f>IF(RAND()&lt;0.5,nUsefulLifeDrawBase-(nUsefulLifeDrawBase-nUsefulLifeDrawMin)*BETA.INV(RAND(),1.15,1.15),nUsefulLifeDrawBase+(nUsefulLifeDrawMax-nUsefulLifeDrawBase)*BETA.INV(RAND(),1.15,1.15))</f>
        <v/>
      </c>
      <c r="O45" s="45">
        <f>((nInference*nGpuIdx+nAmort)*nUtilCal/D45)*(nUsefulLifeDrawBase/N45-1)</f>
        <v/>
      </c>
      <c r="P45" s="1" t="n"/>
      <c r="Q45" s="1" t="n"/>
      <c r="R45" s="1" t="n"/>
      <c r="S45" s="1" t="n"/>
      <c r="T45" s="1" t="n"/>
      <c r="U45" s="1" t="n"/>
    </row>
    <row r="46" ht="12" customHeight="1">
      <c r="A46" s="1" t="n"/>
      <c r="B46" s="38" t="n">
        <v>26</v>
      </c>
      <c r="C46" s="114">
        <f>Assumptions!$F$8+RAND()*(Assumptions!$D$8-Assumptions!$F$8)</f>
        <v/>
      </c>
      <c r="D46" s="114">
        <f>Assumptions!$D$9+RAND()*(Assumptions!$F$9-Assumptions!$D$9)</f>
        <v/>
      </c>
      <c r="E46" s="71">
        <f>Assumptions!$F$11+RAND()*(Assumptions!$D$11-Assumptions!$F$11)</f>
        <v/>
      </c>
      <c r="F46" s="45">
        <f>nListPrice*(1-C46)-(nInference*nGpuIdx+nAmort)*nUtilCal/D46-nNetworking-nOverheadBase*(E46/nPowerCal)-nCodBase*(1+I46/12)-O46</f>
        <v/>
      </c>
      <c r="G46" s="66">
        <f>MAX(F46,0)/nDebtService</f>
        <v/>
      </c>
      <c r="H46" s="71">
        <f>Anthropic!$J$18*Anthropic!$J$27+Anthropic!$J$19*Anthropic!$J$28+Anthropic!$J$20*Anthropic!$J$29+Anthropic!$J$21*E46*(1+nPowerCagr)^4*(1+nResidualBasisMarkup+nScarcityAlpha*POWER(Anthropic!$J$21,nScarcityGamma))</f>
        <v/>
      </c>
      <c r="I46" s="113">
        <f>Assumptions!$F$10+RAND()*(Assumptions!$D$10-Assumptions!$F$10)</f>
        <v/>
      </c>
      <c r="J46" s="113">
        <f>RAND()*nCodSlipMaxMo</f>
        <v/>
      </c>
      <c r="K46" s="114">
        <f>nAvailDrawMin+RAND()*(nAvailDrawMax-nAvailDrawMin)</f>
        <v/>
      </c>
      <c r="L46" s="45">
        <f>IF(2034&lt;sNsmrCodU1+J46/12,0,(nNsmrCap+nNsmrOpx*(1+sNsmrOpxEsc)^8+nNsmrFuel*FuelEsc*(1+nFuelCagr)^8-nNsmrItc)*IF(2034&lt;sNsmrCodU1+J46/12+nStepFirst,1,IF(nStepGated="Yes",(1+nStepPct)^(INT((2034-sNsmrCodU1-J46/12-nStepFirst)/nStepEvery)+1),1))+nExclPrem*(1-nFlexRelief)-nProdCredit)</f>
        <v/>
      </c>
      <c r="M46" s="63">
        <f>MIN(nShortfallCapM,MAX(0,sNsmrAvailY2-K46)*sNsmrUnitMw*sNsmrUnits*8760*NsmrPrice2033/1000000)</f>
        <v/>
      </c>
      <c r="N46" s="82">
        <f>IF(RAND()&lt;0.5,nUsefulLifeDrawBase-(nUsefulLifeDrawBase-nUsefulLifeDrawMin)*BETA.INV(RAND(),1.15,1.15),nUsefulLifeDrawBase+(nUsefulLifeDrawMax-nUsefulLifeDrawBase)*BETA.INV(RAND(),1.15,1.15))</f>
        <v/>
      </c>
      <c r="O46" s="45">
        <f>((nInference*nGpuIdx+nAmort)*nUtilCal/D46)*(nUsefulLifeDrawBase/N46-1)</f>
        <v/>
      </c>
      <c r="P46" s="1" t="n"/>
      <c r="Q46" s="1" t="n"/>
      <c r="R46" s="1" t="n"/>
      <c r="S46" s="1" t="n"/>
      <c r="T46" s="1" t="n"/>
      <c r="U46" s="1" t="n"/>
    </row>
    <row r="47" ht="12" customHeight="1">
      <c r="A47" s="1" t="n"/>
      <c r="B47" s="38" t="n">
        <v>27</v>
      </c>
      <c r="C47" s="114">
        <f>Assumptions!$F$8+RAND()*(Assumptions!$D$8-Assumptions!$F$8)</f>
        <v/>
      </c>
      <c r="D47" s="114">
        <f>Assumptions!$D$9+RAND()*(Assumptions!$F$9-Assumptions!$D$9)</f>
        <v/>
      </c>
      <c r="E47" s="71">
        <f>Assumptions!$F$11+RAND()*(Assumptions!$D$11-Assumptions!$F$11)</f>
        <v/>
      </c>
      <c r="F47" s="45">
        <f>nListPrice*(1-C47)-(nInference*nGpuIdx+nAmort)*nUtilCal/D47-nNetworking-nOverheadBase*(E47/nPowerCal)-nCodBase*(1+I47/12)-O47</f>
        <v/>
      </c>
      <c r="G47" s="66">
        <f>MAX(F47,0)/nDebtService</f>
        <v/>
      </c>
      <c r="H47" s="71">
        <f>Anthropic!$J$18*Anthropic!$J$27+Anthropic!$J$19*Anthropic!$J$28+Anthropic!$J$20*Anthropic!$J$29+Anthropic!$J$21*E47*(1+nPowerCagr)^4*(1+nResidualBasisMarkup+nScarcityAlpha*POWER(Anthropic!$J$21,nScarcityGamma))</f>
        <v/>
      </c>
      <c r="I47" s="113">
        <f>Assumptions!$F$10+RAND()*(Assumptions!$D$10-Assumptions!$F$10)</f>
        <v/>
      </c>
      <c r="J47" s="113">
        <f>RAND()*nCodSlipMaxMo</f>
        <v/>
      </c>
      <c r="K47" s="114">
        <f>nAvailDrawMin+RAND()*(nAvailDrawMax-nAvailDrawMin)</f>
        <v/>
      </c>
      <c r="L47" s="45">
        <f>IF(2034&lt;sNsmrCodU1+J47/12,0,(nNsmrCap+nNsmrOpx*(1+sNsmrOpxEsc)^8+nNsmrFuel*FuelEsc*(1+nFuelCagr)^8-nNsmrItc)*IF(2034&lt;sNsmrCodU1+J47/12+nStepFirst,1,IF(nStepGated="Yes",(1+nStepPct)^(INT((2034-sNsmrCodU1-J47/12-nStepFirst)/nStepEvery)+1),1))+nExclPrem*(1-nFlexRelief)-nProdCredit)</f>
        <v/>
      </c>
      <c r="M47" s="63">
        <f>MIN(nShortfallCapM,MAX(0,sNsmrAvailY2-K47)*sNsmrUnitMw*sNsmrUnits*8760*NsmrPrice2033/1000000)</f>
        <v/>
      </c>
      <c r="N47" s="82">
        <f>IF(RAND()&lt;0.5,nUsefulLifeDrawBase-(nUsefulLifeDrawBase-nUsefulLifeDrawMin)*BETA.INV(RAND(),1.15,1.15),nUsefulLifeDrawBase+(nUsefulLifeDrawMax-nUsefulLifeDrawBase)*BETA.INV(RAND(),1.15,1.15))</f>
        <v/>
      </c>
      <c r="O47" s="45">
        <f>((nInference*nGpuIdx+nAmort)*nUtilCal/D47)*(nUsefulLifeDrawBase/N47-1)</f>
        <v/>
      </c>
      <c r="P47" s="1" t="n"/>
      <c r="Q47" s="1" t="n"/>
      <c r="R47" s="1" t="n"/>
      <c r="S47" s="1" t="n"/>
      <c r="T47" s="1" t="n"/>
      <c r="U47" s="1" t="n"/>
    </row>
    <row r="48" ht="12" customHeight="1">
      <c r="A48" s="1" t="n"/>
      <c r="B48" s="38" t="n">
        <v>28</v>
      </c>
      <c r="C48" s="114">
        <f>Assumptions!$F$8+RAND()*(Assumptions!$D$8-Assumptions!$F$8)</f>
        <v/>
      </c>
      <c r="D48" s="114">
        <f>Assumptions!$D$9+RAND()*(Assumptions!$F$9-Assumptions!$D$9)</f>
        <v/>
      </c>
      <c r="E48" s="71">
        <f>Assumptions!$F$11+RAND()*(Assumptions!$D$11-Assumptions!$F$11)</f>
        <v/>
      </c>
      <c r="F48" s="45">
        <f>nListPrice*(1-C48)-(nInference*nGpuIdx+nAmort)*nUtilCal/D48-nNetworking-nOverheadBase*(E48/nPowerCal)-nCodBase*(1+I48/12)-O48</f>
        <v/>
      </c>
      <c r="G48" s="66">
        <f>MAX(F48,0)/nDebtService</f>
        <v/>
      </c>
      <c r="H48" s="71">
        <f>Anthropic!$J$18*Anthropic!$J$27+Anthropic!$J$19*Anthropic!$J$28+Anthropic!$J$20*Anthropic!$J$29+Anthropic!$J$21*E48*(1+nPowerCagr)^4*(1+nResidualBasisMarkup+nScarcityAlpha*POWER(Anthropic!$J$21,nScarcityGamma))</f>
        <v/>
      </c>
      <c r="I48" s="113">
        <f>Assumptions!$F$10+RAND()*(Assumptions!$D$10-Assumptions!$F$10)</f>
        <v/>
      </c>
      <c r="J48" s="113">
        <f>RAND()*nCodSlipMaxMo</f>
        <v/>
      </c>
      <c r="K48" s="114">
        <f>nAvailDrawMin+RAND()*(nAvailDrawMax-nAvailDrawMin)</f>
        <v/>
      </c>
      <c r="L48" s="45">
        <f>IF(2034&lt;sNsmrCodU1+J48/12,0,(nNsmrCap+nNsmrOpx*(1+sNsmrOpxEsc)^8+nNsmrFuel*FuelEsc*(1+nFuelCagr)^8-nNsmrItc)*IF(2034&lt;sNsmrCodU1+J48/12+nStepFirst,1,IF(nStepGated="Yes",(1+nStepPct)^(INT((2034-sNsmrCodU1-J48/12-nStepFirst)/nStepEvery)+1),1))+nExclPrem*(1-nFlexRelief)-nProdCredit)</f>
        <v/>
      </c>
      <c r="M48" s="63">
        <f>MIN(nShortfallCapM,MAX(0,sNsmrAvailY2-K48)*sNsmrUnitMw*sNsmrUnits*8760*NsmrPrice2033/1000000)</f>
        <v/>
      </c>
      <c r="N48" s="82">
        <f>IF(RAND()&lt;0.5,nUsefulLifeDrawBase-(nUsefulLifeDrawBase-nUsefulLifeDrawMin)*BETA.INV(RAND(),1.15,1.15),nUsefulLifeDrawBase+(nUsefulLifeDrawMax-nUsefulLifeDrawBase)*BETA.INV(RAND(),1.15,1.15))</f>
        <v/>
      </c>
      <c r="O48" s="45">
        <f>((nInference*nGpuIdx+nAmort)*nUtilCal/D48)*(nUsefulLifeDrawBase/N48-1)</f>
        <v/>
      </c>
      <c r="P48" s="1" t="n"/>
      <c r="Q48" s="1" t="n"/>
      <c r="R48" s="1" t="n"/>
      <c r="S48" s="1" t="n"/>
      <c r="T48" s="1" t="n"/>
      <c r="U48" s="1" t="n"/>
    </row>
    <row r="49" ht="12" customHeight="1">
      <c r="A49" s="1" t="n"/>
      <c r="B49" s="38" t="n">
        <v>29</v>
      </c>
      <c r="C49" s="114">
        <f>Assumptions!$F$8+RAND()*(Assumptions!$D$8-Assumptions!$F$8)</f>
        <v/>
      </c>
      <c r="D49" s="114">
        <f>Assumptions!$D$9+RAND()*(Assumptions!$F$9-Assumptions!$D$9)</f>
        <v/>
      </c>
      <c r="E49" s="71">
        <f>Assumptions!$F$11+RAND()*(Assumptions!$D$11-Assumptions!$F$11)</f>
        <v/>
      </c>
      <c r="F49" s="45">
        <f>nListPrice*(1-C49)-(nInference*nGpuIdx+nAmort)*nUtilCal/D49-nNetworking-nOverheadBase*(E49/nPowerCal)-nCodBase*(1+I49/12)-O49</f>
        <v/>
      </c>
      <c r="G49" s="66">
        <f>MAX(F49,0)/nDebtService</f>
        <v/>
      </c>
      <c r="H49" s="71">
        <f>Anthropic!$J$18*Anthropic!$J$27+Anthropic!$J$19*Anthropic!$J$28+Anthropic!$J$20*Anthropic!$J$29+Anthropic!$J$21*E49*(1+nPowerCagr)^4*(1+nResidualBasisMarkup+nScarcityAlpha*POWER(Anthropic!$J$21,nScarcityGamma))</f>
        <v/>
      </c>
      <c r="I49" s="113">
        <f>Assumptions!$F$10+RAND()*(Assumptions!$D$10-Assumptions!$F$10)</f>
        <v/>
      </c>
      <c r="J49" s="113">
        <f>RAND()*nCodSlipMaxMo</f>
        <v/>
      </c>
      <c r="K49" s="114">
        <f>nAvailDrawMin+RAND()*(nAvailDrawMax-nAvailDrawMin)</f>
        <v/>
      </c>
      <c r="L49" s="45">
        <f>IF(2034&lt;sNsmrCodU1+J49/12,0,(nNsmrCap+nNsmrOpx*(1+sNsmrOpxEsc)^8+nNsmrFuel*FuelEsc*(1+nFuelCagr)^8-nNsmrItc)*IF(2034&lt;sNsmrCodU1+J49/12+nStepFirst,1,IF(nStepGated="Yes",(1+nStepPct)^(INT((2034-sNsmrCodU1-J49/12-nStepFirst)/nStepEvery)+1),1))+nExclPrem*(1-nFlexRelief)-nProdCredit)</f>
        <v/>
      </c>
      <c r="M49" s="63">
        <f>MIN(nShortfallCapM,MAX(0,sNsmrAvailY2-K49)*sNsmrUnitMw*sNsmrUnits*8760*NsmrPrice2033/1000000)</f>
        <v/>
      </c>
      <c r="N49" s="82">
        <f>IF(RAND()&lt;0.5,nUsefulLifeDrawBase-(nUsefulLifeDrawBase-nUsefulLifeDrawMin)*BETA.INV(RAND(),1.15,1.15),nUsefulLifeDrawBase+(nUsefulLifeDrawMax-nUsefulLifeDrawBase)*BETA.INV(RAND(),1.15,1.15))</f>
        <v/>
      </c>
      <c r="O49" s="45">
        <f>((nInference*nGpuIdx+nAmort)*nUtilCal/D49)*(nUsefulLifeDrawBase/N49-1)</f>
        <v/>
      </c>
      <c r="P49" s="1" t="n"/>
      <c r="Q49" s="1" t="n"/>
      <c r="R49" s="1" t="n"/>
      <c r="S49" s="1" t="n"/>
      <c r="T49" s="1" t="n"/>
      <c r="U49" s="1" t="n"/>
    </row>
    <row r="50" ht="12" customHeight="1">
      <c r="A50" s="1" t="n"/>
      <c r="B50" s="38" t="n">
        <v>30</v>
      </c>
      <c r="C50" s="114">
        <f>Assumptions!$F$8+RAND()*(Assumptions!$D$8-Assumptions!$F$8)</f>
        <v/>
      </c>
      <c r="D50" s="114">
        <f>Assumptions!$D$9+RAND()*(Assumptions!$F$9-Assumptions!$D$9)</f>
        <v/>
      </c>
      <c r="E50" s="71">
        <f>Assumptions!$F$11+RAND()*(Assumptions!$D$11-Assumptions!$F$11)</f>
        <v/>
      </c>
      <c r="F50" s="45">
        <f>nListPrice*(1-C50)-(nInference*nGpuIdx+nAmort)*nUtilCal/D50-nNetworking-nOverheadBase*(E50/nPowerCal)-nCodBase*(1+I50/12)-O50</f>
        <v/>
      </c>
      <c r="G50" s="66">
        <f>MAX(F50,0)/nDebtService</f>
        <v/>
      </c>
      <c r="H50" s="71">
        <f>Anthropic!$J$18*Anthropic!$J$27+Anthropic!$J$19*Anthropic!$J$28+Anthropic!$J$20*Anthropic!$J$29+Anthropic!$J$21*E50*(1+nPowerCagr)^4*(1+nResidualBasisMarkup+nScarcityAlpha*POWER(Anthropic!$J$21,nScarcityGamma))</f>
        <v/>
      </c>
      <c r="I50" s="113">
        <f>Assumptions!$F$10+RAND()*(Assumptions!$D$10-Assumptions!$F$10)</f>
        <v/>
      </c>
      <c r="J50" s="113">
        <f>RAND()*nCodSlipMaxMo</f>
        <v/>
      </c>
      <c r="K50" s="114">
        <f>nAvailDrawMin+RAND()*(nAvailDrawMax-nAvailDrawMin)</f>
        <v/>
      </c>
      <c r="L50" s="45">
        <f>IF(2034&lt;sNsmrCodU1+J50/12,0,(nNsmrCap+nNsmrOpx*(1+sNsmrOpxEsc)^8+nNsmrFuel*FuelEsc*(1+nFuelCagr)^8-nNsmrItc)*IF(2034&lt;sNsmrCodU1+J50/12+nStepFirst,1,IF(nStepGated="Yes",(1+nStepPct)^(INT((2034-sNsmrCodU1-J50/12-nStepFirst)/nStepEvery)+1),1))+nExclPrem*(1-nFlexRelief)-nProdCredit)</f>
        <v/>
      </c>
      <c r="M50" s="63">
        <f>MIN(nShortfallCapM,MAX(0,sNsmrAvailY2-K50)*sNsmrUnitMw*sNsmrUnits*8760*NsmrPrice2033/1000000)</f>
        <v/>
      </c>
      <c r="N50" s="82">
        <f>IF(RAND()&lt;0.5,nUsefulLifeDrawBase-(nUsefulLifeDrawBase-nUsefulLifeDrawMin)*BETA.INV(RAND(),1.15,1.15),nUsefulLifeDrawBase+(nUsefulLifeDrawMax-nUsefulLifeDrawBase)*BETA.INV(RAND(),1.15,1.15))</f>
        <v/>
      </c>
      <c r="O50" s="45">
        <f>((nInference*nGpuIdx+nAmort)*nUtilCal/D50)*(nUsefulLifeDrawBase/N50-1)</f>
        <v/>
      </c>
      <c r="P50" s="1" t="n"/>
      <c r="Q50" s="1" t="n"/>
      <c r="R50" s="1" t="n"/>
      <c r="S50" s="1" t="n"/>
      <c r="T50" s="1" t="n"/>
      <c r="U50" s="1" t="n"/>
    </row>
    <row r="51" ht="12" customHeight="1">
      <c r="A51" s="1" t="n"/>
      <c r="B51" s="38" t="n">
        <v>31</v>
      </c>
      <c r="C51" s="114">
        <f>Assumptions!$F$8+RAND()*(Assumptions!$D$8-Assumptions!$F$8)</f>
        <v/>
      </c>
      <c r="D51" s="114">
        <f>Assumptions!$D$9+RAND()*(Assumptions!$F$9-Assumptions!$D$9)</f>
        <v/>
      </c>
      <c r="E51" s="71">
        <f>Assumptions!$F$11+RAND()*(Assumptions!$D$11-Assumptions!$F$11)</f>
        <v/>
      </c>
      <c r="F51" s="45">
        <f>nListPrice*(1-C51)-(nInference*nGpuIdx+nAmort)*nUtilCal/D51-nNetworking-nOverheadBase*(E51/nPowerCal)-nCodBase*(1+I51/12)-O51</f>
        <v/>
      </c>
      <c r="G51" s="66">
        <f>MAX(F51,0)/nDebtService</f>
        <v/>
      </c>
      <c r="H51" s="71">
        <f>Anthropic!$J$18*Anthropic!$J$27+Anthropic!$J$19*Anthropic!$J$28+Anthropic!$J$20*Anthropic!$J$29+Anthropic!$J$21*E51*(1+nPowerCagr)^4*(1+nResidualBasisMarkup+nScarcityAlpha*POWER(Anthropic!$J$21,nScarcityGamma))</f>
        <v/>
      </c>
      <c r="I51" s="113">
        <f>Assumptions!$F$10+RAND()*(Assumptions!$D$10-Assumptions!$F$10)</f>
        <v/>
      </c>
      <c r="J51" s="113">
        <f>RAND()*nCodSlipMaxMo</f>
        <v/>
      </c>
      <c r="K51" s="114">
        <f>nAvailDrawMin+RAND()*(nAvailDrawMax-nAvailDrawMin)</f>
        <v/>
      </c>
      <c r="L51" s="45">
        <f>IF(2034&lt;sNsmrCodU1+J51/12,0,(nNsmrCap+nNsmrOpx*(1+sNsmrOpxEsc)^8+nNsmrFuel*FuelEsc*(1+nFuelCagr)^8-nNsmrItc)*IF(2034&lt;sNsmrCodU1+J51/12+nStepFirst,1,IF(nStepGated="Yes",(1+nStepPct)^(INT((2034-sNsmrCodU1-J51/12-nStepFirst)/nStepEvery)+1),1))+nExclPrem*(1-nFlexRelief)-nProdCredit)</f>
        <v/>
      </c>
      <c r="M51" s="63">
        <f>MIN(nShortfallCapM,MAX(0,sNsmrAvailY2-K51)*sNsmrUnitMw*sNsmrUnits*8760*NsmrPrice2033/1000000)</f>
        <v/>
      </c>
      <c r="N51" s="82">
        <f>IF(RAND()&lt;0.5,nUsefulLifeDrawBase-(nUsefulLifeDrawBase-nUsefulLifeDrawMin)*BETA.INV(RAND(),1.15,1.15),nUsefulLifeDrawBase+(nUsefulLifeDrawMax-nUsefulLifeDrawBase)*BETA.INV(RAND(),1.15,1.15))</f>
        <v/>
      </c>
      <c r="O51" s="45">
        <f>((nInference*nGpuIdx+nAmort)*nUtilCal/D51)*(nUsefulLifeDrawBase/N51-1)</f>
        <v/>
      </c>
      <c r="P51" s="1" t="n"/>
      <c r="Q51" s="1" t="n"/>
      <c r="R51" s="1" t="n"/>
      <c r="S51" s="1" t="n"/>
      <c r="T51" s="1" t="n"/>
      <c r="U51" s="1" t="n"/>
    </row>
    <row r="52" ht="12" customHeight="1">
      <c r="A52" s="1" t="n"/>
      <c r="B52" s="38" t="n">
        <v>32</v>
      </c>
      <c r="C52" s="114">
        <f>Assumptions!$F$8+RAND()*(Assumptions!$D$8-Assumptions!$F$8)</f>
        <v/>
      </c>
      <c r="D52" s="114">
        <f>Assumptions!$D$9+RAND()*(Assumptions!$F$9-Assumptions!$D$9)</f>
        <v/>
      </c>
      <c r="E52" s="71">
        <f>Assumptions!$F$11+RAND()*(Assumptions!$D$11-Assumptions!$F$11)</f>
        <v/>
      </c>
      <c r="F52" s="45">
        <f>nListPrice*(1-C52)-(nInference*nGpuIdx+nAmort)*nUtilCal/D52-nNetworking-nOverheadBase*(E52/nPowerCal)-nCodBase*(1+I52/12)-O52</f>
        <v/>
      </c>
      <c r="G52" s="66">
        <f>MAX(F52,0)/nDebtService</f>
        <v/>
      </c>
      <c r="H52" s="71">
        <f>Anthropic!$J$18*Anthropic!$J$27+Anthropic!$J$19*Anthropic!$J$28+Anthropic!$J$20*Anthropic!$J$29+Anthropic!$J$21*E52*(1+nPowerCagr)^4*(1+nResidualBasisMarkup+nScarcityAlpha*POWER(Anthropic!$J$21,nScarcityGamma))</f>
        <v/>
      </c>
      <c r="I52" s="113">
        <f>Assumptions!$F$10+RAND()*(Assumptions!$D$10-Assumptions!$F$10)</f>
        <v/>
      </c>
      <c r="J52" s="113">
        <f>RAND()*nCodSlipMaxMo</f>
        <v/>
      </c>
      <c r="K52" s="114">
        <f>nAvailDrawMin+RAND()*(nAvailDrawMax-nAvailDrawMin)</f>
        <v/>
      </c>
      <c r="L52" s="45">
        <f>IF(2034&lt;sNsmrCodU1+J52/12,0,(nNsmrCap+nNsmrOpx*(1+sNsmrOpxEsc)^8+nNsmrFuel*FuelEsc*(1+nFuelCagr)^8-nNsmrItc)*IF(2034&lt;sNsmrCodU1+J52/12+nStepFirst,1,IF(nStepGated="Yes",(1+nStepPct)^(INT((2034-sNsmrCodU1-J52/12-nStepFirst)/nStepEvery)+1),1))+nExclPrem*(1-nFlexRelief)-nProdCredit)</f>
        <v/>
      </c>
      <c r="M52" s="63">
        <f>MIN(nShortfallCapM,MAX(0,sNsmrAvailY2-K52)*sNsmrUnitMw*sNsmrUnits*8760*NsmrPrice2033/1000000)</f>
        <v/>
      </c>
      <c r="N52" s="82">
        <f>IF(RAND()&lt;0.5,nUsefulLifeDrawBase-(nUsefulLifeDrawBase-nUsefulLifeDrawMin)*BETA.INV(RAND(),1.15,1.15),nUsefulLifeDrawBase+(nUsefulLifeDrawMax-nUsefulLifeDrawBase)*BETA.INV(RAND(),1.15,1.15))</f>
        <v/>
      </c>
      <c r="O52" s="45">
        <f>((nInference*nGpuIdx+nAmort)*nUtilCal/D52)*(nUsefulLifeDrawBase/N52-1)</f>
        <v/>
      </c>
      <c r="P52" s="1" t="n"/>
      <c r="Q52" s="1" t="n"/>
      <c r="R52" s="1" t="n"/>
      <c r="S52" s="1" t="n"/>
      <c r="T52" s="1" t="n"/>
      <c r="U52" s="1" t="n"/>
    </row>
    <row r="53" ht="12" customHeight="1">
      <c r="A53" s="1" t="n"/>
      <c r="B53" s="38" t="n">
        <v>33</v>
      </c>
      <c r="C53" s="114">
        <f>Assumptions!$F$8+RAND()*(Assumptions!$D$8-Assumptions!$F$8)</f>
        <v/>
      </c>
      <c r="D53" s="114">
        <f>Assumptions!$D$9+RAND()*(Assumptions!$F$9-Assumptions!$D$9)</f>
        <v/>
      </c>
      <c r="E53" s="71">
        <f>Assumptions!$F$11+RAND()*(Assumptions!$D$11-Assumptions!$F$11)</f>
        <v/>
      </c>
      <c r="F53" s="45">
        <f>nListPrice*(1-C53)-(nInference*nGpuIdx+nAmort)*nUtilCal/D53-nNetworking-nOverheadBase*(E53/nPowerCal)-nCodBase*(1+I53/12)-O53</f>
        <v/>
      </c>
      <c r="G53" s="66">
        <f>MAX(F53,0)/nDebtService</f>
        <v/>
      </c>
      <c r="H53" s="71">
        <f>Anthropic!$J$18*Anthropic!$J$27+Anthropic!$J$19*Anthropic!$J$28+Anthropic!$J$20*Anthropic!$J$29+Anthropic!$J$21*E53*(1+nPowerCagr)^4*(1+nResidualBasisMarkup+nScarcityAlpha*POWER(Anthropic!$J$21,nScarcityGamma))</f>
        <v/>
      </c>
      <c r="I53" s="113">
        <f>Assumptions!$F$10+RAND()*(Assumptions!$D$10-Assumptions!$F$10)</f>
        <v/>
      </c>
      <c r="J53" s="113">
        <f>RAND()*nCodSlipMaxMo</f>
        <v/>
      </c>
      <c r="K53" s="114">
        <f>nAvailDrawMin+RAND()*(nAvailDrawMax-nAvailDrawMin)</f>
        <v/>
      </c>
      <c r="L53" s="45">
        <f>IF(2034&lt;sNsmrCodU1+J53/12,0,(nNsmrCap+nNsmrOpx*(1+sNsmrOpxEsc)^8+nNsmrFuel*FuelEsc*(1+nFuelCagr)^8-nNsmrItc)*IF(2034&lt;sNsmrCodU1+J53/12+nStepFirst,1,IF(nStepGated="Yes",(1+nStepPct)^(INT((2034-sNsmrCodU1-J53/12-nStepFirst)/nStepEvery)+1),1))+nExclPrem*(1-nFlexRelief)-nProdCredit)</f>
        <v/>
      </c>
      <c r="M53" s="63">
        <f>MIN(nShortfallCapM,MAX(0,sNsmrAvailY2-K53)*sNsmrUnitMw*sNsmrUnits*8760*NsmrPrice2033/1000000)</f>
        <v/>
      </c>
      <c r="N53" s="82">
        <f>IF(RAND()&lt;0.5,nUsefulLifeDrawBase-(nUsefulLifeDrawBase-nUsefulLifeDrawMin)*BETA.INV(RAND(),1.15,1.15),nUsefulLifeDrawBase+(nUsefulLifeDrawMax-nUsefulLifeDrawBase)*BETA.INV(RAND(),1.15,1.15))</f>
        <v/>
      </c>
      <c r="O53" s="45">
        <f>((nInference*nGpuIdx+nAmort)*nUtilCal/D53)*(nUsefulLifeDrawBase/N53-1)</f>
        <v/>
      </c>
      <c r="P53" s="1" t="n"/>
      <c r="Q53" s="1" t="n"/>
      <c r="R53" s="1" t="n"/>
      <c r="S53" s="1" t="n"/>
      <c r="T53" s="1" t="n"/>
      <c r="U53" s="1" t="n"/>
    </row>
    <row r="54" ht="12" customHeight="1">
      <c r="A54" s="1" t="n"/>
      <c r="B54" s="38" t="n">
        <v>34</v>
      </c>
      <c r="C54" s="114">
        <f>Assumptions!$F$8+RAND()*(Assumptions!$D$8-Assumptions!$F$8)</f>
        <v/>
      </c>
      <c r="D54" s="114">
        <f>Assumptions!$D$9+RAND()*(Assumptions!$F$9-Assumptions!$D$9)</f>
        <v/>
      </c>
      <c r="E54" s="71">
        <f>Assumptions!$F$11+RAND()*(Assumptions!$D$11-Assumptions!$F$11)</f>
        <v/>
      </c>
      <c r="F54" s="45">
        <f>nListPrice*(1-C54)-(nInference*nGpuIdx+nAmort)*nUtilCal/D54-nNetworking-nOverheadBase*(E54/nPowerCal)-nCodBase*(1+I54/12)-O54</f>
        <v/>
      </c>
      <c r="G54" s="66">
        <f>MAX(F54,0)/nDebtService</f>
        <v/>
      </c>
      <c r="H54" s="71">
        <f>Anthropic!$J$18*Anthropic!$J$27+Anthropic!$J$19*Anthropic!$J$28+Anthropic!$J$20*Anthropic!$J$29+Anthropic!$J$21*E54*(1+nPowerCagr)^4*(1+nResidualBasisMarkup+nScarcityAlpha*POWER(Anthropic!$J$21,nScarcityGamma))</f>
        <v/>
      </c>
      <c r="I54" s="113">
        <f>Assumptions!$F$10+RAND()*(Assumptions!$D$10-Assumptions!$F$10)</f>
        <v/>
      </c>
      <c r="J54" s="113">
        <f>RAND()*nCodSlipMaxMo</f>
        <v/>
      </c>
      <c r="K54" s="114">
        <f>nAvailDrawMin+RAND()*(nAvailDrawMax-nAvailDrawMin)</f>
        <v/>
      </c>
      <c r="L54" s="45">
        <f>IF(2034&lt;sNsmrCodU1+J54/12,0,(nNsmrCap+nNsmrOpx*(1+sNsmrOpxEsc)^8+nNsmrFuel*FuelEsc*(1+nFuelCagr)^8-nNsmrItc)*IF(2034&lt;sNsmrCodU1+J54/12+nStepFirst,1,IF(nStepGated="Yes",(1+nStepPct)^(INT((2034-sNsmrCodU1-J54/12-nStepFirst)/nStepEvery)+1),1))+nExclPrem*(1-nFlexRelief)-nProdCredit)</f>
        <v/>
      </c>
      <c r="M54" s="63">
        <f>MIN(nShortfallCapM,MAX(0,sNsmrAvailY2-K54)*sNsmrUnitMw*sNsmrUnits*8760*NsmrPrice2033/1000000)</f>
        <v/>
      </c>
      <c r="N54" s="82">
        <f>IF(RAND()&lt;0.5,nUsefulLifeDrawBase-(nUsefulLifeDrawBase-nUsefulLifeDrawMin)*BETA.INV(RAND(),1.15,1.15),nUsefulLifeDrawBase+(nUsefulLifeDrawMax-nUsefulLifeDrawBase)*BETA.INV(RAND(),1.15,1.15))</f>
        <v/>
      </c>
      <c r="O54" s="45">
        <f>((nInference*nGpuIdx+nAmort)*nUtilCal/D54)*(nUsefulLifeDrawBase/N54-1)</f>
        <v/>
      </c>
      <c r="P54" s="1" t="n"/>
      <c r="Q54" s="1" t="n"/>
      <c r="R54" s="1" t="n"/>
      <c r="S54" s="1" t="n"/>
      <c r="T54" s="1" t="n"/>
      <c r="U54" s="1" t="n"/>
    </row>
    <row r="55" ht="12" customHeight="1">
      <c r="A55" s="1" t="n"/>
      <c r="B55" s="38" t="n">
        <v>35</v>
      </c>
      <c r="C55" s="114">
        <f>Assumptions!$F$8+RAND()*(Assumptions!$D$8-Assumptions!$F$8)</f>
        <v/>
      </c>
      <c r="D55" s="114">
        <f>Assumptions!$D$9+RAND()*(Assumptions!$F$9-Assumptions!$D$9)</f>
        <v/>
      </c>
      <c r="E55" s="71">
        <f>Assumptions!$F$11+RAND()*(Assumptions!$D$11-Assumptions!$F$11)</f>
        <v/>
      </c>
      <c r="F55" s="45">
        <f>nListPrice*(1-C55)-(nInference*nGpuIdx+nAmort)*nUtilCal/D55-nNetworking-nOverheadBase*(E55/nPowerCal)-nCodBase*(1+I55/12)-O55</f>
        <v/>
      </c>
      <c r="G55" s="66">
        <f>MAX(F55,0)/nDebtService</f>
        <v/>
      </c>
      <c r="H55" s="71">
        <f>Anthropic!$J$18*Anthropic!$J$27+Anthropic!$J$19*Anthropic!$J$28+Anthropic!$J$20*Anthropic!$J$29+Anthropic!$J$21*E55*(1+nPowerCagr)^4*(1+nResidualBasisMarkup+nScarcityAlpha*POWER(Anthropic!$J$21,nScarcityGamma))</f>
        <v/>
      </c>
      <c r="I55" s="113">
        <f>Assumptions!$F$10+RAND()*(Assumptions!$D$10-Assumptions!$F$10)</f>
        <v/>
      </c>
      <c r="J55" s="113">
        <f>RAND()*nCodSlipMaxMo</f>
        <v/>
      </c>
      <c r="K55" s="114">
        <f>nAvailDrawMin+RAND()*(nAvailDrawMax-nAvailDrawMin)</f>
        <v/>
      </c>
      <c r="L55" s="45">
        <f>IF(2034&lt;sNsmrCodU1+J55/12,0,(nNsmrCap+nNsmrOpx*(1+sNsmrOpxEsc)^8+nNsmrFuel*FuelEsc*(1+nFuelCagr)^8-nNsmrItc)*IF(2034&lt;sNsmrCodU1+J55/12+nStepFirst,1,IF(nStepGated="Yes",(1+nStepPct)^(INT((2034-sNsmrCodU1-J55/12-nStepFirst)/nStepEvery)+1),1))+nExclPrem*(1-nFlexRelief)-nProdCredit)</f>
        <v/>
      </c>
      <c r="M55" s="63">
        <f>MIN(nShortfallCapM,MAX(0,sNsmrAvailY2-K55)*sNsmrUnitMw*sNsmrUnits*8760*NsmrPrice2033/1000000)</f>
        <v/>
      </c>
      <c r="N55" s="82">
        <f>IF(RAND()&lt;0.5,nUsefulLifeDrawBase-(nUsefulLifeDrawBase-nUsefulLifeDrawMin)*BETA.INV(RAND(),1.15,1.15),nUsefulLifeDrawBase+(nUsefulLifeDrawMax-nUsefulLifeDrawBase)*BETA.INV(RAND(),1.15,1.15))</f>
        <v/>
      </c>
      <c r="O55" s="45">
        <f>((nInference*nGpuIdx+nAmort)*nUtilCal/D55)*(nUsefulLifeDrawBase/N55-1)</f>
        <v/>
      </c>
      <c r="P55" s="1" t="n"/>
      <c r="Q55" s="1" t="n"/>
      <c r="R55" s="1" t="n"/>
      <c r="S55" s="1" t="n"/>
      <c r="T55" s="1" t="n"/>
      <c r="U55" s="1" t="n"/>
    </row>
    <row r="56" ht="12" customHeight="1">
      <c r="A56" s="1" t="n"/>
      <c r="B56" s="38" t="n">
        <v>36</v>
      </c>
      <c r="C56" s="114">
        <f>Assumptions!$F$8+RAND()*(Assumptions!$D$8-Assumptions!$F$8)</f>
        <v/>
      </c>
      <c r="D56" s="114">
        <f>Assumptions!$D$9+RAND()*(Assumptions!$F$9-Assumptions!$D$9)</f>
        <v/>
      </c>
      <c r="E56" s="71">
        <f>Assumptions!$F$11+RAND()*(Assumptions!$D$11-Assumptions!$F$11)</f>
        <v/>
      </c>
      <c r="F56" s="45">
        <f>nListPrice*(1-C56)-(nInference*nGpuIdx+nAmort)*nUtilCal/D56-nNetworking-nOverheadBase*(E56/nPowerCal)-nCodBase*(1+I56/12)-O56</f>
        <v/>
      </c>
      <c r="G56" s="66">
        <f>MAX(F56,0)/nDebtService</f>
        <v/>
      </c>
      <c r="H56" s="71">
        <f>Anthropic!$J$18*Anthropic!$J$27+Anthropic!$J$19*Anthropic!$J$28+Anthropic!$J$20*Anthropic!$J$29+Anthropic!$J$21*E56*(1+nPowerCagr)^4*(1+nResidualBasisMarkup+nScarcityAlpha*POWER(Anthropic!$J$21,nScarcityGamma))</f>
        <v/>
      </c>
      <c r="I56" s="113">
        <f>Assumptions!$F$10+RAND()*(Assumptions!$D$10-Assumptions!$F$10)</f>
        <v/>
      </c>
      <c r="J56" s="113">
        <f>RAND()*nCodSlipMaxMo</f>
        <v/>
      </c>
      <c r="K56" s="114">
        <f>nAvailDrawMin+RAND()*(nAvailDrawMax-nAvailDrawMin)</f>
        <v/>
      </c>
      <c r="L56" s="45">
        <f>IF(2034&lt;sNsmrCodU1+J56/12,0,(nNsmrCap+nNsmrOpx*(1+sNsmrOpxEsc)^8+nNsmrFuel*FuelEsc*(1+nFuelCagr)^8-nNsmrItc)*IF(2034&lt;sNsmrCodU1+J56/12+nStepFirst,1,IF(nStepGated="Yes",(1+nStepPct)^(INT((2034-sNsmrCodU1-J56/12-nStepFirst)/nStepEvery)+1),1))+nExclPrem*(1-nFlexRelief)-nProdCredit)</f>
        <v/>
      </c>
      <c r="M56" s="63">
        <f>MIN(nShortfallCapM,MAX(0,sNsmrAvailY2-K56)*sNsmrUnitMw*sNsmrUnits*8760*NsmrPrice2033/1000000)</f>
        <v/>
      </c>
      <c r="N56" s="82">
        <f>IF(RAND()&lt;0.5,nUsefulLifeDrawBase-(nUsefulLifeDrawBase-nUsefulLifeDrawMin)*BETA.INV(RAND(),1.15,1.15),nUsefulLifeDrawBase+(nUsefulLifeDrawMax-nUsefulLifeDrawBase)*BETA.INV(RAND(),1.15,1.15))</f>
        <v/>
      </c>
      <c r="O56" s="45">
        <f>((nInference*nGpuIdx+nAmort)*nUtilCal/D56)*(nUsefulLifeDrawBase/N56-1)</f>
        <v/>
      </c>
      <c r="P56" s="1" t="n"/>
      <c r="Q56" s="1" t="n"/>
      <c r="R56" s="1" t="n"/>
      <c r="S56" s="1" t="n"/>
      <c r="T56" s="1" t="n"/>
      <c r="U56" s="1" t="n"/>
    </row>
    <row r="57" ht="12" customHeight="1">
      <c r="A57" s="1" t="n"/>
      <c r="B57" s="38" t="n">
        <v>37</v>
      </c>
      <c r="C57" s="114">
        <f>Assumptions!$F$8+RAND()*(Assumptions!$D$8-Assumptions!$F$8)</f>
        <v/>
      </c>
      <c r="D57" s="114">
        <f>Assumptions!$D$9+RAND()*(Assumptions!$F$9-Assumptions!$D$9)</f>
        <v/>
      </c>
      <c r="E57" s="71">
        <f>Assumptions!$F$11+RAND()*(Assumptions!$D$11-Assumptions!$F$11)</f>
        <v/>
      </c>
      <c r="F57" s="45">
        <f>nListPrice*(1-C57)-(nInference*nGpuIdx+nAmort)*nUtilCal/D57-nNetworking-nOverheadBase*(E57/nPowerCal)-nCodBase*(1+I57/12)-O57</f>
        <v/>
      </c>
      <c r="G57" s="66">
        <f>MAX(F57,0)/nDebtService</f>
        <v/>
      </c>
      <c r="H57" s="71">
        <f>Anthropic!$J$18*Anthropic!$J$27+Anthropic!$J$19*Anthropic!$J$28+Anthropic!$J$20*Anthropic!$J$29+Anthropic!$J$21*E57*(1+nPowerCagr)^4*(1+nResidualBasisMarkup+nScarcityAlpha*POWER(Anthropic!$J$21,nScarcityGamma))</f>
        <v/>
      </c>
      <c r="I57" s="113">
        <f>Assumptions!$F$10+RAND()*(Assumptions!$D$10-Assumptions!$F$10)</f>
        <v/>
      </c>
      <c r="J57" s="113">
        <f>RAND()*nCodSlipMaxMo</f>
        <v/>
      </c>
      <c r="K57" s="114">
        <f>nAvailDrawMin+RAND()*(nAvailDrawMax-nAvailDrawMin)</f>
        <v/>
      </c>
      <c r="L57" s="45">
        <f>IF(2034&lt;sNsmrCodU1+J57/12,0,(nNsmrCap+nNsmrOpx*(1+sNsmrOpxEsc)^8+nNsmrFuel*FuelEsc*(1+nFuelCagr)^8-nNsmrItc)*IF(2034&lt;sNsmrCodU1+J57/12+nStepFirst,1,IF(nStepGated="Yes",(1+nStepPct)^(INT((2034-sNsmrCodU1-J57/12-nStepFirst)/nStepEvery)+1),1))+nExclPrem*(1-nFlexRelief)-nProdCredit)</f>
        <v/>
      </c>
      <c r="M57" s="63">
        <f>MIN(nShortfallCapM,MAX(0,sNsmrAvailY2-K57)*sNsmrUnitMw*sNsmrUnits*8760*NsmrPrice2033/1000000)</f>
        <v/>
      </c>
      <c r="N57" s="82">
        <f>IF(RAND()&lt;0.5,nUsefulLifeDrawBase-(nUsefulLifeDrawBase-nUsefulLifeDrawMin)*BETA.INV(RAND(),1.15,1.15),nUsefulLifeDrawBase+(nUsefulLifeDrawMax-nUsefulLifeDrawBase)*BETA.INV(RAND(),1.15,1.15))</f>
        <v/>
      </c>
      <c r="O57" s="45">
        <f>((nInference*nGpuIdx+nAmort)*nUtilCal/D57)*(nUsefulLifeDrawBase/N57-1)</f>
        <v/>
      </c>
      <c r="P57" s="1" t="n"/>
      <c r="Q57" s="1" t="n"/>
      <c r="R57" s="1" t="n"/>
      <c r="S57" s="1" t="n"/>
      <c r="T57" s="1" t="n"/>
      <c r="U57" s="1" t="n"/>
    </row>
    <row r="58" ht="12" customHeight="1">
      <c r="A58" s="1" t="n"/>
      <c r="B58" s="38" t="n">
        <v>38</v>
      </c>
      <c r="C58" s="114">
        <f>Assumptions!$F$8+RAND()*(Assumptions!$D$8-Assumptions!$F$8)</f>
        <v/>
      </c>
      <c r="D58" s="114">
        <f>Assumptions!$D$9+RAND()*(Assumptions!$F$9-Assumptions!$D$9)</f>
        <v/>
      </c>
      <c r="E58" s="71">
        <f>Assumptions!$F$11+RAND()*(Assumptions!$D$11-Assumptions!$F$11)</f>
        <v/>
      </c>
      <c r="F58" s="45">
        <f>nListPrice*(1-C58)-(nInference*nGpuIdx+nAmort)*nUtilCal/D58-nNetworking-nOverheadBase*(E58/nPowerCal)-nCodBase*(1+I58/12)-O58</f>
        <v/>
      </c>
      <c r="G58" s="66">
        <f>MAX(F58,0)/nDebtService</f>
        <v/>
      </c>
      <c r="H58" s="71">
        <f>Anthropic!$J$18*Anthropic!$J$27+Anthropic!$J$19*Anthropic!$J$28+Anthropic!$J$20*Anthropic!$J$29+Anthropic!$J$21*E58*(1+nPowerCagr)^4*(1+nResidualBasisMarkup+nScarcityAlpha*POWER(Anthropic!$J$21,nScarcityGamma))</f>
        <v/>
      </c>
      <c r="I58" s="113">
        <f>Assumptions!$F$10+RAND()*(Assumptions!$D$10-Assumptions!$F$10)</f>
        <v/>
      </c>
      <c r="J58" s="113">
        <f>RAND()*nCodSlipMaxMo</f>
        <v/>
      </c>
      <c r="K58" s="114">
        <f>nAvailDrawMin+RAND()*(nAvailDrawMax-nAvailDrawMin)</f>
        <v/>
      </c>
      <c r="L58" s="45">
        <f>IF(2034&lt;sNsmrCodU1+J58/12,0,(nNsmrCap+nNsmrOpx*(1+sNsmrOpxEsc)^8+nNsmrFuel*FuelEsc*(1+nFuelCagr)^8-nNsmrItc)*IF(2034&lt;sNsmrCodU1+J58/12+nStepFirst,1,IF(nStepGated="Yes",(1+nStepPct)^(INT((2034-sNsmrCodU1-J58/12-nStepFirst)/nStepEvery)+1),1))+nExclPrem*(1-nFlexRelief)-nProdCredit)</f>
        <v/>
      </c>
      <c r="M58" s="63">
        <f>MIN(nShortfallCapM,MAX(0,sNsmrAvailY2-K58)*sNsmrUnitMw*sNsmrUnits*8760*NsmrPrice2033/1000000)</f>
        <v/>
      </c>
      <c r="N58" s="82">
        <f>IF(RAND()&lt;0.5,nUsefulLifeDrawBase-(nUsefulLifeDrawBase-nUsefulLifeDrawMin)*BETA.INV(RAND(),1.15,1.15),nUsefulLifeDrawBase+(nUsefulLifeDrawMax-nUsefulLifeDrawBase)*BETA.INV(RAND(),1.15,1.15))</f>
        <v/>
      </c>
      <c r="O58" s="45">
        <f>((nInference*nGpuIdx+nAmort)*nUtilCal/D58)*(nUsefulLifeDrawBase/N58-1)</f>
        <v/>
      </c>
      <c r="P58" s="1" t="n"/>
      <c r="Q58" s="1" t="n"/>
      <c r="R58" s="1" t="n"/>
      <c r="S58" s="1" t="n"/>
      <c r="T58" s="1" t="n"/>
      <c r="U58" s="1" t="n"/>
    </row>
    <row r="59" ht="12" customHeight="1">
      <c r="A59" s="1" t="n"/>
      <c r="B59" s="38" t="n">
        <v>39</v>
      </c>
      <c r="C59" s="114">
        <f>Assumptions!$F$8+RAND()*(Assumptions!$D$8-Assumptions!$F$8)</f>
        <v/>
      </c>
      <c r="D59" s="114">
        <f>Assumptions!$D$9+RAND()*(Assumptions!$F$9-Assumptions!$D$9)</f>
        <v/>
      </c>
      <c r="E59" s="71">
        <f>Assumptions!$F$11+RAND()*(Assumptions!$D$11-Assumptions!$F$11)</f>
        <v/>
      </c>
      <c r="F59" s="45">
        <f>nListPrice*(1-C59)-(nInference*nGpuIdx+nAmort)*nUtilCal/D59-nNetworking-nOverheadBase*(E59/nPowerCal)-nCodBase*(1+I59/12)-O59</f>
        <v/>
      </c>
      <c r="G59" s="66">
        <f>MAX(F59,0)/nDebtService</f>
        <v/>
      </c>
      <c r="H59" s="71">
        <f>Anthropic!$J$18*Anthropic!$J$27+Anthropic!$J$19*Anthropic!$J$28+Anthropic!$J$20*Anthropic!$J$29+Anthropic!$J$21*E59*(1+nPowerCagr)^4*(1+nResidualBasisMarkup+nScarcityAlpha*POWER(Anthropic!$J$21,nScarcityGamma))</f>
        <v/>
      </c>
      <c r="I59" s="113">
        <f>Assumptions!$F$10+RAND()*(Assumptions!$D$10-Assumptions!$F$10)</f>
        <v/>
      </c>
      <c r="J59" s="113">
        <f>RAND()*nCodSlipMaxMo</f>
        <v/>
      </c>
      <c r="K59" s="114">
        <f>nAvailDrawMin+RAND()*(nAvailDrawMax-nAvailDrawMin)</f>
        <v/>
      </c>
      <c r="L59" s="45">
        <f>IF(2034&lt;sNsmrCodU1+J59/12,0,(nNsmrCap+nNsmrOpx*(1+sNsmrOpxEsc)^8+nNsmrFuel*FuelEsc*(1+nFuelCagr)^8-nNsmrItc)*IF(2034&lt;sNsmrCodU1+J59/12+nStepFirst,1,IF(nStepGated="Yes",(1+nStepPct)^(INT((2034-sNsmrCodU1-J59/12-nStepFirst)/nStepEvery)+1),1))+nExclPrem*(1-nFlexRelief)-nProdCredit)</f>
        <v/>
      </c>
      <c r="M59" s="63">
        <f>MIN(nShortfallCapM,MAX(0,sNsmrAvailY2-K59)*sNsmrUnitMw*sNsmrUnits*8760*NsmrPrice2033/1000000)</f>
        <v/>
      </c>
      <c r="N59" s="82">
        <f>IF(RAND()&lt;0.5,nUsefulLifeDrawBase-(nUsefulLifeDrawBase-nUsefulLifeDrawMin)*BETA.INV(RAND(),1.15,1.15),nUsefulLifeDrawBase+(nUsefulLifeDrawMax-nUsefulLifeDrawBase)*BETA.INV(RAND(),1.15,1.15))</f>
        <v/>
      </c>
      <c r="O59" s="45">
        <f>((nInference*nGpuIdx+nAmort)*nUtilCal/D59)*(nUsefulLifeDrawBase/N59-1)</f>
        <v/>
      </c>
      <c r="P59" s="1" t="n"/>
      <c r="Q59" s="1" t="n"/>
      <c r="R59" s="1" t="n"/>
      <c r="S59" s="1" t="n"/>
      <c r="T59" s="1" t="n"/>
      <c r="U59" s="1" t="n"/>
    </row>
    <row r="60" ht="12" customHeight="1">
      <c r="A60" s="1" t="n"/>
      <c r="B60" s="38" t="n">
        <v>40</v>
      </c>
      <c r="C60" s="114">
        <f>Assumptions!$F$8+RAND()*(Assumptions!$D$8-Assumptions!$F$8)</f>
        <v/>
      </c>
      <c r="D60" s="114">
        <f>Assumptions!$D$9+RAND()*(Assumptions!$F$9-Assumptions!$D$9)</f>
        <v/>
      </c>
      <c r="E60" s="71">
        <f>Assumptions!$F$11+RAND()*(Assumptions!$D$11-Assumptions!$F$11)</f>
        <v/>
      </c>
      <c r="F60" s="45">
        <f>nListPrice*(1-C60)-(nInference*nGpuIdx+nAmort)*nUtilCal/D60-nNetworking-nOverheadBase*(E60/nPowerCal)-nCodBase*(1+I60/12)-O60</f>
        <v/>
      </c>
      <c r="G60" s="66">
        <f>MAX(F60,0)/nDebtService</f>
        <v/>
      </c>
      <c r="H60" s="71">
        <f>Anthropic!$J$18*Anthropic!$J$27+Anthropic!$J$19*Anthropic!$J$28+Anthropic!$J$20*Anthropic!$J$29+Anthropic!$J$21*E60*(1+nPowerCagr)^4*(1+nResidualBasisMarkup+nScarcityAlpha*POWER(Anthropic!$J$21,nScarcityGamma))</f>
        <v/>
      </c>
      <c r="I60" s="113">
        <f>Assumptions!$F$10+RAND()*(Assumptions!$D$10-Assumptions!$F$10)</f>
        <v/>
      </c>
      <c r="J60" s="113">
        <f>RAND()*nCodSlipMaxMo</f>
        <v/>
      </c>
      <c r="K60" s="114">
        <f>nAvailDrawMin+RAND()*(nAvailDrawMax-nAvailDrawMin)</f>
        <v/>
      </c>
      <c r="L60" s="45">
        <f>IF(2034&lt;sNsmrCodU1+J60/12,0,(nNsmrCap+nNsmrOpx*(1+sNsmrOpxEsc)^8+nNsmrFuel*FuelEsc*(1+nFuelCagr)^8-nNsmrItc)*IF(2034&lt;sNsmrCodU1+J60/12+nStepFirst,1,IF(nStepGated="Yes",(1+nStepPct)^(INT((2034-sNsmrCodU1-J60/12-nStepFirst)/nStepEvery)+1),1))+nExclPrem*(1-nFlexRelief)-nProdCredit)</f>
        <v/>
      </c>
      <c r="M60" s="63">
        <f>MIN(nShortfallCapM,MAX(0,sNsmrAvailY2-K60)*sNsmrUnitMw*sNsmrUnits*8760*NsmrPrice2033/1000000)</f>
        <v/>
      </c>
      <c r="N60" s="82">
        <f>IF(RAND()&lt;0.5,nUsefulLifeDrawBase-(nUsefulLifeDrawBase-nUsefulLifeDrawMin)*BETA.INV(RAND(),1.15,1.15),nUsefulLifeDrawBase+(nUsefulLifeDrawMax-nUsefulLifeDrawBase)*BETA.INV(RAND(),1.15,1.15))</f>
        <v/>
      </c>
      <c r="O60" s="45">
        <f>((nInference*nGpuIdx+nAmort)*nUtilCal/D60)*(nUsefulLifeDrawBase/N60-1)</f>
        <v/>
      </c>
      <c r="P60" s="1" t="n"/>
      <c r="Q60" s="1" t="n"/>
      <c r="R60" s="1" t="n"/>
      <c r="S60" s="1" t="n"/>
      <c r="T60" s="1" t="n"/>
      <c r="U60" s="1" t="n"/>
    </row>
    <row r="61" ht="12" customHeight="1">
      <c r="A61" s="1" t="n"/>
      <c r="B61" s="38" t="n">
        <v>41</v>
      </c>
      <c r="C61" s="114">
        <f>Assumptions!$F$8+RAND()*(Assumptions!$D$8-Assumptions!$F$8)</f>
        <v/>
      </c>
      <c r="D61" s="114">
        <f>Assumptions!$D$9+RAND()*(Assumptions!$F$9-Assumptions!$D$9)</f>
        <v/>
      </c>
      <c r="E61" s="71">
        <f>Assumptions!$F$11+RAND()*(Assumptions!$D$11-Assumptions!$F$11)</f>
        <v/>
      </c>
      <c r="F61" s="45">
        <f>nListPrice*(1-C61)-(nInference*nGpuIdx+nAmort)*nUtilCal/D61-nNetworking-nOverheadBase*(E61/nPowerCal)-nCodBase*(1+I61/12)-O61</f>
        <v/>
      </c>
      <c r="G61" s="66">
        <f>MAX(F61,0)/nDebtService</f>
        <v/>
      </c>
      <c r="H61" s="71">
        <f>Anthropic!$J$18*Anthropic!$J$27+Anthropic!$J$19*Anthropic!$J$28+Anthropic!$J$20*Anthropic!$J$29+Anthropic!$J$21*E61*(1+nPowerCagr)^4*(1+nResidualBasisMarkup+nScarcityAlpha*POWER(Anthropic!$J$21,nScarcityGamma))</f>
        <v/>
      </c>
      <c r="I61" s="113">
        <f>Assumptions!$F$10+RAND()*(Assumptions!$D$10-Assumptions!$F$10)</f>
        <v/>
      </c>
      <c r="J61" s="113">
        <f>RAND()*nCodSlipMaxMo</f>
        <v/>
      </c>
      <c r="K61" s="114">
        <f>nAvailDrawMin+RAND()*(nAvailDrawMax-nAvailDrawMin)</f>
        <v/>
      </c>
      <c r="L61" s="45">
        <f>IF(2034&lt;sNsmrCodU1+J61/12,0,(nNsmrCap+nNsmrOpx*(1+sNsmrOpxEsc)^8+nNsmrFuel*FuelEsc*(1+nFuelCagr)^8-nNsmrItc)*IF(2034&lt;sNsmrCodU1+J61/12+nStepFirst,1,IF(nStepGated="Yes",(1+nStepPct)^(INT((2034-sNsmrCodU1-J61/12-nStepFirst)/nStepEvery)+1),1))+nExclPrem*(1-nFlexRelief)-nProdCredit)</f>
        <v/>
      </c>
      <c r="M61" s="63">
        <f>MIN(nShortfallCapM,MAX(0,sNsmrAvailY2-K61)*sNsmrUnitMw*sNsmrUnits*8760*NsmrPrice2033/1000000)</f>
        <v/>
      </c>
      <c r="N61" s="82">
        <f>IF(RAND()&lt;0.5,nUsefulLifeDrawBase-(nUsefulLifeDrawBase-nUsefulLifeDrawMin)*BETA.INV(RAND(),1.15,1.15),nUsefulLifeDrawBase+(nUsefulLifeDrawMax-nUsefulLifeDrawBase)*BETA.INV(RAND(),1.15,1.15))</f>
        <v/>
      </c>
      <c r="O61" s="45">
        <f>((nInference*nGpuIdx+nAmort)*nUtilCal/D61)*(nUsefulLifeDrawBase/N61-1)</f>
        <v/>
      </c>
      <c r="P61" s="1" t="n"/>
      <c r="Q61" s="1" t="n"/>
      <c r="R61" s="1" t="n"/>
      <c r="S61" s="1" t="n"/>
      <c r="T61" s="1" t="n"/>
      <c r="U61" s="1" t="n"/>
    </row>
    <row r="62" ht="12" customHeight="1">
      <c r="A62" s="1" t="n"/>
      <c r="B62" s="38" t="n">
        <v>42</v>
      </c>
      <c r="C62" s="114">
        <f>Assumptions!$F$8+RAND()*(Assumptions!$D$8-Assumptions!$F$8)</f>
        <v/>
      </c>
      <c r="D62" s="114">
        <f>Assumptions!$D$9+RAND()*(Assumptions!$F$9-Assumptions!$D$9)</f>
        <v/>
      </c>
      <c r="E62" s="71">
        <f>Assumptions!$F$11+RAND()*(Assumptions!$D$11-Assumptions!$F$11)</f>
        <v/>
      </c>
      <c r="F62" s="45">
        <f>nListPrice*(1-C62)-(nInference*nGpuIdx+nAmort)*nUtilCal/D62-nNetworking-nOverheadBase*(E62/nPowerCal)-nCodBase*(1+I62/12)-O62</f>
        <v/>
      </c>
      <c r="G62" s="66">
        <f>MAX(F62,0)/nDebtService</f>
        <v/>
      </c>
      <c r="H62" s="71">
        <f>Anthropic!$J$18*Anthropic!$J$27+Anthropic!$J$19*Anthropic!$J$28+Anthropic!$J$20*Anthropic!$J$29+Anthropic!$J$21*E62*(1+nPowerCagr)^4*(1+nResidualBasisMarkup+nScarcityAlpha*POWER(Anthropic!$J$21,nScarcityGamma))</f>
        <v/>
      </c>
      <c r="I62" s="113">
        <f>Assumptions!$F$10+RAND()*(Assumptions!$D$10-Assumptions!$F$10)</f>
        <v/>
      </c>
      <c r="J62" s="113">
        <f>RAND()*nCodSlipMaxMo</f>
        <v/>
      </c>
      <c r="K62" s="114">
        <f>nAvailDrawMin+RAND()*(nAvailDrawMax-nAvailDrawMin)</f>
        <v/>
      </c>
      <c r="L62" s="45">
        <f>IF(2034&lt;sNsmrCodU1+J62/12,0,(nNsmrCap+nNsmrOpx*(1+sNsmrOpxEsc)^8+nNsmrFuel*FuelEsc*(1+nFuelCagr)^8-nNsmrItc)*IF(2034&lt;sNsmrCodU1+J62/12+nStepFirst,1,IF(nStepGated="Yes",(1+nStepPct)^(INT((2034-sNsmrCodU1-J62/12-nStepFirst)/nStepEvery)+1),1))+nExclPrem*(1-nFlexRelief)-nProdCredit)</f>
        <v/>
      </c>
      <c r="M62" s="63">
        <f>MIN(nShortfallCapM,MAX(0,sNsmrAvailY2-K62)*sNsmrUnitMw*sNsmrUnits*8760*NsmrPrice2033/1000000)</f>
        <v/>
      </c>
      <c r="N62" s="82">
        <f>IF(RAND()&lt;0.5,nUsefulLifeDrawBase-(nUsefulLifeDrawBase-nUsefulLifeDrawMin)*BETA.INV(RAND(),1.15,1.15),nUsefulLifeDrawBase+(nUsefulLifeDrawMax-nUsefulLifeDrawBase)*BETA.INV(RAND(),1.15,1.15))</f>
        <v/>
      </c>
      <c r="O62" s="45">
        <f>((nInference*nGpuIdx+nAmort)*nUtilCal/D62)*(nUsefulLifeDrawBase/N62-1)</f>
        <v/>
      </c>
      <c r="P62" s="1" t="n"/>
      <c r="Q62" s="1" t="n"/>
      <c r="R62" s="1" t="n"/>
      <c r="S62" s="1" t="n"/>
      <c r="T62" s="1" t="n"/>
      <c r="U62" s="1" t="n"/>
    </row>
    <row r="63" ht="12" customHeight="1">
      <c r="A63" s="1" t="n"/>
      <c r="B63" s="38" t="n">
        <v>43</v>
      </c>
      <c r="C63" s="114">
        <f>Assumptions!$F$8+RAND()*(Assumptions!$D$8-Assumptions!$F$8)</f>
        <v/>
      </c>
      <c r="D63" s="114">
        <f>Assumptions!$D$9+RAND()*(Assumptions!$F$9-Assumptions!$D$9)</f>
        <v/>
      </c>
      <c r="E63" s="71">
        <f>Assumptions!$F$11+RAND()*(Assumptions!$D$11-Assumptions!$F$11)</f>
        <v/>
      </c>
      <c r="F63" s="45">
        <f>nListPrice*(1-C63)-(nInference*nGpuIdx+nAmort)*nUtilCal/D63-nNetworking-nOverheadBase*(E63/nPowerCal)-nCodBase*(1+I63/12)-O63</f>
        <v/>
      </c>
      <c r="G63" s="66">
        <f>MAX(F63,0)/nDebtService</f>
        <v/>
      </c>
      <c r="H63" s="71">
        <f>Anthropic!$J$18*Anthropic!$J$27+Anthropic!$J$19*Anthropic!$J$28+Anthropic!$J$20*Anthropic!$J$29+Anthropic!$J$21*E63*(1+nPowerCagr)^4*(1+nResidualBasisMarkup+nScarcityAlpha*POWER(Anthropic!$J$21,nScarcityGamma))</f>
        <v/>
      </c>
      <c r="I63" s="113">
        <f>Assumptions!$F$10+RAND()*(Assumptions!$D$10-Assumptions!$F$10)</f>
        <v/>
      </c>
      <c r="J63" s="113">
        <f>RAND()*nCodSlipMaxMo</f>
        <v/>
      </c>
      <c r="K63" s="114">
        <f>nAvailDrawMin+RAND()*(nAvailDrawMax-nAvailDrawMin)</f>
        <v/>
      </c>
      <c r="L63" s="45">
        <f>IF(2034&lt;sNsmrCodU1+J63/12,0,(nNsmrCap+nNsmrOpx*(1+sNsmrOpxEsc)^8+nNsmrFuel*FuelEsc*(1+nFuelCagr)^8-nNsmrItc)*IF(2034&lt;sNsmrCodU1+J63/12+nStepFirst,1,IF(nStepGated="Yes",(1+nStepPct)^(INT((2034-sNsmrCodU1-J63/12-nStepFirst)/nStepEvery)+1),1))+nExclPrem*(1-nFlexRelief)-nProdCredit)</f>
        <v/>
      </c>
      <c r="M63" s="63">
        <f>MIN(nShortfallCapM,MAX(0,sNsmrAvailY2-K63)*sNsmrUnitMw*sNsmrUnits*8760*NsmrPrice2033/1000000)</f>
        <v/>
      </c>
      <c r="N63" s="82">
        <f>IF(RAND()&lt;0.5,nUsefulLifeDrawBase-(nUsefulLifeDrawBase-nUsefulLifeDrawMin)*BETA.INV(RAND(),1.15,1.15),nUsefulLifeDrawBase+(nUsefulLifeDrawMax-nUsefulLifeDrawBase)*BETA.INV(RAND(),1.15,1.15))</f>
        <v/>
      </c>
      <c r="O63" s="45">
        <f>((nInference*nGpuIdx+nAmort)*nUtilCal/D63)*(nUsefulLifeDrawBase/N63-1)</f>
        <v/>
      </c>
      <c r="P63" s="1" t="n"/>
      <c r="Q63" s="1" t="n"/>
      <c r="R63" s="1" t="n"/>
      <c r="S63" s="1" t="n"/>
      <c r="T63" s="1" t="n"/>
      <c r="U63" s="1" t="n"/>
    </row>
    <row r="64" ht="12" customHeight="1">
      <c r="A64" s="1" t="n"/>
      <c r="B64" s="38" t="n">
        <v>44</v>
      </c>
      <c r="C64" s="114">
        <f>Assumptions!$F$8+RAND()*(Assumptions!$D$8-Assumptions!$F$8)</f>
        <v/>
      </c>
      <c r="D64" s="114">
        <f>Assumptions!$D$9+RAND()*(Assumptions!$F$9-Assumptions!$D$9)</f>
        <v/>
      </c>
      <c r="E64" s="71">
        <f>Assumptions!$F$11+RAND()*(Assumptions!$D$11-Assumptions!$F$11)</f>
        <v/>
      </c>
      <c r="F64" s="45">
        <f>nListPrice*(1-C64)-(nInference*nGpuIdx+nAmort)*nUtilCal/D64-nNetworking-nOverheadBase*(E64/nPowerCal)-nCodBase*(1+I64/12)-O64</f>
        <v/>
      </c>
      <c r="G64" s="66">
        <f>MAX(F64,0)/nDebtService</f>
        <v/>
      </c>
      <c r="H64" s="71">
        <f>Anthropic!$J$18*Anthropic!$J$27+Anthropic!$J$19*Anthropic!$J$28+Anthropic!$J$20*Anthropic!$J$29+Anthropic!$J$21*E64*(1+nPowerCagr)^4*(1+nResidualBasisMarkup+nScarcityAlpha*POWER(Anthropic!$J$21,nScarcityGamma))</f>
        <v/>
      </c>
      <c r="I64" s="113">
        <f>Assumptions!$F$10+RAND()*(Assumptions!$D$10-Assumptions!$F$10)</f>
        <v/>
      </c>
      <c r="J64" s="113">
        <f>RAND()*nCodSlipMaxMo</f>
        <v/>
      </c>
      <c r="K64" s="114">
        <f>nAvailDrawMin+RAND()*(nAvailDrawMax-nAvailDrawMin)</f>
        <v/>
      </c>
      <c r="L64" s="45">
        <f>IF(2034&lt;sNsmrCodU1+J64/12,0,(nNsmrCap+nNsmrOpx*(1+sNsmrOpxEsc)^8+nNsmrFuel*FuelEsc*(1+nFuelCagr)^8-nNsmrItc)*IF(2034&lt;sNsmrCodU1+J64/12+nStepFirst,1,IF(nStepGated="Yes",(1+nStepPct)^(INT((2034-sNsmrCodU1-J64/12-nStepFirst)/nStepEvery)+1),1))+nExclPrem*(1-nFlexRelief)-nProdCredit)</f>
        <v/>
      </c>
      <c r="M64" s="63">
        <f>MIN(nShortfallCapM,MAX(0,sNsmrAvailY2-K64)*sNsmrUnitMw*sNsmrUnits*8760*NsmrPrice2033/1000000)</f>
        <v/>
      </c>
      <c r="N64" s="82">
        <f>IF(RAND()&lt;0.5,nUsefulLifeDrawBase-(nUsefulLifeDrawBase-nUsefulLifeDrawMin)*BETA.INV(RAND(),1.15,1.15),nUsefulLifeDrawBase+(nUsefulLifeDrawMax-nUsefulLifeDrawBase)*BETA.INV(RAND(),1.15,1.15))</f>
        <v/>
      </c>
      <c r="O64" s="45">
        <f>((nInference*nGpuIdx+nAmort)*nUtilCal/D64)*(nUsefulLifeDrawBase/N64-1)</f>
        <v/>
      </c>
      <c r="P64" s="1" t="n"/>
      <c r="Q64" s="1" t="n"/>
      <c r="R64" s="1" t="n"/>
      <c r="S64" s="1" t="n"/>
      <c r="T64" s="1" t="n"/>
      <c r="U64" s="1" t="n"/>
    </row>
    <row r="65" ht="12" customHeight="1">
      <c r="A65" s="1" t="n"/>
      <c r="B65" s="38" t="n">
        <v>45</v>
      </c>
      <c r="C65" s="114">
        <f>Assumptions!$F$8+RAND()*(Assumptions!$D$8-Assumptions!$F$8)</f>
        <v/>
      </c>
      <c r="D65" s="114">
        <f>Assumptions!$D$9+RAND()*(Assumptions!$F$9-Assumptions!$D$9)</f>
        <v/>
      </c>
      <c r="E65" s="71">
        <f>Assumptions!$F$11+RAND()*(Assumptions!$D$11-Assumptions!$F$11)</f>
        <v/>
      </c>
      <c r="F65" s="45">
        <f>nListPrice*(1-C65)-(nInference*nGpuIdx+nAmort)*nUtilCal/D65-nNetworking-nOverheadBase*(E65/nPowerCal)-nCodBase*(1+I65/12)-O65</f>
        <v/>
      </c>
      <c r="G65" s="66">
        <f>MAX(F65,0)/nDebtService</f>
        <v/>
      </c>
      <c r="H65" s="71">
        <f>Anthropic!$J$18*Anthropic!$J$27+Anthropic!$J$19*Anthropic!$J$28+Anthropic!$J$20*Anthropic!$J$29+Anthropic!$J$21*E65*(1+nPowerCagr)^4*(1+nResidualBasisMarkup+nScarcityAlpha*POWER(Anthropic!$J$21,nScarcityGamma))</f>
        <v/>
      </c>
      <c r="I65" s="113">
        <f>Assumptions!$F$10+RAND()*(Assumptions!$D$10-Assumptions!$F$10)</f>
        <v/>
      </c>
      <c r="J65" s="113">
        <f>RAND()*nCodSlipMaxMo</f>
        <v/>
      </c>
      <c r="K65" s="114">
        <f>nAvailDrawMin+RAND()*(nAvailDrawMax-nAvailDrawMin)</f>
        <v/>
      </c>
      <c r="L65" s="45">
        <f>IF(2034&lt;sNsmrCodU1+J65/12,0,(nNsmrCap+nNsmrOpx*(1+sNsmrOpxEsc)^8+nNsmrFuel*FuelEsc*(1+nFuelCagr)^8-nNsmrItc)*IF(2034&lt;sNsmrCodU1+J65/12+nStepFirst,1,IF(nStepGated="Yes",(1+nStepPct)^(INT((2034-sNsmrCodU1-J65/12-nStepFirst)/nStepEvery)+1),1))+nExclPrem*(1-nFlexRelief)-nProdCredit)</f>
        <v/>
      </c>
      <c r="M65" s="63">
        <f>MIN(nShortfallCapM,MAX(0,sNsmrAvailY2-K65)*sNsmrUnitMw*sNsmrUnits*8760*NsmrPrice2033/1000000)</f>
        <v/>
      </c>
      <c r="N65" s="82">
        <f>IF(RAND()&lt;0.5,nUsefulLifeDrawBase-(nUsefulLifeDrawBase-nUsefulLifeDrawMin)*BETA.INV(RAND(),1.15,1.15),nUsefulLifeDrawBase+(nUsefulLifeDrawMax-nUsefulLifeDrawBase)*BETA.INV(RAND(),1.15,1.15))</f>
        <v/>
      </c>
      <c r="O65" s="45">
        <f>((nInference*nGpuIdx+nAmort)*nUtilCal/D65)*(nUsefulLifeDrawBase/N65-1)</f>
        <v/>
      </c>
      <c r="P65" s="1" t="n"/>
      <c r="Q65" s="1" t="n"/>
      <c r="R65" s="1" t="n"/>
      <c r="S65" s="1" t="n"/>
      <c r="T65" s="1" t="n"/>
      <c r="U65" s="1" t="n"/>
    </row>
    <row r="66" ht="12" customHeight="1">
      <c r="A66" s="1" t="n"/>
      <c r="B66" s="38" t="n">
        <v>46</v>
      </c>
      <c r="C66" s="114">
        <f>Assumptions!$F$8+RAND()*(Assumptions!$D$8-Assumptions!$F$8)</f>
        <v/>
      </c>
      <c r="D66" s="114">
        <f>Assumptions!$D$9+RAND()*(Assumptions!$F$9-Assumptions!$D$9)</f>
        <v/>
      </c>
      <c r="E66" s="71">
        <f>Assumptions!$F$11+RAND()*(Assumptions!$D$11-Assumptions!$F$11)</f>
        <v/>
      </c>
      <c r="F66" s="45">
        <f>nListPrice*(1-C66)-(nInference*nGpuIdx+nAmort)*nUtilCal/D66-nNetworking-nOverheadBase*(E66/nPowerCal)-nCodBase*(1+I66/12)-O66</f>
        <v/>
      </c>
      <c r="G66" s="66">
        <f>MAX(F66,0)/nDebtService</f>
        <v/>
      </c>
      <c r="H66" s="71">
        <f>Anthropic!$J$18*Anthropic!$J$27+Anthropic!$J$19*Anthropic!$J$28+Anthropic!$J$20*Anthropic!$J$29+Anthropic!$J$21*E66*(1+nPowerCagr)^4*(1+nResidualBasisMarkup+nScarcityAlpha*POWER(Anthropic!$J$21,nScarcityGamma))</f>
        <v/>
      </c>
      <c r="I66" s="113">
        <f>Assumptions!$F$10+RAND()*(Assumptions!$D$10-Assumptions!$F$10)</f>
        <v/>
      </c>
      <c r="J66" s="113">
        <f>RAND()*nCodSlipMaxMo</f>
        <v/>
      </c>
      <c r="K66" s="114">
        <f>nAvailDrawMin+RAND()*(nAvailDrawMax-nAvailDrawMin)</f>
        <v/>
      </c>
      <c r="L66" s="45">
        <f>IF(2034&lt;sNsmrCodU1+J66/12,0,(nNsmrCap+nNsmrOpx*(1+sNsmrOpxEsc)^8+nNsmrFuel*FuelEsc*(1+nFuelCagr)^8-nNsmrItc)*IF(2034&lt;sNsmrCodU1+J66/12+nStepFirst,1,IF(nStepGated="Yes",(1+nStepPct)^(INT((2034-sNsmrCodU1-J66/12-nStepFirst)/nStepEvery)+1),1))+nExclPrem*(1-nFlexRelief)-nProdCredit)</f>
        <v/>
      </c>
      <c r="M66" s="63">
        <f>MIN(nShortfallCapM,MAX(0,sNsmrAvailY2-K66)*sNsmrUnitMw*sNsmrUnits*8760*NsmrPrice2033/1000000)</f>
        <v/>
      </c>
      <c r="N66" s="82">
        <f>IF(RAND()&lt;0.5,nUsefulLifeDrawBase-(nUsefulLifeDrawBase-nUsefulLifeDrawMin)*BETA.INV(RAND(),1.15,1.15),nUsefulLifeDrawBase+(nUsefulLifeDrawMax-nUsefulLifeDrawBase)*BETA.INV(RAND(),1.15,1.15))</f>
        <v/>
      </c>
      <c r="O66" s="45">
        <f>((nInference*nGpuIdx+nAmort)*nUtilCal/D66)*(nUsefulLifeDrawBase/N66-1)</f>
        <v/>
      </c>
      <c r="P66" s="1" t="n"/>
      <c r="Q66" s="1" t="n"/>
      <c r="R66" s="1" t="n"/>
      <c r="S66" s="1" t="n"/>
      <c r="T66" s="1" t="n"/>
      <c r="U66" s="1" t="n"/>
    </row>
    <row r="67" ht="12" customHeight="1">
      <c r="A67" s="1" t="n"/>
      <c r="B67" s="38" t="n">
        <v>47</v>
      </c>
      <c r="C67" s="114">
        <f>Assumptions!$F$8+RAND()*(Assumptions!$D$8-Assumptions!$F$8)</f>
        <v/>
      </c>
      <c r="D67" s="114">
        <f>Assumptions!$D$9+RAND()*(Assumptions!$F$9-Assumptions!$D$9)</f>
        <v/>
      </c>
      <c r="E67" s="71">
        <f>Assumptions!$F$11+RAND()*(Assumptions!$D$11-Assumptions!$F$11)</f>
        <v/>
      </c>
      <c r="F67" s="45">
        <f>nListPrice*(1-C67)-(nInference*nGpuIdx+nAmort)*nUtilCal/D67-nNetworking-nOverheadBase*(E67/nPowerCal)-nCodBase*(1+I67/12)-O67</f>
        <v/>
      </c>
      <c r="G67" s="66">
        <f>MAX(F67,0)/nDebtService</f>
        <v/>
      </c>
      <c r="H67" s="71">
        <f>Anthropic!$J$18*Anthropic!$J$27+Anthropic!$J$19*Anthropic!$J$28+Anthropic!$J$20*Anthropic!$J$29+Anthropic!$J$21*E67*(1+nPowerCagr)^4*(1+nResidualBasisMarkup+nScarcityAlpha*POWER(Anthropic!$J$21,nScarcityGamma))</f>
        <v/>
      </c>
      <c r="I67" s="113">
        <f>Assumptions!$F$10+RAND()*(Assumptions!$D$10-Assumptions!$F$10)</f>
        <v/>
      </c>
      <c r="J67" s="113">
        <f>RAND()*nCodSlipMaxMo</f>
        <v/>
      </c>
      <c r="K67" s="114">
        <f>nAvailDrawMin+RAND()*(nAvailDrawMax-nAvailDrawMin)</f>
        <v/>
      </c>
      <c r="L67" s="45">
        <f>IF(2034&lt;sNsmrCodU1+J67/12,0,(nNsmrCap+nNsmrOpx*(1+sNsmrOpxEsc)^8+nNsmrFuel*FuelEsc*(1+nFuelCagr)^8-nNsmrItc)*IF(2034&lt;sNsmrCodU1+J67/12+nStepFirst,1,IF(nStepGated="Yes",(1+nStepPct)^(INT((2034-sNsmrCodU1-J67/12-nStepFirst)/nStepEvery)+1),1))+nExclPrem*(1-nFlexRelief)-nProdCredit)</f>
        <v/>
      </c>
      <c r="M67" s="63">
        <f>MIN(nShortfallCapM,MAX(0,sNsmrAvailY2-K67)*sNsmrUnitMw*sNsmrUnits*8760*NsmrPrice2033/1000000)</f>
        <v/>
      </c>
      <c r="N67" s="82">
        <f>IF(RAND()&lt;0.5,nUsefulLifeDrawBase-(nUsefulLifeDrawBase-nUsefulLifeDrawMin)*BETA.INV(RAND(),1.15,1.15),nUsefulLifeDrawBase+(nUsefulLifeDrawMax-nUsefulLifeDrawBase)*BETA.INV(RAND(),1.15,1.15))</f>
        <v/>
      </c>
      <c r="O67" s="45">
        <f>((nInference*nGpuIdx+nAmort)*nUtilCal/D67)*(nUsefulLifeDrawBase/N67-1)</f>
        <v/>
      </c>
      <c r="P67" s="1" t="n"/>
      <c r="Q67" s="1" t="n"/>
      <c r="R67" s="1" t="n"/>
      <c r="S67" s="1" t="n"/>
      <c r="T67" s="1" t="n"/>
      <c r="U67" s="1" t="n"/>
    </row>
    <row r="68" ht="12" customHeight="1">
      <c r="A68" s="1" t="n"/>
      <c r="B68" s="38" t="n">
        <v>48</v>
      </c>
      <c r="C68" s="114">
        <f>Assumptions!$F$8+RAND()*(Assumptions!$D$8-Assumptions!$F$8)</f>
        <v/>
      </c>
      <c r="D68" s="114">
        <f>Assumptions!$D$9+RAND()*(Assumptions!$F$9-Assumptions!$D$9)</f>
        <v/>
      </c>
      <c r="E68" s="71">
        <f>Assumptions!$F$11+RAND()*(Assumptions!$D$11-Assumptions!$F$11)</f>
        <v/>
      </c>
      <c r="F68" s="45">
        <f>nListPrice*(1-C68)-(nInference*nGpuIdx+nAmort)*nUtilCal/D68-nNetworking-nOverheadBase*(E68/nPowerCal)-nCodBase*(1+I68/12)-O68</f>
        <v/>
      </c>
      <c r="G68" s="66">
        <f>MAX(F68,0)/nDebtService</f>
        <v/>
      </c>
      <c r="H68" s="71">
        <f>Anthropic!$J$18*Anthropic!$J$27+Anthropic!$J$19*Anthropic!$J$28+Anthropic!$J$20*Anthropic!$J$29+Anthropic!$J$21*E68*(1+nPowerCagr)^4*(1+nResidualBasisMarkup+nScarcityAlpha*POWER(Anthropic!$J$21,nScarcityGamma))</f>
        <v/>
      </c>
      <c r="I68" s="113">
        <f>Assumptions!$F$10+RAND()*(Assumptions!$D$10-Assumptions!$F$10)</f>
        <v/>
      </c>
      <c r="J68" s="113">
        <f>RAND()*nCodSlipMaxMo</f>
        <v/>
      </c>
      <c r="K68" s="114">
        <f>nAvailDrawMin+RAND()*(nAvailDrawMax-nAvailDrawMin)</f>
        <v/>
      </c>
      <c r="L68" s="45">
        <f>IF(2034&lt;sNsmrCodU1+J68/12,0,(nNsmrCap+nNsmrOpx*(1+sNsmrOpxEsc)^8+nNsmrFuel*FuelEsc*(1+nFuelCagr)^8-nNsmrItc)*IF(2034&lt;sNsmrCodU1+J68/12+nStepFirst,1,IF(nStepGated="Yes",(1+nStepPct)^(INT((2034-sNsmrCodU1-J68/12-nStepFirst)/nStepEvery)+1),1))+nExclPrem*(1-nFlexRelief)-nProdCredit)</f>
        <v/>
      </c>
      <c r="M68" s="63">
        <f>MIN(nShortfallCapM,MAX(0,sNsmrAvailY2-K68)*sNsmrUnitMw*sNsmrUnits*8760*NsmrPrice2033/1000000)</f>
        <v/>
      </c>
      <c r="N68" s="82">
        <f>IF(RAND()&lt;0.5,nUsefulLifeDrawBase-(nUsefulLifeDrawBase-nUsefulLifeDrawMin)*BETA.INV(RAND(),1.15,1.15),nUsefulLifeDrawBase+(nUsefulLifeDrawMax-nUsefulLifeDrawBase)*BETA.INV(RAND(),1.15,1.15))</f>
        <v/>
      </c>
      <c r="O68" s="45">
        <f>((nInference*nGpuIdx+nAmort)*nUtilCal/D68)*(nUsefulLifeDrawBase/N68-1)</f>
        <v/>
      </c>
      <c r="P68" s="1" t="n"/>
      <c r="Q68" s="1" t="n"/>
      <c r="R68" s="1" t="n"/>
      <c r="S68" s="1" t="n"/>
      <c r="T68" s="1" t="n"/>
      <c r="U68" s="1" t="n"/>
    </row>
    <row r="69" ht="12" customHeight="1">
      <c r="A69" s="1" t="n"/>
      <c r="B69" s="38" t="n">
        <v>49</v>
      </c>
      <c r="C69" s="114">
        <f>Assumptions!$F$8+RAND()*(Assumptions!$D$8-Assumptions!$F$8)</f>
        <v/>
      </c>
      <c r="D69" s="114">
        <f>Assumptions!$D$9+RAND()*(Assumptions!$F$9-Assumptions!$D$9)</f>
        <v/>
      </c>
      <c r="E69" s="71">
        <f>Assumptions!$F$11+RAND()*(Assumptions!$D$11-Assumptions!$F$11)</f>
        <v/>
      </c>
      <c r="F69" s="45">
        <f>nListPrice*(1-C69)-(nInference*nGpuIdx+nAmort)*nUtilCal/D69-nNetworking-nOverheadBase*(E69/nPowerCal)-nCodBase*(1+I69/12)-O69</f>
        <v/>
      </c>
      <c r="G69" s="66">
        <f>MAX(F69,0)/nDebtService</f>
        <v/>
      </c>
      <c r="H69" s="71">
        <f>Anthropic!$J$18*Anthropic!$J$27+Anthropic!$J$19*Anthropic!$J$28+Anthropic!$J$20*Anthropic!$J$29+Anthropic!$J$21*E69*(1+nPowerCagr)^4*(1+nResidualBasisMarkup+nScarcityAlpha*POWER(Anthropic!$J$21,nScarcityGamma))</f>
        <v/>
      </c>
      <c r="I69" s="113">
        <f>Assumptions!$F$10+RAND()*(Assumptions!$D$10-Assumptions!$F$10)</f>
        <v/>
      </c>
      <c r="J69" s="113">
        <f>RAND()*nCodSlipMaxMo</f>
        <v/>
      </c>
      <c r="K69" s="114">
        <f>nAvailDrawMin+RAND()*(nAvailDrawMax-nAvailDrawMin)</f>
        <v/>
      </c>
      <c r="L69" s="45">
        <f>IF(2034&lt;sNsmrCodU1+J69/12,0,(nNsmrCap+nNsmrOpx*(1+sNsmrOpxEsc)^8+nNsmrFuel*FuelEsc*(1+nFuelCagr)^8-nNsmrItc)*IF(2034&lt;sNsmrCodU1+J69/12+nStepFirst,1,IF(nStepGated="Yes",(1+nStepPct)^(INT((2034-sNsmrCodU1-J69/12-nStepFirst)/nStepEvery)+1),1))+nExclPrem*(1-nFlexRelief)-nProdCredit)</f>
        <v/>
      </c>
      <c r="M69" s="63">
        <f>MIN(nShortfallCapM,MAX(0,sNsmrAvailY2-K69)*sNsmrUnitMw*sNsmrUnits*8760*NsmrPrice2033/1000000)</f>
        <v/>
      </c>
      <c r="N69" s="82">
        <f>IF(RAND()&lt;0.5,nUsefulLifeDrawBase-(nUsefulLifeDrawBase-nUsefulLifeDrawMin)*BETA.INV(RAND(),1.15,1.15),nUsefulLifeDrawBase+(nUsefulLifeDrawMax-nUsefulLifeDrawBase)*BETA.INV(RAND(),1.15,1.15))</f>
        <v/>
      </c>
      <c r="O69" s="45">
        <f>((nInference*nGpuIdx+nAmort)*nUtilCal/D69)*(nUsefulLifeDrawBase/N69-1)</f>
        <v/>
      </c>
      <c r="P69" s="1" t="n"/>
      <c r="Q69" s="1" t="n"/>
      <c r="R69" s="1" t="n"/>
      <c r="S69" s="1" t="n"/>
      <c r="T69" s="1" t="n"/>
      <c r="U69" s="1" t="n"/>
    </row>
    <row r="70" ht="12" customHeight="1">
      <c r="A70" s="1" t="n"/>
      <c r="B70" s="38" t="n">
        <v>50</v>
      </c>
      <c r="C70" s="114">
        <f>Assumptions!$F$8+RAND()*(Assumptions!$D$8-Assumptions!$F$8)</f>
        <v/>
      </c>
      <c r="D70" s="114">
        <f>Assumptions!$D$9+RAND()*(Assumptions!$F$9-Assumptions!$D$9)</f>
        <v/>
      </c>
      <c r="E70" s="71">
        <f>Assumptions!$F$11+RAND()*(Assumptions!$D$11-Assumptions!$F$11)</f>
        <v/>
      </c>
      <c r="F70" s="45">
        <f>nListPrice*(1-C70)-(nInference*nGpuIdx+nAmort)*nUtilCal/D70-nNetworking-nOverheadBase*(E70/nPowerCal)-nCodBase*(1+I70/12)-O70</f>
        <v/>
      </c>
      <c r="G70" s="66">
        <f>MAX(F70,0)/nDebtService</f>
        <v/>
      </c>
      <c r="H70" s="71">
        <f>Anthropic!$J$18*Anthropic!$J$27+Anthropic!$J$19*Anthropic!$J$28+Anthropic!$J$20*Anthropic!$J$29+Anthropic!$J$21*E70*(1+nPowerCagr)^4*(1+nResidualBasisMarkup+nScarcityAlpha*POWER(Anthropic!$J$21,nScarcityGamma))</f>
        <v/>
      </c>
      <c r="I70" s="113">
        <f>Assumptions!$F$10+RAND()*(Assumptions!$D$10-Assumptions!$F$10)</f>
        <v/>
      </c>
      <c r="J70" s="113">
        <f>RAND()*nCodSlipMaxMo</f>
        <v/>
      </c>
      <c r="K70" s="114">
        <f>nAvailDrawMin+RAND()*(nAvailDrawMax-nAvailDrawMin)</f>
        <v/>
      </c>
      <c r="L70" s="45">
        <f>IF(2034&lt;sNsmrCodU1+J70/12,0,(nNsmrCap+nNsmrOpx*(1+sNsmrOpxEsc)^8+nNsmrFuel*FuelEsc*(1+nFuelCagr)^8-nNsmrItc)*IF(2034&lt;sNsmrCodU1+J70/12+nStepFirst,1,IF(nStepGated="Yes",(1+nStepPct)^(INT((2034-sNsmrCodU1-J70/12-nStepFirst)/nStepEvery)+1),1))+nExclPrem*(1-nFlexRelief)-nProdCredit)</f>
        <v/>
      </c>
      <c r="M70" s="63">
        <f>MIN(nShortfallCapM,MAX(0,sNsmrAvailY2-K70)*sNsmrUnitMw*sNsmrUnits*8760*NsmrPrice2033/1000000)</f>
        <v/>
      </c>
      <c r="N70" s="82">
        <f>IF(RAND()&lt;0.5,nUsefulLifeDrawBase-(nUsefulLifeDrawBase-nUsefulLifeDrawMin)*BETA.INV(RAND(),1.15,1.15),nUsefulLifeDrawBase+(nUsefulLifeDrawMax-nUsefulLifeDrawBase)*BETA.INV(RAND(),1.15,1.15))</f>
        <v/>
      </c>
      <c r="O70" s="45">
        <f>((nInference*nGpuIdx+nAmort)*nUtilCal/D70)*(nUsefulLifeDrawBase/N70-1)</f>
        <v/>
      </c>
      <c r="P70" s="1" t="n"/>
      <c r="Q70" s="1" t="n"/>
      <c r="R70" s="1" t="n"/>
      <c r="S70" s="1" t="n"/>
      <c r="T70" s="1" t="n"/>
      <c r="U70" s="1" t="n"/>
    </row>
    <row r="71" ht="12" customHeight="1">
      <c r="A71" s="1" t="n"/>
      <c r="B71" s="38" t="n">
        <v>51</v>
      </c>
      <c r="C71" s="114">
        <f>Assumptions!$F$8+RAND()*(Assumptions!$D$8-Assumptions!$F$8)</f>
        <v/>
      </c>
      <c r="D71" s="114">
        <f>Assumptions!$D$9+RAND()*(Assumptions!$F$9-Assumptions!$D$9)</f>
        <v/>
      </c>
      <c r="E71" s="71">
        <f>Assumptions!$F$11+RAND()*(Assumptions!$D$11-Assumptions!$F$11)</f>
        <v/>
      </c>
      <c r="F71" s="45">
        <f>nListPrice*(1-C71)-(nInference*nGpuIdx+nAmort)*nUtilCal/D71-nNetworking-nOverheadBase*(E71/nPowerCal)-nCodBase*(1+I71/12)-O71</f>
        <v/>
      </c>
      <c r="G71" s="66">
        <f>MAX(F71,0)/nDebtService</f>
        <v/>
      </c>
      <c r="H71" s="71">
        <f>Anthropic!$J$18*Anthropic!$J$27+Anthropic!$J$19*Anthropic!$J$28+Anthropic!$J$20*Anthropic!$J$29+Anthropic!$J$21*E71*(1+nPowerCagr)^4*(1+nResidualBasisMarkup+nScarcityAlpha*POWER(Anthropic!$J$21,nScarcityGamma))</f>
        <v/>
      </c>
      <c r="I71" s="113">
        <f>Assumptions!$F$10+RAND()*(Assumptions!$D$10-Assumptions!$F$10)</f>
        <v/>
      </c>
      <c r="J71" s="113">
        <f>RAND()*nCodSlipMaxMo</f>
        <v/>
      </c>
      <c r="K71" s="114">
        <f>nAvailDrawMin+RAND()*(nAvailDrawMax-nAvailDrawMin)</f>
        <v/>
      </c>
      <c r="L71" s="45">
        <f>IF(2034&lt;sNsmrCodU1+J71/12,0,(nNsmrCap+nNsmrOpx*(1+sNsmrOpxEsc)^8+nNsmrFuel*FuelEsc*(1+nFuelCagr)^8-nNsmrItc)*IF(2034&lt;sNsmrCodU1+J71/12+nStepFirst,1,IF(nStepGated="Yes",(1+nStepPct)^(INT((2034-sNsmrCodU1-J71/12-nStepFirst)/nStepEvery)+1),1))+nExclPrem*(1-nFlexRelief)-nProdCredit)</f>
        <v/>
      </c>
      <c r="M71" s="63">
        <f>MIN(nShortfallCapM,MAX(0,sNsmrAvailY2-K71)*sNsmrUnitMw*sNsmrUnits*8760*NsmrPrice2033/1000000)</f>
        <v/>
      </c>
      <c r="N71" s="82">
        <f>IF(RAND()&lt;0.5,nUsefulLifeDrawBase-(nUsefulLifeDrawBase-nUsefulLifeDrawMin)*BETA.INV(RAND(),1.15,1.15),nUsefulLifeDrawBase+(nUsefulLifeDrawMax-nUsefulLifeDrawBase)*BETA.INV(RAND(),1.15,1.15))</f>
        <v/>
      </c>
      <c r="O71" s="45">
        <f>((nInference*nGpuIdx+nAmort)*nUtilCal/D71)*(nUsefulLifeDrawBase/N71-1)</f>
        <v/>
      </c>
      <c r="P71" s="1" t="n"/>
      <c r="Q71" s="1" t="n"/>
      <c r="R71" s="1" t="n"/>
      <c r="S71" s="1" t="n"/>
      <c r="T71" s="1" t="n"/>
      <c r="U71" s="1" t="n"/>
    </row>
    <row r="72" ht="12" customHeight="1">
      <c r="A72" s="1" t="n"/>
      <c r="B72" s="38" t="n">
        <v>52</v>
      </c>
      <c r="C72" s="114">
        <f>Assumptions!$F$8+RAND()*(Assumptions!$D$8-Assumptions!$F$8)</f>
        <v/>
      </c>
      <c r="D72" s="114">
        <f>Assumptions!$D$9+RAND()*(Assumptions!$F$9-Assumptions!$D$9)</f>
        <v/>
      </c>
      <c r="E72" s="71">
        <f>Assumptions!$F$11+RAND()*(Assumptions!$D$11-Assumptions!$F$11)</f>
        <v/>
      </c>
      <c r="F72" s="45">
        <f>nListPrice*(1-C72)-(nInference*nGpuIdx+nAmort)*nUtilCal/D72-nNetworking-nOverheadBase*(E72/nPowerCal)-nCodBase*(1+I72/12)-O72</f>
        <v/>
      </c>
      <c r="G72" s="66">
        <f>MAX(F72,0)/nDebtService</f>
        <v/>
      </c>
      <c r="H72" s="71">
        <f>Anthropic!$J$18*Anthropic!$J$27+Anthropic!$J$19*Anthropic!$J$28+Anthropic!$J$20*Anthropic!$J$29+Anthropic!$J$21*E72*(1+nPowerCagr)^4*(1+nResidualBasisMarkup+nScarcityAlpha*POWER(Anthropic!$J$21,nScarcityGamma))</f>
        <v/>
      </c>
      <c r="I72" s="113">
        <f>Assumptions!$F$10+RAND()*(Assumptions!$D$10-Assumptions!$F$10)</f>
        <v/>
      </c>
      <c r="J72" s="113">
        <f>RAND()*nCodSlipMaxMo</f>
        <v/>
      </c>
      <c r="K72" s="114">
        <f>nAvailDrawMin+RAND()*(nAvailDrawMax-nAvailDrawMin)</f>
        <v/>
      </c>
      <c r="L72" s="45">
        <f>IF(2034&lt;sNsmrCodU1+J72/12,0,(nNsmrCap+nNsmrOpx*(1+sNsmrOpxEsc)^8+nNsmrFuel*FuelEsc*(1+nFuelCagr)^8-nNsmrItc)*IF(2034&lt;sNsmrCodU1+J72/12+nStepFirst,1,IF(nStepGated="Yes",(1+nStepPct)^(INT((2034-sNsmrCodU1-J72/12-nStepFirst)/nStepEvery)+1),1))+nExclPrem*(1-nFlexRelief)-nProdCredit)</f>
        <v/>
      </c>
      <c r="M72" s="63">
        <f>MIN(nShortfallCapM,MAX(0,sNsmrAvailY2-K72)*sNsmrUnitMw*sNsmrUnits*8760*NsmrPrice2033/1000000)</f>
        <v/>
      </c>
      <c r="N72" s="82">
        <f>IF(RAND()&lt;0.5,nUsefulLifeDrawBase-(nUsefulLifeDrawBase-nUsefulLifeDrawMin)*BETA.INV(RAND(),1.15,1.15),nUsefulLifeDrawBase+(nUsefulLifeDrawMax-nUsefulLifeDrawBase)*BETA.INV(RAND(),1.15,1.15))</f>
        <v/>
      </c>
      <c r="O72" s="45">
        <f>((nInference*nGpuIdx+nAmort)*nUtilCal/D72)*(nUsefulLifeDrawBase/N72-1)</f>
        <v/>
      </c>
      <c r="P72" s="1" t="n"/>
      <c r="Q72" s="1" t="n"/>
      <c r="R72" s="1" t="n"/>
      <c r="S72" s="1" t="n"/>
      <c r="T72" s="1" t="n"/>
      <c r="U72" s="1" t="n"/>
    </row>
    <row r="73" ht="12" customHeight="1">
      <c r="A73" s="1" t="n"/>
      <c r="B73" s="38" t="n">
        <v>53</v>
      </c>
      <c r="C73" s="114">
        <f>Assumptions!$F$8+RAND()*(Assumptions!$D$8-Assumptions!$F$8)</f>
        <v/>
      </c>
      <c r="D73" s="114">
        <f>Assumptions!$D$9+RAND()*(Assumptions!$F$9-Assumptions!$D$9)</f>
        <v/>
      </c>
      <c r="E73" s="71">
        <f>Assumptions!$F$11+RAND()*(Assumptions!$D$11-Assumptions!$F$11)</f>
        <v/>
      </c>
      <c r="F73" s="45">
        <f>nListPrice*(1-C73)-(nInference*nGpuIdx+nAmort)*nUtilCal/D73-nNetworking-nOverheadBase*(E73/nPowerCal)-nCodBase*(1+I73/12)-O73</f>
        <v/>
      </c>
      <c r="G73" s="66">
        <f>MAX(F73,0)/nDebtService</f>
        <v/>
      </c>
      <c r="H73" s="71">
        <f>Anthropic!$J$18*Anthropic!$J$27+Anthropic!$J$19*Anthropic!$J$28+Anthropic!$J$20*Anthropic!$J$29+Anthropic!$J$21*E73*(1+nPowerCagr)^4*(1+nResidualBasisMarkup+nScarcityAlpha*POWER(Anthropic!$J$21,nScarcityGamma))</f>
        <v/>
      </c>
      <c r="I73" s="113">
        <f>Assumptions!$F$10+RAND()*(Assumptions!$D$10-Assumptions!$F$10)</f>
        <v/>
      </c>
      <c r="J73" s="113">
        <f>RAND()*nCodSlipMaxMo</f>
        <v/>
      </c>
      <c r="K73" s="114">
        <f>nAvailDrawMin+RAND()*(nAvailDrawMax-nAvailDrawMin)</f>
        <v/>
      </c>
      <c r="L73" s="45">
        <f>IF(2034&lt;sNsmrCodU1+J73/12,0,(nNsmrCap+nNsmrOpx*(1+sNsmrOpxEsc)^8+nNsmrFuel*FuelEsc*(1+nFuelCagr)^8-nNsmrItc)*IF(2034&lt;sNsmrCodU1+J73/12+nStepFirst,1,IF(nStepGated="Yes",(1+nStepPct)^(INT((2034-sNsmrCodU1-J73/12-nStepFirst)/nStepEvery)+1),1))+nExclPrem*(1-nFlexRelief)-nProdCredit)</f>
        <v/>
      </c>
      <c r="M73" s="63">
        <f>MIN(nShortfallCapM,MAX(0,sNsmrAvailY2-K73)*sNsmrUnitMw*sNsmrUnits*8760*NsmrPrice2033/1000000)</f>
        <v/>
      </c>
      <c r="N73" s="82">
        <f>IF(RAND()&lt;0.5,nUsefulLifeDrawBase-(nUsefulLifeDrawBase-nUsefulLifeDrawMin)*BETA.INV(RAND(),1.15,1.15),nUsefulLifeDrawBase+(nUsefulLifeDrawMax-nUsefulLifeDrawBase)*BETA.INV(RAND(),1.15,1.15))</f>
        <v/>
      </c>
      <c r="O73" s="45">
        <f>((nInference*nGpuIdx+nAmort)*nUtilCal/D73)*(nUsefulLifeDrawBase/N73-1)</f>
        <v/>
      </c>
      <c r="P73" s="1" t="n"/>
      <c r="Q73" s="1" t="n"/>
      <c r="R73" s="1" t="n"/>
      <c r="S73" s="1" t="n"/>
      <c r="T73" s="1" t="n"/>
      <c r="U73" s="1" t="n"/>
    </row>
    <row r="74" ht="12" customHeight="1">
      <c r="A74" s="1" t="n"/>
      <c r="B74" s="38" t="n">
        <v>54</v>
      </c>
      <c r="C74" s="114">
        <f>Assumptions!$F$8+RAND()*(Assumptions!$D$8-Assumptions!$F$8)</f>
        <v/>
      </c>
      <c r="D74" s="114">
        <f>Assumptions!$D$9+RAND()*(Assumptions!$F$9-Assumptions!$D$9)</f>
        <v/>
      </c>
      <c r="E74" s="71">
        <f>Assumptions!$F$11+RAND()*(Assumptions!$D$11-Assumptions!$F$11)</f>
        <v/>
      </c>
      <c r="F74" s="45">
        <f>nListPrice*(1-C74)-(nInference*nGpuIdx+nAmort)*nUtilCal/D74-nNetworking-nOverheadBase*(E74/nPowerCal)-nCodBase*(1+I74/12)-O74</f>
        <v/>
      </c>
      <c r="G74" s="66">
        <f>MAX(F74,0)/nDebtService</f>
        <v/>
      </c>
      <c r="H74" s="71">
        <f>Anthropic!$J$18*Anthropic!$J$27+Anthropic!$J$19*Anthropic!$J$28+Anthropic!$J$20*Anthropic!$J$29+Anthropic!$J$21*E74*(1+nPowerCagr)^4*(1+nResidualBasisMarkup+nScarcityAlpha*POWER(Anthropic!$J$21,nScarcityGamma))</f>
        <v/>
      </c>
      <c r="I74" s="113">
        <f>Assumptions!$F$10+RAND()*(Assumptions!$D$10-Assumptions!$F$10)</f>
        <v/>
      </c>
      <c r="J74" s="113">
        <f>RAND()*nCodSlipMaxMo</f>
        <v/>
      </c>
      <c r="K74" s="114">
        <f>nAvailDrawMin+RAND()*(nAvailDrawMax-nAvailDrawMin)</f>
        <v/>
      </c>
      <c r="L74" s="45">
        <f>IF(2034&lt;sNsmrCodU1+J74/12,0,(nNsmrCap+nNsmrOpx*(1+sNsmrOpxEsc)^8+nNsmrFuel*FuelEsc*(1+nFuelCagr)^8-nNsmrItc)*IF(2034&lt;sNsmrCodU1+J74/12+nStepFirst,1,IF(nStepGated="Yes",(1+nStepPct)^(INT((2034-sNsmrCodU1-J74/12-nStepFirst)/nStepEvery)+1),1))+nExclPrem*(1-nFlexRelief)-nProdCredit)</f>
        <v/>
      </c>
      <c r="M74" s="63">
        <f>MIN(nShortfallCapM,MAX(0,sNsmrAvailY2-K74)*sNsmrUnitMw*sNsmrUnits*8760*NsmrPrice2033/1000000)</f>
        <v/>
      </c>
      <c r="N74" s="82">
        <f>IF(RAND()&lt;0.5,nUsefulLifeDrawBase-(nUsefulLifeDrawBase-nUsefulLifeDrawMin)*BETA.INV(RAND(),1.15,1.15),nUsefulLifeDrawBase+(nUsefulLifeDrawMax-nUsefulLifeDrawBase)*BETA.INV(RAND(),1.15,1.15))</f>
        <v/>
      </c>
      <c r="O74" s="45">
        <f>((nInference*nGpuIdx+nAmort)*nUtilCal/D74)*(nUsefulLifeDrawBase/N74-1)</f>
        <v/>
      </c>
      <c r="P74" s="1" t="n"/>
      <c r="Q74" s="1" t="n"/>
      <c r="R74" s="1" t="n"/>
      <c r="S74" s="1" t="n"/>
      <c r="T74" s="1" t="n"/>
      <c r="U74" s="1" t="n"/>
    </row>
    <row r="75" ht="12" customHeight="1">
      <c r="A75" s="1" t="n"/>
      <c r="B75" s="38" t="n">
        <v>55</v>
      </c>
      <c r="C75" s="114">
        <f>Assumptions!$F$8+RAND()*(Assumptions!$D$8-Assumptions!$F$8)</f>
        <v/>
      </c>
      <c r="D75" s="114">
        <f>Assumptions!$D$9+RAND()*(Assumptions!$F$9-Assumptions!$D$9)</f>
        <v/>
      </c>
      <c r="E75" s="71">
        <f>Assumptions!$F$11+RAND()*(Assumptions!$D$11-Assumptions!$F$11)</f>
        <v/>
      </c>
      <c r="F75" s="45">
        <f>nListPrice*(1-C75)-(nInference*nGpuIdx+nAmort)*nUtilCal/D75-nNetworking-nOverheadBase*(E75/nPowerCal)-nCodBase*(1+I75/12)-O75</f>
        <v/>
      </c>
      <c r="G75" s="66">
        <f>MAX(F75,0)/nDebtService</f>
        <v/>
      </c>
      <c r="H75" s="71">
        <f>Anthropic!$J$18*Anthropic!$J$27+Anthropic!$J$19*Anthropic!$J$28+Anthropic!$J$20*Anthropic!$J$29+Anthropic!$J$21*E75*(1+nPowerCagr)^4*(1+nResidualBasisMarkup+nScarcityAlpha*POWER(Anthropic!$J$21,nScarcityGamma))</f>
        <v/>
      </c>
      <c r="I75" s="113">
        <f>Assumptions!$F$10+RAND()*(Assumptions!$D$10-Assumptions!$F$10)</f>
        <v/>
      </c>
      <c r="J75" s="113">
        <f>RAND()*nCodSlipMaxMo</f>
        <v/>
      </c>
      <c r="K75" s="114">
        <f>nAvailDrawMin+RAND()*(nAvailDrawMax-nAvailDrawMin)</f>
        <v/>
      </c>
      <c r="L75" s="45">
        <f>IF(2034&lt;sNsmrCodU1+J75/12,0,(nNsmrCap+nNsmrOpx*(1+sNsmrOpxEsc)^8+nNsmrFuel*FuelEsc*(1+nFuelCagr)^8-nNsmrItc)*IF(2034&lt;sNsmrCodU1+J75/12+nStepFirst,1,IF(nStepGated="Yes",(1+nStepPct)^(INT((2034-sNsmrCodU1-J75/12-nStepFirst)/nStepEvery)+1),1))+nExclPrem*(1-nFlexRelief)-nProdCredit)</f>
        <v/>
      </c>
      <c r="M75" s="63">
        <f>MIN(nShortfallCapM,MAX(0,sNsmrAvailY2-K75)*sNsmrUnitMw*sNsmrUnits*8760*NsmrPrice2033/1000000)</f>
        <v/>
      </c>
      <c r="N75" s="82">
        <f>IF(RAND()&lt;0.5,nUsefulLifeDrawBase-(nUsefulLifeDrawBase-nUsefulLifeDrawMin)*BETA.INV(RAND(),1.15,1.15),nUsefulLifeDrawBase+(nUsefulLifeDrawMax-nUsefulLifeDrawBase)*BETA.INV(RAND(),1.15,1.15))</f>
        <v/>
      </c>
      <c r="O75" s="45">
        <f>((nInference*nGpuIdx+nAmort)*nUtilCal/D75)*(nUsefulLifeDrawBase/N75-1)</f>
        <v/>
      </c>
      <c r="P75" s="1" t="n"/>
      <c r="Q75" s="1" t="n"/>
      <c r="R75" s="1" t="n"/>
      <c r="S75" s="1" t="n"/>
      <c r="T75" s="1" t="n"/>
      <c r="U75" s="1" t="n"/>
    </row>
    <row r="76" ht="12" customHeight="1">
      <c r="A76" s="1" t="n"/>
      <c r="B76" s="38" t="n">
        <v>56</v>
      </c>
      <c r="C76" s="114">
        <f>Assumptions!$F$8+RAND()*(Assumptions!$D$8-Assumptions!$F$8)</f>
        <v/>
      </c>
      <c r="D76" s="114">
        <f>Assumptions!$D$9+RAND()*(Assumptions!$F$9-Assumptions!$D$9)</f>
        <v/>
      </c>
      <c r="E76" s="71">
        <f>Assumptions!$F$11+RAND()*(Assumptions!$D$11-Assumptions!$F$11)</f>
        <v/>
      </c>
      <c r="F76" s="45">
        <f>nListPrice*(1-C76)-(nInference*nGpuIdx+nAmort)*nUtilCal/D76-nNetworking-nOverheadBase*(E76/nPowerCal)-nCodBase*(1+I76/12)-O76</f>
        <v/>
      </c>
      <c r="G76" s="66">
        <f>MAX(F76,0)/nDebtService</f>
        <v/>
      </c>
      <c r="H76" s="71">
        <f>Anthropic!$J$18*Anthropic!$J$27+Anthropic!$J$19*Anthropic!$J$28+Anthropic!$J$20*Anthropic!$J$29+Anthropic!$J$21*E76*(1+nPowerCagr)^4*(1+nResidualBasisMarkup+nScarcityAlpha*POWER(Anthropic!$J$21,nScarcityGamma))</f>
        <v/>
      </c>
      <c r="I76" s="113">
        <f>Assumptions!$F$10+RAND()*(Assumptions!$D$10-Assumptions!$F$10)</f>
        <v/>
      </c>
      <c r="J76" s="113">
        <f>RAND()*nCodSlipMaxMo</f>
        <v/>
      </c>
      <c r="K76" s="114">
        <f>nAvailDrawMin+RAND()*(nAvailDrawMax-nAvailDrawMin)</f>
        <v/>
      </c>
      <c r="L76" s="45">
        <f>IF(2034&lt;sNsmrCodU1+J76/12,0,(nNsmrCap+nNsmrOpx*(1+sNsmrOpxEsc)^8+nNsmrFuel*FuelEsc*(1+nFuelCagr)^8-nNsmrItc)*IF(2034&lt;sNsmrCodU1+J76/12+nStepFirst,1,IF(nStepGated="Yes",(1+nStepPct)^(INT((2034-sNsmrCodU1-J76/12-nStepFirst)/nStepEvery)+1),1))+nExclPrem*(1-nFlexRelief)-nProdCredit)</f>
        <v/>
      </c>
      <c r="M76" s="63">
        <f>MIN(nShortfallCapM,MAX(0,sNsmrAvailY2-K76)*sNsmrUnitMw*sNsmrUnits*8760*NsmrPrice2033/1000000)</f>
        <v/>
      </c>
      <c r="N76" s="82">
        <f>IF(RAND()&lt;0.5,nUsefulLifeDrawBase-(nUsefulLifeDrawBase-nUsefulLifeDrawMin)*BETA.INV(RAND(),1.15,1.15),nUsefulLifeDrawBase+(nUsefulLifeDrawMax-nUsefulLifeDrawBase)*BETA.INV(RAND(),1.15,1.15))</f>
        <v/>
      </c>
      <c r="O76" s="45">
        <f>((nInference*nGpuIdx+nAmort)*nUtilCal/D76)*(nUsefulLifeDrawBase/N76-1)</f>
        <v/>
      </c>
      <c r="P76" s="1" t="n"/>
      <c r="Q76" s="1" t="n"/>
      <c r="R76" s="1" t="n"/>
      <c r="S76" s="1" t="n"/>
      <c r="T76" s="1" t="n"/>
      <c r="U76" s="1" t="n"/>
    </row>
    <row r="77" ht="12" customHeight="1">
      <c r="A77" s="1" t="n"/>
      <c r="B77" s="38" t="n">
        <v>57</v>
      </c>
      <c r="C77" s="114">
        <f>Assumptions!$F$8+RAND()*(Assumptions!$D$8-Assumptions!$F$8)</f>
        <v/>
      </c>
      <c r="D77" s="114">
        <f>Assumptions!$D$9+RAND()*(Assumptions!$F$9-Assumptions!$D$9)</f>
        <v/>
      </c>
      <c r="E77" s="71">
        <f>Assumptions!$F$11+RAND()*(Assumptions!$D$11-Assumptions!$F$11)</f>
        <v/>
      </c>
      <c r="F77" s="45">
        <f>nListPrice*(1-C77)-(nInference*nGpuIdx+nAmort)*nUtilCal/D77-nNetworking-nOverheadBase*(E77/nPowerCal)-nCodBase*(1+I77/12)-O77</f>
        <v/>
      </c>
      <c r="G77" s="66">
        <f>MAX(F77,0)/nDebtService</f>
        <v/>
      </c>
      <c r="H77" s="71">
        <f>Anthropic!$J$18*Anthropic!$J$27+Anthropic!$J$19*Anthropic!$J$28+Anthropic!$J$20*Anthropic!$J$29+Anthropic!$J$21*E77*(1+nPowerCagr)^4*(1+nResidualBasisMarkup+nScarcityAlpha*POWER(Anthropic!$J$21,nScarcityGamma))</f>
        <v/>
      </c>
      <c r="I77" s="113">
        <f>Assumptions!$F$10+RAND()*(Assumptions!$D$10-Assumptions!$F$10)</f>
        <v/>
      </c>
      <c r="J77" s="113">
        <f>RAND()*nCodSlipMaxMo</f>
        <v/>
      </c>
      <c r="K77" s="114">
        <f>nAvailDrawMin+RAND()*(nAvailDrawMax-nAvailDrawMin)</f>
        <v/>
      </c>
      <c r="L77" s="45">
        <f>IF(2034&lt;sNsmrCodU1+J77/12,0,(nNsmrCap+nNsmrOpx*(1+sNsmrOpxEsc)^8+nNsmrFuel*FuelEsc*(1+nFuelCagr)^8-nNsmrItc)*IF(2034&lt;sNsmrCodU1+J77/12+nStepFirst,1,IF(nStepGated="Yes",(1+nStepPct)^(INT((2034-sNsmrCodU1-J77/12-nStepFirst)/nStepEvery)+1),1))+nExclPrem*(1-nFlexRelief)-nProdCredit)</f>
        <v/>
      </c>
      <c r="M77" s="63">
        <f>MIN(nShortfallCapM,MAX(0,sNsmrAvailY2-K77)*sNsmrUnitMw*sNsmrUnits*8760*NsmrPrice2033/1000000)</f>
        <v/>
      </c>
      <c r="N77" s="82">
        <f>IF(RAND()&lt;0.5,nUsefulLifeDrawBase-(nUsefulLifeDrawBase-nUsefulLifeDrawMin)*BETA.INV(RAND(),1.15,1.15),nUsefulLifeDrawBase+(nUsefulLifeDrawMax-nUsefulLifeDrawBase)*BETA.INV(RAND(),1.15,1.15))</f>
        <v/>
      </c>
      <c r="O77" s="45">
        <f>((nInference*nGpuIdx+nAmort)*nUtilCal/D77)*(nUsefulLifeDrawBase/N77-1)</f>
        <v/>
      </c>
      <c r="P77" s="1" t="n"/>
      <c r="Q77" s="1" t="n"/>
      <c r="R77" s="1" t="n"/>
      <c r="S77" s="1" t="n"/>
      <c r="T77" s="1" t="n"/>
      <c r="U77" s="1" t="n"/>
    </row>
    <row r="78" ht="12" customHeight="1">
      <c r="A78" s="1" t="n"/>
      <c r="B78" s="38" t="n">
        <v>58</v>
      </c>
      <c r="C78" s="114">
        <f>Assumptions!$F$8+RAND()*(Assumptions!$D$8-Assumptions!$F$8)</f>
        <v/>
      </c>
      <c r="D78" s="114">
        <f>Assumptions!$D$9+RAND()*(Assumptions!$F$9-Assumptions!$D$9)</f>
        <v/>
      </c>
      <c r="E78" s="71">
        <f>Assumptions!$F$11+RAND()*(Assumptions!$D$11-Assumptions!$F$11)</f>
        <v/>
      </c>
      <c r="F78" s="45">
        <f>nListPrice*(1-C78)-(nInference*nGpuIdx+nAmort)*nUtilCal/D78-nNetworking-nOverheadBase*(E78/nPowerCal)-nCodBase*(1+I78/12)-O78</f>
        <v/>
      </c>
      <c r="G78" s="66">
        <f>MAX(F78,0)/nDebtService</f>
        <v/>
      </c>
      <c r="H78" s="71">
        <f>Anthropic!$J$18*Anthropic!$J$27+Anthropic!$J$19*Anthropic!$J$28+Anthropic!$J$20*Anthropic!$J$29+Anthropic!$J$21*E78*(1+nPowerCagr)^4*(1+nResidualBasisMarkup+nScarcityAlpha*POWER(Anthropic!$J$21,nScarcityGamma))</f>
        <v/>
      </c>
      <c r="I78" s="113">
        <f>Assumptions!$F$10+RAND()*(Assumptions!$D$10-Assumptions!$F$10)</f>
        <v/>
      </c>
      <c r="J78" s="113">
        <f>RAND()*nCodSlipMaxMo</f>
        <v/>
      </c>
      <c r="K78" s="114">
        <f>nAvailDrawMin+RAND()*(nAvailDrawMax-nAvailDrawMin)</f>
        <v/>
      </c>
      <c r="L78" s="45">
        <f>IF(2034&lt;sNsmrCodU1+J78/12,0,(nNsmrCap+nNsmrOpx*(1+sNsmrOpxEsc)^8+nNsmrFuel*FuelEsc*(1+nFuelCagr)^8-nNsmrItc)*IF(2034&lt;sNsmrCodU1+J78/12+nStepFirst,1,IF(nStepGated="Yes",(1+nStepPct)^(INT((2034-sNsmrCodU1-J78/12-nStepFirst)/nStepEvery)+1),1))+nExclPrem*(1-nFlexRelief)-nProdCredit)</f>
        <v/>
      </c>
      <c r="M78" s="63">
        <f>MIN(nShortfallCapM,MAX(0,sNsmrAvailY2-K78)*sNsmrUnitMw*sNsmrUnits*8760*NsmrPrice2033/1000000)</f>
        <v/>
      </c>
      <c r="N78" s="82">
        <f>IF(RAND()&lt;0.5,nUsefulLifeDrawBase-(nUsefulLifeDrawBase-nUsefulLifeDrawMin)*BETA.INV(RAND(),1.15,1.15),nUsefulLifeDrawBase+(nUsefulLifeDrawMax-nUsefulLifeDrawBase)*BETA.INV(RAND(),1.15,1.15))</f>
        <v/>
      </c>
      <c r="O78" s="45">
        <f>((nInference*nGpuIdx+nAmort)*nUtilCal/D78)*(nUsefulLifeDrawBase/N78-1)</f>
        <v/>
      </c>
      <c r="P78" s="1" t="n"/>
      <c r="Q78" s="1" t="n"/>
      <c r="R78" s="1" t="n"/>
      <c r="S78" s="1" t="n"/>
      <c r="T78" s="1" t="n"/>
      <c r="U78" s="1" t="n"/>
    </row>
    <row r="79" ht="12" customHeight="1">
      <c r="A79" s="1" t="n"/>
      <c r="B79" s="38" t="n">
        <v>59</v>
      </c>
      <c r="C79" s="114">
        <f>Assumptions!$F$8+RAND()*(Assumptions!$D$8-Assumptions!$F$8)</f>
        <v/>
      </c>
      <c r="D79" s="114">
        <f>Assumptions!$D$9+RAND()*(Assumptions!$F$9-Assumptions!$D$9)</f>
        <v/>
      </c>
      <c r="E79" s="71">
        <f>Assumptions!$F$11+RAND()*(Assumptions!$D$11-Assumptions!$F$11)</f>
        <v/>
      </c>
      <c r="F79" s="45">
        <f>nListPrice*(1-C79)-(nInference*nGpuIdx+nAmort)*nUtilCal/D79-nNetworking-nOverheadBase*(E79/nPowerCal)-nCodBase*(1+I79/12)-O79</f>
        <v/>
      </c>
      <c r="G79" s="66">
        <f>MAX(F79,0)/nDebtService</f>
        <v/>
      </c>
      <c r="H79" s="71">
        <f>Anthropic!$J$18*Anthropic!$J$27+Anthropic!$J$19*Anthropic!$J$28+Anthropic!$J$20*Anthropic!$J$29+Anthropic!$J$21*E79*(1+nPowerCagr)^4*(1+nResidualBasisMarkup+nScarcityAlpha*POWER(Anthropic!$J$21,nScarcityGamma))</f>
        <v/>
      </c>
      <c r="I79" s="113">
        <f>Assumptions!$F$10+RAND()*(Assumptions!$D$10-Assumptions!$F$10)</f>
        <v/>
      </c>
      <c r="J79" s="113">
        <f>RAND()*nCodSlipMaxMo</f>
        <v/>
      </c>
      <c r="K79" s="114">
        <f>nAvailDrawMin+RAND()*(nAvailDrawMax-nAvailDrawMin)</f>
        <v/>
      </c>
      <c r="L79" s="45">
        <f>IF(2034&lt;sNsmrCodU1+J79/12,0,(nNsmrCap+nNsmrOpx*(1+sNsmrOpxEsc)^8+nNsmrFuel*FuelEsc*(1+nFuelCagr)^8-nNsmrItc)*IF(2034&lt;sNsmrCodU1+J79/12+nStepFirst,1,IF(nStepGated="Yes",(1+nStepPct)^(INT((2034-sNsmrCodU1-J79/12-nStepFirst)/nStepEvery)+1),1))+nExclPrem*(1-nFlexRelief)-nProdCredit)</f>
        <v/>
      </c>
      <c r="M79" s="63">
        <f>MIN(nShortfallCapM,MAX(0,sNsmrAvailY2-K79)*sNsmrUnitMw*sNsmrUnits*8760*NsmrPrice2033/1000000)</f>
        <v/>
      </c>
      <c r="N79" s="82">
        <f>IF(RAND()&lt;0.5,nUsefulLifeDrawBase-(nUsefulLifeDrawBase-nUsefulLifeDrawMin)*BETA.INV(RAND(),1.15,1.15),nUsefulLifeDrawBase+(nUsefulLifeDrawMax-nUsefulLifeDrawBase)*BETA.INV(RAND(),1.15,1.15))</f>
        <v/>
      </c>
      <c r="O79" s="45">
        <f>((nInference*nGpuIdx+nAmort)*nUtilCal/D79)*(nUsefulLifeDrawBase/N79-1)</f>
        <v/>
      </c>
      <c r="P79" s="1" t="n"/>
      <c r="Q79" s="1" t="n"/>
      <c r="R79" s="1" t="n"/>
      <c r="S79" s="1" t="n"/>
      <c r="T79" s="1" t="n"/>
      <c r="U79" s="1" t="n"/>
    </row>
    <row r="80" ht="12" customHeight="1">
      <c r="A80" s="1" t="n"/>
      <c r="B80" s="38" t="n">
        <v>60</v>
      </c>
      <c r="C80" s="114">
        <f>Assumptions!$F$8+RAND()*(Assumptions!$D$8-Assumptions!$F$8)</f>
        <v/>
      </c>
      <c r="D80" s="114">
        <f>Assumptions!$D$9+RAND()*(Assumptions!$F$9-Assumptions!$D$9)</f>
        <v/>
      </c>
      <c r="E80" s="71">
        <f>Assumptions!$F$11+RAND()*(Assumptions!$D$11-Assumptions!$F$11)</f>
        <v/>
      </c>
      <c r="F80" s="45">
        <f>nListPrice*(1-C80)-(nInference*nGpuIdx+nAmort)*nUtilCal/D80-nNetworking-nOverheadBase*(E80/nPowerCal)-nCodBase*(1+I80/12)-O80</f>
        <v/>
      </c>
      <c r="G80" s="66">
        <f>MAX(F80,0)/nDebtService</f>
        <v/>
      </c>
      <c r="H80" s="71">
        <f>Anthropic!$J$18*Anthropic!$J$27+Anthropic!$J$19*Anthropic!$J$28+Anthropic!$J$20*Anthropic!$J$29+Anthropic!$J$21*E80*(1+nPowerCagr)^4*(1+nResidualBasisMarkup+nScarcityAlpha*POWER(Anthropic!$J$21,nScarcityGamma))</f>
        <v/>
      </c>
      <c r="I80" s="113">
        <f>Assumptions!$F$10+RAND()*(Assumptions!$D$10-Assumptions!$F$10)</f>
        <v/>
      </c>
      <c r="J80" s="113">
        <f>RAND()*nCodSlipMaxMo</f>
        <v/>
      </c>
      <c r="K80" s="114">
        <f>nAvailDrawMin+RAND()*(nAvailDrawMax-nAvailDrawMin)</f>
        <v/>
      </c>
      <c r="L80" s="45">
        <f>IF(2034&lt;sNsmrCodU1+J80/12,0,(nNsmrCap+nNsmrOpx*(1+sNsmrOpxEsc)^8+nNsmrFuel*FuelEsc*(1+nFuelCagr)^8-nNsmrItc)*IF(2034&lt;sNsmrCodU1+J80/12+nStepFirst,1,IF(nStepGated="Yes",(1+nStepPct)^(INT((2034-sNsmrCodU1-J80/12-nStepFirst)/nStepEvery)+1),1))+nExclPrem*(1-nFlexRelief)-nProdCredit)</f>
        <v/>
      </c>
      <c r="M80" s="63">
        <f>MIN(nShortfallCapM,MAX(0,sNsmrAvailY2-K80)*sNsmrUnitMw*sNsmrUnits*8760*NsmrPrice2033/1000000)</f>
        <v/>
      </c>
      <c r="N80" s="82">
        <f>IF(RAND()&lt;0.5,nUsefulLifeDrawBase-(nUsefulLifeDrawBase-nUsefulLifeDrawMin)*BETA.INV(RAND(),1.15,1.15),nUsefulLifeDrawBase+(nUsefulLifeDrawMax-nUsefulLifeDrawBase)*BETA.INV(RAND(),1.15,1.15))</f>
        <v/>
      </c>
      <c r="O80" s="45">
        <f>((nInference*nGpuIdx+nAmort)*nUtilCal/D80)*(nUsefulLifeDrawBase/N80-1)</f>
        <v/>
      </c>
      <c r="P80" s="1" t="n"/>
      <c r="Q80" s="1" t="n"/>
      <c r="R80" s="1" t="n"/>
      <c r="S80" s="1" t="n"/>
      <c r="T80" s="1" t="n"/>
      <c r="U80" s="1" t="n"/>
    </row>
    <row r="81" ht="12" customHeight="1">
      <c r="A81" s="1" t="n"/>
      <c r="B81" s="38" t="n">
        <v>61</v>
      </c>
      <c r="C81" s="114">
        <f>Assumptions!$F$8+RAND()*(Assumptions!$D$8-Assumptions!$F$8)</f>
        <v/>
      </c>
      <c r="D81" s="114">
        <f>Assumptions!$D$9+RAND()*(Assumptions!$F$9-Assumptions!$D$9)</f>
        <v/>
      </c>
      <c r="E81" s="71">
        <f>Assumptions!$F$11+RAND()*(Assumptions!$D$11-Assumptions!$F$11)</f>
        <v/>
      </c>
      <c r="F81" s="45">
        <f>nListPrice*(1-C81)-(nInference*nGpuIdx+nAmort)*nUtilCal/D81-nNetworking-nOverheadBase*(E81/nPowerCal)-nCodBase*(1+I81/12)-O81</f>
        <v/>
      </c>
      <c r="G81" s="66">
        <f>MAX(F81,0)/nDebtService</f>
        <v/>
      </c>
      <c r="H81" s="71">
        <f>Anthropic!$J$18*Anthropic!$J$27+Anthropic!$J$19*Anthropic!$J$28+Anthropic!$J$20*Anthropic!$J$29+Anthropic!$J$21*E81*(1+nPowerCagr)^4*(1+nResidualBasisMarkup+nScarcityAlpha*POWER(Anthropic!$J$21,nScarcityGamma))</f>
        <v/>
      </c>
      <c r="I81" s="113">
        <f>Assumptions!$F$10+RAND()*(Assumptions!$D$10-Assumptions!$F$10)</f>
        <v/>
      </c>
      <c r="J81" s="113">
        <f>RAND()*nCodSlipMaxMo</f>
        <v/>
      </c>
      <c r="K81" s="114">
        <f>nAvailDrawMin+RAND()*(nAvailDrawMax-nAvailDrawMin)</f>
        <v/>
      </c>
      <c r="L81" s="45">
        <f>IF(2034&lt;sNsmrCodU1+J81/12,0,(nNsmrCap+nNsmrOpx*(1+sNsmrOpxEsc)^8+nNsmrFuel*FuelEsc*(1+nFuelCagr)^8-nNsmrItc)*IF(2034&lt;sNsmrCodU1+J81/12+nStepFirst,1,IF(nStepGated="Yes",(1+nStepPct)^(INT((2034-sNsmrCodU1-J81/12-nStepFirst)/nStepEvery)+1),1))+nExclPrem*(1-nFlexRelief)-nProdCredit)</f>
        <v/>
      </c>
      <c r="M81" s="63">
        <f>MIN(nShortfallCapM,MAX(0,sNsmrAvailY2-K81)*sNsmrUnitMw*sNsmrUnits*8760*NsmrPrice2033/1000000)</f>
        <v/>
      </c>
      <c r="N81" s="82">
        <f>IF(RAND()&lt;0.5,nUsefulLifeDrawBase-(nUsefulLifeDrawBase-nUsefulLifeDrawMin)*BETA.INV(RAND(),1.15,1.15),nUsefulLifeDrawBase+(nUsefulLifeDrawMax-nUsefulLifeDrawBase)*BETA.INV(RAND(),1.15,1.15))</f>
        <v/>
      </c>
      <c r="O81" s="45">
        <f>((nInference*nGpuIdx+nAmort)*nUtilCal/D81)*(nUsefulLifeDrawBase/N81-1)</f>
        <v/>
      </c>
      <c r="P81" s="1" t="n"/>
      <c r="Q81" s="1" t="n"/>
      <c r="R81" s="1" t="n"/>
      <c r="S81" s="1" t="n"/>
      <c r="T81" s="1" t="n"/>
      <c r="U81" s="1" t="n"/>
    </row>
    <row r="82" ht="12" customHeight="1">
      <c r="A82" s="1" t="n"/>
      <c r="B82" s="38" t="n">
        <v>62</v>
      </c>
      <c r="C82" s="114">
        <f>Assumptions!$F$8+RAND()*(Assumptions!$D$8-Assumptions!$F$8)</f>
        <v/>
      </c>
      <c r="D82" s="114">
        <f>Assumptions!$D$9+RAND()*(Assumptions!$F$9-Assumptions!$D$9)</f>
        <v/>
      </c>
      <c r="E82" s="71">
        <f>Assumptions!$F$11+RAND()*(Assumptions!$D$11-Assumptions!$F$11)</f>
        <v/>
      </c>
      <c r="F82" s="45">
        <f>nListPrice*(1-C82)-(nInference*nGpuIdx+nAmort)*nUtilCal/D82-nNetworking-nOverheadBase*(E82/nPowerCal)-nCodBase*(1+I82/12)-O82</f>
        <v/>
      </c>
      <c r="G82" s="66">
        <f>MAX(F82,0)/nDebtService</f>
        <v/>
      </c>
      <c r="H82" s="71">
        <f>Anthropic!$J$18*Anthropic!$J$27+Anthropic!$J$19*Anthropic!$J$28+Anthropic!$J$20*Anthropic!$J$29+Anthropic!$J$21*E82*(1+nPowerCagr)^4*(1+nResidualBasisMarkup+nScarcityAlpha*POWER(Anthropic!$J$21,nScarcityGamma))</f>
        <v/>
      </c>
      <c r="I82" s="113">
        <f>Assumptions!$F$10+RAND()*(Assumptions!$D$10-Assumptions!$F$10)</f>
        <v/>
      </c>
      <c r="J82" s="113">
        <f>RAND()*nCodSlipMaxMo</f>
        <v/>
      </c>
      <c r="K82" s="114">
        <f>nAvailDrawMin+RAND()*(nAvailDrawMax-nAvailDrawMin)</f>
        <v/>
      </c>
      <c r="L82" s="45">
        <f>IF(2034&lt;sNsmrCodU1+J82/12,0,(nNsmrCap+nNsmrOpx*(1+sNsmrOpxEsc)^8+nNsmrFuel*FuelEsc*(1+nFuelCagr)^8-nNsmrItc)*IF(2034&lt;sNsmrCodU1+J82/12+nStepFirst,1,IF(nStepGated="Yes",(1+nStepPct)^(INT((2034-sNsmrCodU1-J82/12-nStepFirst)/nStepEvery)+1),1))+nExclPrem*(1-nFlexRelief)-nProdCredit)</f>
        <v/>
      </c>
      <c r="M82" s="63">
        <f>MIN(nShortfallCapM,MAX(0,sNsmrAvailY2-K82)*sNsmrUnitMw*sNsmrUnits*8760*NsmrPrice2033/1000000)</f>
        <v/>
      </c>
      <c r="N82" s="82">
        <f>IF(RAND()&lt;0.5,nUsefulLifeDrawBase-(nUsefulLifeDrawBase-nUsefulLifeDrawMin)*BETA.INV(RAND(),1.15,1.15),nUsefulLifeDrawBase+(nUsefulLifeDrawMax-nUsefulLifeDrawBase)*BETA.INV(RAND(),1.15,1.15))</f>
        <v/>
      </c>
      <c r="O82" s="45">
        <f>((nInference*nGpuIdx+nAmort)*nUtilCal/D82)*(nUsefulLifeDrawBase/N82-1)</f>
        <v/>
      </c>
      <c r="P82" s="1" t="n"/>
      <c r="Q82" s="1" t="n"/>
      <c r="R82" s="1" t="n"/>
      <c r="S82" s="1" t="n"/>
      <c r="T82" s="1" t="n"/>
      <c r="U82" s="1" t="n"/>
    </row>
    <row r="83" ht="12" customHeight="1">
      <c r="A83" s="1" t="n"/>
      <c r="B83" s="38" t="n">
        <v>63</v>
      </c>
      <c r="C83" s="114">
        <f>Assumptions!$F$8+RAND()*(Assumptions!$D$8-Assumptions!$F$8)</f>
        <v/>
      </c>
      <c r="D83" s="114">
        <f>Assumptions!$D$9+RAND()*(Assumptions!$F$9-Assumptions!$D$9)</f>
        <v/>
      </c>
      <c r="E83" s="71">
        <f>Assumptions!$F$11+RAND()*(Assumptions!$D$11-Assumptions!$F$11)</f>
        <v/>
      </c>
      <c r="F83" s="45">
        <f>nListPrice*(1-C83)-(nInference*nGpuIdx+nAmort)*nUtilCal/D83-nNetworking-nOverheadBase*(E83/nPowerCal)-nCodBase*(1+I83/12)-O83</f>
        <v/>
      </c>
      <c r="G83" s="66">
        <f>MAX(F83,0)/nDebtService</f>
        <v/>
      </c>
      <c r="H83" s="71">
        <f>Anthropic!$J$18*Anthropic!$J$27+Anthropic!$J$19*Anthropic!$J$28+Anthropic!$J$20*Anthropic!$J$29+Anthropic!$J$21*E83*(1+nPowerCagr)^4*(1+nResidualBasisMarkup+nScarcityAlpha*POWER(Anthropic!$J$21,nScarcityGamma))</f>
        <v/>
      </c>
      <c r="I83" s="113">
        <f>Assumptions!$F$10+RAND()*(Assumptions!$D$10-Assumptions!$F$10)</f>
        <v/>
      </c>
      <c r="J83" s="113">
        <f>RAND()*nCodSlipMaxMo</f>
        <v/>
      </c>
      <c r="K83" s="114">
        <f>nAvailDrawMin+RAND()*(nAvailDrawMax-nAvailDrawMin)</f>
        <v/>
      </c>
      <c r="L83" s="45">
        <f>IF(2034&lt;sNsmrCodU1+J83/12,0,(nNsmrCap+nNsmrOpx*(1+sNsmrOpxEsc)^8+nNsmrFuel*FuelEsc*(1+nFuelCagr)^8-nNsmrItc)*IF(2034&lt;sNsmrCodU1+J83/12+nStepFirst,1,IF(nStepGated="Yes",(1+nStepPct)^(INT((2034-sNsmrCodU1-J83/12-nStepFirst)/nStepEvery)+1),1))+nExclPrem*(1-nFlexRelief)-nProdCredit)</f>
        <v/>
      </c>
      <c r="M83" s="63">
        <f>MIN(nShortfallCapM,MAX(0,sNsmrAvailY2-K83)*sNsmrUnitMw*sNsmrUnits*8760*NsmrPrice2033/1000000)</f>
        <v/>
      </c>
      <c r="N83" s="82">
        <f>IF(RAND()&lt;0.5,nUsefulLifeDrawBase-(nUsefulLifeDrawBase-nUsefulLifeDrawMin)*BETA.INV(RAND(),1.15,1.15),nUsefulLifeDrawBase+(nUsefulLifeDrawMax-nUsefulLifeDrawBase)*BETA.INV(RAND(),1.15,1.15))</f>
        <v/>
      </c>
      <c r="O83" s="45">
        <f>((nInference*nGpuIdx+nAmort)*nUtilCal/D83)*(nUsefulLifeDrawBase/N83-1)</f>
        <v/>
      </c>
      <c r="P83" s="1" t="n"/>
      <c r="Q83" s="1" t="n"/>
      <c r="R83" s="1" t="n"/>
      <c r="S83" s="1" t="n"/>
      <c r="T83" s="1" t="n"/>
      <c r="U83" s="1" t="n"/>
    </row>
    <row r="84" ht="12" customHeight="1">
      <c r="A84" s="1" t="n"/>
      <c r="B84" s="38" t="n">
        <v>64</v>
      </c>
      <c r="C84" s="114">
        <f>Assumptions!$F$8+RAND()*(Assumptions!$D$8-Assumptions!$F$8)</f>
        <v/>
      </c>
      <c r="D84" s="114">
        <f>Assumptions!$D$9+RAND()*(Assumptions!$F$9-Assumptions!$D$9)</f>
        <v/>
      </c>
      <c r="E84" s="71">
        <f>Assumptions!$F$11+RAND()*(Assumptions!$D$11-Assumptions!$F$11)</f>
        <v/>
      </c>
      <c r="F84" s="45">
        <f>nListPrice*(1-C84)-(nInference*nGpuIdx+nAmort)*nUtilCal/D84-nNetworking-nOverheadBase*(E84/nPowerCal)-nCodBase*(1+I84/12)-O84</f>
        <v/>
      </c>
      <c r="G84" s="66">
        <f>MAX(F84,0)/nDebtService</f>
        <v/>
      </c>
      <c r="H84" s="71">
        <f>Anthropic!$J$18*Anthropic!$J$27+Anthropic!$J$19*Anthropic!$J$28+Anthropic!$J$20*Anthropic!$J$29+Anthropic!$J$21*E84*(1+nPowerCagr)^4*(1+nResidualBasisMarkup+nScarcityAlpha*POWER(Anthropic!$J$21,nScarcityGamma))</f>
        <v/>
      </c>
      <c r="I84" s="113">
        <f>Assumptions!$F$10+RAND()*(Assumptions!$D$10-Assumptions!$F$10)</f>
        <v/>
      </c>
      <c r="J84" s="113">
        <f>RAND()*nCodSlipMaxMo</f>
        <v/>
      </c>
      <c r="K84" s="114">
        <f>nAvailDrawMin+RAND()*(nAvailDrawMax-nAvailDrawMin)</f>
        <v/>
      </c>
      <c r="L84" s="45">
        <f>IF(2034&lt;sNsmrCodU1+J84/12,0,(nNsmrCap+nNsmrOpx*(1+sNsmrOpxEsc)^8+nNsmrFuel*FuelEsc*(1+nFuelCagr)^8-nNsmrItc)*IF(2034&lt;sNsmrCodU1+J84/12+nStepFirst,1,IF(nStepGated="Yes",(1+nStepPct)^(INT((2034-sNsmrCodU1-J84/12-nStepFirst)/nStepEvery)+1),1))+nExclPrem*(1-nFlexRelief)-nProdCredit)</f>
        <v/>
      </c>
      <c r="M84" s="63">
        <f>MIN(nShortfallCapM,MAX(0,sNsmrAvailY2-K84)*sNsmrUnitMw*sNsmrUnits*8760*NsmrPrice2033/1000000)</f>
        <v/>
      </c>
      <c r="N84" s="82">
        <f>IF(RAND()&lt;0.5,nUsefulLifeDrawBase-(nUsefulLifeDrawBase-nUsefulLifeDrawMin)*BETA.INV(RAND(),1.15,1.15),nUsefulLifeDrawBase+(nUsefulLifeDrawMax-nUsefulLifeDrawBase)*BETA.INV(RAND(),1.15,1.15))</f>
        <v/>
      </c>
      <c r="O84" s="45">
        <f>((nInference*nGpuIdx+nAmort)*nUtilCal/D84)*(nUsefulLifeDrawBase/N84-1)</f>
        <v/>
      </c>
      <c r="P84" s="1" t="n"/>
      <c r="Q84" s="1" t="n"/>
      <c r="R84" s="1" t="n"/>
      <c r="S84" s="1" t="n"/>
      <c r="T84" s="1" t="n"/>
      <c r="U84" s="1" t="n"/>
    </row>
    <row r="85" ht="12" customHeight="1">
      <c r="A85" s="1" t="n"/>
      <c r="B85" s="38" t="n">
        <v>65</v>
      </c>
      <c r="C85" s="114">
        <f>Assumptions!$F$8+RAND()*(Assumptions!$D$8-Assumptions!$F$8)</f>
        <v/>
      </c>
      <c r="D85" s="114">
        <f>Assumptions!$D$9+RAND()*(Assumptions!$F$9-Assumptions!$D$9)</f>
        <v/>
      </c>
      <c r="E85" s="71">
        <f>Assumptions!$F$11+RAND()*(Assumptions!$D$11-Assumptions!$F$11)</f>
        <v/>
      </c>
      <c r="F85" s="45">
        <f>nListPrice*(1-C85)-(nInference*nGpuIdx+nAmort)*nUtilCal/D85-nNetworking-nOverheadBase*(E85/nPowerCal)-nCodBase*(1+I85/12)-O85</f>
        <v/>
      </c>
      <c r="G85" s="66">
        <f>MAX(F85,0)/nDebtService</f>
        <v/>
      </c>
      <c r="H85" s="71">
        <f>Anthropic!$J$18*Anthropic!$J$27+Anthropic!$J$19*Anthropic!$J$28+Anthropic!$J$20*Anthropic!$J$29+Anthropic!$J$21*E85*(1+nPowerCagr)^4*(1+nResidualBasisMarkup+nScarcityAlpha*POWER(Anthropic!$J$21,nScarcityGamma))</f>
        <v/>
      </c>
      <c r="I85" s="113">
        <f>Assumptions!$F$10+RAND()*(Assumptions!$D$10-Assumptions!$F$10)</f>
        <v/>
      </c>
      <c r="J85" s="113">
        <f>RAND()*nCodSlipMaxMo</f>
        <v/>
      </c>
      <c r="K85" s="114">
        <f>nAvailDrawMin+RAND()*(nAvailDrawMax-nAvailDrawMin)</f>
        <v/>
      </c>
      <c r="L85" s="45">
        <f>IF(2034&lt;sNsmrCodU1+J85/12,0,(nNsmrCap+nNsmrOpx*(1+sNsmrOpxEsc)^8+nNsmrFuel*FuelEsc*(1+nFuelCagr)^8-nNsmrItc)*IF(2034&lt;sNsmrCodU1+J85/12+nStepFirst,1,IF(nStepGated="Yes",(1+nStepPct)^(INT((2034-sNsmrCodU1-J85/12-nStepFirst)/nStepEvery)+1),1))+nExclPrem*(1-nFlexRelief)-nProdCredit)</f>
        <v/>
      </c>
      <c r="M85" s="63">
        <f>MIN(nShortfallCapM,MAX(0,sNsmrAvailY2-K85)*sNsmrUnitMw*sNsmrUnits*8760*NsmrPrice2033/1000000)</f>
        <v/>
      </c>
      <c r="N85" s="82">
        <f>IF(RAND()&lt;0.5,nUsefulLifeDrawBase-(nUsefulLifeDrawBase-nUsefulLifeDrawMin)*BETA.INV(RAND(),1.15,1.15),nUsefulLifeDrawBase+(nUsefulLifeDrawMax-nUsefulLifeDrawBase)*BETA.INV(RAND(),1.15,1.15))</f>
        <v/>
      </c>
      <c r="O85" s="45">
        <f>((nInference*nGpuIdx+nAmort)*nUtilCal/D85)*(nUsefulLifeDrawBase/N85-1)</f>
        <v/>
      </c>
      <c r="P85" s="1" t="n"/>
      <c r="Q85" s="1" t="n"/>
      <c r="R85" s="1" t="n"/>
      <c r="S85" s="1" t="n"/>
      <c r="T85" s="1" t="n"/>
      <c r="U85" s="1" t="n"/>
    </row>
    <row r="86" ht="12" customHeight="1">
      <c r="A86" s="1" t="n"/>
      <c r="B86" s="38" t="n">
        <v>66</v>
      </c>
      <c r="C86" s="114">
        <f>Assumptions!$F$8+RAND()*(Assumptions!$D$8-Assumptions!$F$8)</f>
        <v/>
      </c>
      <c r="D86" s="114">
        <f>Assumptions!$D$9+RAND()*(Assumptions!$F$9-Assumptions!$D$9)</f>
        <v/>
      </c>
      <c r="E86" s="71">
        <f>Assumptions!$F$11+RAND()*(Assumptions!$D$11-Assumptions!$F$11)</f>
        <v/>
      </c>
      <c r="F86" s="45">
        <f>nListPrice*(1-C86)-(nInference*nGpuIdx+nAmort)*nUtilCal/D86-nNetworking-nOverheadBase*(E86/nPowerCal)-nCodBase*(1+I86/12)-O86</f>
        <v/>
      </c>
      <c r="G86" s="66">
        <f>MAX(F86,0)/nDebtService</f>
        <v/>
      </c>
      <c r="H86" s="71">
        <f>Anthropic!$J$18*Anthropic!$J$27+Anthropic!$J$19*Anthropic!$J$28+Anthropic!$J$20*Anthropic!$J$29+Anthropic!$J$21*E86*(1+nPowerCagr)^4*(1+nResidualBasisMarkup+nScarcityAlpha*POWER(Anthropic!$J$21,nScarcityGamma))</f>
        <v/>
      </c>
      <c r="I86" s="113">
        <f>Assumptions!$F$10+RAND()*(Assumptions!$D$10-Assumptions!$F$10)</f>
        <v/>
      </c>
      <c r="J86" s="113">
        <f>RAND()*nCodSlipMaxMo</f>
        <v/>
      </c>
      <c r="K86" s="114">
        <f>nAvailDrawMin+RAND()*(nAvailDrawMax-nAvailDrawMin)</f>
        <v/>
      </c>
      <c r="L86" s="45">
        <f>IF(2034&lt;sNsmrCodU1+J86/12,0,(nNsmrCap+nNsmrOpx*(1+sNsmrOpxEsc)^8+nNsmrFuel*FuelEsc*(1+nFuelCagr)^8-nNsmrItc)*IF(2034&lt;sNsmrCodU1+J86/12+nStepFirst,1,IF(nStepGated="Yes",(1+nStepPct)^(INT((2034-sNsmrCodU1-J86/12-nStepFirst)/nStepEvery)+1),1))+nExclPrem*(1-nFlexRelief)-nProdCredit)</f>
        <v/>
      </c>
      <c r="M86" s="63">
        <f>MIN(nShortfallCapM,MAX(0,sNsmrAvailY2-K86)*sNsmrUnitMw*sNsmrUnits*8760*NsmrPrice2033/1000000)</f>
        <v/>
      </c>
      <c r="N86" s="82">
        <f>IF(RAND()&lt;0.5,nUsefulLifeDrawBase-(nUsefulLifeDrawBase-nUsefulLifeDrawMin)*BETA.INV(RAND(),1.15,1.15),nUsefulLifeDrawBase+(nUsefulLifeDrawMax-nUsefulLifeDrawBase)*BETA.INV(RAND(),1.15,1.15))</f>
        <v/>
      </c>
      <c r="O86" s="45">
        <f>((nInference*nGpuIdx+nAmort)*nUtilCal/D86)*(nUsefulLifeDrawBase/N86-1)</f>
        <v/>
      </c>
      <c r="P86" s="1" t="n"/>
      <c r="Q86" s="1" t="n"/>
      <c r="R86" s="1" t="n"/>
      <c r="S86" s="1" t="n"/>
      <c r="T86" s="1" t="n"/>
      <c r="U86" s="1" t="n"/>
    </row>
    <row r="87" ht="12" customHeight="1">
      <c r="A87" s="1" t="n"/>
      <c r="B87" s="38" t="n">
        <v>67</v>
      </c>
      <c r="C87" s="114">
        <f>Assumptions!$F$8+RAND()*(Assumptions!$D$8-Assumptions!$F$8)</f>
        <v/>
      </c>
      <c r="D87" s="114">
        <f>Assumptions!$D$9+RAND()*(Assumptions!$F$9-Assumptions!$D$9)</f>
        <v/>
      </c>
      <c r="E87" s="71">
        <f>Assumptions!$F$11+RAND()*(Assumptions!$D$11-Assumptions!$F$11)</f>
        <v/>
      </c>
      <c r="F87" s="45">
        <f>nListPrice*(1-C87)-(nInference*nGpuIdx+nAmort)*nUtilCal/D87-nNetworking-nOverheadBase*(E87/nPowerCal)-nCodBase*(1+I87/12)-O87</f>
        <v/>
      </c>
      <c r="G87" s="66">
        <f>MAX(F87,0)/nDebtService</f>
        <v/>
      </c>
      <c r="H87" s="71">
        <f>Anthropic!$J$18*Anthropic!$J$27+Anthropic!$J$19*Anthropic!$J$28+Anthropic!$J$20*Anthropic!$J$29+Anthropic!$J$21*E87*(1+nPowerCagr)^4*(1+nResidualBasisMarkup+nScarcityAlpha*POWER(Anthropic!$J$21,nScarcityGamma))</f>
        <v/>
      </c>
      <c r="I87" s="113">
        <f>Assumptions!$F$10+RAND()*(Assumptions!$D$10-Assumptions!$F$10)</f>
        <v/>
      </c>
      <c r="J87" s="113">
        <f>RAND()*nCodSlipMaxMo</f>
        <v/>
      </c>
      <c r="K87" s="114">
        <f>nAvailDrawMin+RAND()*(nAvailDrawMax-nAvailDrawMin)</f>
        <v/>
      </c>
      <c r="L87" s="45">
        <f>IF(2034&lt;sNsmrCodU1+J87/12,0,(nNsmrCap+nNsmrOpx*(1+sNsmrOpxEsc)^8+nNsmrFuel*FuelEsc*(1+nFuelCagr)^8-nNsmrItc)*IF(2034&lt;sNsmrCodU1+J87/12+nStepFirst,1,IF(nStepGated="Yes",(1+nStepPct)^(INT((2034-sNsmrCodU1-J87/12-nStepFirst)/nStepEvery)+1),1))+nExclPrem*(1-nFlexRelief)-nProdCredit)</f>
        <v/>
      </c>
      <c r="M87" s="63">
        <f>MIN(nShortfallCapM,MAX(0,sNsmrAvailY2-K87)*sNsmrUnitMw*sNsmrUnits*8760*NsmrPrice2033/1000000)</f>
        <v/>
      </c>
      <c r="N87" s="82">
        <f>IF(RAND()&lt;0.5,nUsefulLifeDrawBase-(nUsefulLifeDrawBase-nUsefulLifeDrawMin)*BETA.INV(RAND(),1.15,1.15),nUsefulLifeDrawBase+(nUsefulLifeDrawMax-nUsefulLifeDrawBase)*BETA.INV(RAND(),1.15,1.15))</f>
        <v/>
      </c>
      <c r="O87" s="45">
        <f>((nInference*nGpuIdx+nAmort)*nUtilCal/D87)*(nUsefulLifeDrawBase/N87-1)</f>
        <v/>
      </c>
      <c r="P87" s="1" t="n"/>
      <c r="Q87" s="1" t="n"/>
      <c r="R87" s="1" t="n"/>
      <c r="S87" s="1" t="n"/>
      <c r="T87" s="1" t="n"/>
      <c r="U87" s="1" t="n"/>
    </row>
    <row r="88" ht="12" customHeight="1">
      <c r="A88" s="1" t="n"/>
      <c r="B88" s="38" t="n">
        <v>68</v>
      </c>
      <c r="C88" s="114">
        <f>Assumptions!$F$8+RAND()*(Assumptions!$D$8-Assumptions!$F$8)</f>
        <v/>
      </c>
      <c r="D88" s="114">
        <f>Assumptions!$D$9+RAND()*(Assumptions!$F$9-Assumptions!$D$9)</f>
        <v/>
      </c>
      <c r="E88" s="71">
        <f>Assumptions!$F$11+RAND()*(Assumptions!$D$11-Assumptions!$F$11)</f>
        <v/>
      </c>
      <c r="F88" s="45">
        <f>nListPrice*(1-C88)-(nInference*nGpuIdx+nAmort)*nUtilCal/D88-nNetworking-nOverheadBase*(E88/nPowerCal)-nCodBase*(1+I88/12)-O88</f>
        <v/>
      </c>
      <c r="G88" s="66">
        <f>MAX(F88,0)/nDebtService</f>
        <v/>
      </c>
      <c r="H88" s="71">
        <f>Anthropic!$J$18*Anthropic!$J$27+Anthropic!$J$19*Anthropic!$J$28+Anthropic!$J$20*Anthropic!$J$29+Anthropic!$J$21*E88*(1+nPowerCagr)^4*(1+nResidualBasisMarkup+nScarcityAlpha*POWER(Anthropic!$J$21,nScarcityGamma))</f>
        <v/>
      </c>
      <c r="I88" s="113">
        <f>Assumptions!$F$10+RAND()*(Assumptions!$D$10-Assumptions!$F$10)</f>
        <v/>
      </c>
      <c r="J88" s="113">
        <f>RAND()*nCodSlipMaxMo</f>
        <v/>
      </c>
      <c r="K88" s="114">
        <f>nAvailDrawMin+RAND()*(nAvailDrawMax-nAvailDrawMin)</f>
        <v/>
      </c>
      <c r="L88" s="45">
        <f>IF(2034&lt;sNsmrCodU1+J88/12,0,(nNsmrCap+nNsmrOpx*(1+sNsmrOpxEsc)^8+nNsmrFuel*FuelEsc*(1+nFuelCagr)^8-nNsmrItc)*IF(2034&lt;sNsmrCodU1+J88/12+nStepFirst,1,IF(nStepGated="Yes",(1+nStepPct)^(INT((2034-sNsmrCodU1-J88/12-nStepFirst)/nStepEvery)+1),1))+nExclPrem*(1-nFlexRelief)-nProdCredit)</f>
        <v/>
      </c>
      <c r="M88" s="63">
        <f>MIN(nShortfallCapM,MAX(0,sNsmrAvailY2-K88)*sNsmrUnitMw*sNsmrUnits*8760*NsmrPrice2033/1000000)</f>
        <v/>
      </c>
      <c r="N88" s="82">
        <f>IF(RAND()&lt;0.5,nUsefulLifeDrawBase-(nUsefulLifeDrawBase-nUsefulLifeDrawMin)*BETA.INV(RAND(),1.15,1.15),nUsefulLifeDrawBase+(nUsefulLifeDrawMax-nUsefulLifeDrawBase)*BETA.INV(RAND(),1.15,1.15))</f>
        <v/>
      </c>
      <c r="O88" s="45">
        <f>((nInference*nGpuIdx+nAmort)*nUtilCal/D88)*(nUsefulLifeDrawBase/N88-1)</f>
        <v/>
      </c>
      <c r="P88" s="1" t="n"/>
      <c r="Q88" s="1" t="n"/>
      <c r="R88" s="1" t="n"/>
      <c r="S88" s="1" t="n"/>
      <c r="T88" s="1" t="n"/>
      <c r="U88" s="1" t="n"/>
    </row>
    <row r="89" ht="12" customHeight="1">
      <c r="A89" s="1" t="n"/>
      <c r="B89" s="38" t="n">
        <v>69</v>
      </c>
      <c r="C89" s="114">
        <f>Assumptions!$F$8+RAND()*(Assumptions!$D$8-Assumptions!$F$8)</f>
        <v/>
      </c>
      <c r="D89" s="114">
        <f>Assumptions!$D$9+RAND()*(Assumptions!$F$9-Assumptions!$D$9)</f>
        <v/>
      </c>
      <c r="E89" s="71">
        <f>Assumptions!$F$11+RAND()*(Assumptions!$D$11-Assumptions!$F$11)</f>
        <v/>
      </c>
      <c r="F89" s="45">
        <f>nListPrice*(1-C89)-(nInference*nGpuIdx+nAmort)*nUtilCal/D89-nNetworking-nOverheadBase*(E89/nPowerCal)-nCodBase*(1+I89/12)-O89</f>
        <v/>
      </c>
      <c r="G89" s="66">
        <f>MAX(F89,0)/nDebtService</f>
        <v/>
      </c>
      <c r="H89" s="71">
        <f>Anthropic!$J$18*Anthropic!$J$27+Anthropic!$J$19*Anthropic!$J$28+Anthropic!$J$20*Anthropic!$J$29+Anthropic!$J$21*E89*(1+nPowerCagr)^4*(1+nResidualBasisMarkup+nScarcityAlpha*POWER(Anthropic!$J$21,nScarcityGamma))</f>
        <v/>
      </c>
      <c r="I89" s="113">
        <f>Assumptions!$F$10+RAND()*(Assumptions!$D$10-Assumptions!$F$10)</f>
        <v/>
      </c>
      <c r="J89" s="113">
        <f>RAND()*nCodSlipMaxMo</f>
        <v/>
      </c>
      <c r="K89" s="114">
        <f>nAvailDrawMin+RAND()*(nAvailDrawMax-nAvailDrawMin)</f>
        <v/>
      </c>
      <c r="L89" s="45">
        <f>IF(2034&lt;sNsmrCodU1+J89/12,0,(nNsmrCap+nNsmrOpx*(1+sNsmrOpxEsc)^8+nNsmrFuel*FuelEsc*(1+nFuelCagr)^8-nNsmrItc)*IF(2034&lt;sNsmrCodU1+J89/12+nStepFirst,1,IF(nStepGated="Yes",(1+nStepPct)^(INT((2034-sNsmrCodU1-J89/12-nStepFirst)/nStepEvery)+1),1))+nExclPrem*(1-nFlexRelief)-nProdCredit)</f>
        <v/>
      </c>
      <c r="M89" s="63">
        <f>MIN(nShortfallCapM,MAX(0,sNsmrAvailY2-K89)*sNsmrUnitMw*sNsmrUnits*8760*NsmrPrice2033/1000000)</f>
        <v/>
      </c>
      <c r="N89" s="82">
        <f>IF(RAND()&lt;0.5,nUsefulLifeDrawBase-(nUsefulLifeDrawBase-nUsefulLifeDrawMin)*BETA.INV(RAND(),1.15,1.15),nUsefulLifeDrawBase+(nUsefulLifeDrawMax-nUsefulLifeDrawBase)*BETA.INV(RAND(),1.15,1.15))</f>
        <v/>
      </c>
      <c r="O89" s="45">
        <f>((nInference*nGpuIdx+nAmort)*nUtilCal/D89)*(nUsefulLifeDrawBase/N89-1)</f>
        <v/>
      </c>
      <c r="P89" s="1" t="n"/>
      <c r="Q89" s="1" t="n"/>
      <c r="R89" s="1" t="n"/>
      <c r="S89" s="1" t="n"/>
      <c r="T89" s="1" t="n"/>
      <c r="U89" s="1" t="n"/>
    </row>
    <row r="90" ht="12" customHeight="1">
      <c r="A90" s="1" t="n"/>
      <c r="B90" s="38" t="n">
        <v>70</v>
      </c>
      <c r="C90" s="114">
        <f>Assumptions!$F$8+RAND()*(Assumptions!$D$8-Assumptions!$F$8)</f>
        <v/>
      </c>
      <c r="D90" s="114">
        <f>Assumptions!$D$9+RAND()*(Assumptions!$F$9-Assumptions!$D$9)</f>
        <v/>
      </c>
      <c r="E90" s="71">
        <f>Assumptions!$F$11+RAND()*(Assumptions!$D$11-Assumptions!$F$11)</f>
        <v/>
      </c>
      <c r="F90" s="45">
        <f>nListPrice*(1-C90)-(nInference*nGpuIdx+nAmort)*nUtilCal/D90-nNetworking-nOverheadBase*(E90/nPowerCal)-nCodBase*(1+I90/12)-O90</f>
        <v/>
      </c>
      <c r="G90" s="66">
        <f>MAX(F90,0)/nDebtService</f>
        <v/>
      </c>
      <c r="H90" s="71">
        <f>Anthropic!$J$18*Anthropic!$J$27+Anthropic!$J$19*Anthropic!$J$28+Anthropic!$J$20*Anthropic!$J$29+Anthropic!$J$21*E90*(1+nPowerCagr)^4*(1+nResidualBasisMarkup+nScarcityAlpha*POWER(Anthropic!$J$21,nScarcityGamma))</f>
        <v/>
      </c>
      <c r="I90" s="113">
        <f>Assumptions!$F$10+RAND()*(Assumptions!$D$10-Assumptions!$F$10)</f>
        <v/>
      </c>
      <c r="J90" s="113">
        <f>RAND()*nCodSlipMaxMo</f>
        <v/>
      </c>
      <c r="K90" s="114">
        <f>nAvailDrawMin+RAND()*(nAvailDrawMax-nAvailDrawMin)</f>
        <v/>
      </c>
      <c r="L90" s="45">
        <f>IF(2034&lt;sNsmrCodU1+J90/12,0,(nNsmrCap+nNsmrOpx*(1+sNsmrOpxEsc)^8+nNsmrFuel*FuelEsc*(1+nFuelCagr)^8-nNsmrItc)*IF(2034&lt;sNsmrCodU1+J90/12+nStepFirst,1,IF(nStepGated="Yes",(1+nStepPct)^(INT((2034-sNsmrCodU1-J90/12-nStepFirst)/nStepEvery)+1),1))+nExclPrem*(1-nFlexRelief)-nProdCredit)</f>
        <v/>
      </c>
      <c r="M90" s="63">
        <f>MIN(nShortfallCapM,MAX(0,sNsmrAvailY2-K90)*sNsmrUnitMw*sNsmrUnits*8760*NsmrPrice2033/1000000)</f>
        <v/>
      </c>
      <c r="N90" s="82">
        <f>IF(RAND()&lt;0.5,nUsefulLifeDrawBase-(nUsefulLifeDrawBase-nUsefulLifeDrawMin)*BETA.INV(RAND(),1.15,1.15),nUsefulLifeDrawBase+(nUsefulLifeDrawMax-nUsefulLifeDrawBase)*BETA.INV(RAND(),1.15,1.15))</f>
        <v/>
      </c>
      <c r="O90" s="45">
        <f>((nInference*nGpuIdx+nAmort)*nUtilCal/D90)*(nUsefulLifeDrawBase/N90-1)</f>
        <v/>
      </c>
      <c r="P90" s="1" t="n"/>
      <c r="Q90" s="1" t="n"/>
      <c r="R90" s="1" t="n"/>
      <c r="S90" s="1" t="n"/>
      <c r="T90" s="1" t="n"/>
      <c r="U90" s="1" t="n"/>
    </row>
    <row r="91" ht="12" customHeight="1">
      <c r="A91" s="1" t="n"/>
      <c r="B91" s="38" t="n">
        <v>71</v>
      </c>
      <c r="C91" s="114">
        <f>Assumptions!$F$8+RAND()*(Assumptions!$D$8-Assumptions!$F$8)</f>
        <v/>
      </c>
      <c r="D91" s="114">
        <f>Assumptions!$D$9+RAND()*(Assumptions!$F$9-Assumptions!$D$9)</f>
        <v/>
      </c>
      <c r="E91" s="71">
        <f>Assumptions!$F$11+RAND()*(Assumptions!$D$11-Assumptions!$F$11)</f>
        <v/>
      </c>
      <c r="F91" s="45">
        <f>nListPrice*(1-C91)-(nInference*nGpuIdx+nAmort)*nUtilCal/D91-nNetworking-nOverheadBase*(E91/nPowerCal)-nCodBase*(1+I91/12)-O91</f>
        <v/>
      </c>
      <c r="G91" s="66">
        <f>MAX(F91,0)/nDebtService</f>
        <v/>
      </c>
      <c r="H91" s="71">
        <f>Anthropic!$J$18*Anthropic!$J$27+Anthropic!$J$19*Anthropic!$J$28+Anthropic!$J$20*Anthropic!$J$29+Anthropic!$J$21*E91*(1+nPowerCagr)^4*(1+nResidualBasisMarkup+nScarcityAlpha*POWER(Anthropic!$J$21,nScarcityGamma))</f>
        <v/>
      </c>
      <c r="I91" s="113">
        <f>Assumptions!$F$10+RAND()*(Assumptions!$D$10-Assumptions!$F$10)</f>
        <v/>
      </c>
      <c r="J91" s="113">
        <f>RAND()*nCodSlipMaxMo</f>
        <v/>
      </c>
      <c r="K91" s="114">
        <f>nAvailDrawMin+RAND()*(nAvailDrawMax-nAvailDrawMin)</f>
        <v/>
      </c>
      <c r="L91" s="45">
        <f>IF(2034&lt;sNsmrCodU1+J91/12,0,(nNsmrCap+nNsmrOpx*(1+sNsmrOpxEsc)^8+nNsmrFuel*FuelEsc*(1+nFuelCagr)^8-nNsmrItc)*IF(2034&lt;sNsmrCodU1+J91/12+nStepFirst,1,IF(nStepGated="Yes",(1+nStepPct)^(INT((2034-sNsmrCodU1-J91/12-nStepFirst)/nStepEvery)+1),1))+nExclPrem*(1-nFlexRelief)-nProdCredit)</f>
        <v/>
      </c>
      <c r="M91" s="63">
        <f>MIN(nShortfallCapM,MAX(0,sNsmrAvailY2-K91)*sNsmrUnitMw*sNsmrUnits*8760*NsmrPrice2033/1000000)</f>
        <v/>
      </c>
      <c r="N91" s="82">
        <f>IF(RAND()&lt;0.5,nUsefulLifeDrawBase-(nUsefulLifeDrawBase-nUsefulLifeDrawMin)*BETA.INV(RAND(),1.15,1.15),nUsefulLifeDrawBase+(nUsefulLifeDrawMax-nUsefulLifeDrawBase)*BETA.INV(RAND(),1.15,1.15))</f>
        <v/>
      </c>
      <c r="O91" s="45">
        <f>((nInference*nGpuIdx+nAmort)*nUtilCal/D91)*(nUsefulLifeDrawBase/N91-1)</f>
        <v/>
      </c>
      <c r="P91" s="1" t="n"/>
      <c r="Q91" s="1" t="n"/>
      <c r="R91" s="1" t="n"/>
      <c r="S91" s="1" t="n"/>
      <c r="T91" s="1" t="n"/>
      <c r="U91" s="1" t="n"/>
    </row>
    <row r="92" ht="12" customHeight="1">
      <c r="A92" s="1" t="n"/>
      <c r="B92" s="38" t="n">
        <v>72</v>
      </c>
      <c r="C92" s="114">
        <f>Assumptions!$F$8+RAND()*(Assumptions!$D$8-Assumptions!$F$8)</f>
        <v/>
      </c>
      <c r="D92" s="114">
        <f>Assumptions!$D$9+RAND()*(Assumptions!$F$9-Assumptions!$D$9)</f>
        <v/>
      </c>
      <c r="E92" s="71">
        <f>Assumptions!$F$11+RAND()*(Assumptions!$D$11-Assumptions!$F$11)</f>
        <v/>
      </c>
      <c r="F92" s="45">
        <f>nListPrice*(1-C92)-(nInference*nGpuIdx+nAmort)*nUtilCal/D92-nNetworking-nOverheadBase*(E92/nPowerCal)-nCodBase*(1+I92/12)-O92</f>
        <v/>
      </c>
      <c r="G92" s="66">
        <f>MAX(F92,0)/nDebtService</f>
        <v/>
      </c>
      <c r="H92" s="71">
        <f>Anthropic!$J$18*Anthropic!$J$27+Anthropic!$J$19*Anthropic!$J$28+Anthropic!$J$20*Anthropic!$J$29+Anthropic!$J$21*E92*(1+nPowerCagr)^4*(1+nResidualBasisMarkup+nScarcityAlpha*POWER(Anthropic!$J$21,nScarcityGamma))</f>
        <v/>
      </c>
      <c r="I92" s="113">
        <f>Assumptions!$F$10+RAND()*(Assumptions!$D$10-Assumptions!$F$10)</f>
        <v/>
      </c>
      <c r="J92" s="113">
        <f>RAND()*nCodSlipMaxMo</f>
        <v/>
      </c>
      <c r="K92" s="114">
        <f>nAvailDrawMin+RAND()*(nAvailDrawMax-nAvailDrawMin)</f>
        <v/>
      </c>
      <c r="L92" s="45">
        <f>IF(2034&lt;sNsmrCodU1+J92/12,0,(nNsmrCap+nNsmrOpx*(1+sNsmrOpxEsc)^8+nNsmrFuel*FuelEsc*(1+nFuelCagr)^8-nNsmrItc)*IF(2034&lt;sNsmrCodU1+J92/12+nStepFirst,1,IF(nStepGated="Yes",(1+nStepPct)^(INT((2034-sNsmrCodU1-J92/12-nStepFirst)/nStepEvery)+1),1))+nExclPrem*(1-nFlexRelief)-nProdCredit)</f>
        <v/>
      </c>
      <c r="M92" s="63">
        <f>MIN(nShortfallCapM,MAX(0,sNsmrAvailY2-K92)*sNsmrUnitMw*sNsmrUnits*8760*NsmrPrice2033/1000000)</f>
        <v/>
      </c>
      <c r="N92" s="82">
        <f>IF(RAND()&lt;0.5,nUsefulLifeDrawBase-(nUsefulLifeDrawBase-nUsefulLifeDrawMin)*BETA.INV(RAND(),1.15,1.15),nUsefulLifeDrawBase+(nUsefulLifeDrawMax-nUsefulLifeDrawBase)*BETA.INV(RAND(),1.15,1.15))</f>
        <v/>
      </c>
      <c r="O92" s="45">
        <f>((nInference*nGpuIdx+nAmort)*nUtilCal/D92)*(nUsefulLifeDrawBase/N92-1)</f>
        <v/>
      </c>
      <c r="P92" s="1" t="n"/>
      <c r="Q92" s="1" t="n"/>
      <c r="R92" s="1" t="n"/>
      <c r="S92" s="1" t="n"/>
      <c r="T92" s="1" t="n"/>
      <c r="U92" s="1" t="n"/>
    </row>
    <row r="93" ht="12" customHeight="1">
      <c r="A93" s="1" t="n"/>
      <c r="B93" s="38" t="n">
        <v>73</v>
      </c>
      <c r="C93" s="114">
        <f>Assumptions!$F$8+RAND()*(Assumptions!$D$8-Assumptions!$F$8)</f>
        <v/>
      </c>
      <c r="D93" s="114">
        <f>Assumptions!$D$9+RAND()*(Assumptions!$F$9-Assumptions!$D$9)</f>
        <v/>
      </c>
      <c r="E93" s="71">
        <f>Assumptions!$F$11+RAND()*(Assumptions!$D$11-Assumptions!$F$11)</f>
        <v/>
      </c>
      <c r="F93" s="45">
        <f>nListPrice*(1-C93)-(nInference*nGpuIdx+nAmort)*nUtilCal/D93-nNetworking-nOverheadBase*(E93/nPowerCal)-nCodBase*(1+I93/12)-O93</f>
        <v/>
      </c>
      <c r="G93" s="66">
        <f>MAX(F93,0)/nDebtService</f>
        <v/>
      </c>
      <c r="H93" s="71">
        <f>Anthropic!$J$18*Anthropic!$J$27+Anthropic!$J$19*Anthropic!$J$28+Anthropic!$J$20*Anthropic!$J$29+Anthropic!$J$21*E93*(1+nPowerCagr)^4*(1+nResidualBasisMarkup+nScarcityAlpha*POWER(Anthropic!$J$21,nScarcityGamma))</f>
        <v/>
      </c>
      <c r="I93" s="113">
        <f>Assumptions!$F$10+RAND()*(Assumptions!$D$10-Assumptions!$F$10)</f>
        <v/>
      </c>
      <c r="J93" s="113">
        <f>RAND()*nCodSlipMaxMo</f>
        <v/>
      </c>
      <c r="K93" s="114">
        <f>nAvailDrawMin+RAND()*(nAvailDrawMax-nAvailDrawMin)</f>
        <v/>
      </c>
      <c r="L93" s="45">
        <f>IF(2034&lt;sNsmrCodU1+J93/12,0,(nNsmrCap+nNsmrOpx*(1+sNsmrOpxEsc)^8+nNsmrFuel*FuelEsc*(1+nFuelCagr)^8-nNsmrItc)*IF(2034&lt;sNsmrCodU1+J93/12+nStepFirst,1,IF(nStepGated="Yes",(1+nStepPct)^(INT((2034-sNsmrCodU1-J93/12-nStepFirst)/nStepEvery)+1),1))+nExclPrem*(1-nFlexRelief)-nProdCredit)</f>
        <v/>
      </c>
      <c r="M93" s="63">
        <f>MIN(nShortfallCapM,MAX(0,sNsmrAvailY2-K93)*sNsmrUnitMw*sNsmrUnits*8760*NsmrPrice2033/1000000)</f>
        <v/>
      </c>
      <c r="N93" s="82">
        <f>IF(RAND()&lt;0.5,nUsefulLifeDrawBase-(nUsefulLifeDrawBase-nUsefulLifeDrawMin)*BETA.INV(RAND(),1.15,1.15),nUsefulLifeDrawBase+(nUsefulLifeDrawMax-nUsefulLifeDrawBase)*BETA.INV(RAND(),1.15,1.15))</f>
        <v/>
      </c>
      <c r="O93" s="45">
        <f>((nInference*nGpuIdx+nAmort)*nUtilCal/D93)*(nUsefulLifeDrawBase/N93-1)</f>
        <v/>
      </c>
      <c r="P93" s="1" t="n"/>
      <c r="Q93" s="1" t="n"/>
      <c r="R93" s="1" t="n"/>
      <c r="S93" s="1" t="n"/>
      <c r="T93" s="1" t="n"/>
      <c r="U93" s="1" t="n"/>
    </row>
    <row r="94" ht="12" customHeight="1">
      <c r="A94" s="1" t="n"/>
      <c r="B94" s="38" t="n">
        <v>74</v>
      </c>
      <c r="C94" s="114">
        <f>Assumptions!$F$8+RAND()*(Assumptions!$D$8-Assumptions!$F$8)</f>
        <v/>
      </c>
      <c r="D94" s="114">
        <f>Assumptions!$D$9+RAND()*(Assumptions!$F$9-Assumptions!$D$9)</f>
        <v/>
      </c>
      <c r="E94" s="71">
        <f>Assumptions!$F$11+RAND()*(Assumptions!$D$11-Assumptions!$F$11)</f>
        <v/>
      </c>
      <c r="F94" s="45">
        <f>nListPrice*(1-C94)-(nInference*nGpuIdx+nAmort)*nUtilCal/D94-nNetworking-nOverheadBase*(E94/nPowerCal)-nCodBase*(1+I94/12)-O94</f>
        <v/>
      </c>
      <c r="G94" s="66">
        <f>MAX(F94,0)/nDebtService</f>
        <v/>
      </c>
      <c r="H94" s="71">
        <f>Anthropic!$J$18*Anthropic!$J$27+Anthropic!$J$19*Anthropic!$J$28+Anthropic!$J$20*Anthropic!$J$29+Anthropic!$J$21*E94*(1+nPowerCagr)^4*(1+nResidualBasisMarkup+nScarcityAlpha*POWER(Anthropic!$J$21,nScarcityGamma))</f>
        <v/>
      </c>
      <c r="I94" s="113">
        <f>Assumptions!$F$10+RAND()*(Assumptions!$D$10-Assumptions!$F$10)</f>
        <v/>
      </c>
      <c r="J94" s="113">
        <f>RAND()*nCodSlipMaxMo</f>
        <v/>
      </c>
      <c r="K94" s="114">
        <f>nAvailDrawMin+RAND()*(nAvailDrawMax-nAvailDrawMin)</f>
        <v/>
      </c>
      <c r="L94" s="45">
        <f>IF(2034&lt;sNsmrCodU1+J94/12,0,(nNsmrCap+nNsmrOpx*(1+sNsmrOpxEsc)^8+nNsmrFuel*FuelEsc*(1+nFuelCagr)^8-nNsmrItc)*IF(2034&lt;sNsmrCodU1+J94/12+nStepFirst,1,IF(nStepGated="Yes",(1+nStepPct)^(INT((2034-sNsmrCodU1-J94/12-nStepFirst)/nStepEvery)+1),1))+nExclPrem*(1-nFlexRelief)-nProdCredit)</f>
        <v/>
      </c>
      <c r="M94" s="63">
        <f>MIN(nShortfallCapM,MAX(0,sNsmrAvailY2-K94)*sNsmrUnitMw*sNsmrUnits*8760*NsmrPrice2033/1000000)</f>
        <v/>
      </c>
      <c r="N94" s="82">
        <f>IF(RAND()&lt;0.5,nUsefulLifeDrawBase-(nUsefulLifeDrawBase-nUsefulLifeDrawMin)*BETA.INV(RAND(),1.15,1.15),nUsefulLifeDrawBase+(nUsefulLifeDrawMax-nUsefulLifeDrawBase)*BETA.INV(RAND(),1.15,1.15))</f>
        <v/>
      </c>
      <c r="O94" s="45">
        <f>((nInference*nGpuIdx+nAmort)*nUtilCal/D94)*(nUsefulLifeDrawBase/N94-1)</f>
        <v/>
      </c>
      <c r="P94" s="1" t="n"/>
      <c r="Q94" s="1" t="n"/>
      <c r="R94" s="1" t="n"/>
      <c r="S94" s="1" t="n"/>
      <c r="T94" s="1" t="n"/>
      <c r="U94" s="1" t="n"/>
    </row>
    <row r="95" ht="12" customHeight="1">
      <c r="A95" s="1" t="n"/>
      <c r="B95" s="38" t="n">
        <v>75</v>
      </c>
      <c r="C95" s="114">
        <f>Assumptions!$F$8+RAND()*(Assumptions!$D$8-Assumptions!$F$8)</f>
        <v/>
      </c>
      <c r="D95" s="114">
        <f>Assumptions!$D$9+RAND()*(Assumptions!$F$9-Assumptions!$D$9)</f>
        <v/>
      </c>
      <c r="E95" s="71">
        <f>Assumptions!$F$11+RAND()*(Assumptions!$D$11-Assumptions!$F$11)</f>
        <v/>
      </c>
      <c r="F95" s="45">
        <f>nListPrice*(1-C95)-(nInference*nGpuIdx+nAmort)*nUtilCal/D95-nNetworking-nOverheadBase*(E95/nPowerCal)-nCodBase*(1+I95/12)-O95</f>
        <v/>
      </c>
      <c r="G95" s="66">
        <f>MAX(F95,0)/nDebtService</f>
        <v/>
      </c>
      <c r="H95" s="71">
        <f>Anthropic!$J$18*Anthropic!$J$27+Anthropic!$J$19*Anthropic!$J$28+Anthropic!$J$20*Anthropic!$J$29+Anthropic!$J$21*E95*(1+nPowerCagr)^4*(1+nResidualBasisMarkup+nScarcityAlpha*POWER(Anthropic!$J$21,nScarcityGamma))</f>
        <v/>
      </c>
      <c r="I95" s="113">
        <f>Assumptions!$F$10+RAND()*(Assumptions!$D$10-Assumptions!$F$10)</f>
        <v/>
      </c>
      <c r="J95" s="113">
        <f>RAND()*nCodSlipMaxMo</f>
        <v/>
      </c>
      <c r="K95" s="114">
        <f>nAvailDrawMin+RAND()*(nAvailDrawMax-nAvailDrawMin)</f>
        <v/>
      </c>
      <c r="L95" s="45">
        <f>IF(2034&lt;sNsmrCodU1+J95/12,0,(nNsmrCap+nNsmrOpx*(1+sNsmrOpxEsc)^8+nNsmrFuel*FuelEsc*(1+nFuelCagr)^8-nNsmrItc)*IF(2034&lt;sNsmrCodU1+J95/12+nStepFirst,1,IF(nStepGated="Yes",(1+nStepPct)^(INT((2034-sNsmrCodU1-J95/12-nStepFirst)/nStepEvery)+1),1))+nExclPrem*(1-nFlexRelief)-nProdCredit)</f>
        <v/>
      </c>
      <c r="M95" s="63">
        <f>MIN(nShortfallCapM,MAX(0,sNsmrAvailY2-K95)*sNsmrUnitMw*sNsmrUnits*8760*NsmrPrice2033/1000000)</f>
        <v/>
      </c>
      <c r="N95" s="82">
        <f>IF(RAND()&lt;0.5,nUsefulLifeDrawBase-(nUsefulLifeDrawBase-nUsefulLifeDrawMin)*BETA.INV(RAND(),1.15,1.15),nUsefulLifeDrawBase+(nUsefulLifeDrawMax-nUsefulLifeDrawBase)*BETA.INV(RAND(),1.15,1.15))</f>
        <v/>
      </c>
      <c r="O95" s="45">
        <f>((nInference*nGpuIdx+nAmort)*nUtilCal/D95)*(nUsefulLifeDrawBase/N95-1)</f>
        <v/>
      </c>
      <c r="P95" s="1" t="n"/>
      <c r="Q95" s="1" t="n"/>
      <c r="R95" s="1" t="n"/>
      <c r="S95" s="1" t="n"/>
      <c r="T95" s="1" t="n"/>
      <c r="U95" s="1" t="n"/>
    </row>
    <row r="96" ht="12" customHeight="1">
      <c r="A96" s="1" t="n"/>
      <c r="B96" s="38" t="n">
        <v>76</v>
      </c>
      <c r="C96" s="114">
        <f>Assumptions!$F$8+RAND()*(Assumptions!$D$8-Assumptions!$F$8)</f>
        <v/>
      </c>
      <c r="D96" s="114">
        <f>Assumptions!$D$9+RAND()*(Assumptions!$F$9-Assumptions!$D$9)</f>
        <v/>
      </c>
      <c r="E96" s="71">
        <f>Assumptions!$F$11+RAND()*(Assumptions!$D$11-Assumptions!$F$11)</f>
        <v/>
      </c>
      <c r="F96" s="45">
        <f>nListPrice*(1-C96)-(nInference*nGpuIdx+nAmort)*nUtilCal/D96-nNetworking-nOverheadBase*(E96/nPowerCal)-nCodBase*(1+I96/12)-O96</f>
        <v/>
      </c>
      <c r="G96" s="66">
        <f>MAX(F96,0)/nDebtService</f>
        <v/>
      </c>
      <c r="H96" s="71">
        <f>Anthropic!$J$18*Anthropic!$J$27+Anthropic!$J$19*Anthropic!$J$28+Anthropic!$J$20*Anthropic!$J$29+Anthropic!$J$21*E96*(1+nPowerCagr)^4*(1+nResidualBasisMarkup+nScarcityAlpha*POWER(Anthropic!$J$21,nScarcityGamma))</f>
        <v/>
      </c>
      <c r="I96" s="113">
        <f>Assumptions!$F$10+RAND()*(Assumptions!$D$10-Assumptions!$F$10)</f>
        <v/>
      </c>
      <c r="J96" s="113">
        <f>RAND()*nCodSlipMaxMo</f>
        <v/>
      </c>
      <c r="K96" s="114">
        <f>nAvailDrawMin+RAND()*(nAvailDrawMax-nAvailDrawMin)</f>
        <v/>
      </c>
      <c r="L96" s="45">
        <f>IF(2034&lt;sNsmrCodU1+J96/12,0,(nNsmrCap+nNsmrOpx*(1+sNsmrOpxEsc)^8+nNsmrFuel*FuelEsc*(1+nFuelCagr)^8-nNsmrItc)*IF(2034&lt;sNsmrCodU1+J96/12+nStepFirst,1,IF(nStepGated="Yes",(1+nStepPct)^(INT((2034-sNsmrCodU1-J96/12-nStepFirst)/nStepEvery)+1),1))+nExclPrem*(1-nFlexRelief)-nProdCredit)</f>
        <v/>
      </c>
      <c r="M96" s="63">
        <f>MIN(nShortfallCapM,MAX(0,sNsmrAvailY2-K96)*sNsmrUnitMw*sNsmrUnits*8760*NsmrPrice2033/1000000)</f>
        <v/>
      </c>
      <c r="N96" s="82">
        <f>IF(RAND()&lt;0.5,nUsefulLifeDrawBase-(nUsefulLifeDrawBase-nUsefulLifeDrawMin)*BETA.INV(RAND(),1.15,1.15),nUsefulLifeDrawBase+(nUsefulLifeDrawMax-nUsefulLifeDrawBase)*BETA.INV(RAND(),1.15,1.15))</f>
        <v/>
      </c>
      <c r="O96" s="45">
        <f>((nInference*nGpuIdx+nAmort)*nUtilCal/D96)*(nUsefulLifeDrawBase/N96-1)</f>
        <v/>
      </c>
      <c r="P96" s="1" t="n"/>
      <c r="Q96" s="1" t="n"/>
      <c r="R96" s="1" t="n"/>
      <c r="S96" s="1" t="n"/>
      <c r="T96" s="1" t="n"/>
      <c r="U96" s="1" t="n"/>
    </row>
    <row r="97" ht="12" customHeight="1">
      <c r="A97" s="1" t="n"/>
      <c r="B97" s="38" t="n">
        <v>77</v>
      </c>
      <c r="C97" s="114">
        <f>Assumptions!$F$8+RAND()*(Assumptions!$D$8-Assumptions!$F$8)</f>
        <v/>
      </c>
      <c r="D97" s="114">
        <f>Assumptions!$D$9+RAND()*(Assumptions!$F$9-Assumptions!$D$9)</f>
        <v/>
      </c>
      <c r="E97" s="71">
        <f>Assumptions!$F$11+RAND()*(Assumptions!$D$11-Assumptions!$F$11)</f>
        <v/>
      </c>
      <c r="F97" s="45">
        <f>nListPrice*(1-C97)-(nInference*nGpuIdx+nAmort)*nUtilCal/D97-nNetworking-nOverheadBase*(E97/nPowerCal)-nCodBase*(1+I97/12)-O97</f>
        <v/>
      </c>
      <c r="G97" s="66">
        <f>MAX(F97,0)/nDebtService</f>
        <v/>
      </c>
      <c r="H97" s="71">
        <f>Anthropic!$J$18*Anthropic!$J$27+Anthropic!$J$19*Anthropic!$J$28+Anthropic!$J$20*Anthropic!$J$29+Anthropic!$J$21*E97*(1+nPowerCagr)^4*(1+nResidualBasisMarkup+nScarcityAlpha*POWER(Anthropic!$J$21,nScarcityGamma))</f>
        <v/>
      </c>
      <c r="I97" s="113">
        <f>Assumptions!$F$10+RAND()*(Assumptions!$D$10-Assumptions!$F$10)</f>
        <v/>
      </c>
      <c r="J97" s="113">
        <f>RAND()*nCodSlipMaxMo</f>
        <v/>
      </c>
      <c r="K97" s="114">
        <f>nAvailDrawMin+RAND()*(nAvailDrawMax-nAvailDrawMin)</f>
        <v/>
      </c>
      <c r="L97" s="45">
        <f>IF(2034&lt;sNsmrCodU1+J97/12,0,(nNsmrCap+nNsmrOpx*(1+sNsmrOpxEsc)^8+nNsmrFuel*FuelEsc*(1+nFuelCagr)^8-nNsmrItc)*IF(2034&lt;sNsmrCodU1+J97/12+nStepFirst,1,IF(nStepGated="Yes",(1+nStepPct)^(INT((2034-sNsmrCodU1-J97/12-nStepFirst)/nStepEvery)+1),1))+nExclPrem*(1-nFlexRelief)-nProdCredit)</f>
        <v/>
      </c>
      <c r="M97" s="63">
        <f>MIN(nShortfallCapM,MAX(0,sNsmrAvailY2-K97)*sNsmrUnitMw*sNsmrUnits*8760*NsmrPrice2033/1000000)</f>
        <v/>
      </c>
      <c r="N97" s="82">
        <f>IF(RAND()&lt;0.5,nUsefulLifeDrawBase-(nUsefulLifeDrawBase-nUsefulLifeDrawMin)*BETA.INV(RAND(),1.15,1.15),nUsefulLifeDrawBase+(nUsefulLifeDrawMax-nUsefulLifeDrawBase)*BETA.INV(RAND(),1.15,1.15))</f>
        <v/>
      </c>
      <c r="O97" s="45">
        <f>((nInference*nGpuIdx+nAmort)*nUtilCal/D97)*(nUsefulLifeDrawBase/N97-1)</f>
        <v/>
      </c>
      <c r="P97" s="1" t="n"/>
      <c r="Q97" s="1" t="n"/>
      <c r="R97" s="1" t="n"/>
      <c r="S97" s="1" t="n"/>
      <c r="T97" s="1" t="n"/>
      <c r="U97" s="1" t="n"/>
    </row>
    <row r="98" ht="12" customHeight="1">
      <c r="A98" s="1" t="n"/>
      <c r="B98" s="38" t="n">
        <v>78</v>
      </c>
      <c r="C98" s="114">
        <f>Assumptions!$F$8+RAND()*(Assumptions!$D$8-Assumptions!$F$8)</f>
        <v/>
      </c>
      <c r="D98" s="114">
        <f>Assumptions!$D$9+RAND()*(Assumptions!$F$9-Assumptions!$D$9)</f>
        <v/>
      </c>
      <c r="E98" s="71">
        <f>Assumptions!$F$11+RAND()*(Assumptions!$D$11-Assumptions!$F$11)</f>
        <v/>
      </c>
      <c r="F98" s="45">
        <f>nListPrice*(1-C98)-(nInference*nGpuIdx+nAmort)*nUtilCal/D98-nNetworking-nOverheadBase*(E98/nPowerCal)-nCodBase*(1+I98/12)-O98</f>
        <v/>
      </c>
      <c r="G98" s="66">
        <f>MAX(F98,0)/nDebtService</f>
        <v/>
      </c>
      <c r="H98" s="71">
        <f>Anthropic!$J$18*Anthropic!$J$27+Anthropic!$J$19*Anthropic!$J$28+Anthropic!$J$20*Anthropic!$J$29+Anthropic!$J$21*E98*(1+nPowerCagr)^4*(1+nResidualBasisMarkup+nScarcityAlpha*POWER(Anthropic!$J$21,nScarcityGamma))</f>
        <v/>
      </c>
      <c r="I98" s="113">
        <f>Assumptions!$F$10+RAND()*(Assumptions!$D$10-Assumptions!$F$10)</f>
        <v/>
      </c>
      <c r="J98" s="113">
        <f>RAND()*nCodSlipMaxMo</f>
        <v/>
      </c>
      <c r="K98" s="114">
        <f>nAvailDrawMin+RAND()*(nAvailDrawMax-nAvailDrawMin)</f>
        <v/>
      </c>
      <c r="L98" s="45">
        <f>IF(2034&lt;sNsmrCodU1+J98/12,0,(nNsmrCap+nNsmrOpx*(1+sNsmrOpxEsc)^8+nNsmrFuel*FuelEsc*(1+nFuelCagr)^8-nNsmrItc)*IF(2034&lt;sNsmrCodU1+J98/12+nStepFirst,1,IF(nStepGated="Yes",(1+nStepPct)^(INT((2034-sNsmrCodU1-J98/12-nStepFirst)/nStepEvery)+1),1))+nExclPrem*(1-nFlexRelief)-nProdCredit)</f>
        <v/>
      </c>
      <c r="M98" s="63">
        <f>MIN(nShortfallCapM,MAX(0,sNsmrAvailY2-K98)*sNsmrUnitMw*sNsmrUnits*8760*NsmrPrice2033/1000000)</f>
        <v/>
      </c>
      <c r="N98" s="82">
        <f>IF(RAND()&lt;0.5,nUsefulLifeDrawBase-(nUsefulLifeDrawBase-nUsefulLifeDrawMin)*BETA.INV(RAND(),1.15,1.15),nUsefulLifeDrawBase+(nUsefulLifeDrawMax-nUsefulLifeDrawBase)*BETA.INV(RAND(),1.15,1.15))</f>
        <v/>
      </c>
      <c r="O98" s="45">
        <f>((nInference*nGpuIdx+nAmort)*nUtilCal/D98)*(nUsefulLifeDrawBase/N98-1)</f>
        <v/>
      </c>
      <c r="P98" s="1" t="n"/>
      <c r="Q98" s="1" t="n"/>
      <c r="R98" s="1" t="n"/>
      <c r="S98" s="1" t="n"/>
      <c r="T98" s="1" t="n"/>
      <c r="U98" s="1" t="n"/>
    </row>
    <row r="99" ht="12" customHeight="1">
      <c r="A99" s="1" t="n"/>
      <c r="B99" s="38" t="n">
        <v>79</v>
      </c>
      <c r="C99" s="114">
        <f>Assumptions!$F$8+RAND()*(Assumptions!$D$8-Assumptions!$F$8)</f>
        <v/>
      </c>
      <c r="D99" s="114">
        <f>Assumptions!$D$9+RAND()*(Assumptions!$F$9-Assumptions!$D$9)</f>
        <v/>
      </c>
      <c r="E99" s="71">
        <f>Assumptions!$F$11+RAND()*(Assumptions!$D$11-Assumptions!$F$11)</f>
        <v/>
      </c>
      <c r="F99" s="45">
        <f>nListPrice*(1-C99)-(nInference*nGpuIdx+nAmort)*nUtilCal/D99-nNetworking-nOverheadBase*(E99/nPowerCal)-nCodBase*(1+I99/12)-O99</f>
        <v/>
      </c>
      <c r="G99" s="66">
        <f>MAX(F99,0)/nDebtService</f>
        <v/>
      </c>
      <c r="H99" s="71">
        <f>Anthropic!$J$18*Anthropic!$J$27+Anthropic!$J$19*Anthropic!$J$28+Anthropic!$J$20*Anthropic!$J$29+Anthropic!$J$21*E99*(1+nPowerCagr)^4*(1+nResidualBasisMarkup+nScarcityAlpha*POWER(Anthropic!$J$21,nScarcityGamma))</f>
        <v/>
      </c>
      <c r="I99" s="113">
        <f>Assumptions!$F$10+RAND()*(Assumptions!$D$10-Assumptions!$F$10)</f>
        <v/>
      </c>
      <c r="J99" s="113">
        <f>RAND()*nCodSlipMaxMo</f>
        <v/>
      </c>
      <c r="K99" s="114">
        <f>nAvailDrawMin+RAND()*(nAvailDrawMax-nAvailDrawMin)</f>
        <v/>
      </c>
      <c r="L99" s="45">
        <f>IF(2034&lt;sNsmrCodU1+J99/12,0,(nNsmrCap+nNsmrOpx*(1+sNsmrOpxEsc)^8+nNsmrFuel*FuelEsc*(1+nFuelCagr)^8-nNsmrItc)*IF(2034&lt;sNsmrCodU1+J99/12+nStepFirst,1,IF(nStepGated="Yes",(1+nStepPct)^(INT((2034-sNsmrCodU1-J99/12-nStepFirst)/nStepEvery)+1),1))+nExclPrem*(1-nFlexRelief)-nProdCredit)</f>
        <v/>
      </c>
      <c r="M99" s="63">
        <f>MIN(nShortfallCapM,MAX(0,sNsmrAvailY2-K99)*sNsmrUnitMw*sNsmrUnits*8760*NsmrPrice2033/1000000)</f>
        <v/>
      </c>
      <c r="N99" s="82">
        <f>IF(RAND()&lt;0.5,nUsefulLifeDrawBase-(nUsefulLifeDrawBase-nUsefulLifeDrawMin)*BETA.INV(RAND(),1.15,1.15),nUsefulLifeDrawBase+(nUsefulLifeDrawMax-nUsefulLifeDrawBase)*BETA.INV(RAND(),1.15,1.15))</f>
        <v/>
      </c>
      <c r="O99" s="45">
        <f>((nInference*nGpuIdx+nAmort)*nUtilCal/D99)*(nUsefulLifeDrawBase/N99-1)</f>
        <v/>
      </c>
      <c r="P99" s="1" t="n"/>
      <c r="Q99" s="1" t="n"/>
      <c r="R99" s="1" t="n"/>
      <c r="S99" s="1" t="n"/>
      <c r="T99" s="1" t="n"/>
      <c r="U99" s="1" t="n"/>
    </row>
    <row r="100" ht="12" customHeight="1">
      <c r="A100" s="1" t="n"/>
      <c r="B100" s="38" t="n">
        <v>80</v>
      </c>
      <c r="C100" s="114">
        <f>Assumptions!$F$8+RAND()*(Assumptions!$D$8-Assumptions!$F$8)</f>
        <v/>
      </c>
      <c r="D100" s="114">
        <f>Assumptions!$D$9+RAND()*(Assumptions!$F$9-Assumptions!$D$9)</f>
        <v/>
      </c>
      <c r="E100" s="71">
        <f>Assumptions!$F$11+RAND()*(Assumptions!$D$11-Assumptions!$F$11)</f>
        <v/>
      </c>
      <c r="F100" s="45">
        <f>nListPrice*(1-C100)-(nInference*nGpuIdx+nAmort)*nUtilCal/D100-nNetworking-nOverheadBase*(E100/nPowerCal)-nCodBase*(1+I100/12)-O100</f>
        <v/>
      </c>
      <c r="G100" s="66">
        <f>MAX(F100,0)/nDebtService</f>
        <v/>
      </c>
      <c r="H100" s="71">
        <f>Anthropic!$J$18*Anthropic!$J$27+Anthropic!$J$19*Anthropic!$J$28+Anthropic!$J$20*Anthropic!$J$29+Anthropic!$J$21*E100*(1+nPowerCagr)^4*(1+nResidualBasisMarkup+nScarcityAlpha*POWER(Anthropic!$J$21,nScarcityGamma))</f>
        <v/>
      </c>
      <c r="I100" s="113">
        <f>Assumptions!$F$10+RAND()*(Assumptions!$D$10-Assumptions!$F$10)</f>
        <v/>
      </c>
      <c r="J100" s="113">
        <f>RAND()*nCodSlipMaxMo</f>
        <v/>
      </c>
      <c r="K100" s="114">
        <f>nAvailDrawMin+RAND()*(nAvailDrawMax-nAvailDrawMin)</f>
        <v/>
      </c>
      <c r="L100" s="45">
        <f>IF(2034&lt;sNsmrCodU1+J100/12,0,(nNsmrCap+nNsmrOpx*(1+sNsmrOpxEsc)^8+nNsmrFuel*FuelEsc*(1+nFuelCagr)^8-nNsmrItc)*IF(2034&lt;sNsmrCodU1+J100/12+nStepFirst,1,IF(nStepGated="Yes",(1+nStepPct)^(INT((2034-sNsmrCodU1-J100/12-nStepFirst)/nStepEvery)+1),1))+nExclPrem*(1-nFlexRelief)-nProdCredit)</f>
        <v/>
      </c>
      <c r="M100" s="63">
        <f>MIN(nShortfallCapM,MAX(0,sNsmrAvailY2-K100)*sNsmrUnitMw*sNsmrUnits*8760*NsmrPrice2033/1000000)</f>
        <v/>
      </c>
      <c r="N100" s="82">
        <f>IF(RAND()&lt;0.5,nUsefulLifeDrawBase-(nUsefulLifeDrawBase-nUsefulLifeDrawMin)*BETA.INV(RAND(),1.15,1.15),nUsefulLifeDrawBase+(nUsefulLifeDrawMax-nUsefulLifeDrawBase)*BETA.INV(RAND(),1.15,1.15))</f>
        <v/>
      </c>
      <c r="O100" s="45">
        <f>((nInference*nGpuIdx+nAmort)*nUtilCal/D100)*(nUsefulLifeDrawBase/N100-1)</f>
        <v/>
      </c>
      <c r="P100" s="1" t="n"/>
      <c r="Q100" s="1" t="n"/>
      <c r="R100" s="1" t="n"/>
      <c r="S100" s="1" t="n"/>
      <c r="T100" s="1" t="n"/>
      <c r="U100" s="1" t="n"/>
    </row>
    <row r="101" ht="12" customHeight="1">
      <c r="A101" s="1" t="n"/>
      <c r="B101" s="38" t="n">
        <v>81</v>
      </c>
      <c r="C101" s="114">
        <f>Assumptions!$F$8+RAND()*(Assumptions!$D$8-Assumptions!$F$8)</f>
        <v/>
      </c>
      <c r="D101" s="114">
        <f>Assumptions!$D$9+RAND()*(Assumptions!$F$9-Assumptions!$D$9)</f>
        <v/>
      </c>
      <c r="E101" s="71">
        <f>Assumptions!$F$11+RAND()*(Assumptions!$D$11-Assumptions!$F$11)</f>
        <v/>
      </c>
      <c r="F101" s="45">
        <f>nListPrice*(1-C101)-(nInference*nGpuIdx+nAmort)*nUtilCal/D101-nNetworking-nOverheadBase*(E101/nPowerCal)-nCodBase*(1+I101/12)-O101</f>
        <v/>
      </c>
      <c r="G101" s="66">
        <f>MAX(F101,0)/nDebtService</f>
        <v/>
      </c>
      <c r="H101" s="71">
        <f>Anthropic!$J$18*Anthropic!$J$27+Anthropic!$J$19*Anthropic!$J$28+Anthropic!$J$20*Anthropic!$J$29+Anthropic!$J$21*E101*(1+nPowerCagr)^4*(1+nResidualBasisMarkup+nScarcityAlpha*POWER(Anthropic!$J$21,nScarcityGamma))</f>
        <v/>
      </c>
      <c r="I101" s="113">
        <f>Assumptions!$F$10+RAND()*(Assumptions!$D$10-Assumptions!$F$10)</f>
        <v/>
      </c>
      <c r="J101" s="113">
        <f>RAND()*nCodSlipMaxMo</f>
        <v/>
      </c>
      <c r="K101" s="114">
        <f>nAvailDrawMin+RAND()*(nAvailDrawMax-nAvailDrawMin)</f>
        <v/>
      </c>
      <c r="L101" s="45">
        <f>IF(2034&lt;sNsmrCodU1+J101/12,0,(nNsmrCap+nNsmrOpx*(1+sNsmrOpxEsc)^8+nNsmrFuel*FuelEsc*(1+nFuelCagr)^8-nNsmrItc)*IF(2034&lt;sNsmrCodU1+J101/12+nStepFirst,1,IF(nStepGated="Yes",(1+nStepPct)^(INT((2034-sNsmrCodU1-J101/12-nStepFirst)/nStepEvery)+1),1))+nExclPrem*(1-nFlexRelief)-nProdCredit)</f>
        <v/>
      </c>
      <c r="M101" s="63">
        <f>MIN(nShortfallCapM,MAX(0,sNsmrAvailY2-K101)*sNsmrUnitMw*sNsmrUnits*8760*NsmrPrice2033/1000000)</f>
        <v/>
      </c>
      <c r="N101" s="82">
        <f>IF(RAND()&lt;0.5,nUsefulLifeDrawBase-(nUsefulLifeDrawBase-nUsefulLifeDrawMin)*BETA.INV(RAND(),1.15,1.15),nUsefulLifeDrawBase+(nUsefulLifeDrawMax-nUsefulLifeDrawBase)*BETA.INV(RAND(),1.15,1.15))</f>
        <v/>
      </c>
      <c r="O101" s="45">
        <f>((nInference*nGpuIdx+nAmort)*nUtilCal/D101)*(nUsefulLifeDrawBase/N101-1)</f>
        <v/>
      </c>
      <c r="P101" s="1" t="n"/>
      <c r="Q101" s="1" t="n"/>
      <c r="R101" s="1" t="n"/>
      <c r="S101" s="1" t="n"/>
      <c r="T101" s="1" t="n"/>
      <c r="U101" s="1" t="n"/>
    </row>
    <row r="102" ht="12" customHeight="1">
      <c r="A102" s="1" t="n"/>
      <c r="B102" s="38" t="n">
        <v>82</v>
      </c>
      <c r="C102" s="114">
        <f>Assumptions!$F$8+RAND()*(Assumptions!$D$8-Assumptions!$F$8)</f>
        <v/>
      </c>
      <c r="D102" s="114">
        <f>Assumptions!$D$9+RAND()*(Assumptions!$F$9-Assumptions!$D$9)</f>
        <v/>
      </c>
      <c r="E102" s="71">
        <f>Assumptions!$F$11+RAND()*(Assumptions!$D$11-Assumptions!$F$11)</f>
        <v/>
      </c>
      <c r="F102" s="45">
        <f>nListPrice*(1-C102)-(nInference*nGpuIdx+nAmort)*nUtilCal/D102-nNetworking-nOverheadBase*(E102/nPowerCal)-nCodBase*(1+I102/12)-O102</f>
        <v/>
      </c>
      <c r="G102" s="66">
        <f>MAX(F102,0)/nDebtService</f>
        <v/>
      </c>
      <c r="H102" s="71">
        <f>Anthropic!$J$18*Anthropic!$J$27+Anthropic!$J$19*Anthropic!$J$28+Anthropic!$J$20*Anthropic!$J$29+Anthropic!$J$21*E102*(1+nPowerCagr)^4*(1+nResidualBasisMarkup+nScarcityAlpha*POWER(Anthropic!$J$21,nScarcityGamma))</f>
        <v/>
      </c>
      <c r="I102" s="113">
        <f>Assumptions!$F$10+RAND()*(Assumptions!$D$10-Assumptions!$F$10)</f>
        <v/>
      </c>
      <c r="J102" s="113">
        <f>RAND()*nCodSlipMaxMo</f>
        <v/>
      </c>
      <c r="K102" s="114">
        <f>nAvailDrawMin+RAND()*(nAvailDrawMax-nAvailDrawMin)</f>
        <v/>
      </c>
      <c r="L102" s="45">
        <f>IF(2034&lt;sNsmrCodU1+J102/12,0,(nNsmrCap+nNsmrOpx*(1+sNsmrOpxEsc)^8+nNsmrFuel*FuelEsc*(1+nFuelCagr)^8-nNsmrItc)*IF(2034&lt;sNsmrCodU1+J102/12+nStepFirst,1,IF(nStepGated="Yes",(1+nStepPct)^(INT((2034-sNsmrCodU1-J102/12-nStepFirst)/nStepEvery)+1),1))+nExclPrem*(1-nFlexRelief)-nProdCredit)</f>
        <v/>
      </c>
      <c r="M102" s="63">
        <f>MIN(nShortfallCapM,MAX(0,sNsmrAvailY2-K102)*sNsmrUnitMw*sNsmrUnits*8760*NsmrPrice2033/1000000)</f>
        <v/>
      </c>
      <c r="N102" s="82">
        <f>IF(RAND()&lt;0.5,nUsefulLifeDrawBase-(nUsefulLifeDrawBase-nUsefulLifeDrawMin)*BETA.INV(RAND(),1.15,1.15),nUsefulLifeDrawBase+(nUsefulLifeDrawMax-nUsefulLifeDrawBase)*BETA.INV(RAND(),1.15,1.15))</f>
        <v/>
      </c>
      <c r="O102" s="45">
        <f>((nInference*nGpuIdx+nAmort)*nUtilCal/D102)*(nUsefulLifeDrawBase/N102-1)</f>
        <v/>
      </c>
      <c r="P102" s="1" t="n"/>
      <c r="Q102" s="1" t="n"/>
      <c r="R102" s="1" t="n"/>
      <c r="S102" s="1" t="n"/>
      <c r="T102" s="1" t="n"/>
      <c r="U102" s="1" t="n"/>
    </row>
    <row r="103" ht="12" customHeight="1">
      <c r="A103" s="1" t="n"/>
      <c r="B103" s="38" t="n">
        <v>83</v>
      </c>
      <c r="C103" s="114">
        <f>Assumptions!$F$8+RAND()*(Assumptions!$D$8-Assumptions!$F$8)</f>
        <v/>
      </c>
      <c r="D103" s="114">
        <f>Assumptions!$D$9+RAND()*(Assumptions!$F$9-Assumptions!$D$9)</f>
        <v/>
      </c>
      <c r="E103" s="71">
        <f>Assumptions!$F$11+RAND()*(Assumptions!$D$11-Assumptions!$F$11)</f>
        <v/>
      </c>
      <c r="F103" s="45">
        <f>nListPrice*(1-C103)-(nInference*nGpuIdx+nAmort)*nUtilCal/D103-nNetworking-nOverheadBase*(E103/nPowerCal)-nCodBase*(1+I103/12)-O103</f>
        <v/>
      </c>
      <c r="G103" s="66">
        <f>MAX(F103,0)/nDebtService</f>
        <v/>
      </c>
      <c r="H103" s="71">
        <f>Anthropic!$J$18*Anthropic!$J$27+Anthropic!$J$19*Anthropic!$J$28+Anthropic!$J$20*Anthropic!$J$29+Anthropic!$J$21*E103*(1+nPowerCagr)^4*(1+nResidualBasisMarkup+nScarcityAlpha*POWER(Anthropic!$J$21,nScarcityGamma))</f>
        <v/>
      </c>
      <c r="I103" s="113">
        <f>Assumptions!$F$10+RAND()*(Assumptions!$D$10-Assumptions!$F$10)</f>
        <v/>
      </c>
      <c r="J103" s="113">
        <f>RAND()*nCodSlipMaxMo</f>
        <v/>
      </c>
      <c r="K103" s="114">
        <f>nAvailDrawMin+RAND()*(nAvailDrawMax-nAvailDrawMin)</f>
        <v/>
      </c>
      <c r="L103" s="45">
        <f>IF(2034&lt;sNsmrCodU1+J103/12,0,(nNsmrCap+nNsmrOpx*(1+sNsmrOpxEsc)^8+nNsmrFuel*FuelEsc*(1+nFuelCagr)^8-nNsmrItc)*IF(2034&lt;sNsmrCodU1+J103/12+nStepFirst,1,IF(nStepGated="Yes",(1+nStepPct)^(INT((2034-sNsmrCodU1-J103/12-nStepFirst)/nStepEvery)+1),1))+nExclPrem*(1-nFlexRelief)-nProdCredit)</f>
        <v/>
      </c>
      <c r="M103" s="63">
        <f>MIN(nShortfallCapM,MAX(0,sNsmrAvailY2-K103)*sNsmrUnitMw*sNsmrUnits*8760*NsmrPrice2033/1000000)</f>
        <v/>
      </c>
      <c r="N103" s="82">
        <f>IF(RAND()&lt;0.5,nUsefulLifeDrawBase-(nUsefulLifeDrawBase-nUsefulLifeDrawMin)*BETA.INV(RAND(),1.15,1.15),nUsefulLifeDrawBase+(nUsefulLifeDrawMax-nUsefulLifeDrawBase)*BETA.INV(RAND(),1.15,1.15))</f>
        <v/>
      </c>
      <c r="O103" s="45">
        <f>((nInference*nGpuIdx+nAmort)*nUtilCal/D103)*(nUsefulLifeDrawBase/N103-1)</f>
        <v/>
      </c>
      <c r="P103" s="1" t="n"/>
      <c r="Q103" s="1" t="n"/>
      <c r="R103" s="1" t="n"/>
      <c r="S103" s="1" t="n"/>
      <c r="T103" s="1" t="n"/>
      <c r="U103" s="1" t="n"/>
    </row>
    <row r="104" ht="12" customHeight="1">
      <c r="A104" s="1" t="n"/>
      <c r="B104" s="38" t="n">
        <v>84</v>
      </c>
      <c r="C104" s="114">
        <f>Assumptions!$F$8+RAND()*(Assumptions!$D$8-Assumptions!$F$8)</f>
        <v/>
      </c>
      <c r="D104" s="114">
        <f>Assumptions!$D$9+RAND()*(Assumptions!$F$9-Assumptions!$D$9)</f>
        <v/>
      </c>
      <c r="E104" s="71">
        <f>Assumptions!$F$11+RAND()*(Assumptions!$D$11-Assumptions!$F$11)</f>
        <v/>
      </c>
      <c r="F104" s="45">
        <f>nListPrice*(1-C104)-(nInference*nGpuIdx+nAmort)*nUtilCal/D104-nNetworking-nOverheadBase*(E104/nPowerCal)-nCodBase*(1+I104/12)-O104</f>
        <v/>
      </c>
      <c r="G104" s="66">
        <f>MAX(F104,0)/nDebtService</f>
        <v/>
      </c>
      <c r="H104" s="71">
        <f>Anthropic!$J$18*Anthropic!$J$27+Anthropic!$J$19*Anthropic!$J$28+Anthropic!$J$20*Anthropic!$J$29+Anthropic!$J$21*E104*(1+nPowerCagr)^4*(1+nResidualBasisMarkup+nScarcityAlpha*POWER(Anthropic!$J$21,nScarcityGamma))</f>
        <v/>
      </c>
      <c r="I104" s="113">
        <f>Assumptions!$F$10+RAND()*(Assumptions!$D$10-Assumptions!$F$10)</f>
        <v/>
      </c>
      <c r="J104" s="113">
        <f>RAND()*nCodSlipMaxMo</f>
        <v/>
      </c>
      <c r="K104" s="114">
        <f>nAvailDrawMin+RAND()*(nAvailDrawMax-nAvailDrawMin)</f>
        <v/>
      </c>
      <c r="L104" s="45">
        <f>IF(2034&lt;sNsmrCodU1+J104/12,0,(nNsmrCap+nNsmrOpx*(1+sNsmrOpxEsc)^8+nNsmrFuel*FuelEsc*(1+nFuelCagr)^8-nNsmrItc)*IF(2034&lt;sNsmrCodU1+J104/12+nStepFirst,1,IF(nStepGated="Yes",(1+nStepPct)^(INT((2034-sNsmrCodU1-J104/12-nStepFirst)/nStepEvery)+1),1))+nExclPrem*(1-nFlexRelief)-nProdCredit)</f>
        <v/>
      </c>
      <c r="M104" s="63">
        <f>MIN(nShortfallCapM,MAX(0,sNsmrAvailY2-K104)*sNsmrUnitMw*sNsmrUnits*8760*NsmrPrice2033/1000000)</f>
        <v/>
      </c>
      <c r="N104" s="82">
        <f>IF(RAND()&lt;0.5,nUsefulLifeDrawBase-(nUsefulLifeDrawBase-nUsefulLifeDrawMin)*BETA.INV(RAND(),1.15,1.15),nUsefulLifeDrawBase+(nUsefulLifeDrawMax-nUsefulLifeDrawBase)*BETA.INV(RAND(),1.15,1.15))</f>
        <v/>
      </c>
      <c r="O104" s="45">
        <f>((nInference*nGpuIdx+nAmort)*nUtilCal/D104)*(nUsefulLifeDrawBase/N104-1)</f>
        <v/>
      </c>
      <c r="P104" s="1" t="n"/>
      <c r="Q104" s="1" t="n"/>
      <c r="R104" s="1" t="n"/>
      <c r="S104" s="1" t="n"/>
      <c r="T104" s="1" t="n"/>
      <c r="U104" s="1" t="n"/>
    </row>
    <row r="105" ht="12" customHeight="1">
      <c r="A105" s="1" t="n"/>
      <c r="B105" s="38" t="n">
        <v>85</v>
      </c>
      <c r="C105" s="114">
        <f>Assumptions!$F$8+RAND()*(Assumptions!$D$8-Assumptions!$F$8)</f>
        <v/>
      </c>
      <c r="D105" s="114">
        <f>Assumptions!$D$9+RAND()*(Assumptions!$F$9-Assumptions!$D$9)</f>
        <v/>
      </c>
      <c r="E105" s="71">
        <f>Assumptions!$F$11+RAND()*(Assumptions!$D$11-Assumptions!$F$11)</f>
        <v/>
      </c>
      <c r="F105" s="45">
        <f>nListPrice*(1-C105)-(nInference*nGpuIdx+nAmort)*nUtilCal/D105-nNetworking-nOverheadBase*(E105/nPowerCal)-nCodBase*(1+I105/12)-O105</f>
        <v/>
      </c>
      <c r="G105" s="66">
        <f>MAX(F105,0)/nDebtService</f>
        <v/>
      </c>
      <c r="H105" s="71">
        <f>Anthropic!$J$18*Anthropic!$J$27+Anthropic!$J$19*Anthropic!$J$28+Anthropic!$J$20*Anthropic!$J$29+Anthropic!$J$21*E105*(1+nPowerCagr)^4*(1+nResidualBasisMarkup+nScarcityAlpha*POWER(Anthropic!$J$21,nScarcityGamma))</f>
        <v/>
      </c>
      <c r="I105" s="113">
        <f>Assumptions!$F$10+RAND()*(Assumptions!$D$10-Assumptions!$F$10)</f>
        <v/>
      </c>
      <c r="J105" s="113">
        <f>RAND()*nCodSlipMaxMo</f>
        <v/>
      </c>
      <c r="K105" s="114">
        <f>nAvailDrawMin+RAND()*(nAvailDrawMax-nAvailDrawMin)</f>
        <v/>
      </c>
      <c r="L105" s="45">
        <f>IF(2034&lt;sNsmrCodU1+J105/12,0,(nNsmrCap+nNsmrOpx*(1+sNsmrOpxEsc)^8+nNsmrFuel*FuelEsc*(1+nFuelCagr)^8-nNsmrItc)*IF(2034&lt;sNsmrCodU1+J105/12+nStepFirst,1,IF(nStepGated="Yes",(1+nStepPct)^(INT((2034-sNsmrCodU1-J105/12-nStepFirst)/nStepEvery)+1),1))+nExclPrem*(1-nFlexRelief)-nProdCredit)</f>
        <v/>
      </c>
      <c r="M105" s="63">
        <f>MIN(nShortfallCapM,MAX(0,sNsmrAvailY2-K105)*sNsmrUnitMw*sNsmrUnits*8760*NsmrPrice2033/1000000)</f>
        <v/>
      </c>
      <c r="N105" s="82">
        <f>IF(RAND()&lt;0.5,nUsefulLifeDrawBase-(nUsefulLifeDrawBase-nUsefulLifeDrawMin)*BETA.INV(RAND(),1.15,1.15),nUsefulLifeDrawBase+(nUsefulLifeDrawMax-nUsefulLifeDrawBase)*BETA.INV(RAND(),1.15,1.15))</f>
        <v/>
      </c>
      <c r="O105" s="45">
        <f>((nInference*nGpuIdx+nAmort)*nUtilCal/D105)*(nUsefulLifeDrawBase/N105-1)</f>
        <v/>
      </c>
      <c r="P105" s="1" t="n"/>
      <c r="Q105" s="1" t="n"/>
      <c r="R105" s="1" t="n"/>
      <c r="S105" s="1" t="n"/>
      <c r="T105" s="1" t="n"/>
      <c r="U105" s="1" t="n"/>
    </row>
    <row r="106" ht="12" customHeight="1">
      <c r="A106" s="1" t="n"/>
      <c r="B106" s="38" t="n">
        <v>86</v>
      </c>
      <c r="C106" s="114">
        <f>Assumptions!$F$8+RAND()*(Assumptions!$D$8-Assumptions!$F$8)</f>
        <v/>
      </c>
      <c r="D106" s="114">
        <f>Assumptions!$D$9+RAND()*(Assumptions!$F$9-Assumptions!$D$9)</f>
        <v/>
      </c>
      <c r="E106" s="71">
        <f>Assumptions!$F$11+RAND()*(Assumptions!$D$11-Assumptions!$F$11)</f>
        <v/>
      </c>
      <c r="F106" s="45">
        <f>nListPrice*(1-C106)-(nInference*nGpuIdx+nAmort)*nUtilCal/D106-nNetworking-nOverheadBase*(E106/nPowerCal)-nCodBase*(1+I106/12)-O106</f>
        <v/>
      </c>
      <c r="G106" s="66">
        <f>MAX(F106,0)/nDebtService</f>
        <v/>
      </c>
      <c r="H106" s="71">
        <f>Anthropic!$J$18*Anthropic!$J$27+Anthropic!$J$19*Anthropic!$J$28+Anthropic!$J$20*Anthropic!$J$29+Anthropic!$J$21*E106*(1+nPowerCagr)^4*(1+nResidualBasisMarkup+nScarcityAlpha*POWER(Anthropic!$J$21,nScarcityGamma))</f>
        <v/>
      </c>
      <c r="I106" s="113">
        <f>Assumptions!$F$10+RAND()*(Assumptions!$D$10-Assumptions!$F$10)</f>
        <v/>
      </c>
      <c r="J106" s="113">
        <f>RAND()*nCodSlipMaxMo</f>
        <v/>
      </c>
      <c r="K106" s="114">
        <f>nAvailDrawMin+RAND()*(nAvailDrawMax-nAvailDrawMin)</f>
        <v/>
      </c>
      <c r="L106" s="45">
        <f>IF(2034&lt;sNsmrCodU1+J106/12,0,(nNsmrCap+nNsmrOpx*(1+sNsmrOpxEsc)^8+nNsmrFuel*FuelEsc*(1+nFuelCagr)^8-nNsmrItc)*IF(2034&lt;sNsmrCodU1+J106/12+nStepFirst,1,IF(nStepGated="Yes",(1+nStepPct)^(INT((2034-sNsmrCodU1-J106/12-nStepFirst)/nStepEvery)+1),1))+nExclPrem*(1-nFlexRelief)-nProdCredit)</f>
        <v/>
      </c>
      <c r="M106" s="63">
        <f>MIN(nShortfallCapM,MAX(0,sNsmrAvailY2-K106)*sNsmrUnitMw*sNsmrUnits*8760*NsmrPrice2033/1000000)</f>
        <v/>
      </c>
      <c r="N106" s="82">
        <f>IF(RAND()&lt;0.5,nUsefulLifeDrawBase-(nUsefulLifeDrawBase-nUsefulLifeDrawMin)*BETA.INV(RAND(),1.15,1.15),nUsefulLifeDrawBase+(nUsefulLifeDrawMax-nUsefulLifeDrawBase)*BETA.INV(RAND(),1.15,1.15))</f>
        <v/>
      </c>
      <c r="O106" s="45">
        <f>((nInference*nGpuIdx+nAmort)*nUtilCal/D106)*(nUsefulLifeDrawBase/N106-1)</f>
        <v/>
      </c>
      <c r="P106" s="1" t="n"/>
      <c r="Q106" s="1" t="n"/>
      <c r="R106" s="1" t="n"/>
      <c r="S106" s="1" t="n"/>
      <c r="T106" s="1" t="n"/>
      <c r="U106" s="1" t="n"/>
    </row>
    <row r="107" ht="12" customHeight="1">
      <c r="A107" s="1" t="n"/>
      <c r="B107" s="38" t="n">
        <v>87</v>
      </c>
      <c r="C107" s="114">
        <f>Assumptions!$F$8+RAND()*(Assumptions!$D$8-Assumptions!$F$8)</f>
        <v/>
      </c>
      <c r="D107" s="114">
        <f>Assumptions!$D$9+RAND()*(Assumptions!$F$9-Assumptions!$D$9)</f>
        <v/>
      </c>
      <c r="E107" s="71">
        <f>Assumptions!$F$11+RAND()*(Assumptions!$D$11-Assumptions!$F$11)</f>
        <v/>
      </c>
      <c r="F107" s="45">
        <f>nListPrice*(1-C107)-(nInference*nGpuIdx+nAmort)*nUtilCal/D107-nNetworking-nOverheadBase*(E107/nPowerCal)-nCodBase*(1+I107/12)-O107</f>
        <v/>
      </c>
      <c r="G107" s="66">
        <f>MAX(F107,0)/nDebtService</f>
        <v/>
      </c>
      <c r="H107" s="71">
        <f>Anthropic!$J$18*Anthropic!$J$27+Anthropic!$J$19*Anthropic!$J$28+Anthropic!$J$20*Anthropic!$J$29+Anthropic!$J$21*E107*(1+nPowerCagr)^4*(1+nResidualBasisMarkup+nScarcityAlpha*POWER(Anthropic!$J$21,nScarcityGamma))</f>
        <v/>
      </c>
      <c r="I107" s="113">
        <f>Assumptions!$F$10+RAND()*(Assumptions!$D$10-Assumptions!$F$10)</f>
        <v/>
      </c>
      <c r="J107" s="113">
        <f>RAND()*nCodSlipMaxMo</f>
        <v/>
      </c>
      <c r="K107" s="114">
        <f>nAvailDrawMin+RAND()*(nAvailDrawMax-nAvailDrawMin)</f>
        <v/>
      </c>
      <c r="L107" s="45">
        <f>IF(2034&lt;sNsmrCodU1+J107/12,0,(nNsmrCap+nNsmrOpx*(1+sNsmrOpxEsc)^8+nNsmrFuel*FuelEsc*(1+nFuelCagr)^8-nNsmrItc)*IF(2034&lt;sNsmrCodU1+J107/12+nStepFirst,1,IF(nStepGated="Yes",(1+nStepPct)^(INT((2034-sNsmrCodU1-J107/12-nStepFirst)/nStepEvery)+1),1))+nExclPrem*(1-nFlexRelief)-nProdCredit)</f>
        <v/>
      </c>
      <c r="M107" s="63">
        <f>MIN(nShortfallCapM,MAX(0,sNsmrAvailY2-K107)*sNsmrUnitMw*sNsmrUnits*8760*NsmrPrice2033/1000000)</f>
        <v/>
      </c>
      <c r="N107" s="82">
        <f>IF(RAND()&lt;0.5,nUsefulLifeDrawBase-(nUsefulLifeDrawBase-nUsefulLifeDrawMin)*BETA.INV(RAND(),1.15,1.15),nUsefulLifeDrawBase+(nUsefulLifeDrawMax-nUsefulLifeDrawBase)*BETA.INV(RAND(),1.15,1.15))</f>
        <v/>
      </c>
      <c r="O107" s="45">
        <f>((nInference*nGpuIdx+nAmort)*nUtilCal/D107)*(nUsefulLifeDrawBase/N107-1)</f>
        <v/>
      </c>
      <c r="P107" s="1" t="n"/>
      <c r="Q107" s="1" t="n"/>
      <c r="R107" s="1" t="n"/>
      <c r="S107" s="1" t="n"/>
      <c r="T107" s="1" t="n"/>
      <c r="U107" s="1" t="n"/>
    </row>
    <row r="108" ht="12" customHeight="1">
      <c r="A108" s="1" t="n"/>
      <c r="B108" s="38" t="n">
        <v>88</v>
      </c>
      <c r="C108" s="114">
        <f>Assumptions!$F$8+RAND()*(Assumptions!$D$8-Assumptions!$F$8)</f>
        <v/>
      </c>
      <c r="D108" s="114">
        <f>Assumptions!$D$9+RAND()*(Assumptions!$F$9-Assumptions!$D$9)</f>
        <v/>
      </c>
      <c r="E108" s="71">
        <f>Assumptions!$F$11+RAND()*(Assumptions!$D$11-Assumptions!$F$11)</f>
        <v/>
      </c>
      <c r="F108" s="45">
        <f>nListPrice*(1-C108)-(nInference*nGpuIdx+nAmort)*nUtilCal/D108-nNetworking-nOverheadBase*(E108/nPowerCal)-nCodBase*(1+I108/12)-O108</f>
        <v/>
      </c>
      <c r="G108" s="66">
        <f>MAX(F108,0)/nDebtService</f>
        <v/>
      </c>
      <c r="H108" s="71">
        <f>Anthropic!$J$18*Anthropic!$J$27+Anthropic!$J$19*Anthropic!$J$28+Anthropic!$J$20*Anthropic!$J$29+Anthropic!$J$21*E108*(1+nPowerCagr)^4*(1+nResidualBasisMarkup+nScarcityAlpha*POWER(Anthropic!$J$21,nScarcityGamma))</f>
        <v/>
      </c>
      <c r="I108" s="113">
        <f>Assumptions!$F$10+RAND()*(Assumptions!$D$10-Assumptions!$F$10)</f>
        <v/>
      </c>
      <c r="J108" s="113">
        <f>RAND()*nCodSlipMaxMo</f>
        <v/>
      </c>
      <c r="K108" s="114">
        <f>nAvailDrawMin+RAND()*(nAvailDrawMax-nAvailDrawMin)</f>
        <v/>
      </c>
      <c r="L108" s="45">
        <f>IF(2034&lt;sNsmrCodU1+J108/12,0,(nNsmrCap+nNsmrOpx*(1+sNsmrOpxEsc)^8+nNsmrFuel*FuelEsc*(1+nFuelCagr)^8-nNsmrItc)*IF(2034&lt;sNsmrCodU1+J108/12+nStepFirst,1,IF(nStepGated="Yes",(1+nStepPct)^(INT((2034-sNsmrCodU1-J108/12-nStepFirst)/nStepEvery)+1),1))+nExclPrem*(1-nFlexRelief)-nProdCredit)</f>
        <v/>
      </c>
      <c r="M108" s="63">
        <f>MIN(nShortfallCapM,MAX(0,sNsmrAvailY2-K108)*sNsmrUnitMw*sNsmrUnits*8760*NsmrPrice2033/1000000)</f>
        <v/>
      </c>
      <c r="N108" s="82">
        <f>IF(RAND()&lt;0.5,nUsefulLifeDrawBase-(nUsefulLifeDrawBase-nUsefulLifeDrawMin)*BETA.INV(RAND(),1.15,1.15),nUsefulLifeDrawBase+(nUsefulLifeDrawMax-nUsefulLifeDrawBase)*BETA.INV(RAND(),1.15,1.15))</f>
        <v/>
      </c>
      <c r="O108" s="45">
        <f>((nInference*nGpuIdx+nAmort)*nUtilCal/D108)*(nUsefulLifeDrawBase/N108-1)</f>
        <v/>
      </c>
      <c r="P108" s="1" t="n"/>
      <c r="Q108" s="1" t="n"/>
      <c r="R108" s="1" t="n"/>
      <c r="S108" s="1" t="n"/>
      <c r="T108" s="1" t="n"/>
      <c r="U108" s="1" t="n"/>
    </row>
    <row r="109" ht="12" customHeight="1">
      <c r="A109" s="1" t="n"/>
      <c r="B109" s="38" t="n">
        <v>89</v>
      </c>
      <c r="C109" s="114">
        <f>Assumptions!$F$8+RAND()*(Assumptions!$D$8-Assumptions!$F$8)</f>
        <v/>
      </c>
      <c r="D109" s="114">
        <f>Assumptions!$D$9+RAND()*(Assumptions!$F$9-Assumptions!$D$9)</f>
        <v/>
      </c>
      <c r="E109" s="71">
        <f>Assumptions!$F$11+RAND()*(Assumptions!$D$11-Assumptions!$F$11)</f>
        <v/>
      </c>
      <c r="F109" s="45">
        <f>nListPrice*(1-C109)-(nInference*nGpuIdx+nAmort)*nUtilCal/D109-nNetworking-nOverheadBase*(E109/nPowerCal)-nCodBase*(1+I109/12)-O109</f>
        <v/>
      </c>
      <c r="G109" s="66">
        <f>MAX(F109,0)/nDebtService</f>
        <v/>
      </c>
      <c r="H109" s="71">
        <f>Anthropic!$J$18*Anthropic!$J$27+Anthropic!$J$19*Anthropic!$J$28+Anthropic!$J$20*Anthropic!$J$29+Anthropic!$J$21*E109*(1+nPowerCagr)^4*(1+nResidualBasisMarkup+nScarcityAlpha*POWER(Anthropic!$J$21,nScarcityGamma))</f>
        <v/>
      </c>
      <c r="I109" s="113">
        <f>Assumptions!$F$10+RAND()*(Assumptions!$D$10-Assumptions!$F$10)</f>
        <v/>
      </c>
      <c r="J109" s="113">
        <f>RAND()*nCodSlipMaxMo</f>
        <v/>
      </c>
      <c r="K109" s="114">
        <f>nAvailDrawMin+RAND()*(nAvailDrawMax-nAvailDrawMin)</f>
        <v/>
      </c>
      <c r="L109" s="45">
        <f>IF(2034&lt;sNsmrCodU1+J109/12,0,(nNsmrCap+nNsmrOpx*(1+sNsmrOpxEsc)^8+nNsmrFuel*FuelEsc*(1+nFuelCagr)^8-nNsmrItc)*IF(2034&lt;sNsmrCodU1+J109/12+nStepFirst,1,IF(nStepGated="Yes",(1+nStepPct)^(INT((2034-sNsmrCodU1-J109/12-nStepFirst)/nStepEvery)+1),1))+nExclPrem*(1-nFlexRelief)-nProdCredit)</f>
        <v/>
      </c>
      <c r="M109" s="63">
        <f>MIN(nShortfallCapM,MAX(0,sNsmrAvailY2-K109)*sNsmrUnitMw*sNsmrUnits*8760*NsmrPrice2033/1000000)</f>
        <v/>
      </c>
      <c r="N109" s="82">
        <f>IF(RAND()&lt;0.5,nUsefulLifeDrawBase-(nUsefulLifeDrawBase-nUsefulLifeDrawMin)*BETA.INV(RAND(),1.15,1.15),nUsefulLifeDrawBase+(nUsefulLifeDrawMax-nUsefulLifeDrawBase)*BETA.INV(RAND(),1.15,1.15))</f>
        <v/>
      </c>
      <c r="O109" s="45">
        <f>((nInference*nGpuIdx+nAmort)*nUtilCal/D109)*(nUsefulLifeDrawBase/N109-1)</f>
        <v/>
      </c>
      <c r="P109" s="1" t="n"/>
      <c r="Q109" s="1" t="n"/>
      <c r="R109" s="1" t="n"/>
      <c r="S109" s="1" t="n"/>
      <c r="T109" s="1" t="n"/>
      <c r="U109" s="1" t="n"/>
    </row>
    <row r="110" ht="12" customHeight="1">
      <c r="A110" s="1" t="n"/>
      <c r="B110" s="38" t="n">
        <v>90</v>
      </c>
      <c r="C110" s="114">
        <f>Assumptions!$F$8+RAND()*(Assumptions!$D$8-Assumptions!$F$8)</f>
        <v/>
      </c>
      <c r="D110" s="114">
        <f>Assumptions!$D$9+RAND()*(Assumptions!$F$9-Assumptions!$D$9)</f>
        <v/>
      </c>
      <c r="E110" s="71">
        <f>Assumptions!$F$11+RAND()*(Assumptions!$D$11-Assumptions!$F$11)</f>
        <v/>
      </c>
      <c r="F110" s="45">
        <f>nListPrice*(1-C110)-(nInference*nGpuIdx+nAmort)*nUtilCal/D110-nNetworking-nOverheadBase*(E110/nPowerCal)-nCodBase*(1+I110/12)-O110</f>
        <v/>
      </c>
      <c r="G110" s="66">
        <f>MAX(F110,0)/nDebtService</f>
        <v/>
      </c>
      <c r="H110" s="71">
        <f>Anthropic!$J$18*Anthropic!$J$27+Anthropic!$J$19*Anthropic!$J$28+Anthropic!$J$20*Anthropic!$J$29+Anthropic!$J$21*E110*(1+nPowerCagr)^4*(1+nResidualBasisMarkup+nScarcityAlpha*POWER(Anthropic!$J$21,nScarcityGamma))</f>
        <v/>
      </c>
      <c r="I110" s="113">
        <f>Assumptions!$F$10+RAND()*(Assumptions!$D$10-Assumptions!$F$10)</f>
        <v/>
      </c>
      <c r="J110" s="113">
        <f>RAND()*nCodSlipMaxMo</f>
        <v/>
      </c>
      <c r="K110" s="114">
        <f>nAvailDrawMin+RAND()*(nAvailDrawMax-nAvailDrawMin)</f>
        <v/>
      </c>
      <c r="L110" s="45">
        <f>IF(2034&lt;sNsmrCodU1+J110/12,0,(nNsmrCap+nNsmrOpx*(1+sNsmrOpxEsc)^8+nNsmrFuel*FuelEsc*(1+nFuelCagr)^8-nNsmrItc)*IF(2034&lt;sNsmrCodU1+J110/12+nStepFirst,1,IF(nStepGated="Yes",(1+nStepPct)^(INT((2034-sNsmrCodU1-J110/12-nStepFirst)/nStepEvery)+1),1))+nExclPrem*(1-nFlexRelief)-nProdCredit)</f>
        <v/>
      </c>
      <c r="M110" s="63">
        <f>MIN(nShortfallCapM,MAX(0,sNsmrAvailY2-K110)*sNsmrUnitMw*sNsmrUnits*8760*NsmrPrice2033/1000000)</f>
        <v/>
      </c>
      <c r="N110" s="82">
        <f>IF(RAND()&lt;0.5,nUsefulLifeDrawBase-(nUsefulLifeDrawBase-nUsefulLifeDrawMin)*BETA.INV(RAND(),1.15,1.15),nUsefulLifeDrawBase+(nUsefulLifeDrawMax-nUsefulLifeDrawBase)*BETA.INV(RAND(),1.15,1.15))</f>
        <v/>
      </c>
      <c r="O110" s="45">
        <f>((nInference*nGpuIdx+nAmort)*nUtilCal/D110)*(nUsefulLifeDrawBase/N110-1)</f>
        <v/>
      </c>
      <c r="P110" s="1" t="n"/>
      <c r="Q110" s="1" t="n"/>
      <c r="R110" s="1" t="n"/>
      <c r="S110" s="1" t="n"/>
      <c r="T110" s="1" t="n"/>
      <c r="U110" s="1" t="n"/>
    </row>
    <row r="111" ht="12" customHeight="1">
      <c r="A111" s="1" t="n"/>
      <c r="B111" s="38" t="n">
        <v>91</v>
      </c>
      <c r="C111" s="114">
        <f>Assumptions!$F$8+RAND()*(Assumptions!$D$8-Assumptions!$F$8)</f>
        <v/>
      </c>
      <c r="D111" s="114">
        <f>Assumptions!$D$9+RAND()*(Assumptions!$F$9-Assumptions!$D$9)</f>
        <v/>
      </c>
      <c r="E111" s="71">
        <f>Assumptions!$F$11+RAND()*(Assumptions!$D$11-Assumptions!$F$11)</f>
        <v/>
      </c>
      <c r="F111" s="45">
        <f>nListPrice*(1-C111)-(nInference*nGpuIdx+nAmort)*nUtilCal/D111-nNetworking-nOverheadBase*(E111/nPowerCal)-nCodBase*(1+I111/12)-O111</f>
        <v/>
      </c>
      <c r="G111" s="66">
        <f>MAX(F111,0)/nDebtService</f>
        <v/>
      </c>
      <c r="H111" s="71">
        <f>Anthropic!$J$18*Anthropic!$J$27+Anthropic!$J$19*Anthropic!$J$28+Anthropic!$J$20*Anthropic!$J$29+Anthropic!$J$21*E111*(1+nPowerCagr)^4*(1+nResidualBasisMarkup+nScarcityAlpha*POWER(Anthropic!$J$21,nScarcityGamma))</f>
        <v/>
      </c>
      <c r="I111" s="113">
        <f>Assumptions!$F$10+RAND()*(Assumptions!$D$10-Assumptions!$F$10)</f>
        <v/>
      </c>
      <c r="J111" s="113">
        <f>RAND()*nCodSlipMaxMo</f>
        <v/>
      </c>
      <c r="K111" s="114">
        <f>nAvailDrawMin+RAND()*(nAvailDrawMax-nAvailDrawMin)</f>
        <v/>
      </c>
      <c r="L111" s="45">
        <f>IF(2034&lt;sNsmrCodU1+J111/12,0,(nNsmrCap+nNsmrOpx*(1+sNsmrOpxEsc)^8+nNsmrFuel*FuelEsc*(1+nFuelCagr)^8-nNsmrItc)*IF(2034&lt;sNsmrCodU1+J111/12+nStepFirst,1,IF(nStepGated="Yes",(1+nStepPct)^(INT((2034-sNsmrCodU1-J111/12-nStepFirst)/nStepEvery)+1),1))+nExclPrem*(1-nFlexRelief)-nProdCredit)</f>
        <v/>
      </c>
      <c r="M111" s="63">
        <f>MIN(nShortfallCapM,MAX(0,sNsmrAvailY2-K111)*sNsmrUnitMw*sNsmrUnits*8760*NsmrPrice2033/1000000)</f>
        <v/>
      </c>
      <c r="N111" s="82">
        <f>IF(RAND()&lt;0.5,nUsefulLifeDrawBase-(nUsefulLifeDrawBase-nUsefulLifeDrawMin)*BETA.INV(RAND(),1.15,1.15),nUsefulLifeDrawBase+(nUsefulLifeDrawMax-nUsefulLifeDrawBase)*BETA.INV(RAND(),1.15,1.15))</f>
        <v/>
      </c>
      <c r="O111" s="45">
        <f>((nInference*nGpuIdx+nAmort)*nUtilCal/D111)*(nUsefulLifeDrawBase/N111-1)</f>
        <v/>
      </c>
      <c r="P111" s="1" t="n"/>
      <c r="Q111" s="1" t="n"/>
      <c r="R111" s="1" t="n"/>
      <c r="S111" s="1" t="n"/>
      <c r="T111" s="1" t="n"/>
      <c r="U111" s="1" t="n"/>
    </row>
    <row r="112" ht="12" customHeight="1">
      <c r="A112" s="1" t="n"/>
      <c r="B112" s="38" t="n">
        <v>92</v>
      </c>
      <c r="C112" s="114">
        <f>Assumptions!$F$8+RAND()*(Assumptions!$D$8-Assumptions!$F$8)</f>
        <v/>
      </c>
      <c r="D112" s="114">
        <f>Assumptions!$D$9+RAND()*(Assumptions!$F$9-Assumptions!$D$9)</f>
        <v/>
      </c>
      <c r="E112" s="71">
        <f>Assumptions!$F$11+RAND()*(Assumptions!$D$11-Assumptions!$F$11)</f>
        <v/>
      </c>
      <c r="F112" s="45">
        <f>nListPrice*(1-C112)-(nInference*nGpuIdx+nAmort)*nUtilCal/D112-nNetworking-nOverheadBase*(E112/nPowerCal)-nCodBase*(1+I112/12)-O112</f>
        <v/>
      </c>
      <c r="G112" s="66">
        <f>MAX(F112,0)/nDebtService</f>
        <v/>
      </c>
      <c r="H112" s="71">
        <f>Anthropic!$J$18*Anthropic!$J$27+Anthropic!$J$19*Anthropic!$J$28+Anthropic!$J$20*Anthropic!$J$29+Anthropic!$J$21*E112*(1+nPowerCagr)^4*(1+nResidualBasisMarkup+nScarcityAlpha*POWER(Anthropic!$J$21,nScarcityGamma))</f>
        <v/>
      </c>
      <c r="I112" s="113">
        <f>Assumptions!$F$10+RAND()*(Assumptions!$D$10-Assumptions!$F$10)</f>
        <v/>
      </c>
      <c r="J112" s="113">
        <f>RAND()*nCodSlipMaxMo</f>
        <v/>
      </c>
      <c r="K112" s="114">
        <f>nAvailDrawMin+RAND()*(nAvailDrawMax-nAvailDrawMin)</f>
        <v/>
      </c>
      <c r="L112" s="45">
        <f>IF(2034&lt;sNsmrCodU1+J112/12,0,(nNsmrCap+nNsmrOpx*(1+sNsmrOpxEsc)^8+nNsmrFuel*FuelEsc*(1+nFuelCagr)^8-nNsmrItc)*IF(2034&lt;sNsmrCodU1+J112/12+nStepFirst,1,IF(nStepGated="Yes",(1+nStepPct)^(INT((2034-sNsmrCodU1-J112/12-nStepFirst)/nStepEvery)+1),1))+nExclPrem*(1-nFlexRelief)-nProdCredit)</f>
        <v/>
      </c>
      <c r="M112" s="63">
        <f>MIN(nShortfallCapM,MAX(0,sNsmrAvailY2-K112)*sNsmrUnitMw*sNsmrUnits*8760*NsmrPrice2033/1000000)</f>
        <v/>
      </c>
      <c r="N112" s="82">
        <f>IF(RAND()&lt;0.5,nUsefulLifeDrawBase-(nUsefulLifeDrawBase-nUsefulLifeDrawMin)*BETA.INV(RAND(),1.15,1.15),nUsefulLifeDrawBase+(nUsefulLifeDrawMax-nUsefulLifeDrawBase)*BETA.INV(RAND(),1.15,1.15))</f>
        <v/>
      </c>
      <c r="O112" s="45">
        <f>((nInference*nGpuIdx+nAmort)*nUtilCal/D112)*(nUsefulLifeDrawBase/N112-1)</f>
        <v/>
      </c>
      <c r="P112" s="1" t="n"/>
      <c r="Q112" s="1" t="n"/>
      <c r="R112" s="1" t="n"/>
      <c r="S112" s="1" t="n"/>
      <c r="T112" s="1" t="n"/>
      <c r="U112" s="1" t="n"/>
    </row>
    <row r="113" ht="12" customHeight="1">
      <c r="A113" s="1" t="n"/>
      <c r="B113" s="38" t="n">
        <v>93</v>
      </c>
      <c r="C113" s="114">
        <f>Assumptions!$F$8+RAND()*(Assumptions!$D$8-Assumptions!$F$8)</f>
        <v/>
      </c>
      <c r="D113" s="114">
        <f>Assumptions!$D$9+RAND()*(Assumptions!$F$9-Assumptions!$D$9)</f>
        <v/>
      </c>
      <c r="E113" s="71">
        <f>Assumptions!$F$11+RAND()*(Assumptions!$D$11-Assumptions!$F$11)</f>
        <v/>
      </c>
      <c r="F113" s="45">
        <f>nListPrice*(1-C113)-(nInference*nGpuIdx+nAmort)*nUtilCal/D113-nNetworking-nOverheadBase*(E113/nPowerCal)-nCodBase*(1+I113/12)-O113</f>
        <v/>
      </c>
      <c r="G113" s="66">
        <f>MAX(F113,0)/nDebtService</f>
        <v/>
      </c>
      <c r="H113" s="71">
        <f>Anthropic!$J$18*Anthropic!$J$27+Anthropic!$J$19*Anthropic!$J$28+Anthropic!$J$20*Anthropic!$J$29+Anthropic!$J$21*E113*(1+nPowerCagr)^4*(1+nResidualBasisMarkup+nScarcityAlpha*POWER(Anthropic!$J$21,nScarcityGamma))</f>
        <v/>
      </c>
      <c r="I113" s="113">
        <f>Assumptions!$F$10+RAND()*(Assumptions!$D$10-Assumptions!$F$10)</f>
        <v/>
      </c>
      <c r="J113" s="113">
        <f>RAND()*nCodSlipMaxMo</f>
        <v/>
      </c>
      <c r="K113" s="114">
        <f>nAvailDrawMin+RAND()*(nAvailDrawMax-nAvailDrawMin)</f>
        <v/>
      </c>
      <c r="L113" s="45">
        <f>IF(2034&lt;sNsmrCodU1+J113/12,0,(nNsmrCap+nNsmrOpx*(1+sNsmrOpxEsc)^8+nNsmrFuel*FuelEsc*(1+nFuelCagr)^8-nNsmrItc)*IF(2034&lt;sNsmrCodU1+J113/12+nStepFirst,1,IF(nStepGated="Yes",(1+nStepPct)^(INT((2034-sNsmrCodU1-J113/12-nStepFirst)/nStepEvery)+1),1))+nExclPrem*(1-nFlexRelief)-nProdCredit)</f>
        <v/>
      </c>
      <c r="M113" s="63">
        <f>MIN(nShortfallCapM,MAX(0,sNsmrAvailY2-K113)*sNsmrUnitMw*sNsmrUnits*8760*NsmrPrice2033/1000000)</f>
        <v/>
      </c>
      <c r="N113" s="82">
        <f>IF(RAND()&lt;0.5,nUsefulLifeDrawBase-(nUsefulLifeDrawBase-nUsefulLifeDrawMin)*BETA.INV(RAND(),1.15,1.15),nUsefulLifeDrawBase+(nUsefulLifeDrawMax-nUsefulLifeDrawBase)*BETA.INV(RAND(),1.15,1.15))</f>
        <v/>
      </c>
      <c r="O113" s="45">
        <f>((nInference*nGpuIdx+nAmort)*nUtilCal/D113)*(nUsefulLifeDrawBase/N113-1)</f>
        <v/>
      </c>
      <c r="P113" s="1" t="n"/>
      <c r="Q113" s="1" t="n"/>
      <c r="R113" s="1" t="n"/>
      <c r="S113" s="1" t="n"/>
      <c r="T113" s="1" t="n"/>
      <c r="U113" s="1" t="n"/>
    </row>
    <row r="114" ht="12" customHeight="1">
      <c r="A114" s="1" t="n"/>
      <c r="B114" s="38" t="n">
        <v>94</v>
      </c>
      <c r="C114" s="114">
        <f>Assumptions!$F$8+RAND()*(Assumptions!$D$8-Assumptions!$F$8)</f>
        <v/>
      </c>
      <c r="D114" s="114">
        <f>Assumptions!$D$9+RAND()*(Assumptions!$F$9-Assumptions!$D$9)</f>
        <v/>
      </c>
      <c r="E114" s="71">
        <f>Assumptions!$F$11+RAND()*(Assumptions!$D$11-Assumptions!$F$11)</f>
        <v/>
      </c>
      <c r="F114" s="45">
        <f>nListPrice*(1-C114)-(nInference*nGpuIdx+nAmort)*nUtilCal/D114-nNetworking-nOverheadBase*(E114/nPowerCal)-nCodBase*(1+I114/12)-O114</f>
        <v/>
      </c>
      <c r="G114" s="66">
        <f>MAX(F114,0)/nDebtService</f>
        <v/>
      </c>
      <c r="H114" s="71">
        <f>Anthropic!$J$18*Anthropic!$J$27+Anthropic!$J$19*Anthropic!$J$28+Anthropic!$J$20*Anthropic!$J$29+Anthropic!$J$21*E114*(1+nPowerCagr)^4*(1+nResidualBasisMarkup+nScarcityAlpha*POWER(Anthropic!$J$21,nScarcityGamma))</f>
        <v/>
      </c>
      <c r="I114" s="113">
        <f>Assumptions!$F$10+RAND()*(Assumptions!$D$10-Assumptions!$F$10)</f>
        <v/>
      </c>
      <c r="J114" s="113">
        <f>RAND()*nCodSlipMaxMo</f>
        <v/>
      </c>
      <c r="K114" s="114">
        <f>nAvailDrawMin+RAND()*(nAvailDrawMax-nAvailDrawMin)</f>
        <v/>
      </c>
      <c r="L114" s="45">
        <f>IF(2034&lt;sNsmrCodU1+J114/12,0,(nNsmrCap+nNsmrOpx*(1+sNsmrOpxEsc)^8+nNsmrFuel*FuelEsc*(1+nFuelCagr)^8-nNsmrItc)*IF(2034&lt;sNsmrCodU1+J114/12+nStepFirst,1,IF(nStepGated="Yes",(1+nStepPct)^(INT((2034-sNsmrCodU1-J114/12-nStepFirst)/nStepEvery)+1),1))+nExclPrem*(1-nFlexRelief)-nProdCredit)</f>
        <v/>
      </c>
      <c r="M114" s="63">
        <f>MIN(nShortfallCapM,MAX(0,sNsmrAvailY2-K114)*sNsmrUnitMw*sNsmrUnits*8760*NsmrPrice2033/1000000)</f>
        <v/>
      </c>
      <c r="N114" s="82">
        <f>IF(RAND()&lt;0.5,nUsefulLifeDrawBase-(nUsefulLifeDrawBase-nUsefulLifeDrawMin)*BETA.INV(RAND(),1.15,1.15),nUsefulLifeDrawBase+(nUsefulLifeDrawMax-nUsefulLifeDrawBase)*BETA.INV(RAND(),1.15,1.15))</f>
        <v/>
      </c>
      <c r="O114" s="45">
        <f>((nInference*nGpuIdx+nAmort)*nUtilCal/D114)*(nUsefulLifeDrawBase/N114-1)</f>
        <v/>
      </c>
      <c r="P114" s="1" t="n"/>
      <c r="Q114" s="1" t="n"/>
      <c r="R114" s="1" t="n"/>
      <c r="S114" s="1" t="n"/>
      <c r="T114" s="1" t="n"/>
      <c r="U114" s="1" t="n"/>
    </row>
    <row r="115" ht="12" customHeight="1">
      <c r="A115" s="1" t="n"/>
      <c r="B115" s="38" t="n">
        <v>95</v>
      </c>
      <c r="C115" s="114">
        <f>Assumptions!$F$8+RAND()*(Assumptions!$D$8-Assumptions!$F$8)</f>
        <v/>
      </c>
      <c r="D115" s="114">
        <f>Assumptions!$D$9+RAND()*(Assumptions!$F$9-Assumptions!$D$9)</f>
        <v/>
      </c>
      <c r="E115" s="71">
        <f>Assumptions!$F$11+RAND()*(Assumptions!$D$11-Assumptions!$F$11)</f>
        <v/>
      </c>
      <c r="F115" s="45">
        <f>nListPrice*(1-C115)-(nInference*nGpuIdx+nAmort)*nUtilCal/D115-nNetworking-nOverheadBase*(E115/nPowerCal)-nCodBase*(1+I115/12)-O115</f>
        <v/>
      </c>
      <c r="G115" s="66">
        <f>MAX(F115,0)/nDebtService</f>
        <v/>
      </c>
      <c r="H115" s="71">
        <f>Anthropic!$J$18*Anthropic!$J$27+Anthropic!$J$19*Anthropic!$J$28+Anthropic!$J$20*Anthropic!$J$29+Anthropic!$J$21*E115*(1+nPowerCagr)^4*(1+nResidualBasisMarkup+nScarcityAlpha*POWER(Anthropic!$J$21,nScarcityGamma))</f>
        <v/>
      </c>
      <c r="I115" s="113">
        <f>Assumptions!$F$10+RAND()*(Assumptions!$D$10-Assumptions!$F$10)</f>
        <v/>
      </c>
      <c r="J115" s="113">
        <f>RAND()*nCodSlipMaxMo</f>
        <v/>
      </c>
      <c r="K115" s="114">
        <f>nAvailDrawMin+RAND()*(nAvailDrawMax-nAvailDrawMin)</f>
        <v/>
      </c>
      <c r="L115" s="45">
        <f>IF(2034&lt;sNsmrCodU1+J115/12,0,(nNsmrCap+nNsmrOpx*(1+sNsmrOpxEsc)^8+nNsmrFuel*FuelEsc*(1+nFuelCagr)^8-nNsmrItc)*IF(2034&lt;sNsmrCodU1+J115/12+nStepFirst,1,IF(nStepGated="Yes",(1+nStepPct)^(INT((2034-sNsmrCodU1-J115/12-nStepFirst)/nStepEvery)+1),1))+nExclPrem*(1-nFlexRelief)-nProdCredit)</f>
        <v/>
      </c>
      <c r="M115" s="63">
        <f>MIN(nShortfallCapM,MAX(0,sNsmrAvailY2-K115)*sNsmrUnitMw*sNsmrUnits*8760*NsmrPrice2033/1000000)</f>
        <v/>
      </c>
      <c r="N115" s="82">
        <f>IF(RAND()&lt;0.5,nUsefulLifeDrawBase-(nUsefulLifeDrawBase-nUsefulLifeDrawMin)*BETA.INV(RAND(),1.15,1.15),nUsefulLifeDrawBase+(nUsefulLifeDrawMax-nUsefulLifeDrawBase)*BETA.INV(RAND(),1.15,1.15))</f>
        <v/>
      </c>
      <c r="O115" s="45">
        <f>((nInference*nGpuIdx+nAmort)*nUtilCal/D115)*(nUsefulLifeDrawBase/N115-1)</f>
        <v/>
      </c>
      <c r="P115" s="1" t="n"/>
      <c r="Q115" s="1" t="n"/>
      <c r="R115" s="1" t="n"/>
      <c r="S115" s="1" t="n"/>
      <c r="T115" s="1" t="n"/>
      <c r="U115" s="1" t="n"/>
    </row>
    <row r="116" ht="12" customHeight="1">
      <c r="A116" s="1" t="n"/>
      <c r="B116" s="38" t="n">
        <v>96</v>
      </c>
      <c r="C116" s="114">
        <f>Assumptions!$F$8+RAND()*(Assumptions!$D$8-Assumptions!$F$8)</f>
        <v/>
      </c>
      <c r="D116" s="114">
        <f>Assumptions!$D$9+RAND()*(Assumptions!$F$9-Assumptions!$D$9)</f>
        <v/>
      </c>
      <c r="E116" s="71">
        <f>Assumptions!$F$11+RAND()*(Assumptions!$D$11-Assumptions!$F$11)</f>
        <v/>
      </c>
      <c r="F116" s="45">
        <f>nListPrice*(1-C116)-(nInference*nGpuIdx+nAmort)*nUtilCal/D116-nNetworking-nOverheadBase*(E116/nPowerCal)-nCodBase*(1+I116/12)-O116</f>
        <v/>
      </c>
      <c r="G116" s="66">
        <f>MAX(F116,0)/nDebtService</f>
        <v/>
      </c>
      <c r="H116" s="71">
        <f>Anthropic!$J$18*Anthropic!$J$27+Anthropic!$J$19*Anthropic!$J$28+Anthropic!$J$20*Anthropic!$J$29+Anthropic!$J$21*E116*(1+nPowerCagr)^4*(1+nResidualBasisMarkup+nScarcityAlpha*POWER(Anthropic!$J$21,nScarcityGamma))</f>
        <v/>
      </c>
      <c r="I116" s="113">
        <f>Assumptions!$F$10+RAND()*(Assumptions!$D$10-Assumptions!$F$10)</f>
        <v/>
      </c>
      <c r="J116" s="113">
        <f>RAND()*nCodSlipMaxMo</f>
        <v/>
      </c>
      <c r="K116" s="114">
        <f>nAvailDrawMin+RAND()*(nAvailDrawMax-nAvailDrawMin)</f>
        <v/>
      </c>
      <c r="L116" s="45">
        <f>IF(2034&lt;sNsmrCodU1+J116/12,0,(nNsmrCap+nNsmrOpx*(1+sNsmrOpxEsc)^8+nNsmrFuel*FuelEsc*(1+nFuelCagr)^8-nNsmrItc)*IF(2034&lt;sNsmrCodU1+J116/12+nStepFirst,1,IF(nStepGated="Yes",(1+nStepPct)^(INT((2034-sNsmrCodU1-J116/12-nStepFirst)/nStepEvery)+1),1))+nExclPrem*(1-nFlexRelief)-nProdCredit)</f>
        <v/>
      </c>
      <c r="M116" s="63">
        <f>MIN(nShortfallCapM,MAX(0,sNsmrAvailY2-K116)*sNsmrUnitMw*sNsmrUnits*8760*NsmrPrice2033/1000000)</f>
        <v/>
      </c>
      <c r="N116" s="82">
        <f>IF(RAND()&lt;0.5,nUsefulLifeDrawBase-(nUsefulLifeDrawBase-nUsefulLifeDrawMin)*BETA.INV(RAND(),1.15,1.15),nUsefulLifeDrawBase+(nUsefulLifeDrawMax-nUsefulLifeDrawBase)*BETA.INV(RAND(),1.15,1.15))</f>
        <v/>
      </c>
      <c r="O116" s="45">
        <f>((nInference*nGpuIdx+nAmort)*nUtilCal/D116)*(nUsefulLifeDrawBase/N116-1)</f>
        <v/>
      </c>
      <c r="P116" s="1" t="n"/>
      <c r="Q116" s="1" t="n"/>
      <c r="R116" s="1" t="n"/>
      <c r="S116" s="1" t="n"/>
      <c r="T116" s="1" t="n"/>
      <c r="U116" s="1" t="n"/>
    </row>
    <row r="117" ht="12" customHeight="1">
      <c r="A117" s="1" t="n"/>
      <c r="B117" s="38" t="n">
        <v>97</v>
      </c>
      <c r="C117" s="114">
        <f>Assumptions!$F$8+RAND()*(Assumptions!$D$8-Assumptions!$F$8)</f>
        <v/>
      </c>
      <c r="D117" s="114">
        <f>Assumptions!$D$9+RAND()*(Assumptions!$F$9-Assumptions!$D$9)</f>
        <v/>
      </c>
      <c r="E117" s="71">
        <f>Assumptions!$F$11+RAND()*(Assumptions!$D$11-Assumptions!$F$11)</f>
        <v/>
      </c>
      <c r="F117" s="45">
        <f>nListPrice*(1-C117)-(nInference*nGpuIdx+nAmort)*nUtilCal/D117-nNetworking-nOverheadBase*(E117/nPowerCal)-nCodBase*(1+I117/12)-O117</f>
        <v/>
      </c>
      <c r="G117" s="66">
        <f>MAX(F117,0)/nDebtService</f>
        <v/>
      </c>
      <c r="H117" s="71">
        <f>Anthropic!$J$18*Anthropic!$J$27+Anthropic!$J$19*Anthropic!$J$28+Anthropic!$J$20*Anthropic!$J$29+Anthropic!$J$21*E117*(1+nPowerCagr)^4*(1+nResidualBasisMarkup+nScarcityAlpha*POWER(Anthropic!$J$21,nScarcityGamma))</f>
        <v/>
      </c>
      <c r="I117" s="113">
        <f>Assumptions!$F$10+RAND()*(Assumptions!$D$10-Assumptions!$F$10)</f>
        <v/>
      </c>
      <c r="J117" s="113">
        <f>RAND()*nCodSlipMaxMo</f>
        <v/>
      </c>
      <c r="K117" s="114">
        <f>nAvailDrawMin+RAND()*(nAvailDrawMax-nAvailDrawMin)</f>
        <v/>
      </c>
      <c r="L117" s="45">
        <f>IF(2034&lt;sNsmrCodU1+J117/12,0,(nNsmrCap+nNsmrOpx*(1+sNsmrOpxEsc)^8+nNsmrFuel*FuelEsc*(1+nFuelCagr)^8-nNsmrItc)*IF(2034&lt;sNsmrCodU1+J117/12+nStepFirst,1,IF(nStepGated="Yes",(1+nStepPct)^(INT((2034-sNsmrCodU1-J117/12-nStepFirst)/nStepEvery)+1),1))+nExclPrem*(1-nFlexRelief)-nProdCredit)</f>
        <v/>
      </c>
      <c r="M117" s="63">
        <f>MIN(nShortfallCapM,MAX(0,sNsmrAvailY2-K117)*sNsmrUnitMw*sNsmrUnits*8760*NsmrPrice2033/1000000)</f>
        <v/>
      </c>
      <c r="N117" s="82">
        <f>IF(RAND()&lt;0.5,nUsefulLifeDrawBase-(nUsefulLifeDrawBase-nUsefulLifeDrawMin)*BETA.INV(RAND(),1.15,1.15),nUsefulLifeDrawBase+(nUsefulLifeDrawMax-nUsefulLifeDrawBase)*BETA.INV(RAND(),1.15,1.15))</f>
        <v/>
      </c>
      <c r="O117" s="45">
        <f>((nInference*nGpuIdx+nAmort)*nUtilCal/D117)*(nUsefulLifeDrawBase/N117-1)</f>
        <v/>
      </c>
      <c r="P117" s="1" t="n"/>
      <c r="Q117" s="1" t="n"/>
      <c r="R117" s="1" t="n"/>
      <c r="S117" s="1" t="n"/>
      <c r="T117" s="1" t="n"/>
      <c r="U117" s="1" t="n"/>
    </row>
    <row r="118" ht="12" customHeight="1">
      <c r="A118" s="1" t="n"/>
      <c r="B118" s="38" t="n">
        <v>98</v>
      </c>
      <c r="C118" s="114">
        <f>Assumptions!$F$8+RAND()*(Assumptions!$D$8-Assumptions!$F$8)</f>
        <v/>
      </c>
      <c r="D118" s="114">
        <f>Assumptions!$D$9+RAND()*(Assumptions!$F$9-Assumptions!$D$9)</f>
        <v/>
      </c>
      <c r="E118" s="71">
        <f>Assumptions!$F$11+RAND()*(Assumptions!$D$11-Assumptions!$F$11)</f>
        <v/>
      </c>
      <c r="F118" s="45">
        <f>nListPrice*(1-C118)-(nInference*nGpuIdx+nAmort)*nUtilCal/D118-nNetworking-nOverheadBase*(E118/nPowerCal)-nCodBase*(1+I118/12)-O118</f>
        <v/>
      </c>
      <c r="G118" s="66">
        <f>MAX(F118,0)/nDebtService</f>
        <v/>
      </c>
      <c r="H118" s="71">
        <f>Anthropic!$J$18*Anthropic!$J$27+Anthropic!$J$19*Anthropic!$J$28+Anthropic!$J$20*Anthropic!$J$29+Anthropic!$J$21*E118*(1+nPowerCagr)^4*(1+nResidualBasisMarkup+nScarcityAlpha*POWER(Anthropic!$J$21,nScarcityGamma))</f>
        <v/>
      </c>
      <c r="I118" s="113">
        <f>Assumptions!$F$10+RAND()*(Assumptions!$D$10-Assumptions!$F$10)</f>
        <v/>
      </c>
      <c r="J118" s="113">
        <f>RAND()*nCodSlipMaxMo</f>
        <v/>
      </c>
      <c r="K118" s="114">
        <f>nAvailDrawMin+RAND()*(nAvailDrawMax-nAvailDrawMin)</f>
        <v/>
      </c>
      <c r="L118" s="45">
        <f>IF(2034&lt;sNsmrCodU1+J118/12,0,(nNsmrCap+nNsmrOpx*(1+sNsmrOpxEsc)^8+nNsmrFuel*FuelEsc*(1+nFuelCagr)^8-nNsmrItc)*IF(2034&lt;sNsmrCodU1+J118/12+nStepFirst,1,IF(nStepGated="Yes",(1+nStepPct)^(INT((2034-sNsmrCodU1-J118/12-nStepFirst)/nStepEvery)+1),1))+nExclPrem*(1-nFlexRelief)-nProdCredit)</f>
        <v/>
      </c>
      <c r="M118" s="63">
        <f>MIN(nShortfallCapM,MAX(0,sNsmrAvailY2-K118)*sNsmrUnitMw*sNsmrUnits*8760*NsmrPrice2033/1000000)</f>
        <v/>
      </c>
      <c r="N118" s="82">
        <f>IF(RAND()&lt;0.5,nUsefulLifeDrawBase-(nUsefulLifeDrawBase-nUsefulLifeDrawMin)*BETA.INV(RAND(),1.15,1.15),nUsefulLifeDrawBase+(nUsefulLifeDrawMax-nUsefulLifeDrawBase)*BETA.INV(RAND(),1.15,1.15))</f>
        <v/>
      </c>
      <c r="O118" s="45">
        <f>((nInference*nGpuIdx+nAmort)*nUtilCal/D118)*(nUsefulLifeDrawBase/N118-1)</f>
        <v/>
      </c>
      <c r="P118" s="1" t="n"/>
      <c r="Q118" s="1" t="n"/>
      <c r="R118" s="1" t="n"/>
      <c r="S118" s="1" t="n"/>
      <c r="T118" s="1" t="n"/>
      <c r="U118" s="1" t="n"/>
    </row>
    <row r="119" ht="12" customHeight="1">
      <c r="A119" s="1" t="n"/>
      <c r="B119" s="38" t="n">
        <v>99</v>
      </c>
      <c r="C119" s="114">
        <f>Assumptions!$F$8+RAND()*(Assumptions!$D$8-Assumptions!$F$8)</f>
        <v/>
      </c>
      <c r="D119" s="114">
        <f>Assumptions!$D$9+RAND()*(Assumptions!$F$9-Assumptions!$D$9)</f>
        <v/>
      </c>
      <c r="E119" s="71">
        <f>Assumptions!$F$11+RAND()*(Assumptions!$D$11-Assumptions!$F$11)</f>
        <v/>
      </c>
      <c r="F119" s="45">
        <f>nListPrice*(1-C119)-(nInference*nGpuIdx+nAmort)*nUtilCal/D119-nNetworking-nOverheadBase*(E119/nPowerCal)-nCodBase*(1+I119/12)-O119</f>
        <v/>
      </c>
      <c r="G119" s="66">
        <f>MAX(F119,0)/nDebtService</f>
        <v/>
      </c>
      <c r="H119" s="71">
        <f>Anthropic!$J$18*Anthropic!$J$27+Anthropic!$J$19*Anthropic!$J$28+Anthropic!$J$20*Anthropic!$J$29+Anthropic!$J$21*E119*(1+nPowerCagr)^4*(1+nResidualBasisMarkup+nScarcityAlpha*POWER(Anthropic!$J$21,nScarcityGamma))</f>
        <v/>
      </c>
      <c r="I119" s="113">
        <f>Assumptions!$F$10+RAND()*(Assumptions!$D$10-Assumptions!$F$10)</f>
        <v/>
      </c>
      <c r="J119" s="113">
        <f>RAND()*nCodSlipMaxMo</f>
        <v/>
      </c>
      <c r="K119" s="114">
        <f>nAvailDrawMin+RAND()*(nAvailDrawMax-nAvailDrawMin)</f>
        <v/>
      </c>
      <c r="L119" s="45">
        <f>IF(2034&lt;sNsmrCodU1+J119/12,0,(nNsmrCap+nNsmrOpx*(1+sNsmrOpxEsc)^8+nNsmrFuel*FuelEsc*(1+nFuelCagr)^8-nNsmrItc)*IF(2034&lt;sNsmrCodU1+J119/12+nStepFirst,1,IF(nStepGated="Yes",(1+nStepPct)^(INT((2034-sNsmrCodU1-J119/12-nStepFirst)/nStepEvery)+1),1))+nExclPrem*(1-nFlexRelief)-nProdCredit)</f>
        <v/>
      </c>
      <c r="M119" s="63">
        <f>MIN(nShortfallCapM,MAX(0,sNsmrAvailY2-K119)*sNsmrUnitMw*sNsmrUnits*8760*NsmrPrice2033/1000000)</f>
        <v/>
      </c>
      <c r="N119" s="82">
        <f>IF(RAND()&lt;0.5,nUsefulLifeDrawBase-(nUsefulLifeDrawBase-nUsefulLifeDrawMin)*BETA.INV(RAND(),1.15,1.15),nUsefulLifeDrawBase+(nUsefulLifeDrawMax-nUsefulLifeDrawBase)*BETA.INV(RAND(),1.15,1.15))</f>
        <v/>
      </c>
      <c r="O119" s="45">
        <f>((nInference*nGpuIdx+nAmort)*nUtilCal/D119)*(nUsefulLifeDrawBase/N119-1)</f>
        <v/>
      </c>
      <c r="P119" s="1" t="n"/>
      <c r="Q119" s="1" t="n"/>
      <c r="R119" s="1" t="n"/>
      <c r="S119" s="1" t="n"/>
      <c r="T119" s="1" t="n"/>
      <c r="U119" s="1" t="n"/>
    </row>
    <row r="120" ht="12" customHeight="1">
      <c r="A120" s="1" t="n"/>
      <c r="B120" s="38" t="n">
        <v>100</v>
      </c>
      <c r="C120" s="114">
        <f>Assumptions!$F$8+RAND()*(Assumptions!$D$8-Assumptions!$F$8)</f>
        <v/>
      </c>
      <c r="D120" s="114">
        <f>Assumptions!$D$9+RAND()*(Assumptions!$F$9-Assumptions!$D$9)</f>
        <v/>
      </c>
      <c r="E120" s="71">
        <f>Assumptions!$F$11+RAND()*(Assumptions!$D$11-Assumptions!$F$11)</f>
        <v/>
      </c>
      <c r="F120" s="45">
        <f>nListPrice*(1-C120)-(nInference*nGpuIdx+nAmort)*nUtilCal/D120-nNetworking-nOverheadBase*(E120/nPowerCal)-nCodBase*(1+I120/12)-O120</f>
        <v/>
      </c>
      <c r="G120" s="66">
        <f>MAX(F120,0)/nDebtService</f>
        <v/>
      </c>
      <c r="H120" s="71">
        <f>Anthropic!$J$18*Anthropic!$J$27+Anthropic!$J$19*Anthropic!$J$28+Anthropic!$J$20*Anthropic!$J$29+Anthropic!$J$21*E120*(1+nPowerCagr)^4*(1+nResidualBasisMarkup+nScarcityAlpha*POWER(Anthropic!$J$21,nScarcityGamma))</f>
        <v/>
      </c>
      <c r="I120" s="113">
        <f>Assumptions!$F$10+RAND()*(Assumptions!$D$10-Assumptions!$F$10)</f>
        <v/>
      </c>
      <c r="J120" s="113">
        <f>RAND()*nCodSlipMaxMo</f>
        <v/>
      </c>
      <c r="K120" s="114">
        <f>nAvailDrawMin+RAND()*(nAvailDrawMax-nAvailDrawMin)</f>
        <v/>
      </c>
      <c r="L120" s="45">
        <f>IF(2034&lt;sNsmrCodU1+J120/12,0,(nNsmrCap+nNsmrOpx*(1+sNsmrOpxEsc)^8+nNsmrFuel*FuelEsc*(1+nFuelCagr)^8-nNsmrItc)*IF(2034&lt;sNsmrCodU1+J120/12+nStepFirst,1,IF(nStepGated="Yes",(1+nStepPct)^(INT((2034-sNsmrCodU1-J120/12-nStepFirst)/nStepEvery)+1),1))+nExclPrem*(1-nFlexRelief)-nProdCredit)</f>
        <v/>
      </c>
      <c r="M120" s="63">
        <f>MIN(nShortfallCapM,MAX(0,sNsmrAvailY2-K120)*sNsmrUnitMw*sNsmrUnits*8760*NsmrPrice2033/1000000)</f>
        <v/>
      </c>
      <c r="N120" s="82">
        <f>IF(RAND()&lt;0.5,nUsefulLifeDrawBase-(nUsefulLifeDrawBase-nUsefulLifeDrawMin)*BETA.INV(RAND(),1.15,1.15),nUsefulLifeDrawBase+(nUsefulLifeDrawMax-nUsefulLifeDrawBase)*BETA.INV(RAND(),1.15,1.15))</f>
        <v/>
      </c>
      <c r="O120" s="45">
        <f>((nInference*nGpuIdx+nAmort)*nUtilCal/D120)*(nUsefulLifeDrawBase/N120-1)</f>
        <v/>
      </c>
      <c r="P120" s="1" t="n"/>
      <c r="Q120" s="1" t="n"/>
      <c r="R120" s="1" t="n"/>
      <c r="S120" s="1" t="n"/>
      <c r="T120" s="1" t="n"/>
      <c r="U120" s="1" t="n"/>
    </row>
    <row r="121" ht="12" customHeight="1">
      <c r="A121" s="1" t="n"/>
      <c r="B121" s="38" t="n">
        <v>101</v>
      </c>
      <c r="C121" s="114">
        <f>Assumptions!$F$8+RAND()*(Assumptions!$D$8-Assumptions!$F$8)</f>
        <v/>
      </c>
      <c r="D121" s="114">
        <f>Assumptions!$D$9+RAND()*(Assumptions!$F$9-Assumptions!$D$9)</f>
        <v/>
      </c>
      <c r="E121" s="71">
        <f>Assumptions!$F$11+RAND()*(Assumptions!$D$11-Assumptions!$F$11)</f>
        <v/>
      </c>
      <c r="F121" s="45">
        <f>nListPrice*(1-C121)-(nInference*nGpuIdx+nAmort)*nUtilCal/D121-nNetworking-nOverheadBase*(E121/nPowerCal)-nCodBase*(1+I121/12)-O121</f>
        <v/>
      </c>
      <c r="G121" s="66">
        <f>MAX(F121,0)/nDebtService</f>
        <v/>
      </c>
      <c r="H121" s="71">
        <f>Anthropic!$J$18*Anthropic!$J$27+Anthropic!$J$19*Anthropic!$J$28+Anthropic!$J$20*Anthropic!$J$29+Anthropic!$J$21*E121*(1+nPowerCagr)^4*(1+nResidualBasisMarkup+nScarcityAlpha*POWER(Anthropic!$J$21,nScarcityGamma))</f>
        <v/>
      </c>
      <c r="I121" s="113">
        <f>Assumptions!$F$10+RAND()*(Assumptions!$D$10-Assumptions!$F$10)</f>
        <v/>
      </c>
      <c r="J121" s="113">
        <f>RAND()*nCodSlipMaxMo</f>
        <v/>
      </c>
      <c r="K121" s="114">
        <f>nAvailDrawMin+RAND()*(nAvailDrawMax-nAvailDrawMin)</f>
        <v/>
      </c>
      <c r="L121" s="45">
        <f>IF(2034&lt;sNsmrCodU1+J121/12,0,(nNsmrCap+nNsmrOpx*(1+sNsmrOpxEsc)^8+nNsmrFuel*FuelEsc*(1+nFuelCagr)^8-nNsmrItc)*IF(2034&lt;sNsmrCodU1+J121/12+nStepFirst,1,IF(nStepGated="Yes",(1+nStepPct)^(INT((2034-sNsmrCodU1-J121/12-nStepFirst)/nStepEvery)+1),1))+nExclPrem*(1-nFlexRelief)-nProdCredit)</f>
        <v/>
      </c>
      <c r="M121" s="63">
        <f>MIN(nShortfallCapM,MAX(0,sNsmrAvailY2-K121)*sNsmrUnitMw*sNsmrUnits*8760*NsmrPrice2033/1000000)</f>
        <v/>
      </c>
      <c r="N121" s="82">
        <f>IF(RAND()&lt;0.5,nUsefulLifeDrawBase-(nUsefulLifeDrawBase-nUsefulLifeDrawMin)*BETA.INV(RAND(),1.15,1.15),nUsefulLifeDrawBase+(nUsefulLifeDrawMax-nUsefulLifeDrawBase)*BETA.INV(RAND(),1.15,1.15))</f>
        <v/>
      </c>
      <c r="O121" s="45">
        <f>((nInference*nGpuIdx+nAmort)*nUtilCal/D121)*(nUsefulLifeDrawBase/N121-1)</f>
        <v/>
      </c>
      <c r="P121" s="1" t="n"/>
      <c r="Q121" s="1" t="n"/>
      <c r="R121" s="1" t="n"/>
      <c r="S121" s="1" t="n"/>
      <c r="T121" s="1" t="n"/>
      <c r="U121" s="1" t="n"/>
    </row>
    <row r="122" ht="12" customHeight="1">
      <c r="A122" s="1" t="n"/>
      <c r="B122" s="38" t="n">
        <v>102</v>
      </c>
      <c r="C122" s="114">
        <f>Assumptions!$F$8+RAND()*(Assumptions!$D$8-Assumptions!$F$8)</f>
        <v/>
      </c>
      <c r="D122" s="114">
        <f>Assumptions!$D$9+RAND()*(Assumptions!$F$9-Assumptions!$D$9)</f>
        <v/>
      </c>
      <c r="E122" s="71">
        <f>Assumptions!$F$11+RAND()*(Assumptions!$D$11-Assumptions!$F$11)</f>
        <v/>
      </c>
      <c r="F122" s="45">
        <f>nListPrice*(1-C122)-(nInference*nGpuIdx+nAmort)*nUtilCal/D122-nNetworking-nOverheadBase*(E122/nPowerCal)-nCodBase*(1+I122/12)-O122</f>
        <v/>
      </c>
      <c r="G122" s="66">
        <f>MAX(F122,0)/nDebtService</f>
        <v/>
      </c>
      <c r="H122" s="71">
        <f>Anthropic!$J$18*Anthropic!$J$27+Anthropic!$J$19*Anthropic!$J$28+Anthropic!$J$20*Anthropic!$J$29+Anthropic!$J$21*E122*(1+nPowerCagr)^4*(1+nResidualBasisMarkup+nScarcityAlpha*POWER(Anthropic!$J$21,nScarcityGamma))</f>
        <v/>
      </c>
      <c r="I122" s="113">
        <f>Assumptions!$F$10+RAND()*(Assumptions!$D$10-Assumptions!$F$10)</f>
        <v/>
      </c>
      <c r="J122" s="113">
        <f>RAND()*nCodSlipMaxMo</f>
        <v/>
      </c>
      <c r="K122" s="114">
        <f>nAvailDrawMin+RAND()*(nAvailDrawMax-nAvailDrawMin)</f>
        <v/>
      </c>
      <c r="L122" s="45">
        <f>IF(2034&lt;sNsmrCodU1+J122/12,0,(nNsmrCap+nNsmrOpx*(1+sNsmrOpxEsc)^8+nNsmrFuel*FuelEsc*(1+nFuelCagr)^8-nNsmrItc)*IF(2034&lt;sNsmrCodU1+J122/12+nStepFirst,1,IF(nStepGated="Yes",(1+nStepPct)^(INT((2034-sNsmrCodU1-J122/12-nStepFirst)/nStepEvery)+1),1))+nExclPrem*(1-nFlexRelief)-nProdCredit)</f>
        <v/>
      </c>
      <c r="M122" s="63">
        <f>MIN(nShortfallCapM,MAX(0,sNsmrAvailY2-K122)*sNsmrUnitMw*sNsmrUnits*8760*NsmrPrice2033/1000000)</f>
        <v/>
      </c>
      <c r="N122" s="82">
        <f>IF(RAND()&lt;0.5,nUsefulLifeDrawBase-(nUsefulLifeDrawBase-nUsefulLifeDrawMin)*BETA.INV(RAND(),1.15,1.15),nUsefulLifeDrawBase+(nUsefulLifeDrawMax-nUsefulLifeDrawBase)*BETA.INV(RAND(),1.15,1.15))</f>
        <v/>
      </c>
      <c r="O122" s="45">
        <f>((nInference*nGpuIdx+nAmort)*nUtilCal/D122)*(nUsefulLifeDrawBase/N122-1)</f>
        <v/>
      </c>
      <c r="P122" s="1" t="n"/>
      <c r="Q122" s="1" t="n"/>
      <c r="R122" s="1" t="n"/>
      <c r="S122" s="1" t="n"/>
      <c r="T122" s="1" t="n"/>
      <c r="U122" s="1" t="n"/>
    </row>
    <row r="123" ht="12" customHeight="1">
      <c r="A123" s="1" t="n"/>
      <c r="B123" s="38" t="n">
        <v>103</v>
      </c>
      <c r="C123" s="114">
        <f>Assumptions!$F$8+RAND()*(Assumptions!$D$8-Assumptions!$F$8)</f>
        <v/>
      </c>
      <c r="D123" s="114">
        <f>Assumptions!$D$9+RAND()*(Assumptions!$F$9-Assumptions!$D$9)</f>
        <v/>
      </c>
      <c r="E123" s="71">
        <f>Assumptions!$F$11+RAND()*(Assumptions!$D$11-Assumptions!$F$11)</f>
        <v/>
      </c>
      <c r="F123" s="45">
        <f>nListPrice*(1-C123)-(nInference*nGpuIdx+nAmort)*nUtilCal/D123-nNetworking-nOverheadBase*(E123/nPowerCal)-nCodBase*(1+I123/12)-O123</f>
        <v/>
      </c>
      <c r="G123" s="66">
        <f>MAX(F123,0)/nDebtService</f>
        <v/>
      </c>
      <c r="H123" s="71">
        <f>Anthropic!$J$18*Anthropic!$J$27+Anthropic!$J$19*Anthropic!$J$28+Anthropic!$J$20*Anthropic!$J$29+Anthropic!$J$21*E123*(1+nPowerCagr)^4*(1+nResidualBasisMarkup+nScarcityAlpha*POWER(Anthropic!$J$21,nScarcityGamma))</f>
        <v/>
      </c>
      <c r="I123" s="113">
        <f>Assumptions!$F$10+RAND()*(Assumptions!$D$10-Assumptions!$F$10)</f>
        <v/>
      </c>
      <c r="J123" s="113">
        <f>RAND()*nCodSlipMaxMo</f>
        <v/>
      </c>
      <c r="K123" s="114">
        <f>nAvailDrawMin+RAND()*(nAvailDrawMax-nAvailDrawMin)</f>
        <v/>
      </c>
      <c r="L123" s="45">
        <f>IF(2034&lt;sNsmrCodU1+J123/12,0,(nNsmrCap+nNsmrOpx*(1+sNsmrOpxEsc)^8+nNsmrFuel*FuelEsc*(1+nFuelCagr)^8-nNsmrItc)*IF(2034&lt;sNsmrCodU1+J123/12+nStepFirst,1,IF(nStepGated="Yes",(1+nStepPct)^(INT((2034-sNsmrCodU1-J123/12-nStepFirst)/nStepEvery)+1),1))+nExclPrem*(1-nFlexRelief)-nProdCredit)</f>
        <v/>
      </c>
      <c r="M123" s="63">
        <f>MIN(nShortfallCapM,MAX(0,sNsmrAvailY2-K123)*sNsmrUnitMw*sNsmrUnits*8760*NsmrPrice2033/1000000)</f>
        <v/>
      </c>
      <c r="N123" s="82">
        <f>IF(RAND()&lt;0.5,nUsefulLifeDrawBase-(nUsefulLifeDrawBase-nUsefulLifeDrawMin)*BETA.INV(RAND(),1.15,1.15),nUsefulLifeDrawBase+(nUsefulLifeDrawMax-nUsefulLifeDrawBase)*BETA.INV(RAND(),1.15,1.15))</f>
        <v/>
      </c>
      <c r="O123" s="45">
        <f>((nInference*nGpuIdx+nAmort)*nUtilCal/D123)*(nUsefulLifeDrawBase/N123-1)</f>
        <v/>
      </c>
      <c r="P123" s="1" t="n"/>
      <c r="Q123" s="1" t="n"/>
      <c r="R123" s="1" t="n"/>
      <c r="S123" s="1" t="n"/>
      <c r="T123" s="1" t="n"/>
      <c r="U123" s="1" t="n"/>
    </row>
    <row r="124" ht="12" customHeight="1">
      <c r="A124" s="1" t="n"/>
      <c r="B124" s="38" t="n">
        <v>104</v>
      </c>
      <c r="C124" s="114">
        <f>Assumptions!$F$8+RAND()*(Assumptions!$D$8-Assumptions!$F$8)</f>
        <v/>
      </c>
      <c r="D124" s="114">
        <f>Assumptions!$D$9+RAND()*(Assumptions!$F$9-Assumptions!$D$9)</f>
        <v/>
      </c>
      <c r="E124" s="71">
        <f>Assumptions!$F$11+RAND()*(Assumptions!$D$11-Assumptions!$F$11)</f>
        <v/>
      </c>
      <c r="F124" s="45">
        <f>nListPrice*(1-C124)-(nInference*nGpuIdx+nAmort)*nUtilCal/D124-nNetworking-nOverheadBase*(E124/nPowerCal)-nCodBase*(1+I124/12)-O124</f>
        <v/>
      </c>
      <c r="G124" s="66">
        <f>MAX(F124,0)/nDebtService</f>
        <v/>
      </c>
      <c r="H124" s="71">
        <f>Anthropic!$J$18*Anthropic!$J$27+Anthropic!$J$19*Anthropic!$J$28+Anthropic!$J$20*Anthropic!$J$29+Anthropic!$J$21*E124*(1+nPowerCagr)^4*(1+nResidualBasisMarkup+nScarcityAlpha*POWER(Anthropic!$J$21,nScarcityGamma))</f>
        <v/>
      </c>
      <c r="I124" s="113">
        <f>Assumptions!$F$10+RAND()*(Assumptions!$D$10-Assumptions!$F$10)</f>
        <v/>
      </c>
      <c r="J124" s="113">
        <f>RAND()*nCodSlipMaxMo</f>
        <v/>
      </c>
      <c r="K124" s="114">
        <f>nAvailDrawMin+RAND()*(nAvailDrawMax-nAvailDrawMin)</f>
        <v/>
      </c>
      <c r="L124" s="45">
        <f>IF(2034&lt;sNsmrCodU1+J124/12,0,(nNsmrCap+nNsmrOpx*(1+sNsmrOpxEsc)^8+nNsmrFuel*FuelEsc*(1+nFuelCagr)^8-nNsmrItc)*IF(2034&lt;sNsmrCodU1+J124/12+nStepFirst,1,IF(nStepGated="Yes",(1+nStepPct)^(INT((2034-sNsmrCodU1-J124/12-nStepFirst)/nStepEvery)+1),1))+nExclPrem*(1-nFlexRelief)-nProdCredit)</f>
        <v/>
      </c>
      <c r="M124" s="63">
        <f>MIN(nShortfallCapM,MAX(0,sNsmrAvailY2-K124)*sNsmrUnitMw*sNsmrUnits*8760*NsmrPrice2033/1000000)</f>
        <v/>
      </c>
      <c r="N124" s="82">
        <f>IF(RAND()&lt;0.5,nUsefulLifeDrawBase-(nUsefulLifeDrawBase-nUsefulLifeDrawMin)*BETA.INV(RAND(),1.15,1.15),nUsefulLifeDrawBase+(nUsefulLifeDrawMax-nUsefulLifeDrawBase)*BETA.INV(RAND(),1.15,1.15))</f>
        <v/>
      </c>
      <c r="O124" s="45">
        <f>((nInference*nGpuIdx+nAmort)*nUtilCal/D124)*(nUsefulLifeDrawBase/N124-1)</f>
        <v/>
      </c>
      <c r="P124" s="1" t="n"/>
      <c r="Q124" s="1" t="n"/>
      <c r="R124" s="1" t="n"/>
      <c r="S124" s="1" t="n"/>
      <c r="T124" s="1" t="n"/>
      <c r="U124" s="1" t="n"/>
    </row>
    <row r="125" ht="12" customHeight="1">
      <c r="A125" s="1" t="n"/>
      <c r="B125" s="38" t="n">
        <v>105</v>
      </c>
      <c r="C125" s="114">
        <f>Assumptions!$F$8+RAND()*(Assumptions!$D$8-Assumptions!$F$8)</f>
        <v/>
      </c>
      <c r="D125" s="114">
        <f>Assumptions!$D$9+RAND()*(Assumptions!$F$9-Assumptions!$D$9)</f>
        <v/>
      </c>
      <c r="E125" s="71">
        <f>Assumptions!$F$11+RAND()*(Assumptions!$D$11-Assumptions!$F$11)</f>
        <v/>
      </c>
      <c r="F125" s="45">
        <f>nListPrice*(1-C125)-(nInference*nGpuIdx+nAmort)*nUtilCal/D125-nNetworking-nOverheadBase*(E125/nPowerCal)-nCodBase*(1+I125/12)-O125</f>
        <v/>
      </c>
      <c r="G125" s="66">
        <f>MAX(F125,0)/nDebtService</f>
        <v/>
      </c>
      <c r="H125" s="71">
        <f>Anthropic!$J$18*Anthropic!$J$27+Anthropic!$J$19*Anthropic!$J$28+Anthropic!$J$20*Anthropic!$J$29+Anthropic!$J$21*E125*(1+nPowerCagr)^4*(1+nResidualBasisMarkup+nScarcityAlpha*POWER(Anthropic!$J$21,nScarcityGamma))</f>
        <v/>
      </c>
      <c r="I125" s="113">
        <f>Assumptions!$F$10+RAND()*(Assumptions!$D$10-Assumptions!$F$10)</f>
        <v/>
      </c>
      <c r="J125" s="113">
        <f>RAND()*nCodSlipMaxMo</f>
        <v/>
      </c>
      <c r="K125" s="114">
        <f>nAvailDrawMin+RAND()*(nAvailDrawMax-nAvailDrawMin)</f>
        <v/>
      </c>
      <c r="L125" s="45">
        <f>IF(2034&lt;sNsmrCodU1+J125/12,0,(nNsmrCap+nNsmrOpx*(1+sNsmrOpxEsc)^8+nNsmrFuel*FuelEsc*(1+nFuelCagr)^8-nNsmrItc)*IF(2034&lt;sNsmrCodU1+J125/12+nStepFirst,1,IF(nStepGated="Yes",(1+nStepPct)^(INT((2034-sNsmrCodU1-J125/12-nStepFirst)/nStepEvery)+1),1))+nExclPrem*(1-nFlexRelief)-nProdCredit)</f>
        <v/>
      </c>
      <c r="M125" s="63">
        <f>MIN(nShortfallCapM,MAX(0,sNsmrAvailY2-K125)*sNsmrUnitMw*sNsmrUnits*8760*NsmrPrice2033/1000000)</f>
        <v/>
      </c>
      <c r="N125" s="82">
        <f>IF(RAND()&lt;0.5,nUsefulLifeDrawBase-(nUsefulLifeDrawBase-nUsefulLifeDrawMin)*BETA.INV(RAND(),1.15,1.15),nUsefulLifeDrawBase+(nUsefulLifeDrawMax-nUsefulLifeDrawBase)*BETA.INV(RAND(),1.15,1.15))</f>
        <v/>
      </c>
      <c r="O125" s="45">
        <f>((nInference*nGpuIdx+nAmort)*nUtilCal/D125)*(nUsefulLifeDrawBase/N125-1)</f>
        <v/>
      </c>
      <c r="P125" s="1" t="n"/>
      <c r="Q125" s="1" t="n"/>
      <c r="R125" s="1" t="n"/>
      <c r="S125" s="1" t="n"/>
      <c r="T125" s="1" t="n"/>
      <c r="U125" s="1" t="n"/>
    </row>
    <row r="126" ht="12" customHeight="1">
      <c r="A126" s="1" t="n"/>
      <c r="B126" s="38" t="n">
        <v>106</v>
      </c>
      <c r="C126" s="114">
        <f>Assumptions!$F$8+RAND()*(Assumptions!$D$8-Assumptions!$F$8)</f>
        <v/>
      </c>
      <c r="D126" s="114">
        <f>Assumptions!$D$9+RAND()*(Assumptions!$F$9-Assumptions!$D$9)</f>
        <v/>
      </c>
      <c r="E126" s="71">
        <f>Assumptions!$F$11+RAND()*(Assumptions!$D$11-Assumptions!$F$11)</f>
        <v/>
      </c>
      <c r="F126" s="45">
        <f>nListPrice*(1-C126)-(nInference*nGpuIdx+nAmort)*nUtilCal/D126-nNetworking-nOverheadBase*(E126/nPowerCal)-nCodBase*(1+I126/12)-O126</f>
        <v/>
      </c>
      <c r="G126" s="66">
        <f>MAX(F126,0)/nDebtService</f>
        <v/>
      </c>
      <c r="H126" s="71">
        <f>Anthropic!$J$18*Anthropic!$J$27+Anthropic!$J$19*Anthropic!$J$28+Anthropic!$J$20*Anthropic!$J$29+Anthropic!$J$21*E126*(1+nPowerCagr)^4*(1+nResidualBasisMarkup+nScarcityAlpha*POWER(Anthropic!$J$21,nScarcityGamma))</f>
        <v/>
      </c>
      <c r="I126" s="113">
        <f>Assumptions!$F$10+RAND()*(Assumptions!$D$10-Assumptions!$F$10)</f>
        <v/>
      </c>
      <c r="J126" s="113">
        <f>RAND()*nCodSlipMaxMo</f>
        <v/>
      </c>
      <c r="K126" s="114">
        <f>nAvailDrawMin+RAND()*(nAvailDrawMax-nAvailDrawMin)</f>
        <v/>
      </c>
      <c r="L126" s="45">
        <f>IF(2034&lt;sNsmrCodU1+J126/12,0,(nNsmrCap+nNsmrOpx*(1+sNsmrOpxEsc)^8+nNsmrFuel*FuelEsc*(1+nFuelCagr)^8-nNsmrItc)*IF(2034&lt;sNsmrCodU1+J126/12+nStepFirst,1,IF(nStepGated="Yes",(1+nStepPct)^(INT((2034-sNsmrCodU1-J126/12-nStepFirst)/nStepEvery)+1),1))+nExclPrem*(1-nFlexRelief)-nProdCredit)</f>
        <v/>
      </c>
      <c r="M126" s="63">
        <f>MIN(nShortfallCapM,MAX(0,sNsmrAvailY2-K126)*sNsmrUnitMw*sNsmrUnits*8760*NsmrPrice2033/1000000)</f>
        <v/>
      </c>
      <c r="N126" s="82">
        <f>IF(RAND()&lt;0.5,nUsefulLifeDrawBase-(nUsefulLifeDrawBase-nUsefulLifeDrawMin)*BETA.INV(RAND(),1.15,1.15),nUsefulLifeDrawBase+(nUsefulLifeDrawMax-nUsefulLifeDrawBase)*BETA.INV(RAND(),1.15,1.15))</f>
        <v/>
      </c>
      <c r="O126" s="45">
        <f>((nInference*nGpuIdx+nAmort)*nUtilCal/D126)*(nUsefulLifeDrawBase/N126-1)</f>
        <v/>
      </c>
      <c r="P126" s="1" t="n"/>
      <c r="Q126" s="1" t="n"/>
      <c r="R126" s="1" t="n"/>
      <c r="S126" s="1" t="n"/>
      <c r="T126" s="1" t="n"/>
      <c r="U126" s="1" t="n"/>
    </row>
    <row r="127" ht="12" customHeight="1">
      <c r="A127" s="1" t="n"/>
      <c r="B127" s="38" t="n">
        <v>107</v>
      </c>
      <c r="C127" s="114">
        <f>Assumptions!$F$8+RAND()*(Assumptions!$D$8-Assumptions!$F$8)</f>
        <v/>
      </c>
      <c r="D127" s="114">
        <f>Assumptions!$D$9+RAND()*(Assumptions!$F$9-Assumptions!$D$9)</f>
        <v/>
      </c>
      <c r="E127" s="71">
        <f>Assumptions!$F$11+RAND()*(Assumptions!$D$11-Assumptions!$F$11)</f>
        <v/>
      </c>
      <c r="F127" s="45">
        <f>nListPrice*(1-C127)-(nInference*nGpuIdx+nAmort)*nUtilCal/D127-nNetworking-nOverheadBase*(E127/nPowerCal)-nCodBase*(1+I127/12)-O127</f>
        <v/>
      </c>
      <c r="G127" s="66">
        <f>MAX(F127,0)/nDebtService</f>
        <v/>
      </c>
      <c r="H127" s="71">
        <f>Anthropic!$J$18*Anthropic!$J$27+Anthropic!$J$19*Anthropic!$J$28+Anthropic!$J$20*Anthropic!$J$29+Anthropic!$J$21*E127*(1+nPowerCagr)^4*(1+nResidualBasisMarkup+nScarcityAlpha*POWER(Anthropic!$J$21,nScarcityGamma))</f>
        <v/>
      </c>
      <c r="I127" s="113">
        <f>Assumptions!$F$10+RAND()*(Assumptions!$D$10-Assumptions!$F$10)</f>
        <v/>
      </c>
      <c r="J127" s="113">
        <f>RAND()*nCodSlipMaxMo</f>
        <v/>
      </c>
      <c r="K127" s="114">
        <f>nAvailDrawMin+RAND()*(nAvailDrawMax-nAvailDrawMin)</f>
        <v/>
      </c>
      <c r="L127" s="45">
        <f>IF(2034&lt;sNsmrCodU1+J127/12,0,(nNsmrCap+nNsmrOpx*(1+sNsmrOpxEsc)^8+nNsmrFuel*FuelEsc*(1+nFuelCagr)^8-nNsmrItc)*IF(2034&lt;sNsmrCodU1+J127/12+nStepFirst,1,IF(nStepGated="Yes",(1+nStepPct)^(INT((2034-sNsmrCodU1-J127/12-nStepFirst)/nStepEvery)+1),1))+nExclPrem*(1-nFlexRelief)-nProdCredit)</f>
        <v/>
      </c>
      <c r="M127" s="63">
        <f>MIN(nShortfallCapM,MAX(0,sNsmrAvailY2-K127)*sNsmrUnitMw*sNsmrUnits*8760*NsmrPrice2033/1000000)</f>
        <v/>
      </c>
      <c r="N127" s="82">
        <f>IF(RAND()&lt;0.5,nUsefulLifeDrawBase-(nUsefulLifeDrawBase-nUsefulLifeDrawMin)*BETA.INV(RAND(),1.15,1.15),nUsefulLifeDrawBase+(nUsefulLifeDrawMax-nUsefulLifeDrawBase)*BETA.INV(RAND(),1.15,1.15))</f>
        <v/>
      </c>
      <c r="O127" s="45">
        <f>((nInference*nGpuIdx+nAmort)*nUtilCal/D127)*(nUsefulLifeDrawBase/N127-1)</f>
        <v/>
      </c>
      <c r="P127" s="1" t="n"/>
      <c r="Q127" s="1" t="n"/>
      <c r="R127" s="1" t="n"/>
      <c r="S127" s="1" t="n"/>
      <c r="T127" s="1" t="n"/>
      <c r="U127" s="1" t="n"/>
    </row>
    <row r="128" ht="12" customHeight="1">
      <c r="A128" s="1" t="n"/>
      <c r="B128" s="38" t="n">
        <v>108</v>
      </c>
      <c r="C128" s="114">
        <f>Assumptions!$F$8+RAND()*(Assumptions!$D$8-Assumptions!$F$8)</f>
        <v/>
      </c>
      <c r="D128" s="114">
        <f>Assumptions!$D$9+RAND()*(Assumptions!$F$9-Assumptions!$D$9)</f>
        <v/>
      </c>
      <c r="E128" s="71">
        <f>Assumptions!$F$11+RAND()*(Assumptions!$D$11-Assumptions!$F$11)</f>
        <v/>
      </c>
      <c r="F128" s="45">
        <f>nListPrice*(1-C128)-(nInference*nGpuIdx+nAmort)*nUtilCal/D128-nNetworking-nOverheadBase*(E128/nPowerCal)-nCodBase*(1+I128/12)-O128</f>
        <v/>
      </c>
      <c r="G128" s="66">
        <f>MAX(F128,0)/nDebtService</f>
        <v/>
      </c>
      <c r="H128" s="71">
        <f>Anthropic!$J$18*Anthropic!$J$27+Anthropic!$J$19*Anthropic!$J$28+Anthropic!$J$20*Anthropic!$J$29+Anthropic!$J$21*E128*(1+nPowerCagr)^4*(1+nResidualBasisMarkup+nScarcityAlpha*POWER(Anthropic!$J$21,nScarcityGamma))</f>
        <v/>
      </c>
      <c r="I128" s="113">
        <f>Assumptions!$F$10+RAND()*(Assumptions!$D$10-Assumptions!$F$10)</f>
        <v/>
      </c>
      <c r="J128" s="113">
        <f>RAND()*nCodSlipMaxMo</f>
        <v/>
      </c>
      <c r="K128" s="114">
        <f>nAvailDrawMin+RAND()*(nAvailDrawMax-nAvailDrawMin)</f>
        <v/>
      </c>
      <c r="L128" s="45">
        <f>IF(2034&lt;sNsmrCodU1+J128/12,0,(nNsmrCap+nNsmrOpx*(1+sNsmrOpxEsc)^8+nNsmrFuel*FuelEsc*(1+nFuelCagr)^8-nNsmrItc)*IF(2034&lt;sNsmrCodU1+J128/12+nStepFirst,1,IF(nStepGated="Yes",(1+nStepPct)^(INT((2034-sNsmrCodU1-J128/12-nStepFirst)/nStepEvery)+1),1))+nExclPrem*(1-nFlexRelief)-nProdCredit)</f>
        <v/>
      </c>
      <c r="M128" s="63">
        <f>MIN(nShortfallCapM,MAX(0,sNsmrAvailY2-K128)*sNsmrUnitMw*sNsmrUnits*8760*NsmrPrice2033/1000000)</f>
        <v/>
      </c>
      <c r="N128" s="82">
        <f>IF(RAND()&lt;0.5,nUsefulLifeDrawBase-(nUsefulLifeDrawBase-nUsefulLifeDrawMin)*BETA.INV(RAND(),1.15,1.15),nUsefulLifeDrawBase+(nUsefulLifeDrawMax-nUsefulLifeDrawBase)*BETA.INV(RAND(),1.15,1.15))</f>
        <v/>
      </c>
      <c r="O128" s="45">
        <f>((nInference*nGpuIdx+nAmort)*nUtilCal/D128)*(nUsefulLifeDrawBase/N128-1)</f>
        <v/>
      </c>
      <c r="P128" s="1" t="n"/>
      <c r="Q128" s="1" t="n"/>
      <c r="R128" s="1" t="n"/>
      <c r="S128" s="1" t="n"/>
      <c r="T128" s="1" t="n"/>
      <c r="U128" s="1" t="n"/>
    </row>
    <row r="129" ht="12" customHeight="1">
      <c r="A129" s="1" t="n"/>
      <c r="B129" s="38" t="n">
        <v>109</v>
      </c>
      <c r="C129" s="114">
        <f>Assumptions!$F$8+RAND()*(Assumptions!$D$8-Assumptions!$F$8)</f>
        <v/>
      </c>
      <c r="D129" s="114">
        <f>Assumptions!$D$9+RAND()*(Assumptions!$F$9-Assumptions!$D$9)</f>
        <v/>
      </c>
      <c r="E129" s="71">
        <f>Assumptions!$F$11+RAND()*(Assumptions!$D$11-Assumptions!$F$11)</f>
        <v/>
      </c>
      <c r="F129" s="45">
        <f>nListPrice*(1-C129)-(nInference*nGpuIdx+nAmort)*nUtilCal/D129-nNetworking-nOverheadBase*(E129/nPowerCal)-nCodBase*(1+I129/12)-O129</f>
        <v/>
      </c>
      <c r="G129" s="66">
        <f>MAX(F129,0)/nDebtService</f>
        <v/>
      </c>
      <c r="H129" s="71">
        <f>Anthropic!$J$18*Anthropic!$J$27+Anthropic!$J$19*Anthropic!$J$28+Anthropic!$J$20*Anthropic!$J$29+Anthropic!$J$21*E129*(1+nPowerCagr)^4*(1+nResidualBasisMarkup+nScarcityAlpha*POWER(Anthropic!$J$21,nScarcityGamma))</f>
        <v/>
      </c>
      <c r="I129" s="113">
        <f>Assumptions!$F$10+RAND()*(Assumptions!$D$10-Assumptions!$F$10)</f>
        <v/>
      </c>
      <c r="J129" s="113">
        <f>RAND()*nCodSlipMaxMo</f>
        <v/>
      </c>
      <c r="K129" s="114">
        <f>nAvailDrawMin+RAND()*(nAvailDrawMax-nAvailDrawMin)</f>
        <v/>
      </c>
      <c r="L129" s="45">
        <f>IF(2034&lt;sNsmrCodU1+J129/12,0,(nNsmrCap+nNsmrOpx*(1+sNsmrOpxEsc)^8+nNsmrFuel*FuelEsc*(1+nFuelCagr)^8-nNsmrItc)*IF(2034&lt;sNsmrCodU1+J129/12+nStepFirst,1,IF(nStepGated="Yes",(1+nStepPct)^(INT((2034-sNsmrCodU1-J129/12-nStepFirst)/nStepEvery)+1),1))+nExclPrem*(1-nFlexRelief)-nProdCredit)</f>
        <v/>
      </c>
      <c r="M129" s="63">
        <f>MIN(nShortfallCapM,MAX(0,sNsmrAvailY2-K129)*sNsmrUnitMw*sNsmrUnits*8760*NsmrPrice2033/1000000)</f>
        <v/>
      </c>
      <c r="N129" s="82">
        <f>IF(RAND()&lt;0.5,nUsefulLifeDrawBase-(nUsefulLifeDrawBase-nUsefulLifeDrawMin)*BETA.INV(RAND(),1.15,1.15),nUsefulLifeDrawBase+(nUsefulLifeDrawMax-nUsefulLifeDrawBase)*BETA.INV(RAND(),1.15,1.15))</f>
        <v/>
      </c>
      <c r="O129" s="45">
        <f>((nInference*nGpuIdx+nAmort)*nUtilCal/D129)*(nUsefulLifeDrawBase/N129-1)</f>
        <v/>
      </c>
      <c r="P129" s="1" t="n"/>
      <c r="Q129" s="1" t="n"/>
      <c r="R129" s="1" t="n"/>
      <c r="S129" s="1" t="n"/>
      <c r="T129" s="1" t="n"/>
      <c r="U129" s="1" t="n"/>
    </row>
    <row r="130" ht="12" customHeight="1">
      <c r="A130" s="1" t="n"/>
      <c r="B130" s="38" t="n">
        <v>110</v>
      </c>
      <c r="C130" s="114">
        <f>Assumptions!$F$8+RAND()*(Assumptions!$D$8-Assumptions!$F$8)</f>
        <v/>
      </c>
      <c r="D130" s="114">
        <f>Assumptions!$D$9+RAND()*(Assumptions!$F$9-Assumptions!$D$9)</f>
        <v/>
      </c>
      <c r="E130" s="71">
        <f>Assumptions!$F$11+RAND()*(Assumptions!$D$11-Assumptions!$F$11)</f>
        <v/>
      </c>
      <c r="F130" s="45">
        <f>nListPrice*(1-C130)-(nInference*nGpuIdx+nAmort)*nUtilCal/D130-nNetworking-nOverheadBase*(E130/nPowerCal)-nCodBase*(1+I130/12)-O130</f>
        <v/>
      </c>
      <c r="G130" s="66">
        <f>MAX(F130,0)/nDebtService</f>
        <v/>
      </c>
      <c r="H130" s="71">
        <f>Anthropic!$J$18*Anthropic!$J$27+Anthropic!$J$19*Anthropic!$J$28+Anthropic!$J$20*Anthropic!$J$29+Anthropic!$J$21*E130*(1+nPowerCagr)^4*(1+nResidualBasisMarkup+nScarcityAlpha*POWER(Anthropic!$J$21,nScarcityGamma))</f>
        <v/>
      </c>
      <c r="I130" s="113">
        <f>Assumptions!$F$10+RAND()*(Assumptions!$D$10-Assumptions!$F$10)</f>
        <v/>
      </c>
      <c r="J130" s="113">
        <f>RAND()*nCodSlipMaxMo</f>
        <v/>
      </c>
      <c r="K130" s="114">
        <f>nAvailDrawMin+RAND()*(nAvailDrawMax-nAvailDrawMin)</f>
        <v/>
      </c>
      <c r="L130" s="45">
        <f>IF(2034&lt;sNsmrCodU1+J130/12,0,(nNsmrCap+nNsmrOpx*(1+sNsmrOpxEsc)^8+nNsmrFuel*FuelEsc*(1+nFuelCagr)^8-nNsmrItc)*IF(2034&lt;sNsmrCodU1+J130/12+nStepFirst,1,IF(nStepGated="Yes",(1+nStepPct)^(INT((2034-sNsmrCodU1-J130/12-nStepFirst)/nStepEvery)+1),1))+nExclPrem*(1-nFlexRelief)-nProdCredit)</f>
        <v/>
      </c>
      <c r="M130" s="63">
        <f>MIN(nShortfallCapM,MAX(0,sNsmrAvailY2-K130)*sNsmrUnitMw*sNsmrUnits*8760*NsmrPrice2033/1000000)</f>
        <v/>
      </c>
      <c r="N130" s="82">
        <f>IF(RAND()&lt;0.5,nUsefulLifeDrawBase-(nUsefulLifeDrawBase-nUsefulLifeDrawMin)*BETA.INV(RAND(),1.15,1.15),nUsefulLifeDrawBase+(nUsefulLifeDrawMax-nUsefulLifeDrawBase)*BETA.INV(RAND(),1.15,1.15))</f>
        <v/>
      </c>
      <c r="O130" s="45">
        <f>((nInference*nGpuIdx+nAmort)*nUtilCal/D130)*(nUsefulLifeDrawBase/N130-1)</f>
        <v/>
      </c>
      <c r="P130" s="1" t="n"/>
      <c r="Q130" s="1" t="n"/>
      <c r="R130" s="1" t="n"/>
      <c r="S130" s="1" t="n"/>
      <c r="T130" s="1" t="n"/>
      <c r="U130" s="1" t="n"/>
    </row>
    <row r="131" ht="12" customHeight="1">
      <c r="A131" s="1" t="n"/>
      <c r="B131" s="38" t="n">
        <v>111</v>
      </c>
      <c r="C131" s="114">
        <f>Assumptions!$F$8+RAND()*(Assumptions!$D$8-Assumptions!$F$8)</f>
        <v/>
      </c>
      <c r="D131" s="114">
        <f>Assumptions!$D$9+RAND()*(Assumptions!$F$9-Assumptions!$D$9)</f>
        <v/>
      </c>
      <c r="E131" s="71">
        <f>Assumptions!$F$11+RAND()*(Assumptions!$D$11-Assumptions!$F$11)</f>
        <v/>
      </c>
      <c r="F131" s="45">
        <f>nListPrice*(1-C131)-(nInference*nGpuIdx+nAmort)*nUtilCal/D131-nNetworking-nOverheadBase*(E131/nPowerCal)-nCodBase*(1+I131/12)-O131</f>
        <v/>
      </c>
      <c r="G131" s="66">
        <f>MAX(F131,0)/nDebtService</f>
        <v/>
      </c>
      <c r="H131" s="71">
        <f>Anthropic!$J$18*Anthropic!$J$27+Anthropic!$J$19*Anthropic!$J$28+Anthropic!$J$20*Anthropic!$J$29+Anthropic!$J$21*E131*(1+nPowerCagr)^4*(1+nResidualBasisMarkup+nScarcityAlpha*POWER(Anthropic!$J$21,nScarcityGamma))</f>
        <v/>
      </c>
      <c r="I131" s="113">
        <f>Assumptions!$F$10+RAND()*(Assumptions!$D$10-Assumptions!$F$10)</f>
        <v/>
      </c>
      <c r="J131" s="113">
        <f>RAND()*nCodSlipMaxMo</f>
        <v/>
      </c>
      <c r="K131" s="114">
        <f>nAvailDrawMin+RAND()*(nAvailDrawMax-nAvailDrawMin)</f>
        <v/>
      </c>
      <c r="L131" s="45">
        <f>IF(2034&lt;sNsmrCodU1+J131/12,0,(nNsmrCap+nNsmrOpx*(1+sNsmrOpxEsc)^8+nNsmrFuel*FuelEsc*(1+nFuelCagr)^8-nNsmrItc)*IF(2034&lt;sNsmrCodU1+J131/12+nStepFirst,1,IF(nStepGated="Yes",(1+nStepPct)^(INT((2034-sNsmrCodU1-J131/12-nStepFirst)/nStepEvery)+1),1))+nExclPrem*(1-nFlexRelief)-nProdCredit)</f>
        <v/>
      </c>
      <c r="M131" s="63">
        <f>MIN(nShortfallCapM,MAX(0,sNsmrAvailY2-K131)*sNsmrUnitMw*sNsmrUnits*8760*NsmrPrice2033/1000000)</f>
        <v/>
      </c>
      <c r="N131" s="82">
        <f>IF(RAND()&lt;0.5,nUsefulLifeDrawBase-(nUsefulLifeDrawBase-nUsefulLifeDrawMin)*BETA.INV(RAND(),1.15,1.15),nUsefulLifeDrawBase+(nUsefulLifeDrawMax-nUsefulLifeDrawBase)*BETA.INV(RAND(),1.15,1.15))</f>
        <v/>
      </c>
      <c r="O131" s="45">
        <f>((nInference*nGpuIdx+nAmort)*nUtilCal/D131)*(nUsefulLifeDrawBase/N131-1)</f>
        <v/>
      </c>
      <c r="P131" s="1" t="n"/>
      <c r="Q131" s="1" t="n"/>
      <c r="R131" s="1" t="n"/>
      <c r="S131" s="1" t="n"/>
      <c r="T131" s="1" t="n"/>
      <c r="U131" s="1" t="n"/>
    </row>
    <row r="132" ht="12" customHeight="1">
      <c r="A132" s="1" t="n"/>
      <c r="B132" s="38" t="n">
        <v>112</v>
      </c>
      <c r="C132" s="114">
        <f>Assumptions!$F$8+RAND()*(Assumptions!$D$8-Assumptions!$F$8)</f>
        <v/>
      </c>
      <c r="D132" s="114">
        <f>Assumptions!$D$9+RAND()*(Assumptions!$F$9-Assumptions!$D$9)</f>
        <v/>
      </c>
      <c r="E132" s="71">
        <f>Assumptions!$F$11+RAND()*(Assumptions!$D$11-Assumptions!$F$11)</f>
        <v/>
      </c>
      <c r="F132" s="45">
        <f>nListPrice*(1-C132)-(nInference*nGpuIdx+nAmort)*nUtilCal/D132-nNetworking-nOverheadBase*(E132/nPowerCal)-nCodBase*(1+I132/12)-O132</f>
        <v/>
      </c>
      <c r="G132" s="66">
        <f>MAX(F132,0)/nDebtService</f>
        <v/>
      </c>
      <c r="H132" s="71">
        <f>Anthropic!$J$18*Anthropic!$J$27+Anthropic!$J$19*Anthropic!$J$28+Anthropic!$J$20*Anthropic!$J$29+Anthropic!$J$21*E132*(1+nPowerCagr)^4*(1+nResidualBasisMarkup+nScarcityAlpha*POWER(Anthropic!$J$21,nScarcityGamma))</f>
        <v/>
      </c>
      <c r="I132" s="113">
        <f>Assumptions!$F$10+RAND()*(Assumptions!$D$10-Assumptions!$F$10)</f>
        <v/>
      </c>
      <c r="J132" s="113">
        <f>RAND()*nCodSlipMaxMo</f>
        <v/>
      </c>
      <c r="K132" s="114">
        <f>nAvailDrawMin+RAND()*(nAvailDrawMax-nAvailDrawMin)</f>
        <v/>
      </c>
      <c r="L132" s="45">
        <f>IF(2034&lt;sNsmrCodU1+J132/12,0,(nNsmrCap+nNsmrOpx*(1+sNsmrOpxEsc)^8+nNsmrFuel*FuelEsc*(1+nFuelCagr)^8-nNsmrItc)*IF(2034&lt;sNsmrCodU1+J132/12+nStepFirst,1,IF(nStepGated="Yes",(1+nStepPct)^(INT((2034-sNsmrCodU1-J132/12-nStepFirst)/nStepEvery)+1),1))+nExclPrem*(1-nFlexRelief)-nProdCredit)</f>
        <v/>
      </c>
      <c r="M132" s="63">
        <f>MIN(nShortfallCapM,MAX(0,sNsmrAvailY2-K132)*sNsmrUnitMw*sNsmrUnits*8760*NsmrPrice2033/1000000)</f>
        <v/>
      </c>
      <c r="N132" s="82">
        <f>IF(RAND()&lt;0.5,nUsefulLifeDrawBase-(nUsefulLifeDrawBase-nUsefulLifeDrawMin)*BETA.INV(RAND(),1.15,1.15),nUsefulLifeDrawBase+(nUsefulLifeDrawMax-nUsefulLifeDrawBase)*BETA.INV(RAND(),1.15,1.15))</f>
        <v/>
      </c>
      <c r="O132" s="45">
        <f>((nInference*nGpuIdx+nAmort)*nUtilCal/D132)*(nUsefulLifeDrawBase/N132-1)</f>
        <v/>
      </c>
      <c r="P132" s="1" t="n"/>
      <c r="Q132" s="1" t="n"/>
      <c r="R132" s="1" t="n"/>
      <c r="S132" s="1" t="n"/>
      <c r="T132" s="1" t="n"/>
      <c r="U132" s="1" t="n"/>
    </row>
    <row r="133" ht="12" customHeight="1">
      <c r="A133" s="1" t="n"/>
      <c r="B133" s="38" t="n">
        <v>113</v>
      </c>
      <c r="C133" s="114">
        <f>Assumptions!$F$8+RAND()*(Assumptions!$D$8-Assumptions!$F$8)</f>
        <v/>
      </c>
      <c r="D133" s="114">
        <f>Assumptions!$D$9+RAND()*(Assumptions!$F$9-Assumptions!$D$9)</f>
        <v/>
      </c>
      <c r="E133" s="71">
        <f>Assumptions!$F$11+RAND()*(Assumptions!$D$11-Assumptions!$F$11)</f>
        <v/>
      </c>
      <c r="F133" s="45">
        <f>nListPrice*(1-C133)-(nInference*nGpuIdx+nAmort)*nUtilCal/D133-nNetworking-nOverheadBase*(E133/nPowerCal)-nCodBase*(1+I133/12)-O133</f>
        <v/>
      </c>
      <c r="G133" s="66">
        <f>MAX(F133,0)/nDebtService</f>
        <v/>
      </c>
      <c r="H133" s="71">
        <f>Anthropic!$J$18*Anthropic!$J$27+Anthropic!$J$19*Anthropic!$J$28+Anthropic!$J$20*Anthropic!$J$29+Anthropic!$J$21*E133*(1+nPowerCagr)^4*(1+nResidualBasisMarkup+nScarcityAlpha*POWER(Anthropic!$J$21,nScarcityGamma))</f>
        <v/>
      </c>
      <c r="I133" s="113">
        <f>Assumptions!$F$10+RAND()*(Assumptions!$D$10-Assumptions!$F$10)</f>
        <v/>
      </c>
      <c r="J133" s="113">
        <f>RAND()*nCodSlipMaxMo</f>
        <v/>
      </c>
      <c r="K133" s="114">
        <f>nAvailDrawMin+RAND()*(nAvailDrawMax-nAvailDrawMin)</f>
        <v/>
      </c>
      <c r="L133" s="45">
        <f>IF(2034&lt;sNsmrCodU1+J133/12,0,(nNsmrCap+nNsmrOpx*(1+sNsmrOpxEsc)^8+nNsmrFuel*FuelEsc*(1+nFuelCagr)^8-nNsmrItc)*IF(2034&lt;sNsmrCodU1+J133/12+nStepFirst,1,IF(nStepGated="Yes",(1+nStepPct)^(INT((2034-sNsmrCodU1-J133/12-nStepFirst)/nStepEvery)+1),1))+nExclPrem*(1-nFlexRelief)-nProdCredit)</f>
        <v/>
      </c>
      <c r="M133" s="63">
        <f>MIN(nShortfallCapM,MAX(0,sNsmrAvailY2-K133)*sNsmrUnitMw*sNsmrUnits*8760*NsmrPrice2033/1000000)</f>
        <v/>
      </c>
      <c r="N133" s="82">
        <f>IF(RAND()&lt;0.5,nUsefulLifeDrawBase-(nUsefulLifeDrawBase-nUsefulLifeDrawMin)*BETA.INV(RAND(),1.15,1.15),nUsefulLifeDrawBase+(nUsefulLifeDrawMax-nUsefulLifeDrawBase)*BETA.INV(RAND(),1.15,1.15))</f>
        <v/>
      </c>
      <c r="O133" s="45">
        <f>((nInference*nGpuIdx+nAmort)*nUtilCal/D133)*(nUsefulLifeDrawBase/N133-1)</f>
        <v/>
      </c>
      <c r="P133" s="1" t="n"/>
      <c r="Q133" s="1" t="n"/>
      <c r="R133" s="1" t="n"/>
      <c r="S133" s="1" t="n"/>
      <c r="T133" s="1" t="n"/>
      <c r="U133" s="1" t="n"/>
    </row>
    <row r="134" ht="12" customHeight="1">
      <c r="A134" s="1" t="n"/>
      <c r="B134" s="38" t="n">
        <v>114</v>
      </c>
      <c r="C134" s="114">
        <f>Assumptions!$F$8+RAND()*(Assumptions!$D$8-Assumptions!$F$8)</f>
        <v/>
      </c>
      <c r="D134" s="114">
        <f>Assumptions!$D$9+RAND()*(Assumptions!$F$9-Assumptions!$D$9)</f>
        <v/>
      </c>
      <c r="E134" s="71">
        <f>Assumptions!$F$11+RAND()*(Assumptions!$D$11-Assumptions!$F$11)</f>
        <v/>
      </c>
      <c r="F134" s="45">
        <f>nListPrice*(1-C134)-(nInference*nGpuIdx+nAmort)*nUtilCal/D134-nNetworking-nOverheadBase*(E134/nPowerCal)-nCodBase*(1+I134/12)-O134</f>
        <v/>
      </c>
      <c r="G134" s="66">
        <f>MAX(F134,0)/nDebtService</f>
        <v/>
      </c>
      <c r="H134" s="71">
        <f>Anthropic!$J$18*Anthropic!$J$27+Anthropic!$J$19*Anthropic!$J$28+Anthropic!$J$20*Anthropic!$J$29+Anthropic!$J$21*E134*(1+nPowerCagr)^4*(1+nResidualBasisMarkup+nScarcityAlpha*POWER(Anthropic!$J$21,nScarcityGamma))</f>
        <v/>
      </c>
      <c r="I134" s="113">
        <f>Assumptions!$F$10+RAND()*(Assumptions!$D$10-Assumptions!$F$10)</f>
        <v/>
      </c>
      <c r="J134" s="113">
        <f>RAND()*nCodSlipMaxMo</f>
        <v/>
      </c>
      <c r="K134" s="114">
        <f>nAvailDrawMin+RAND()*(nAvailDrawMax-nAvailDrawMin)</f>
        <v/>
      </c>
      <c r="L134" s="45">
        <f>IF(2034&lt;sNsmrCodU1+J134/12,0,(nNsmrCap+nNsmrOpx*(1+sNsmrOpxEsc)^8+nNsmrFuel*FuelEsc*(1+nFuelCagr)^8-nNsmrItc)*IF(2034&lt;sNsmrCodU1+J134/12+nStepFirst,1,IF(nStepGated="Yes",(1+nStepPct)^(INT((2034-sNsmrCodU1-J134/12-nStepFirst)/nStepEvery)+1),1))+nExclPrem*(1-nFlexRelief)-nProdCredit)</f>
        <v/>
      </c>
      <c r="M134" s="63">
        <f>MIN(nShortfallCapM,MAX(0,sNsmrAvailY2-K134)*sNsmrUnitMw*sNsmrUnits*8760*NsmrPrice2033/1000000)</f>
        <v/>
      </c>
      <c r="N134" s="82">
        <f>IF(RAND()&lt;0.5,nUsefulLifeDrawBase-(nUsefulLifeDrawBase-nUsefulLifeDrawMin)*BETA.INV(RAND(),1.15,1.15),nUsefulLifeDrawBase+(nUsefulLifeDrawMax-nUsefulLifeDrawBase)*BETA.INV(RAND(),1.15,1.15))</f>
        <v/>
      </c>
      <c r="O134" s="45">
        <f>((nInference*nGpuIdx+nAmort)*nUtilCal/D134)*(nUsefulLifeDrawBase/N134-1)</f>
        <v/>
      </c>
      <c r="P134" s="1" t="n"/>
      <c r="Q134" s="1" t="n"/>
      <c r="R134" s="1" t="n"/>
      <c r="S134" s="1" t="n"/>
      <c r="T134" s="1" t="n"/>
      <c r="U134" s="1" t="n"/>
    </row>
    <row r="135" ht="12" customHeight="1">
      <c r="A135" s="1" t="n"/>
      <c r="B135" s="38" t="n">
        <v>115</v>
      </c>
      <c r="C135" s="114">
        <f>Assumptions!$F$8+RAND()*(Assumptions!$D$8-Assumptions!$F$8)</f>
        <v/>
      </c>
      <c r="D135" s="114">
        <f>Assumptions!$D$9+RAND()*(Assumptions!$F$9-Assumptions!$D$9)</f>
        <v/>
      </c>
      <c r="E135" s="71">
        <f>Assumptions!$F$11+RAND()*(Assumptions!$D$11-Assumptions!$F$11)</f>
        <v/>
      </c>
      <c r="F135" s="45">
        <f>nListPrice*(1-C135)-(nInference*nGpuIdx+nAmort)*nUtilCal/D135-nNetworking-nOverheadBase*(E135/nPowerCal)-nCodBase*(1+I135/12)-O135</f>
        <v/>
      </c>
      <c r="G135" s="66">
        <f>MAX(F135,0)/nDebtService</f>
        <v/>
      </c>
      <c r="H135" s="71">
        <f>Anthropic!$J$18*Anthropic!$J$27+Anthropic!$J$19*Anthropic!$J$28+Anthropic!$J$20*Anthropic!$J$29+Anthropic!$J$21*E135*(1+nPowerCagr)^4*(1+nResidualBasisMarkup+nScarcityAlpha*POWER(Anthropic!$J$21,nScarcityGamma))</f>
        <v/>
      </c>
      <c r="I135" s="113">
        <f>Assumptions!$F$10+RAND()*(Assumptions!$D$10-Assumptions!$F$10)</f>
        <v/>
      </c>
      <c r="J135" s="113">
        <f>RAND()*nCodSlipMaxMo</f>
        <v/>
      </c>
      <c r="K135" s="114">
        <f>nAvailDrawMin+RAND()*(nAvailDrawMax-nAvailDrawMin)</f>
        <v/>
      </c>
      <c r="L135" s="45">
        <f>IF(2034&lt;sNsmrCodU1+J135/12,0,(nNsmrCap+nNsmrOpx*(1+sNsmrOpxEsc)^8+nNsmrFuel*FuelEsc*(1+nFuelCagr)^8-nNsmrItc)*IF(2034&lt;sNsmrCodU1+J135/12+nStepFirst,1,IF(nStepGated="Yes",(1+nStepPct)^(INT((2034-sNsmrCodU1-J135/12-nStepFirst)/nStepEvery)+1),1))+nExclPrem*(1-nFlexRelief)-nProdCredit)</f>
        <v/>
      </c>
      <c r="M135" s="63">
        <f>MIN(nShortfallCapM,MAX(0,sNsmrAvailY2-K135)*sNsmrUnitMw*sNsmrUnits*8760*NsmrPrice2033/1000000)</f>
        <v/>
      </c>
      <c r="N135" s="82">
        <f>IF(RAND()&lt;0.5,nUsefulLifeDrawBase-(nUsefulLifeDrawBase-nUsefulLifeDrawMin)*BETA.INV(RAND(),1.15,1.15),nUsefulLifeDrawBase+(nUsefulLifeDrawMax-nUsefulLifeDrawBase)*BETA.INV(RAND(),1.15,1.15))</f>
        <v/>
      </c>
      <c r="O135" s="45">
        <f>((nInference*nGpuIdx+nAmort)*nUtilCal/D135)*(nUsefulLifeDrawBase/N135-1)</f>
        <v/>
      </c>
      <c r="P135" s="1" t="n"/>
      <c r="Q135" s="1" t="n"/>
      <c r="R135" s="1" t="n"/>
      <c r="S135" s="1" t="n"/>
      <c r="T135" s="1" t="n"/>
      <c r="U135" s="1" t="n"/>
    </row>
    <row r="136" ht="12" customHeight="1">
      <c r="A136" s="1" t="n"/>
      <c r="B136" s="38" t="n">
        <v>116</v>
      </c>
      <c r="C136" s="114">
        <f>Assumptions!$F$8+RAND()*(Assumptions!$D$8-Assumptions!$F$8)</f>
        <v/>
      </c>
      <c r="D136" s="114">
        <f>Assumptions!$D$9+RAND()*(Assumptions!$F$9-Assumptions!$D$9)</f>
        <v/>
      </c>
      <c r="E136" s="71">
        <f>Assumptions!$F$11+RAND()*(Assumptions!$D$11-Assumptions!$F$11)</f>
        <v/>
      </c>
      <c r="F136" s="45">
        <f>nListPrice*(1-C136)-(nInference*nGpuIdx+nAmort)*nUtilCal/D136-nNetworking-nOverheadBase*(E136/nPowerCal)-nCodBase*(1+I136/12)-O136</f>
        <v/>
      </c>
      <c r="G136" s="66">
        <f>MAX(F136,0)/nDebtService</f>
        <v/>
      </c>
      <c r="H136" s="71">
        <f>Anthropic!$J$18*Anthropic!$J$27+Anthropic!$J$19*Anthropic!$J$28+Anthropic!$J$20*Anthropic!$J$29+Anthropic!$J$21*E136*(1+nPowerCagr)^4*(1+nResidualBasisMarkup+nScarcityAlpha*POWER(Anthropic!$J$21,nScarcityGamma))</f>
        <v/>
      </c>
      <c r="I136" s="113">
        <f>Assumptions!$F$10+RAND()*(Assumptions!$D$10-Assumptions!$F$10)</f>
        <v/>
      </c>
      <c r="J136" s="113">
        <f>RAND()*nCodSlipMaxMo</f>
        <v/>
      </c>
      <c r="K136" s="114">
        <f>nAvailDrawMin+RAND()*(nAvailDrawMax-nAvailDrawMin)</f>
        <v/>
      </c>
      <c r="L136" s="45">
        <f>IF(2034&lt;sNsmrCodU1+J136/12,0,(nNsmrCap+nNsmrOpx*(1+sNsmrOpxEsc)^8+nNsmrFuel*FuelEsc*(1+nFuelCagr)^8-nNsmrItc)*IF(2034&lt;sNsmrCodU1+J136/12+nStepFirst,1,IF(nStepGated="Yes",(1+nStepPct)^(INT((2034-sNsmrCodU1-J136/12-nStepFirst)/nStepEvery)+1),1))+nExclPrem*(1-nFlexRelief)-nProdCredit)</f>
        <v/>
      </c>
      <c r="M136" s="63">
        <f>MIN(nShortfallCapM,MAX(0,sNsmrAvailY2-K136)*sNsmrUnitMw*sNsmrUnits*8760*NsmrPrice2033/1000000)</f>
        <v/>
      </c>
      <c r="N136" s="82">
        <f>IF(RAND()&lt;0.5,nUsefulLifeDrawBase-(nUsefulLifeDrawBase-nUsefulLifeDrawMin)*BETA.INV(RAND(),1.15,1.15),nUsefulLifeDrawBase+(nUsefulLifeDrawMax-nUsefulLifeDrawBase)*BETA.INV(RAND(),1.15,1.15))</f>
        <v/>
      </c>
      <c r="O136" s="45">
        <f>((nInference*nGpuIdx+nAmort)*nUtilCal/D136)*(nUsefulLifeDrawBase/N136-1)</f>
        <v/>
      </c>
      <c r="P136" s="1" t="n"/>
      <c r="Q136" s="1" t="n"/>
      <c r="R136" s="1" t="n"/>
      <c r="S136" s="1" t="n"/>
      <c r="T136" s="1" t="n"/>
      <c r="U136" s="1" t="n"/>
    </row>
    <row r="137" ht="12" customHeight="1">
      <c r="A137" s="1" t="n"/>
      <c r="B137" s="38" t="n">
        <v>117</v>
      </c>
      <c r="C137" s="114">
        <f>Assumptions!$F$8+RAND()*(Assumptions!$D$8-Assumptions!$F$8)</f>
        <v/>
      </c>
      <c r="D137" s="114">
        <f>Assumptions!$D$9+RAND()*(Assumptions!$F$9-Assumptions!$D$9)</f>
        <v/>
      </c>
      <c r="E137" s="71">
        <f>Assumptions!$F$11+RAND()*(Assumptions!$D$11-Assumptions!$F$11)</f>
        <v/>
      </c>
      <c r="F137" s="45">
        <f>nListPrice*(1-C137)-(nInference*nGpuIdx+nAmort)*nUtilCal/D137-nNetworking-nOverheadBase*(E137/nPowerCal)-nCodBase*(1+I137/12)-O137</f>
        <v/>
      </c>
      <c r="G137" s="66">
        <f>MAX(F137,0)/nDebtService</f>
        <v/>
      </c>
      <c r="H137" s="71">
        <f>Anthropic!$J$18*Anthropic!$J$27+Anthropic!$J$19*Anthropic!$J$28+Anthropic!$J$20*Anthropic!$J$29+Anthropic!$J$21*E137*(1+nPowerCagr)^4*(1+nResidualBasisMarkup+nScarcityAlpha*POWER(Anthropic!$J$21,nScarcityGamma))</f>
        <v/>
      </c>
      <c r="I137" s="113">
        <f>Assumptions!$F$10+RAND()*(Assumptions!$D$10-Assumptions!$F$10)</f>
        <v/>
      </c>
      <c r="J137" s="113">
        <f>RAND()*nCodSlipMaxMo</f>
        <v/>
      </c>
      <c r="K137" s="114">
        <f>nAvailDrawMin+RAND()*(nAvailDrawMax-nAvailDrawMin)</f>
        <v/>
      </c>
      <c r="L137" s="45">
        <f>IF(2034&lt;sNsmrCodU1+J137/12,0,(nNsmrCap+nNsmrOpx*(1+sNsmrOpxEsc)^8+nNsmrFuel*FuelEsc*(1+nFuelCagr)^8-nNsmrItc)*IF(2034&lt;sNsmrCodU1+J137/12+nStepFirst,1,IF(nStepGated="Yes",(1+nStepPct)^(INT((2034-sNsmrCodU1-J137/12-nStepFirst)/nStepEvery)+1),1))+nExclPrem*(1-nFlexRelief)-nProdCredit)</f>
        <v/>
      </c>
      <c r="M137" s="63">
        <f>MIN(nShortfallCapM,MAX(0,sNsmrAvailY2-K137)*sNsmrUnitMw*sNsmrUnits*8760*NsmrPrice2033/1000000)</f>
        <v/>
      </c>
      <c r="N137" s="82">
        <f>IF(RAND()&lt;0.5,nUsefulLifeDrawBase-(nUsefulLifeDrawBase-nUsefulLifeDrawMin)*BETA.INV(RAND(),1.15,1.15),nUsefulLifeDrawBase+(nUsefulLifeDrawMax-nUsefulLifeDrawBase)*BETA.INV(RAND(),1.15,1.15))</f>
        <v/>
      </c>
      <c r="O137" s="45">
        <f>((nInference*nGpuIdx+nAmort)*nUtilCal/D137)*(nUsefulLifeDrawBase/N137-1)</f>
        <v/>
      </c>
      <c r="P137" s="1" t="n"/>
      <c r="Q137" s="1" t="n"/>
      <c r="R137" s="1" t="n"/>
      <c r="S137" s="1" t="n"/>
      <c r="T137" s="1" t="n"/>
      <c r="U137" s="1" t="n"/>
    </row>
    <row r="138" ht="12" customHeight="1">
      <c r="A138" s="1" t="n"/>
      <c r="B138" s="38" t="n">
        <v>118</v>
      </c>
      <c r="C138" s="114">
        <f>Assumptions!$F$8+RAND()*(Assumptions!$D$8-Assumptions!$F$8)</f>
        <v/>
      </c>
      <c r="D138" s="114">
        <f>Assumptions!$D$9+RAND()*(Assumptions!$F$9-Assumptions!$D$9)</f>
        <v/>
      </c>
      <c r="E138" s="71">
        <f>Assumptions!$F$11+RAND()*(Assumptions!$D$11-Assumptions!$F$11)</f>
        <v/>
      </c>
      <c r="F138" s="45">
        <f>nListPrice*(1-C138)-(nInference*nGpuIdx+nAmort)*nUtilCal/D138-nNetworking-nOverheadBase*(E138/nPowerCal)-nCodBase*(1+I138/12)-O138</f>
        <v/>
      </c>
      <c r="G138" s="66">
        <f>MAX(F138,0)/nDebtService</f>
        <v/>
      </c>
      <c r="H138" s="71">
        <f>Anthropic!$J$18*Anthropic!$J$27+Anthropic!$J$19*Anthropic!$J$28+Anthropic!$J$20*Anthropic!$J$29+Anthropic!$J$21*E138*(1+nPowerCagr)^4*(1+nResidualBasisMarkup+nScarcityAlpha*POWER(Anthropic!$J$21,nScarcityGamma))</f>
        <v/>
      </c>
      <c r="I138" s="113">
        <f>Assumptions!$F$10+RAND()*(Assumptions!$D$10-Assumptions!$F$10)</f>
        <v/>
      </c>
      <c r="J138" s="113">
        <f>RAND()*nCodSlipMaxMo</f>
        <v/>
      </c>
      <c r="K138" s="114">
        <f>nAvailDrawMin+RAND()*(nAvailDrawMax-nAvailDrawMin)</f>
        <v/>
      </c>
      <c r="L138" s="45">
        <f>IF(2034&lt;sNsmrCodU1+J138/12,0,(nNsmrCap+nNsmrOpx*(1+sNsmrOpxEsc)^8+nNsmrFuel*FuelEsc*(1+nFuelCagr)^8-nNsmrItc)*IF(2034&lt;sNsmrCodU1+J138/12+nStepFirst,1,IF(nStepGated="Yes",(1+nStepPct)^(INT((2034-sNsmrCodU1-J138/12-nStepFirst)/nStepEvery)+1),1))+nExclPrem*(1-nFlexRelief)-nProdCredit)</f>
        <v/>
      </c>
      <c r="M138" s="63">
        <f>MIN(nShortfallCapM,MAX(0,sNsmrAvailY2-K138)*sNsmrUnitMw*sNsmrUnits*8760*NsmrPrice2033/1000000)</f>
        <v/>
      </c>
      <c r="N138" s="82">
        <f>IF(RAND()&lt;0.5,nUsefulLifeDrawBase-(nUsefulLifeDrawBase-nUsefulLifeDrawMin)*BETA.INV(RAND(),1.15,1.15),nUsefulLifeDrawBase+(nUsefulLifeDrawMax-nUsefulLifeDrawBase)*BETA.INV(RAND(),1.15,1.15))</f>
        <v/>
      </c>
      <c r="O138" s="45">
        <f>((nInference*nGpuIdx+nAmort)*nUtilCal/D138)*(nUsefulLifeDrawBase/N138-1)</f>
        <v/>
      </c>
      <c r="P138" s="1" t="n"/>
      <c r="Q138" s="1" t="n"/>
      <c r="R138" s="1" t="n"/>
      <c r="S138" s="1" t="n"/>
      <c r="T138" s="1" t="n"/>
      <c r="U138" s="1" t="n"/>
    </row>
    <row r="139" ht="12" customHeight="1">
      <c r="A139" s="1" t="n"/>
      <c r="B139" s="38" t="n">
        <v>119</v>
      </c>
      <c r="C139" s="114">
        <f>Assumptions!$F$8+RAND()*(Assumptions!$D$8-Assumptions!$F$8)</f>
        <v/>
      </c>
      <c r="D139" s="114">
        <f>Assumptions!$D$9+RAND()*(Assumptions!$F$9-Assumptions!$D$9)</f>
        <v/>
      </c>
      <c r="E139" s="71">
        <f>Assumptions!$F$11+RAND()*(Assumptions!$D$11-Assumptions!$F$11)</f>
        <v/>
      </c>
      <c r="F139" s="45">
        <f>nListPrice*(1-C139)-(nInference*nGpuIdx+nAmort)*nUtilCal/D139-nNetworking-nOverheadBase*(E139/nPowerCal)-nCodBase*(1+I139/12)-O139</f>
        <v/>
      </c>
      <c r="G139" s="66">
        <f>MAX(F139,0)/nDebtService</f>
        <v/>
      </c>
      <c r="H139" s="71">
        <f>Anthropic!$J$18*Anthropic!$J$27+Anthropic!$J$19*Anthropic!$J$28+Anthropic!$J$20*Anthropic!$J$29+Anthropic!$J$21*E139*(1+nPowerCagr)^4*(1+nResidualBasisMarkup+nScarcityAlpha*POWER(Anthropic!$J$21,nScarcityGamma))</f>
        <v/>
      </c>
      <c r="I139" s="113">
        <f>Assumptions!$F$10+RAND()*(Assumptions!$D$10-Assumptions!$F$10)</f>
        <v/>
      </c>
      <c r="J139" s="113">
        <f>RAND()*nCodSlipMaxMo</f>
        <v/>
      </c>
      <c r="K139" s="114">
        <f>nAvailDrawMin+RAND()*(nAvailDrawMax-nAvailDrawMin)</f>
        <v/>
      </c>
      <c r="L139" s="45">
        <f>IF(2034&lt;sNsmrCodU1+J139/12,0,(nNsmrCap+nNsmrOpx*(1+sNsmrOpxEsc)^8+nNsmrFuel*FuelEsc*(1+nFuelCagr)^8-nNsmrItc)*IF(2034&lt;sNsmrCodU1+J139/12+nStepFirst,1,IF(nStepGated="Yes",(1+nStepPct)^(INT((2034-sNsmrCodU1-J139/12-nStepFirst)/nStepEvery)+1),1))+nExclPrem*(1-nFlexRelief)-nProdCredit)</f>
        <v/>
      </c>
      <c r="M139" s="63">
        <f>MIN(nShortfallCapM,MAX(0,sNsmrAvailY2-K139)*sNsmrUnitMw*sNsmrUnits*8760*NsmrPrice2033/1000000)</f>
        <v/>
      </c>
      <c r="N139" s="82">
        <f>IF(RAND()&lt;0.5,nUsefulLifeDrawBase-(nUsefulLifeDrawBase-nUsefulLifeDrawMin)*BETA.INV(RAND(),1.15,1.15),nUsefulLifeDrawBase+(nUsefulLifeDrawMax-nUsefulLifeDrawBase)*BETA.INV(RAND(),1.15,1.15))</f>
        <v/>
      </c>
      <c r="O139" s="45">
        <f>((nInference*nGpuIdx+nAmort)*nUtilCal/D139)*(nUsefulLifeDrawBase/N139-1)</f>
        <v/>
      </c>
      <c r="P139" s="1" t="n"/>
      <c r="Q139" s="1" t="n"/>
      <c r="R139" s="1" t="n"/>
      <c r="S139" s="1" t="n"/>
      <c r="T139" s="1" t="n"/>
      <c r="U139" s="1" t="n"/>
    </row>
    <row r="140" ht="12" customHeight="1">
      <c r="A140" s="1" t="n"/>
      <c r="B140" s="38" t="n">
        <v>120</v>
      </c>
      <c r="C140" s="114">
        <f>Assumptions!$F$8+RAND()*(Assumptions!$D$8-Assumptions!$F$8)</f>
        <v/>
      </c>
      <c r="D140" s="114">
        <f>Assumptions!$D$9+RAND()*(Assumptions!$F$9-Assumptions!$D$9)</f>
        <v/>
      </c>
      <c r="E140" s="71">
        <f>Assumptions!$F$11+RAND()*(Assumptions!$D$11-Assumptions!$F$11)</f>
        <v/>
      </c>
      <c r="F140" s="45">
        <f>nListPrice*(1-C140)-(nInference*nGpuIdx+nAmort)*nUtilCal/D140-nNetworking-nOverheadBase*(E140/nPowerCal)-nCodBase*(1+I140/12)-O140</f>
        <v/>
      </c>
      <c r="G140" s="66">
        <f>MAX(F140,0)/nDebtService</f>
        <v/>
      </c>
      <c r="H140" s="71">
        <f>Anthropic!$J$18*Anthropic!$J$27+Anthropic!$J$19*Anthropic!$J$28+Anthropic!$J$20*Anthropic!$J$29+Anthropic!$J$21*E140*(1+nPowerCagr)^4*(1+nResidualBasisMarkup+nScarcityAlpha*POWER(Anthropic!$J$21,nScarcityGamma))</f>
        <v/>
      </c>
      <c r="I140" s="113">
        <f>Assumptions!$F$10+RAND()*(Assumptions!$D$10-Assumptions!$F$10)</f>
        <v/>
      </c>
      <c r="J140" s="113">
        <f>RAND()*nCodSlipMaxMo</f>
        <v/>
      </c>
      <c r="K140" s="114">
        <f>nAvailDrawMin+RAND()*(nAvailDrawMax-nAvailDrawMin)</f>
        <v/>
      </c>
      <c r="L140" s="45">
        <f>IF(2034&lt;sNsmrCodU1+J140/12,0,(nNsmrCap+nNsmrOpx*(1+sNsmrOpxEsc)^8+nNsmrFuel*FuelEsc*(1+nFuelCagr)^8-nNsmrItc)*IF(2034&lt;sNsmrCodU1+J140/12+nStepFirst,1,IF(nStepGated="Yes",(1+nStepPct)^(INT((2034-sNsmrCodU1-J140/12-nStepFirst)/nStepEvery)+1),1))+nExclPrem*(1-nFlexRelief)-nProdCredit)</f>
        <v/>
      </c>
      <c r="M140" s="63">
        <f>MIN(nShortfallCapM,MAX(0,sNsmrAvailY2-K140)*sNsmrUnitMw*sNsmrUnits*8760*NsmrPrice2033/1000000)</f>
        <v/>
      </c>
      <c r="N140" s="82">
        <f>IF(RAND()&lt;0.5,nUsefulLifeDrawBase-(nUsefulLifeDrawBase-nUsefulLifeDrawMin)*BETA.INV(RAND(),1.15,1.15),nUsefulLifeDrawBase+(nUsefulLifeDrawMax-nUsefulLifeDrawBase)*BETA.INV(RAND(),1.15,1.15))</f>
        <v/>
      </c>
      <c r="O140" s="45">
        <f>((nInference*nGpuIdx+nAmort)*nUtilCal/D140)*(nUsefulLifeDrawBase/N140-1)</f>
        <v/>
      </c>
      <c r="P140" s="1" t="n"/>
      <c r="Q140" s="1" t="n"/>
      <c r="R140" s="1" t="n"/>
      <c r="S140" s="1" t="n"/>
      <c r="T140" s="1" t="n"/>
      <c r="U140" s="1" t="n"/>
    </row>
    <row r="141" ht="12" customHeight="1">
      <c r="A141" s="1" t="n"/>
      <c r="B141" s="38" t="n">
        <v>121</v>
      </c>
      <c r="C141" s="114">
        <f>Assumptions!$F$8+RAND()*(Assumptions!$D$8-Assumptions!$F$8)</f>
        <v/>
      </c>
      <c r="D141" s="114">
        <f>Assumptions!$D$9+RAND()*(Assumptions!$F$9-Assumptions!$D$9)</f>
        <v/>
      </c>
      <c r="E141" s="71">
        <f>Assumptions!$F$11+RAND()*(Assumptions!$D$11-Assumptions!$F$11)</f>
        <v/>
      </c>
      <c r="F141" s="45">
        <f>nListPrice*(1-C141)-(nInference*nGpuIdx+nAmort)*nUtilCal/D141-nNetworking-nOverheadBase*(E141/nPowerCal)-nCodBase*(1+I141/12)-O141</f>
        <v/>
      </c>
      <c r="G141" s="66">
        <f>MAX(F141,0)/nDebtService</f>
        <v/>
      </c>
      <c r="H141" s="71">
        <f>Anthropic!$J$18*Anthropic!$J$27+Anthropic!$J$19*Anthropic!$J$28+Anthropic!$J$20*Anthropic!$J$29+Anthropic!$J$21*E141*(1+nPowerCagr)^4*(1+nResidualBasisMarkup+nScarcityAlpha*POWER(Anthropic!$J$21,nScarcityGamma))</f>
        <v/>
      </c>
      <c r="I141" s="113">
        <f>Assumptions!$F$10+RAND()*(Assumptions!$D$10-Assumptions!$F$10)</f>
        <v/>
      </c>
      <c r="J141" s="113">
        <f>RAND()*nCodSlipMaxMo</f>
        <v/>
      </c>
      <c r="K141" s="114">
        <f>nAvailDrawMin+RAND()*(nAvailDrawMax-nAvailDrawMin)</f>
        <v/>
      </c>
      <c r="L141" s="45">
        <f>IF(2034&lt;sNsmrCodU1+J141/12,0,(nNsmrCap+nNsmrOpx*(1+sNsmrOpxEsc)^8+nNsmrFuel*FuelEsc*(1+nFuelCagr)^8-nNsmrItc)*IF(2034&lt;sNsmrCodU1+J141/12+nStepFirst,1,IF(nStepGated="Yes",(1+nStepPct)^(INT((2034-sNsmrCodU1-J141/12-nStepFirst)/nStepEvery)+1),1))+nExclPrem*(1-nFlexRelief)-nProdCredit)</f>
        <v/>
      </c>
      <c r="M141" s="63">
        <f>MIN(nShortfallCapM,MAX(0,sNsmrAvailY2-K141)*sNsmrUnitMw*sNsmrUnits*8760*NsmrPrice2033/1000000)</f>
        <v/>
      </c>
      <c r="N141" s="82">
        <f>IF(RAND()&lt;0.5,nUsefulLifeDrawBase-(nUsefulLifeDrawBase-nUsefulLifeDrawMin)*BETA.INV(RAND(),1.15,1.15),nUsefulLifeDrawBase+(nUsefulLifeDrawMax-nUsefulLifeDrawBase)*BETA.INV(RAND(),1.15,1.15))</f>
        <v/>
      </c>
      <c r="O141" s="45">
        <f>((nInference*nGpuIdx+nAmort)*nUtilCal/D141)*(nUsefulLifeDrawBase/N141-1)</f>
        <v/>
      </c>
      <c r="P141" s="1" t="n"/>
      <c r="Q141" s="1" t="n"/>
      <c r="R141" s="1" t="n"/>
      <c r="S141" s="1" t="n"/>
      <c r="T141" s="1" t="n"/>
      <c r="U141" s="1" t="n"/>
    </row>
    <row r="142" ht="12" customHeight="1">
      <c r="A142" s="1" t="n"/>
      <c r="B142" s="38" t="n">
        <v>122</v>
      </c>
      <c r="C142" s="114">
        <f>Assumptions!$F$8+RAND()*(Assumptions!$D$8-Assumptions!$F$8)</f>
        <v/>
      </c>
      <c r="D142" s="114">
        <f>Assumptions!$D$9+RAND()*(Assumptions!$F$9-Assumptions!$D$9)</f>
        <v/>
      </c>
      <c r="E142" s="71">
        <f>Assumptions!$F$11+RAND()*(Assumptions!$D$11-Assumptions!$F$11)</f>
        <v/>
      </c>
      <c r="F142" s="45">
        <f>nListPrice*(1-C142)-(nInference*nGpuIdx+nAmort)*nUtilCal/D142-nNetworking-nOverheadBase*(E142/nPowerCal)-nCodBase*(1+I142/12)-O142</f>
        <v/>
      </c>
      <c r="G142" s="66">
        <f>MAX(F142,0)/nDebtService</f>
        <v/>
      </c>
      <c r="H142" s="71">
        <f>Anthropic!$J$18*Anthropic!$J$27+Anthropic!$J$19*Anthropic!$J$28+Anthropic!$J$20*Anthropic!$J$29+Anthropic!$J$21*E142*(1+nPowerCagr)^4*(1+nResidualBasisMarkup+nScarcityAlpha*POWER(Anthropic!$J$21,nScarcityGamma))</f>
        <v/>
      </c>
      <c r="I142" s="113">
        <f>Assumptions!$F$10+RAND()*(Assumptions!$D$10-Assumptions!$F$10)</f>
        <v/>
      </c>
      <c r="J142" s="113">
        <f>RAND()*nCodSlipMaxMo</f>
        <v/>
      </c>
      <c r="K142" s="114">
        <f>nAvailDrawMin+RAND()*(nAvailDrawMax-nAvailDrawMin)</f>
        <v/>
      </c>
      <c r="L142" s="45">
        <f>IF(2034&lt;sNsmrCodU1+J142/12,0,(nNsmrCap+nNsmrOpx*(1+sNsmrOpxEsc)^8+nNsmrFuel*FuelEsc*(1+nFuelCagr)^8-nNsmrItc)*IF(2034&lt;sNsmrCodU1+J142/12+nStepFirst,1,IF(nStepGated="Yes",(1+nStepPct)^(INT((2034-sNsmrCodU1-J142/12-nStepFirst)/nStepEvery)+1),1))+nExclPrem*(1-nFlexRelief)-nProdCredit)</f>
        <v/>
      </c>
      <c r="M142" s="63">
        <f>MIN(nShortfallCapM,MAX(0,sNsmrAvailY2-K142)*sNsmrUnitMw*sNsmrUnits*8760*NsmrPrice2033/1000000)</f>
        <v/>
      </c>
      <c r="N142" s="82">
        <f>IF(RAND()&lt;0.5,nUsefulLifeDrawBase-(nUsefulLifeDrawBase-nUsefulLifeDrawMin)*BETA.INV(RAND(),1.15,1.15),nUsefulLifeDrawBase+(nUsefulLifeDrawMax-nUsefulLifeDrawBase)*BETA.INV(RAND(),1.15,1.15))</f>
        <v/>
      </c>
      <c r="O142" s="45">
        <f>((nInference*nGpuIdx+nAmort)*nUtilCal/D142)*(nUsefulLifeDrawBase/N142-1)</f>
        <v/>
      </c>
      <c r="P142" s="1" t="n"/>
      <c r="Q142" s="1" t="n"/>
      <c r="R142" s="1" t="n"/>
      <c r="S142" s="1" t="n"/>
      <c r="T142" s="1" t="n"/>
      <c r="U142" s="1" t="n"/>
    </row>
    <row r="143" ht="12" customHeight="1">
      <c r="A143" s="1" t="n"/>
      <c r="B143" s="38" t="n">
        <v>123</v>
      </c>
      <c r="C143" s="114">
        <f>Assumptions!$F$8+RAND()*(Assumptions!$D$8-Assumptions!$F$8)</f>
        <v/>
      </c>
      <c r="D143" s="114">
        <f>Assumptions!$D$9+RAND()*(Assumptions!$F$9-Assumptions!$D$9)</f>
        <v/>
      </c>
      <c r="E143" s="71">
        <f>Assumptions!$F$11+RAND()*(Assumptions!$D$11-Assumptions!$F$11)</f>
        <v/>
      </c>
      <c r="F143" s="45">
        <f>nListPrice*(1-C143)-(nInference*nGpuIdx+nAmort)*nUtilCal/D143-nNetworking-nOverheadBase*(E143/nPowerCal)-nCodBase*(1+I143/12)-O143</f>
        <v/>
      </c>
      <c r="G143" s="66">
        <f>MAX(F143,0)/nDebtService</f>
        <v/>
      </c>
      <c r="H143" s="71">
        <f>Anthropic!$J$18*Anthropic!$J$27+Anthropic!$J$19*Anthropic!$J$28+Anthropic!$J$20*Anthropic!$J$29+Anthropic!$J$21*E143*(1+nPowerCagr)^4*(1+nResidualBasisMarkup+nScarcityAlpha*POWER(Anthropic!$J$21,nScarcityGamma))</f>
        <v/>
      </c>
      <c r="I143" s="113">
        <f>Assumptions!$F$10+RAND()*(Assumptions!$D$10-Assumptions!$F$10)</f>
        <v/>
      </c>
      <c r="J143" s="113">
        <f>RAND()*nCodSlipMaxMo</f>
        <v/>
      </c>
      <c r="K143" s="114">
        <f>nAvailDrawMin+RAND()*(nAvailDrawMax-nAvailDrawMin)</f>
        <v/>
      </c>
      <c r="L143" s="45">
        <f>IF(2034&lt;sNsmrCodU1+J143/12,0,(nNsmrCap+nNsmrOpx*(1+sNsmrOpxEsc)^8+nNsmrFuel*FuelEsc*(1+nFuelCagr)^8-nNsmrItc)*IF(2034&lt;sNsmrCodU1+J143/12+nStepFirst,1,IF(nStepGated="Yes",(1+nStepPct)^(INT((2034-sNsmrCodU1-J143/12-nStepFirst)/nStepEvery)+1),1))+nExclPrem*(1-nFlexRelief)-nProdCredit)</f>
        <v/>
      </c>
      <c r="M143" s="63">
        <f>MIN(nShortfallCapM,MAX(0,sNsmrAvailY2-K143)*sNsmrUnitMw*sNsmrUnits*8760*NsmrPrice2033/1000000)</f>
        <v/>
      </c>
      <c r="N143" s="82">
        <f>IF(RAND()&lt;0.5,nUsefulLifeDrawBase-(nUsefulLifeDrawBase-nUsefulLifeDrawMin)*BETA.INV(RAND(),1.15,1.15),nUsefulLifeDrawBase+(nUsefulLifeDrawMax-nUsefulLifeDrawBase)*BETA.INV(RAND(),1.15,1.15))</f>
        <v/>
      </c>
      <c r="O143" s="45">
        <f>((nInference*nGpuIdx+nAmort)*nUtilCal/D143)*(nUsefulLifeDrawBase/N143-1)</f>
        <v/>
      </c>
      <c r="P143" s="1" t="n"/>
      <c r="Q143" s="1" t="n"/>
      <c r="R143" s="1" t="n"/>
      <c r="S143" s="1" t="n"/>
      <c r="T143" s="1" t="n"/>
      <c r="U143" s="1" t="n"/>
    </row>
    <row r="144" ht="12" customHeight="1">
      <c r="A144" s="1" t="n"/>
      <c r="B144" s="38" t="n">
        <v>124</v>
      </c>
      <c r="C144" s="114">
        <f>Assumptions!$F$8+RAND()*(Assumptions!$D$8-Assumptions!$F$8)</f>
        <v/>
      </c>
      <c r="D144" s="114">
        <f>Assumptions!$D$9+RAND()*(Assumptions!$F$9-Assumptions!$D$9)</f>
        <v/>
      </c>
      <c r="E144" s="71">
        <f>Assumptions!$F$11+RAND()*(Assumptions!$D$11-Assumptions!$F$11)</f>
        <v/>
      </c>
      <c r="F144" s="45">
        <f>nListPrice*(1-C144)-(nInference*nGpuIdx+nAmort)*nUtilCal/D144-nNetworking-nOverheadBase*(E144/nPowerCal)-nCodBase*(1+I144/12)-O144</f>
        <v/>
      </c>
      <c r="G144" s="66">
        <f>MAX(F144,0)/nDebtService</f>
        <v/>
      </c>
      <c r="H144" s="71">
        <f>Anthropic!$J$18*Anthropic!$J$27+Anthropic!$J$19*Anthropic!$J$28+Anthropic!$J$20*Anthropic!$J$29+Anthropic!$J$21*E144*(1+nPowerCagr)^4*(1+nResidualBasisMarkup+nScarcityAlpha*POWER(Anthropic!$J$21,nScarcityGamma))</f>
        <v/>
      </c>
      <c r="I144" s="113">
        <f>Assumptions!$F$10+RAND()*(Assumptions!$D$10-Assumptions!$F$10)</f>
        <v/>
      </c>
      <c r="J144" s="113">
        <f>RAND()*nCodSlipMaxMo</f>
        <v/>
      </c>
      <c r="K144" s="114">
        <f>nAvailDrawMin+RAND()*(nAvailDrawMax-nAvailDrawMin)</f>
        <v/>
      </c>
      <c r="L144" s="45">
        <f>IF(2034&lt;sNsmrCodU1+J144/12,0,(nNsmrCap+nNsmrOpx*(1+sNsmrOpxEsc)^8+nNsmrFuel*FuelEsc*(1+nFuelCagr)^8-nNsmrItc)*IF(2034&lt;sNsmrCodU1+J144/12+nStepFirst,1,IF(nStepGated="Yes",(1+nStepPct)^(INT((2034-sNsmrCodU1-J144/12-nStepFirst)/nStepEvery)+1),1))+nExclPrem*(1-nFlexRelief)-nProdCredit)</f>
        <v/>
      </c>
      <c r="M144" s="63">
        <f>MIN(nShortfallCapM,MAX(0,sNsmrAvailY2-K144)*sNsmrUnitMw*sNsmrUnits*8760*NsmrPrice2033/1000000)</f>
        <v/>
      </c>
      <c r="N144" s="82">
        <f>IF(RAND()&lt;0.5,nUsefulLifeDrawBase-(nUsefulLifeDrawBase-nUsefulLifeDrawMin)*BETA.INV(RAND(),1.15,1.15),nUsefulLifeDrawBase+(nUsefulLifeDrawMax-nUsefulLifeDrawBase)*BETA.INV(RAND(),1.15,1.15))</f>
        <v/>
      </c>
      <c r="O144" s="45">
        <f>((nInference*nGpuIdx+nAmort)*nUtilCal/D144)*(nUsefulLifeDrawBase/N144-1)</f>
        <v/>
      </c>
      <c r="P144" s="1" t="n"/>
      <c r="Q144" s="1" t="n"/>
      <c r="R144" s="1" t="n"/>
      <c r="S144" s="1" t="n"/>
      <c r="T144" s="1" t="n"/>
      <c r="U144" s="1" t="n"/>
    </row>
    <row r="145" ht="12" customHeight="1">
      <c r="A145" s="1" t="n"/>
      <c r="B145" s="38" t="n">
        <v>125</v>
      </c>
      <c r="C145" s="114">
        <f>Assumptions!$F$8+RAND()*(Assumptions!$D$8-Assumptions!$F$8)</f>
        <v/>
      </c>
      <c r="D145" s="114">
        <f>Assumptions!$D$9+RAND()*(Assumptions!$F$9-Assumptions!$D$9)</f>
        <v/>
      </c>
      <c r="E145" s="71">
        <f>Assumptions!$F$11+RAND()*(Assumptions!$D$11-Assumptions!$F$11)</f>
        <v/>
      </c>
      <c r="F145" s="45">
        <f>nListPrice*(1-C145)-(nInference*nGpuIdx+nAmort)*nUtilCal/D145-nNetworking-nOverheadBase*(E145/nPowerCal)-nCodBase*(1+I145/12)-O145</f>
        <v/>
      </c>
      <c r="G145" s="66">
        <f>MAX(F145,0)/nDebtService</f>
        <v/>
      </c>
      <c r="H145" s="71">
        <f>Anthropic!$J$18*Anthropic!$J$27+Anthropic!$J$19*Anthropic!$J$28+Anthropic!$J$20*Anthropic!$J$29+Anthropic!$J$21*E145*(1+nPowerCagr)^4*(1+nResidualBasisMarkup+nScarcityAlpha*POWER(Anthropic!$J$21,nScarcityGamma))</f>
        <v/>
      </c>
      <c r="I145" s="113">
        <f>Assumptions!$F$10+RAND()*(Assumptions!$D$10-Assumptions!$F$10)</f>
        <v/>
      </c>
      <c r="J145" s="113">
        <f>RAND()*nCodSlipMaxMo</f>
        <v/>
      </c>
      <c r="K145" s="114">
        <f>nAvailDrawMin+RAND()*(nAvailDrawMax-nAvailDrawMin)</f>
        <v/>
      </c>
      <c r="L145" s="45">
        <f>IF(2034&lt;sNsmrCodU1+J145/12,0,(nNsmrCap+nNsmrOpx*(1+sNsmrOpxEsc)^8+nNsmrFuel*FuelEsc*(1+nFuelCagr)^8-nNsmrItc)*IF(2034&lt;sNsmrCodU1+J145/12+nStepFirst,1,IF(nStepGated="Yes",(1+nStepPct)^(INT((2034-sNsmrCodU1-J145/12-nStepFirst)/nStepEvery)+1),1))+nExclPrem*(1-nFlexRelief)-nProdCredit)</f>
        <v/>
      </c>
      <c r="M145" s="63">
        <f>MIN(nShortfallCapM,MAX(0,sNsmrAvailY2-K145)*sNsmrUnitMw*sNsmrUnits*8760*NsmrPrice2033/1000000)</f>
        <v/>
      </c>
      <c r="N145" s="82">
        <f>IF(RAND()&lt;0.5,nUsefulLifeDrawBase-(nUsefulLifeDrawBase-nUsefulLifeDrawMin)*BETA.INV(RAND(),1.15,1.15),nUsefulLifeDrawBase+(nUsefulLifeDrawMax-nUsefulLifeDrawBase)*BETA.INV(RAND(),1.15,1.15))</f>
        <v/>
      </c>
      <c r="O145" s="45">
        <f>((nInference*nGpuIdx+nAmort)*nUtilCal/D145)*(nUsefulLifeDrawBase/N145-1)</f>
        <v/>
      </c>
      <c r="P145" s="1" t="n"/>
      <c r="Q145" s="1" t="n"/>
      <c r="R145" s="1" t="n"/>
      <c r="S145" s="1" t="n"/>
      <c r="T145" s="1" t="n"/>
      <c r="U145" s="1" t="n"/>
    </row>
    <row r="146" ht="12" customHeight="1">
      <c r="A146" s="1" t="n"/>
      <c r="B146" s="38" t="n">
        <v>126</v>
      </c>
      <c r="C146" s="114">
        <f>Assumptions!$F$8+RAND()*(Assumptions!$D$8-Assumptions!$F$8)</f>
        <v/>
      </c>
      <c r="D146" s="114">
        <f>Assumptions!$D$9+RAND()*(Assumptions!$F$9-Assumptions!$D$9)</f>
        <v/>
      </c>
      <c r="E146" s="71">
        <f>Assumptions!$F$11+RAND()*(Assumptions!$D$11-Assumptions!$F$11)</f>
        <v/>
      </c>
      <c r="F146" s="45">
        <f>nListPrice*(1-C146)-(nInference*nGpuIdx+nAmort)*nUtilCal/D146-nNetworking-nOverheadBase*(E146/nPowerCal)-nCodBase*(1+I146/12)-O146</f>
        <v/>
      </c>
      <c r="G146" s="66">
        <f>MAX(F146,0)/nDebtService</f>
        <v/>
      </c>
      <c r="H146" s="71">
        <f>Anthropic!$J$18*Anthropic!$J$27+Anthropic!$J$19*Anthropic!$J$28+Anthropic!$J$20*Anthropic!$J$29+Anthropic!$J$21*E146*(1+nPowerCagr)^4*(1+nResidualBasisMarkup+nScarcityAlpha*POWER(Anthropic!$J$21,nScarcityGamma))</f>
        <v/>
      </c>
      <c r="I146" s="113">
        <f>Assumptions!$F$10+RAND()*(Assumptions!$D$10-Assumptions!$F$10)</f>
        <v/>
      </c>
      <c r="J146" s="113">
        <f>RAND()*nCodSlipMaxMo</f>
        <v/>
      </c>
      <c r="K146" s="114">
        <f>nAvailDrawMin+RAND()*(nAvailDrawMax-nAvailDrawMin)</f>
        <v/>
      </c>
      <c r="L146" s="45">
        <f>IF(2034&lt;sNsmrCodU1+J146/12,0,(nNsmrCap+nNsmrOpx*(1+sNsmrOpxEsc)^8+nNsmrFuel*FuelEsc*(1+nFuelCagr)^8-nNsmrItc)*IF(2034&lt;sNsmrCodU1+J146/12+nStepFirst,1,IF(nStepGated="Yes",(1+nStepPct)^(INT((2034-sNsmrCodU1-J146/12-nStepFirst)/nStepEvery)+1),1))+nExclPrem*(1-nFlexRelief)-nProdCredit)</f>
        <v/>
      </c>
      <c r="M146" s="63">
        <f>MIN(nShortfallCapM,MAX(0,sNsmrAvailY2-K146)*sNsmrUnitMw*sNsmrUnits*8760*NsmrPrice2033/1000000)</f>
        <v/>
      </c>
      <c r="N146" s="82">
        <f>IF(RAND()&lt;0.5,nUsefulLifeDrawBase-(nUsefulLifeDrawBase-nUsefulLifeDrawMin)*BETA.INV(RAND(),1.15,1.15),nUsefulLifeDrawBase+(nUsefulLifeDrawMax-nUsefulLifeDrawBase)*BETA.INV(RAND(),1.15,1.15))</f>
        <v/>
      </c>
      <c r="O146" s="45">
        <f>((nInference*nGpuIdx+nAmort)*nUtilCal/D146)*(nUsefulLifeDrawBase/N146-1)</f>
        <v/>
      </c>
      <c r="P146" s="1" t="n"/>
      <c r="Q146" s="1" t="n"/>
      <c r="R146" s="1" t="n"/>
      <c r="S146" s="1" t="n"/>
      <c r="T146" s="1" t="n"/>
      <c r="U146" s="1" t="n"/>
    </row>
    <row r="147" ht="12" customHeight="1">
      <c r="A147" s="1" t="n"/>
      <c r="B147" s="38" t="n">
        <v>127</v>
      </c>
      <c r="C147" s="114">
        <f>Assumptions!$F$8+RAND()*(Assumptions!$D$8-Assumptions!$F$8)</f>
        <v/>
      </c>
      <c r="D147" s="114">
        <f>Assumptions!$D$9+RAND()*(Assumptions!$F$9-Assumptions!$D$9)</f>
        <v/>
      </c>
      <c r="E147" s="71">
        <f>Assumptions!$F$11+RAND()*(Assumptions!$D$11-Assumptions!$F$11)</f>
        <v/>
      </c>
      <c r="F147" s="45">
        <f>nListPrice*(1-C147)-(nInference*nGpuIdx+nAmort)*nUtilCal/D147-nNetworking-nOverheadBase*(E147/nPowerCal)-nCodBase*(1+I147/12)-O147</f>
        <v/>
      </c>
      <c r="G147" s="66">
        <f>MAX(F147,0)/nDebtService</f>
        <v/>
      </c>
      <c r="H147" s="71">
        <f>Anthropic!$J$18*Anthropic!$J$27+Anthropic!$J$19*Anthropic!$J$28+Anthropic!$J$20*Anthropic!$J$29+Anthropic!$J$21*E147*(1+nPowerCagr)^4*(1+nResidualBasisMarkup+nScarcityAlpha*POWER(Anthropic!$J$21,nScarcityGamma))</f>
        <v/>
      </c>
      <c r="I147" s="113">
        <f>Assumptions!$F$10+RAND()*(Assumptions!$D$10-Assumptions!$F$10)</f>
        <v/>
      </c>
      <c r="J147" s="113">
        <f>RAND()*nCodSlipMaxMo</f>
        <v/>
      </c>
      <c r="K147" s="114">
        <f>nAvailDrawMin+RAND()*(nAvailDrawMax-nAvailDrawMin)</f>
        <v/>
      </c>
      <c r="L147" s="45">
        <f>IF(2034&lt;sNsmrCodU1+J147/12,0,(nNsmrCap+nNsmrOpx*(1+sNsmrOpxEsc)^8+nNsmrFuel*FuelEsc*(1+nFuelCagr)^8-nNsmrItc)*IF(2034&lt;sNsmrCodU1+J147/12+nStepFirst,1,IF(nStepGated="Yes",(1+nStepPct)^(INT((2034-sNsmrCodU1-J147/12-nStepFirst)/nStepEvery)+1),1))+nExclPrem*(1-nFlexRelief)-nProdCredit)</f>
        <v/>
      </c>
      <c r="M147" s="63">
        <f>MIN(nShortfallCapM,MAX(0,sNsmrAvailY2-K147)*sNsmrUnitMw*sNsmrUnits*8760*NsmrPrice2033/1000000)</f>
        <v/>
      </c>
      <c r="N147" s="82">
        <f>IF(RAND()&lt;0.5,nUsefulLifeDrawBase-(nUsefulLifeDrawBase-nUsefulLifeDrawMin)*BETA.INV(RAND(),1.15,1.15),nUsefulLifeDrawBase+(nUsefulLifeDrawMax-nUsefulLifeDrawBase)*BETA.INV(RAND(),1.15,1.15))</f>
        <v/>
      </c>
      <c r="O147" s="45">
        <f>((nInference*nGpuIdx+nAmort)*nUtilCal/D147)*(nUsefulLifeDrawBase/N147-1)</f>
        <v/>
      </c>
      <c r="P147" s="1" t="n"/>
      <c r="Q147" s="1" t="n"/>
      <c r="R147" s="1" t="n"/>
      <c r="S147" s="1" t="n"/>
      <c r="T147" s="1" t="n"/>
      <c r="U147" s="1" t="n"/>
    </row>
    <row r="148" ht="12" customHeight="1">
      <c r="A148" s="1" t="n"/>
      <c r="B148" s="38" t="n">
        <v>128</v>
      </c>
      <c r="C148" s="114">
        <f>Assumptions!$F$8+RAND()*(Assumptions!$D$8-Assumptions!$F$8)</f>
        <v/>
      </c>
      <c r="D148" s="114">
        <f>Assumptions!$D$9+RAND()*(Assumptions!$F$9-Assumptions!$D$9)</f>
        <v/>
      </c>
      <c r="E148" s="71">
        <f>Assumptions!$F$11+RAND()*(Assumptions!$D$11-Assumptions!$F$11)</f>
        <v/>
      </c>
      <c r="F148" s="45">
        <f>nListPrice*(1-C148)-(nInference*nGpuIdx+nAmort)*nUtilCal/D148-nNetworking-nOverheadBase*(E148/nPowerCal)-nCodBase*(1+I148/12)-O148</f>
        <v/>
      </c>
      <c r="G148" s="66">
        <f>MAX(F148,0)/nDebtService</f>
        <v/>
      </c>
      <c r="H148" s="71">
        <f>Anthropic!$J$18*Anthropic!$J$27+Anthropic!$J$19*Anthropic!$J$28+Anthropic!$J$20*Anthropic!$J$29+Anthropic!$J$21*E148*(1+nPowerCagr)^4*(1+nResidualBasisMarkup+nScarcityAlpha*POWER(Anthropic!$J$21,nScarcityGamma))</f>
        <v/>
      </c>
      <c r="I148" s="113">
        <f>Assumptions!$F$10+RAND()*(Assumptions!$D$10-Assumptions!$F$10)</f>
        <v/>
      </c>
      <c r="J148" s="113">
        <f>RAND()*nCodSlipMaxMo</f>
        <v/>
      </c>
      <c r="K148" s="114">
        <f>nAvailDrawMin+RAND()*(nAvailDrawMax-nAvailDrawMin)</f>
        <v/>
      </c>
      <c r="L148" s="45">
        <f>IF(2034&lt;sNsmrCodU1+J148/12,0,(nNsmrCap+nNsmrOpx*(1+sNsmrOpxEsc)^8+nNsmrFuel*FuelEsc*(1+nFuelCagr)^8-nNsmrItc)*IF(2034&lt;sNsmrCodU1+J148/12+nStepFirst,1,IF(nStepGated="Yes",(1+nStepPct)^(INT((2034-sNsmrCodU1-J148/12-nStepFirst)/nStepEvery)+1),1))+nExclPrem*(1-nFlexRelief)-nProdCredit)</f>
        <v/>
      </c>
      <c r="M148" s="63">
        <f>MIN(nShortfallCapM,MAX(0,sNsmrAvailY2-K148)*sNsmrUnitMw*sNsmrUnits*8760*NsmrPrice2033/1000000)</f>
        <v/>
      </c>
      <c r="N148" s="82">
        <f>IF(RAND()&lt;0.5,nUsefulLifeDrawBase-(nUsefulLifeDrawBase-nUsefulLifeDrawMin)*BETA.INV(RAND(),1.15,1.15),nUsefulLifeDrawBase+(nUsefulLifeDrawMax-nUsefulLifeDrawBase)*BETA.INV(RAND(),1.15,1.15))</f>
        <v/>
      </c>
      <c r="O148" s="45">
        <f>((nInference*nGpuIdx+nAmort)*nUtilCal/D148)*(nUsefulLifeDrawBase/N148-1)</f>
        <v/>
      </c>
      <c r="P148" s="1" t="n"/>
      <c r="Q148" s="1" t="n"/>
      <c r="R148" s="1" t="n"/>
      <c r="S148" s="1" t="n"/>
      <c r="T148" s="1" t="n"/>
      <c r="U148" s="1" t="n"/>
    </row>
    <row r="149" ht="12" customHeight="1">
      <c r="A149" s="1" t="n"/>
      <c r="B149" s="38" t="n">
        <v>129</v>
      </c>
      <c r="C149" s="114">
        <f>Assumptions!$F$8+RAND()*(Assumptions!$D$8-Assumptions!$F$8)</f>
        <v/>
      </c>
      <c r="D149" s="114">
        <f>Assumptions!$D$9+RAND()*(Assumptions!$F$9-Assumptions!$D$9)</f>
        <v/>
      </c>
      <c r="E149" s="71">
        <f>Assumptions!$F$11+RAND()*(Assumptions!$D$11-Assumptions!$F$11)</f>
        <v/>
      </c>
      <c r="F149" s="45">
        <f>nListPrice*(1-C149)-(nInference*nGpuIdx+nAmort)*nUtilCal/D149-nNetworking-nOverheadBase*(E149/nPowerCal)-nCodBase*(1+I149/12)-O149</f>
        <v/>
      </c>
      <c r="G149" s="66">
        <f>MAX(F149,0)/nDebtService</f>
        <v/>
      </c>
      <c r="H149" s="71">
        <f>Anthropic!$J$18*Anthropic!$J$27+Anthropic!$J$19*Anthropic!$J$28+Anthropic!$J$20*Anthropic!$J$29+Anthropic!$J$21*E149*(1+nPowerCagr)^4*(1+nResidualBasisMarkup+nScarcityAlpha*POWER(Anthropic!$J$21,nScarcityGamma))</f>
        <v/>
      </c>
      <c r="I149" s="113">
        <f>Assumptions!$F$10+RAND()*(Assumptions!$D$10-Assumptions!$F$10)</f>
        <v/>
      </c>
      <c r="J149" s="113">
        <f>RAND()*nCodSlipMaxMo</f>
        <v/>
      </c>
      <c r="K149" s="114">
        <f>nAvailDrawMin+RAND()*(nAvailDrawMax-nAvailDrawMin)</f>
        <v/>
      </c>
      <c r="L149" s="45">
        <f>IF(2034&lt;sNsmrCodU1+J149/12,0,(nNsmrCap+nNsmrOpx*(1+sNsmrOpxEsc)^8+nNsmrFuel*FuelEsc*(1+nFuelCagr)^8-nNsmrItc)*IF(2034&lt;sNsmrCodU1+J149/12+nStepFirst,1,IF(nStepGated="Yes",(1+nStepPct)^(INT((2034-sNsmrCodU1-J149/12-nStepFirst)/nStepEvery)+1),1))+nExclPrem*(1-nFlexRelief)-nProdCredit)</f>
        <v/>
      </c>
      <c r="M149" s="63">
        <f>MIN(nShortfallCapM,MAX(0,sNsmrAvailY2-K149)*sNsmrUnitMw*sNsmrUnits*8760*NsmrPrice2033/1000000)</f>
        <v/>
      </c>
      <c r="N149" s="82">
        <f>IF(RAND()&lt;0.5,nUsefulLifeDrawBase-(nUsefulLifeDrawBase-nUsefulLifeDrawMin)*BETA.INV(RAND(),1.15,1.15),nUsefulLifeDrawBase+(nUsefulLifeDrawMax-nUsefulLifeDrawBase)*BETA.INV(RAND(),1.15,1.15))</f>
        <v/>
      </c>
      <c r="O149" s="45">
        <f>((nInference*nGpuIdx+nAmort)*nUtilCal/D149)*(nUsefulLifeDrawBase/N149-1)</f>
        <v/>
      </c>
      <c r="P149" s="1" t="n"/>
      <c r="Q149" s="1" t="n"/>
      <c r="R149" s="1" t="n"/>
      <c r="S149" s="1" t="n"/>
      <c r="T149" s="1" t="n"/>
      <c r="U149" s="1" t="n"/>
    </row>
    <row r="150" ht="12" customHeight="1">
      <c r="A150" s="1" t="n"/>
      <c r="B150" s="38" t="n">
        <v>130</v>
      </c>
      <c r="C150" s="114">
        <f>Assumptions!$F$8+RAND()*(Assumptions!$D$8-Assumptions!$F$8)</f>
        <v/>
      </c>
      <c r="D150" s="114">
        <f>Assumptions!$D$9+RAND()*(Assumptions!$F$9-Assumptions!$D$9)</f>
        <v/>
      </c>
      <c r="E150" s="71">
        <f>Assumptions!$F$11+RAND()*(Assumptions!$D$11-Assumptions!$F$11)</f>
        <v/>
      </c>
      <c r="F150" s="45">
        <f>nListPrice*(1-C150)-(nInference*nGpuIdx+nAmort)*nUtilCal/D150-nNetworking-nOverheadBase*(E150/nPowerCal)-nCodBase*(1+I150/12)-O150</f>
        <v/>
      </c>
      <c r="G150" s="66">
        <f>MAX(F150,0)/nDebtService</f>
        <v/>
      </c>
      <c r="H150" s="71">
        <f>Anthropic!$J$18*Anthropic!$J$27+Anthropic!$J$19*Anthropic!$J$28+Anthropic!$J$20*Anthropic!$J$29+Anthropic!$J$21*E150*(1+nPowerCagr)^4*(1+nResidualBasisMarkup+nScarcityAlpha*POWER(Anthropic!$J$21,nScarcityGamma))</f>
        <v/>
      </c>
      <c r="I150" s="113">
        <f>Assumptions!$F$10+RAND()*(Assumptions!$D$10-Assumptions!$F$10)</f>
        <v/>
      </c>
      <c r="J150" s="113">
        <f>RAND()*nCodSlipMaxMo</f>
        <v/>
      </c>
      <c r="K150" s="114">
        <f>nAvailDrawMin+RAND()*(nAvailDrawMax-nAvailDrawMin)</f>
        <v/>
      </c>
      <c r="L150" s="45">
        <f>IF(2034&lt;sNsmrCodU1+J150/12,0,(nNsmrCap+nNsmrOpx*(1+sNsmrOpxEsc)^8+nNsmrFuel*FuelEsc*(1+nFuelCagr)^8-nNsmrItc)*IF(2034&lt;sNsmrCodU1+J150/12+nStepFirst,1,IF(nStepGated="Yes",(1+nStepPct)^(INT((2034-sNsmrCodU1-J150/12-nStepFirst)/nStepEvery)+1),1))+nExclPrem*(1-nFlexRelief)-nProdCredit)</f>
        <v/>
      </c>
      <c r="M150" s="63">
        <f>MIN(nShortfallCapM,MAX(0,sNsmrAvailY2-K150)*sNsmrUnitMw*sNsmrUnits*8760*NsmrPrice2033/1000000)</f>
        <v/>
      </c>
      <c r="N150" s="82">
        <f>IF(RAND()&lt;0.5,nUsefulLifeDrawBase-(nUsefulLifeDrawBase-nUsefulLifeDrawMin)*BETA.INV(RAND(),1.15,1.15),nUsefulLifeDrawBase+(nUsefulLifeDrawMax-nUsefulLifeDrawBase)*BETA.INV(RAND(),1.15,1.15))</f>
        <v/>
      </c>
      <c r="O150" s="45">
        <f>((nInference*nGpuIdx+nAmort)*nUtilCal/D150)*(nUsefulLifeDrawBase/N150-1)</f>
        <v/>
      </c>
      <c r="P150" s="1" t="n"/>
      <c r="Q150" s="1" t="n"/>
      <c r="R150" s="1" t="n"/>
      <c r="S150" s="1" t="n"/>
      <c r="T150" s="1" t="n"/>
      <c r="U150" s="1" t="n"/>
    </row>
    <row r="151" ht="12" customHeight="1">
      <c r="A151" s="1" t="n"/>
      <c r="B151" s="38" t="n">
        <v>131</v>
      </c>
      <c r="C151" s="114">
        <f>Assumptions!$F$8+RAND()*(Assumptions!$D$8-Assumptions!$F$8)</f>
        <v/>
      </c>
      <c r="D151" s="114">
        <f>Assumptions!$D$9+RAND()*(Assumptions!$F$9-Assumptions!$D$9)</f>
        <v/>
      </c>
      <c r="E151" s="71">
        <f>Assumptions!$F$11+RAND()*(Assumptions!$D$11-Assumptions!$F$11)</f>
        <v/>
      </c>
      <c r="F151" s="45">
        <f>nListPrice*(1-C151)-(nInference*nGpuIdx+nAmort)*nUtilCal/D151-nNetworking-nOverheadBase*(E151/nPowerCal)-nCodBase*(1+I151/12)-O151</f>
        <v/>
      </c>
      <c r="G151" s="66">
        <f>MAX(F151,0)/nDebtService</f>
        <v/>
      </c>
      <c r="H151" s="71">
        <f>Anthropic!$J$18*Anthropic!$J$27+Anthropic!$J$19*Anthropic!$J$28+Anthropic!$J$20*Anthropic!$J$29+Anthropic!$J$21*E151*(1+nPowerCagr)^4*(1+nResidualBasisMarkup+nScarcityAlpha*POWER(Anthropic!$J$21,nScarcityGamma))</f>
        <v/>
      </c>
      <c r="I151" s="113">
        <f>Assumptions!$F$10+RAND()*(Assumptions!$D$10-Assumptions!$F$10)</f>
        <v/>
      </c>
      <c r="J151" s="113">
        <f>RAND()*nCodSlipMaxMo</f>
        <v/>
      </c>
      <c r="K151" s="114">
        <f>nAvailDrawMin+RAND()*(nAvailDrawMax-nAvailDrawMin)</f>
        <v/>
      </c>
      <c r="L151" s="45">
        <f>IF(2034&lt;sNsmrCodU1+J151/12,0,(nNsmrCap+nNsmrOpx*(1+sNsmrOpxEsc)^8+nNsmrFuel*FuelEsc*(1+nFuelCagr)^8-nNsmrItc)*IF(2034&lt;sNsmrCodU1+J151/12+nStepFirst,1,IF(nStepGated="Yes",(1+nStepPct)^(INT((2034-sNsmrCodU1-J151/12-nStepFirst)/nStepEvery)+1),1))+nExclPrem*(1-nFlexRelief)-nProdCredit)</f>
        <v/>
      </c>
      <c r="M151" s="63">
        <f>MIN(nShortfallCapM,MAX(0,sNsmrAvailY2-K151)*sNsmrUnitMw*sNsmrUnits*8760*NsmrPrice2033/1000000)</f>
        <v/>
      </c>
      <c r="N151" s="82">
        <f>IF(RAND()&lt;0.5,nUsefulLifeDrawBase-(nUsefulLifeDrawBase-nUsefulLifeDrawMin)*BETA.INV(RAND(),1.15,1.15),nUsefulLifeDrawBase+(nUsefulLifeDrawMax-nUsefulLifeDrawBase)*BETA.INV(RAND(),1.15,1.15))</f>
        <v/>
      </c>
      <c r="O151" s="45">
        <f>((nInference*nGpuIdx+nAmort)*nUtilCal/D151)*(nUsefulLifeDrawBase/N151-1)</f>
        <v/>
      </c>
      <c r="P151" s="1" t="n"/>
      <c r="Q151" s="1" t="n"/>
      <c r="R151" s="1" t="n"/>
      <c r="S151" s="1" t="n"/>
      <c r="T151" s="1" t="n"/>
      <c r="U151" s="1" t="n"/>
    </row>
    <row r="152" ht="12" customHeight="1">
      <c r="A152" s="1" t="n"/>
      <c r="B152" s="38" t="n">
        <v>132</v>
      </c>
      <c r="C152" s="114">
        <f>Assumptions!$F$8+RAND()*(Assumptions!$D$8-Assumptions!$F$8)</f>
        <v/>
      </c>
      <c r="D152" s="114">
        <f>Assumptions!$D$9+RAND()*(Assumptions!$F$9-Assumptions!$D$9)</f>
        <v/>
      </c>
      <c r="E152" s="71">
        <f>Assumptions!$F$11+RAND()*(Assumptions!$D$11-Assumptions!$F$11)</f>
        <v/>
      </c>
      <c r="F152" s="45">
        <f>nListPrice*(1-C152)-(nInference*nGpuIdx+nAmort)*nUtilCal/D152-nNetworking-nOverheadBase*(E152/nPowerCal)-nCodBase*(1+I152/12)-O152</f>
        <v/>
      </c>
      <c r="G152" s="66">
        <f>MAX(F152,0)/nDebtService</f>
        <v/>
      </c>
      <c r="H152" s="71">
        <f>Anthropic!$J$18*Anthropic!$J$27+Anthropic!$J$19*Anthropic!$J$28+Anthropic!$J$20*Anthropic!$J$29+Anthropic!$J$21*E152*(1+nPowerCagr)^4*(1+nResidualBasisMarkup+nScarcityAlpha*POWER(Anthropic!$J$21,nScarcityGamma))</f>
        <v/>
      </c>
      <c r="I152" s="113">
        <f>Assumptions!$F$10+RAND()*(Assumptions!$D$10-Assumptions!$F$10)</f>
        <v/>
      </c>
      <c r="J152" s="113">
        <f>RAND()*nCodSlipMaxMo</f>
        <v/>
      </c>
      <c r="K152" s="114">
        <f>nAvailDrawMin+RAND()*(nAvailDrawMax-nAvailDrawMin)</f>
        <v/>
      </c>
      <c r="L152" s="45">
        <f>IF(2034&lt;sNsmrCodU1+J152/12,0,(nNsmrCap+nNsmrOpx*(1+sNsmrOpxEsc)^8+nNsmrFuel*FuelEsc*(1+nFuelCagr)^8-nNsmrItc)*IF(2034&lt;sNsmrCodU1+J152/12+nStepFirst,1,IF(nStepGated="Yes",(1+nStepPct)^(INT((2034-sNsmrCodU1-J152/12-nStepFirst)/nStepEvery)+1),1))+nExclPrem*(1-nFlexRelief)-nProdCredit)</f>
        <v/>
      </c>
      <c r="M152" s="63">
        <f>MIN(nShortfallCapM,MAX(0,sNsmrAvailY2-K152)*sNsmrUnitMw*sNsmrUnits*8760*NsmrPrice2033/1000000)</f>
        <v/>
      </c>
      <c r="N152" s="82">
        <f>IF(RAND()&lt;0.5,nUsefulLifeDrawBase-(nUsefulLifeDrawBase-nUsefulLifeDrawMin)*BETA.INV(RAND(),1.15,1.15),nUsefulLifeDrawBase+(nUsefulLifeDrawMax-nUsefulLifeDrawBase)*BETA.INV(RAND(),1.15,1.15))</f>
        <v/>
      </c>
      <c r="O152" s="45">
        <f>((nInference*nGpuIdx+nAmort)*nUtilCal/D152)*(nUsefulLifeDrawBase/N152-1)</f>
        <v/>
      </c>
      <c r="P152" s="1" t="n"/>
      <c r="Q152" s="1" t="n"/>
      <c r="R152" s="1" t="n"/>
      <c r="S152" s="1" t="n"/>
      <c r="T152" s="1" t="n"/>
      <c r="U152" s="1" t="n"/>
    </row>
    <row r="153" ht="12" customHeight="1">
      <c r="A153" s="1" t="n"/>
      <c r="B153" s="38" t="n">
        <v>133</v>
      </c>
      <c r="C153" s="114">
        <f>Assumptions!$F$8+RAND()*(Assumptions!$D$8-Assumptions!$F$8)</f>
        <v/>
      </c>
      <c r="D153" s="114">
        <f>Assumptions!$D$9+RAND()*(Assumptions!$F$9-Assumptions!$D$9)</f>
        <v/>
      </c>
      <c r="E153" s="71">
        <f>Assumptions!$F$11+RAND()*(Assumptions!$D$11-Assumptions!$F$11)</f>
        <v/>
      </c>
      <c r="F153" s="45">
        <f>nListPrice*(1-C153)-(nInference*nGpuIdx+nAmort)*nUtilCal/D153-nNetworking-nOverheadBase*(E153/nPowerCal)-nCodBase*(1+I153/12)-O153</f>
        <v/>
      </c>
      <c r="G153" s="66">
        <f>MAX(F153,0)/nDebtService</f>
        <v/>
      </c>
      <c r="H153" s="71">
        <f>Anthropic!$J$18*Anthropic!$J$27+Anthropic!$J$19*Anthropic!$J$28+Anthropic!$J$20*Anthropic!$J$29+Anthropic!$J$21*E153*(1+nPowerCagr)^4*(1+nResidualBasisMarkup+nScarcityAlpha*POWER(Anthropic!$J$21,nScarcityGamma))</f>
        <v/>
      </c>
      <c r="I153" s="113">
        <f>Assumptions!$F$10+RAND()*(Assumptions!$D$10-Assumptions!$F$10)</f>
        <v/>
      </c>
      <c r="J153" s="113">
        <f>RAND()*nCodSlipMaxMo</f>
        <v/>
      </c>
      <c r="K153" s="114">
        <f>nAvailDrawMin+RAND()*(nAvailDrawMax-nAvailDrawMin)</f>
        <v/>
      </c>
      <c r="L153" s="45">
        <f>IF(2034&lt;sNsmrCodU1+J153/12,0,(nNsmrCap+nNsmrOpx*(1+sNsmrOpxEsc)^8+nNsmrFuel*FuelEsc*(1+nFuelCagr)^8-nNsmrItc)*IF(2034&lt;sNsmrCodU1+J153/12+nStepFirst,1,IF(nStepGated="Yes",(1+nStepPct)^(INT((2034-sNsmrCodU1-J153/12-nStepFirst)/nStepEvery)+1),1))+nExclPrem*(1-nFlexRelief)-nProdCredit)</f>
        <v/>
      </c>
      <c r="M153" s="63">
        <f>MIN(nShortfallCapM,MAX(0,sNsmrAvailY2-K153)*sNsmrUnitMw*sNsmrUnits*8760*NsmrPrice2033/1000000)</f>
        <v/>
      </c>
      <c r="N153" s="82">
        <f>IF(RAND()&lt;0.5,nUsefulLifeDrawBase-(nUsefulLifeDrawBase-nUsefulLifeDrawMin)*BETA.INV(RAND(),1.15,1.15),nUsefulLifeDrawBase+(nUsefulLifeDrawMax-nUsefulLifeDrawBase)*BETA.INV(RAND(),1.15,1.15))</f>
        <v/>
      </c>
      <c r="O153" s="45">
        <f>((nInference*nGpuIdx+nAmort)*nUtilCal/D153)*(nUsefulLifeDrawBase/N153-1)</f>
        <v/>
      </c>
      <c r="P153" s="1" t="n"/>
      <c r="Q153" s="1" t="n"/>
      <c r="R153" s="1" t="n"/>
      <c r="S153" s="1" t="n"/>
      <c r="T153" s="1" t="n"/>
      <c r="U153" s="1" t="n"/>
    </row>
    <row r="154" ht="12" customHeight="1">
      <c r="A154" s="1" t="n"/>
      <c r="B154" s="38" t="n">
        <v>134</v>
      </c>
      <c r="C154" s="114">
        <f>Assumptions!$F$8+RAND()*(Assumptions!$D$8-Assumptions!$F$8)</f>
        <v/>
      </c>
      <c r="D154" s="114">
        <f>Assumptions!$D$9+RAND()*(Assumptions!$F$9-Assumptions!$D$9)</f>
        <v/>
      </c>
      <c r="E154" s="71">
        <f>Assumptions!$F$11+RAND()*(Assumptions!$D$11-Assumptions!$F$11)</f>
        <v/>
      </c>
      <c r="F154" s="45">
        <f>nListPrice*(1-C154)-(nInference*nGpuIdx+nAmort)*nUtilCal/D154-nNetworking-nOverheadBase*(E154/nPowerCal)-nCodBase*(1+I154/12)-O154</f>
        <v/>
      </c>
      <c r="G154" s="66">
        <f>MAX(F154,0)/nDebtService</f>
        <v/>
      </c>
      <c r="H154" s="71">
        <f>Anthropic!$J$18*Anthropic!$J$27+Anthropic!$J$19*Anthropic!$J$28+Anthropic!$J$20*Anthropic!$J$29+Anthropic!$J$21*E154*(1+nPowerCagr)^4*(1+nResidualBasisMarkup+nScarcityAlpha*POWER(Anthropic!$J$21,nScarcityGamma))</f>
        <v/>
      </c>
      <c r="I154" s="113">
        <f>Assumptions!$F$10+RAND()*(Assumptions!$D$10-Assumptions!$F$10)</f>
        <v/>
      </c>
      <c r="J154" s="113">
        <f>RAND()*nCodSlipMaxMo</f>
        <v/>
      </c>
      <c r="K154" s="114">
        <f>nAvailDrawMin+RAND()*(nAvailDrawMax-nAvailDrawMin)</f>
        <v/>
      </c>
      <c r="L154" s="45">
        <f>IF(2034&lt;sNsmrCodU1+J154/12,0,(nNsmrCap+nNsmrOpx*(1+sNsmrOpxEsc)^8+nNsmrFuel*FuelEsc*(1+nFuelCagr)^8-nNsmrItc)*IF(2034&lt;sNsmrCodU1+J154/12+nStepFirst,1,IF(nStepGated="Yes",(1+nStepPct)^(INT((2034-sNsmrCodU1-J154/12-nStepFirst)/nStepEvery)+1),1))+nExclPrem*(1-nFlexRelief)-nProdCredit)</f>
        <v/>
      </c>
      <c r="M154" s="63">
        <f>MIN(nShortfallCapM,MAX(0,sNsmrAvailY2-K154)*sNsmrUnitMw*sNsmrUnits*8760*NsmrPrice2033/1000000)</f>
        <v/>
      </c>
      <c r="N154" s="82">
        <f>IF(RAND()&lt;0.5,nUsefulLifeDrawBase-(nUsefulLifeDrawBase-nUsefulLifeDrawMin)*BETA.INV(RAND(),1.15,1.15),nUsefulLifeDrawBase+(nUsefulLifeDrawMax-nUsefulLifeDrawBase)*BETA.INV(RAND(),1.15,1.15))</f>
        <v/>
      </c>
      <c r="O154" s="45">
        <f>((nInference*nGpuIdx+nAmort)*nUtilCal/D154)*(nUsefulLifeDrawBase/N154-1)</f>
        <v/>
      </c>
      <c r="P154" s="1" t="n"/>
      <c r="Q154" s="1" t="n"/>
      <c r="R154" s="1" t="n"/>
      <c r="S154" s="1" t="n"/>
      <c r="T154" s="1" t="n"/>
      <c r="U154" s="1" t="n"/>
    </row>
    <row r="155" ht="12" customHeight="1">
      <c r="A155" s="1" t="n"/>
      <c r="B155" s="38" t="n">
        <v>135</v>
      </c>
      <c r="C155" s="114">
        <f>Assumptions!$F$8+RAND()*(Assumptions!$D$8-Assumptions!$F$8)</f>
        <v/>
      </c>
      <c r="D155" s="114">
        <f>Assumptions!$D$9+RAND()*(Assumptions!$F$9-Assumptions!$D$9)</f>
        <v/>
      </c>
      <c r="E155" s="71">
        <f>Assumptions!$F$11+RAND()*(Assumptions!$D$11-Assumptions!$F$11)</f>
        <v/>
      </c>
      <c r="F155" s="45">
        <f>nListPrice*(1-C155)-(nInference*nGpuIdx+nAmort)*nUtilCal/D155-nNetworking-nOverheadBase*(E155/nPowerCal)-nCodBase*(1+I155/12)-O155</f>
        <v/>
      </c>
      <c r="G155" s="66">
        <f>MAX(F155,0)/nDebtService</f>
        <v/>
      </c>
      <c r="H155" s="71">
        <f>Anthropic!$J$18*Anthropic!$J$27+Anthropic!$J$19*Anthropic!$J$28+Anthropic!$J$20*Anthropic!$J$29+Anthropic!$J$21*E155*(1+nPowerCagr)^4*(1+nResidualBasisMarkup+nScarcityAlpha*POWER(Anthropic!$J$21,nScarcityGamma))</f>
        <v/>
      </c>
      <c r="I155" s="113">
        <f>Assumptions!$F$10+RAND()*(Assumptions!$D$10-Assumptions!$F$10)</f>
        <v/>
      </c>
      <c r="J155" s="113">
        <f>RAND()*nCodSlipMaxMo</f>
        <v/>
      </c>
      <c r="K155" s="114">
        <f>nAvailDrawMin+RAND()*(nAvailDrawMax-nAvailDrawMin)</f>
        <v/>
      </c>
      <c r="L155" s="45">
        <f>IF(2034&lt;sNsmrCodU1+J155/12,0,(nNsmrCap+nNsmrOpx*(1+sNsmrOpxEsc)^8+nNsmrFuel*FuelEsc*(1+nFuelCagr)^8-nNsmrItc)*IF(2034&lt;sNsmrCodU1+J155/12+nStepFirst,1,IF(nStepGated="Yes",(1+nStepPct)^(INT((2034-sNsmrCodU1-J155/12-nStepFirst)/nStepEvery)+1),1))+nExclPrem*(1-nFlexRelief)-nProdCredit)</f>
        <v/>
      </c>
      <c r="M155" s="63">
        <f>MIN(nShortfallCapM,MAX(0,sNsmrAvailY2-K155)*sNsmrUnitMw*sNsmrUnits*8760*NsmrPrice2033/1000000)</f>
        <v/>
      </c>
      <c r="N155" s="82">
        <f>IF(RAND()&lt;0.5,nUsefulLifeDrawBase-(nUsefulLifeDrawBase-nUsefulLifeDrawMin)*BETA.INV(RAND(),1.15,1.15),nUsefulLifeDrawBase+(nUsefulLifeDrawMax-nUsefulLifeDrawBase)*BETA.INV(RAND(),1.15,1.15))</f>
        <v/>
      </c>
      <c r="O155" s="45">
        <f>((nInference*nGpuIdx+nAmort)*nUtilCal/D155)*(nUsefulLifeDrawBase/N155-1)</f>
        <v/>
      </c>
      <c r="P155" s="1" t="n"/>
      <c r="Q155" s="1" t="n"/>
      <c r="R155" s="1" t="n"/>
      <c r="S155" s="1" t="n"/>
      <c r="T155" s="1" t="n"/>
      <c r="U155" s="1" t="n"/>
    </row>
    <row r="156" ht="12" customHeight="1">
      <c r="A156" s="1" t="n"/>
      <c r="B156" s="38" t="n">
        <v>136</v>
      </c>
      <c r="C156" s="114">
        <f>Assumptions!$F$8+RAND()*(Assumptions!$D$8-Assumptions!$F$8)</f>
        <v/>
      </c>
      <c r="D156" s="114">
        <f>Assumptions!$D$9+RAND()*(Assumptions!$F$9-Assumptions!$D$9)</f>
        <v/>
      </c>
      <c r="E156" s="71">
        <f>Assumptions!$F$11+RAND()*(Assumptions!$D$11-Assumptions!$F$11)</f>
        <v/>
      </c>
      <c r="F156" s="45">
        <f>nListPrice*(1-C156)-(nInference*nGpuIdx+nAmort)*nUtilCal/D156-nNetworking-nOverheadBase*(E156/nPowerCal)-nCodBase*(1+I156/12)-O156</f>
        <v/>
      </c>
      <c r="G156" s="66">
        <f>MAX(F156,0)/nDebtService</f>
        <v/>
      </c>
      <c r="H156" s="71">
        <f>Anthropic!$J$18*Anthropic!$J$27+Anthropic!$J$19*Anthropic!$J$28+Anthropic!$J$20*Anthropic!$J$29+Anthropic!$J$21*E156*(1+nPowerCagr)^4*(1+nResidualBasisMarkup+nScarcityAlpha*POWER(Anthropic!$J$21,nScarcityGamma))</f>
        <v/>
      </c>
      <c r="I156" s="113">
        <f>Assumptions!$F$10+RAND()*(Assumptions!$D$10-Assumptions!$F$10)</f>
        <v/>
      </c>
      <c r="J156" s="113">
        <f>RAND()*nCodSlipMaxMo</f>
        <v/>
      </c>
      <c r="K156" s="114">
        <f>nAvailDrawMin+RAND()*(nAvailDrawMax-nAvailDrawMin)</f>
        <v/>
      </c>
      <c r="L156" s="45">
        <f>IF(2034&lt;sNsmrCodU1+J156/12,0,(nNsmrCap+nNsmrOpx*(1+sNsmrOpxEsc)^8+nNsmrFuel*FuelEsc*(1+nFuelCagr)^8-nNsmrItc)*IF(2034&lt;sNsmrCodU1+J156/12+nStepFirst,1,IF(nStepGated="Yes",(1+nStepPct)^(INT((2034-sNsmrCodU1-J156/12-nStepFirst)/nStepEvery)+1),1))+nExclPrem*(1-nFlexRelief)-nProdCredit)</f>
        <v/>
      </c>
      <c r="M156" s="63">
        <f>MIN(nShortfallCapM,MAX(0,sNsmrAvailY2-K156)*sNsmrUnitMw*sNsmrUnits*8760*NsmrPrice2033/1000000)</f>
        <v/>
      </c>
      <c r="N156" s="82">
        <f>IF(RAND()&lt;0.5,nUsefulLifeDrawBase-(nUsefulLifeDrawBase-nUsefulLifeDrawMin)*BETA.INV(RAND(),1.15,1.15),nUsefulLifeDrawBase+(nUsefulLifeDrawMax-nUsefulLifeDrawBase)*BETA.INV(RAND(),1.15,1.15))</f>
        <v/>
      </c>
      <c r="O156" s="45">
        <f>((nInference*nGpuIdx+nAmort)*nUtilCal/D156)*(nUsefulLifeDrawBase/N156-1)</f>
        <v/>
      </c>
      <c r="P156" s="1" t="n"/>
      <c r="Q156" s="1" t="n"/>
      <c r="R156" s="1" t="n"/>
      <c r="S156" s="1" t="n"/>
      <c r="T156" s="1" t="n"/>
      <c r="U156" s="1" t="n"/>
    </row>
    <row r="157" ht="12" customHeight="1">
      <c r="A157" s="1" t="n"/>
      <c r="B157" s="38" t="n">
        <v>137</v>
      </c>
      <c r="C157" s="114">
        <f>Assumptions!$F$8+RAND()*(Assumptions!$D$8-Assumptions!$F$8)</f>
        <v/>
      </c>
      <c r="D157" s="114">
        <f>Assumptions!$D$9+RAND()*(Assumptions!$F$9-Assumptions!$D$9)</f>
        <v/>
      </c>
      <c r="E157" s="71">
        <f>Assumptions!$F$11+RAND()*(Assumptions!$D$11-Assumptions!$F$11)</f>
        <v/>
      </c>
      <c r="F157" s="45">
        <f>nListPrice*(1-C157)-(nInference*nGpuIdx+nAmort)*nUtilCal/D157-nNetworking-nOverheadBase*(E157/nPowerCal)-nCodBase*(1+I157/12)-O157</f>
        <v/>
      </c>
      <c r="G157" s="66">
        <f>MAX(F157,0)/nDebtService</f>
        <v/>
      </c>
      <c r="H157" s="71">
        <f>Anthropic!$J$18*Anthropic!$J$27+Anthropic!$J$19*Anthropic!$J$28+Anthropic!$J$20*Anthropic!$J$29+Anthropic!$J$21*E157*(1+nPowerCagr)^4*(1+nResidualBasisMarkup+nScarcityAlpha*POWER(Anthropic!$J$21,nScarcityGamma))</f>
        <v/>
      </c>
      <c r="I157" s="113">
        <f>Assumptions!$F$10+RAND()*(Assumptions!$D$10-Assumptions!$F$10)</f>
        <v/>
      </c>
      <c r="J157" s="113">
        <f>RAND()*nCodSlipMaxMo</f>
        <v/>
      </c>
      <c r="K157" s="114">
        <f>nAvailDrawMin+RAND()*(nAvailDrawMax-nAvailDrawMin)</f>
        <v/>
      </c>
      <c r="L157" s="45">
        <f>IF(2034&lt;sNsmrCodU1+J157/12,0,(nNsmrCap+nNsmrOpx*(1+sNsmrOpxEsc)^8+nNsmrFuel*FuelEsc*(1+nFuelCagr)^8-nNsmrItc)*IF(2034&lt;sNsmrCodU1+J157/12+nStepFirst,1,IF(nStepGated="Yes",(1+nStepPct)^(INT((2034-sNsmrCodU1-J157/12-nStepFirst)/nStepEvery)+1),1))+nExclPrem*(1-nFlexRelief)-nProdCredit)</f>
        <v/>
      </c>
      <c r="M157" s="63">
        <f>MIN(nShortfallCapM,MAX(0,sNsmrAvailY2-K157)*sNsmrUnitMw*sNsmrUnits*8760*NsmrPrice2033/1000000)</f>
        <v/>
      </c>
      <c r="N157" s="82">
        <f>IF(RAND()&lt;0.5,nUsefulLifeDrawBase-(nUsefulLifeDrawBase-nUsefulLifeDrawMin)*BETA.INV(RAND(),1.15,1.15),nUsefulLifeDrawBase+(nUsefulLifeDrawMax-nUsefulLifeDrawBase)*BETA.INV(RAND(),1.15,1.15))</f>
        <v/>
      </c>
      <c r="O157" s="45">
        <f>((nInference*nGpuIdx+nAmort)*nUtilCal/D157)*(nUsefulLifeDrawBase/N157-1)</f>
        <v/>
      </c>
      <c r="P157" s="1" t="n"/>
      <c r="Q157" s="1" t="n"/>
      <c r="R157" s="1" t="n"/>
      <c r="S157" s="1" t="n"/>
      <c r="T157" s="1" t="n"/>
      <c r="U157" s="1" t="n"/>
    </row>
    <row r="158" ht="12" customHeight="1">
      <c r="A158" s="1" t="n"/>
      <c r="B158" s="38" t="n">
        <v>138</v>
      </c>
      <c r="C158" s="114">
        <f>Assumptions!$F$8+RAND()*(Assumptions!$D$8-Assumptions!$F$8)</f>
        <v/>
      </c>
      <c r="D158" s="114">
        <f>Assumptions!$D$9+RAND()*(Assumptions!$F$9-Assumptions!$D$9)</f>
        <v/>
      </c>
      <c r="E158" s="71">
        <f>Assumptions!$F$11+RAND()*(Assumptions!$D$11-Assumptions!$F$11)</f>
        <v/>
      </c>
      <c r="F158" s="45">
        <f>nListPrice*(1-C158)-(nInference*nGpuIdx+nAmort)*nUtilCal/D158-nNetworking-nOverheadBase*(E158/nPowerCal)-nCodBase*(1+I158/12)-O158</f>
        <v/>
      </c>
      <c r="G158" s="66">
        <f>MAX(F158,0)/nDebtService</f>
        <v/>
      </c>
      <c r="H158" s="71">
        <f>Anthropic!$J$18*Anthropic!$J$27+Anthropic!$J$19*Anthropic!$J$28+Anthropic!$J$20*Anthropic!$J$29+Anthropic!$J$21*E158*(1+nPowerCagr)^4*(1+nResidualBasisMarkup+nScarcityAlpha*POWER(Anthropic!$J$21,nScarcityGamma))</f>
        <v/>
      </c>
      <c r="I158" s="113">
        <f>Assumptions!$F$10+RAND()*(Assumptions!$D$10-Assumptions!$F$10)</f>
        <v/>
      </c>
      <c r="J158" s="113">
        <f>RAND()*nCodSlipMaxMo</f>
        <v/>
      </c>
      <c r="K158" s="114">
        <f>nAvailDrawMin+RAND()*(nAvailDrawMax-nAvailDrawMin)</f>
        <v/>
      </c>
      <c r="L158" s="45">
        <f>IF(2034&lt;sNsmrCodU1+J158/12,0,(nNsmrCap+nNsmrOpx*(1+sNsmrOpxEsc)^8+nNsmrFuel*FuelEsc*(1+nFuelCagr)^8-nNsmrItc)*IF(2034&lt;sNsmrCodU1+J158/12+nStepFirst,1,IF(nStepGated="Yes",(1+nStepPct)^(INT((2034-sNsmrCodU1-J158/12-nStepFirst)/nStepEvery)+1),1))+nExclPrem*(1-nFlexRelief)-nProdCredit)</f>
        <v/>
      </c>
      <c r="M158" s="63">
        <f>MIN(nShortfallCapM,MAX(0,sNsmrAvailY2-K158)*sNsmrUnitMw*sNsmrUnits*8760*NsmrPrice2033/1000000)</f>
        <v/>
      </c>
      <c r="N158" s="82">
        <f>IF(RAND()&lt;0.5,nUsefulLifeDrawBase-(nUsefulLifeDrawBase-nUsefulLifeDrawMin)*BETA.INV(RAND(),1.15,1.15),nUsefulLifeDrawBase+(nUsefulLifeDrawMax-nUsefulLifeDrawBase)*BETA.INV(RAND(),1.15,1.15))</f>
        <v/>
      </c>
      <c r="O158" s="45">
        <f>((nInference*nGpuIdx+nAmort)*nUtilCal/D158)*(nUsefulLifeDrawBase/N158-1)</f>
        <v/>
      </c>
      <c r="P158" s="1" t="n"/>
      <c r="Q158" s="1" t="n"/>
      <c r="R158" s="1" t="n"/>
      <c r="S158" s="1" t="n"/>
      <c r="T158" s="1" t="n"/>
      <c r="U158" s="1" t="n"/>
    </row>
    <row r="159" ht="12" customHeight="1">
      <c r="A159" s="1" t="n"/>
      <c r="B159" s="38" t="n">
        <v>139</v>
      </c>
      <c r="C159" s="114">
        <f>Assumptions!$F$8+RAND()*(Assumptions!$D$8-Assumptions!$F$8)</f>
        <v/>
      </c>
      <c r="D159" s="114">
        <f>Assumptions!$D$9+RAND()*(Assumptions!$F$9-Assumptions!$D$9)</f>
        <v/>
      </c>
      <c r="E159" s="71">
        <f>Assumptions!$F$11+RAND()*(Assumptions!$D$11-Assumptions!$F$11)</f>
        <v/>
      </c>
      <c r="F159" s="45">
        <f>nListPrice*(1-C159)-(nInference*nGpuIdx+nAmort)*nUtilCal/D159-nNetworking-nOverheadBase*(E159/nPowerCal)-nCodBase*(1+I159/12)-O159</f>
        <v/>
      </c>
      <c r="G159" s="66">
        <f>MAX(F159,0)/nDebtService</f>
        <v/>
      </c>
      <c r="H159" s="71">
        <f>Anthropic!$J$18*Anthropic!$J$27+Anthropic!$J$19*Anthropic!$J$28+Anthropic!$J$20*Anthropic!$J$29+Anthropic!$J$21*E159*(1+nPowerCagr)^4*(1+nResidualBasisMarkup+nScarcityAlpha*POWER(Anthropic!$J$21,nScarcityGamma))</f>
        <v/>
      </c>
      <c r="I159" s="113">
        <f>Assumptions!$F$10+RAND()*(Assumptions!$D$10-Assumptions!$F$10)</f>
        <v/>
      </c>
      <c r="J159" s="113">
        <f>RAND()*nCodSlipMaxMo</f>
        <v/>
      </c>
      <c r="K159" s="114">
        <f>nAvailDrawMin+RAND()*(nAvailDrawMax-nAvailDrawMin)</f>
        <v/>
      </c>
      <c r="L159" s="45">
        <f>IF(2034&lt;sNsmrCodU1+J159/12,0,(nNsmrCap+nNsmrOpx*(1+sNsmrOpxEsc)^8+nNsmrFuel*FuelEsc*(1+nFuelCagr)^8-nNsmrItc)*IF(2034&lt;sNsmrCodU1+J159/12+nStepFirst,1,IF(nStepGated="Yes",(1+nStepPct)^(INT((2034-sNsmrCodU1-J159/12-nStepFirst)/nStepEvery)+1),1))+nExclPrem*(1-nFlexRelief)-nProdCredit)</f>
        <v/>
      </c>
      <c r="M159" s="63">
        <f>MIN(nShortfallCapM,MAX(0,sNsmrAvailY2-K159)*sNsmrUnitMw*sNsmrUnits*8760*NsmrPrice2033/1000000)</f>
        <v/>
      </c>
      <c r="N159" s="82">
        <f>IF(RAND()&lt;0.5,nUsefulLifeDrawBase-(nUsefulLifeDrawBase-nUsefulLifeDrawMin)*BETA.INV(RAND(),1.15,1.15),nUsefulLifeDrawBase+(nUsefulLifeDrawMax-nUsefulLifeDrawBase)*BETA.INV(RAND(),1.15,1.15))</f>
        <v/>
      </c>
      <c r="O159" s="45">
        <f>((nInference*nGpuIdx+nAmort)*nUtilCal/D159)*(nUsefulLifeDrawBase/N159-1)</f>
        <v/>
      </c>
      <c r="P159" s="1" t="n"/>
      <c r="Q159" s="1" t="n"/>
      <c r="R159" s="1" t="n"/>
      <c r="S159" s="1" t="n"/>
      <c r="T159" s="1" t="n"/>
      <c r="U159" s="1" t="n"/>
    </row>
    <row r="160" ht="12" customHeight="1">
      <c r="A160" s="1" t="n"/>
      <c r="B160" s="38" t="n">
        <v>140</v>
      </c>
      <c r="C160" s="114">
        <f>Assumptions!$F$8+RAND()*(Assumptions!$D$8-Assumptions!$F$8)</f>
        <v/>
      </c>
      <c r="D160" s="114">
        <f>Assumptions!$D$9+RAND()*(Assumptions!$F$9-Assumptions!$D$9)</f>
        <v/>
      </c>
      <c r="E160" s="71">
        <f>Assumptions!$F$11+RAND()*(Assumptions!$D$11-Assumptions!$F$11)</f>
        <v/>
      </c>
      <c r="F160" s="45">
        <f>nListPrice*(1-C160)-(nInference*nGpuIdx+nAmort)*nUtilCal/D160-nNetworking-nOverheadBase*(E160/nPowerCal)-nCodBase*(1+I160/12)-O160</f>
        <v/>
      </c>
      <c r="G160" s="66">
        <f>MAX(F160,0)/nDebtService</f>
        <v/>
      </c>
      <c r="H160" s="71">
        <f>Anthropic!$J$18*Anthropic!$J$27+Anthropic!$J$19*Anthropic!$J$28+Anthropic!$J$20*Anthropic!$J$29+Anthropic!$J$21*E160*(1+nPowerCagr)^4*(1+nResidualBasisMarkup+nScarcityAlpha*POWER(Anthropic!$J$21,nScarcityGamma))</f>
        <v/>
      </c>
      <c r="I160" s="113">
        <f>Assumptions!$F$10+RAND()*(Assumptions!$D$10-Assumptions!$F$10)</f>
        <v/>
      </c>
      <c r="J160" s="113">
        <f>RAND()*nCodSlipMaxMo</f>
        <v/>
      </c>
      <c r="K160" s="114">
        <f>nAvailDrawMin+RAND()*(nAvailDrawMax-nAvailDrawMin)</f>
        <v/>
      </c>
      <c r="L160" s="45">
        <f>IF(2034&lt;sNsmrCodU1+J160/12,0,(nNsmrCap+nNsmrOpx*(1+sNsmrOpxEsc)^8+nNsmrFuel*FuelEsc*(1+nFuelCagr)^8-nNsmrItc)*IF(2034&lt;sNsmrCodU1+J160/12+nStepFirst,1,IF(nStepGated="Yes",(1+nStepPct)^(INT((2034-sNsmrCodU1-J160/12-nStepFirst)/nStepEvery)+1),1))+nExclPrem*(1-nFlexRelief)-nProdCredit)</f>
        <v/>
      </c>
      <c r="M160" s="63">
        <f>MIN(nShortfallCapM,MAX(0,sNsmrAvailY2-K160)*sNsmrUnitMw*sNsmrUnits*8760*NsmrPrice2033/1000000)</f>
        <v/>
      </c>
      <c r="N160" s="82">
        <f>IF(RAND()&lt;0.5,nUsefulLifeDrawBase-(nUsefulLifeDrawBase-nUsefulLifeDrawMin)*BETA.INV(RAND(),1.15,1.15),nUsefulLifeDrawBase+(nUsefulLifeDrawMax-nUsefulLifeDrawBase)*BETA.INV(RAND(),1.15,1.15))</f>
        <v/>
      </c>
      <c r="O160" s="45">
        <f>((nInference*nGpuIdx+nAmort)*nUtilCal/D160)*(nUsefulLifeDrawBase/N160-1)</f>
        <v/>
      </c>
      <c r="P160" s="1" t="n"/>
      <c r="Q160" s="1" t="n"/>
      <c r="R160" s="1" t="n"/>
      <c r="S160" s="1" t="n"/>
      <c r="T160" s="1" t="n"/>
      <c r="U160" s="1" t="n"/>
    </row>
    <row r="161" ht="12" customHeight="1">
      <c r="A161" s="1" t="n"/>
      <c r="B161" s="38" t="n">
        <v>141</v>
      </c>
      <c r="C161" s="114">
        <f>Assumptions!$F$8+RAND()*(Assumptions!$D$8-Assumptions!$F$8)</f>
        <v/>
      </c>
      <c r="D161" s="114">
        <f>Assumptions!$D$9+RAND()*(Assumptions!$F$9-Assumptions!$D$9)</f>
        <v/>
      </c>
      <c r="E161" s="71">
        <f>Assumptions!$F$11+RAND()*(Assumptions!$D$11-Assumptions!$F$11)</f>
        <v/>
      </c>
      <c r="F161" s="45">
        <f>nListPrice*(1-C161)-(nInference*nGpuIdx+nAmort)*nUtilCal/D161-nNetworking-nOverheadBase*(E161/nPowerCal)-nCodBase*(1+I161/12)-O161</f>
        <v/>
      </c>
      <c r="G161" s="66">
        <f>MAX(F161,0)/nDebtService</f>
        <v/>
      </c>
      <c r="H161" s="71">
        <f>Anthropic!$J$18*Anthropic!$J$27+Anthropic!$J$19*Anthropic!$J$28+Anthropic!$J$20*Anthropic!$J$29+Anthropic!$J$21*E161*(1+nPowerCagr)^4*(1+nResidualBasisMarkup+nScarcityAlpha*POWER(Anthropic!$J$21,nScarcityGamma))</f>
        <v/>
      </c>
      <c r="I161" s="113">
        <f>Assumptions!$F$10+RAND()*(Assumptions!$D$10-Assumptions!$F$10)</f>
        <v/>
      </c>
      <c r="J161" s="113">
        <f>RAND()*nCodSlipMaxMo</f>
        <v/>
      </c>
      <c r="K161" s="114">
        <f>nAvailDrawMin+RAND()*(nAvailDrawMax-nAvailDrawMin)</f>
        <v/>
      </c>
      <c r="L161" s="45">
        <f>IF(2034&lt;sNsmrCodU1+J161/12,0,(nNsmrCap+nNsmrOpx*(1+sNsmrOpxEsc)^8+nNsmrFuel*FuelEsc*(1+nFuelCagr)^8-nNsmrItc)*IF(2034&lt;sNsmrCodU1+J161/12+nStepFirst,1,IF(nStepGated="Yes",(1+nStepPct)^(INT((2034-sNsmrCodU1-J161/12-nStepFirst)/nStepEvery)+1),1))+nExclPrem*(1-nFlexRelief)-nProdCredit)</f>
        <v/>
      </c>
      <c r="M161" s="63">
        <f>MIN(nShortfallCapM,MAX(0,sNsmrAvailY2-K161)*sNsmrUnitMw*sNsmrUnits*8760*NsmrPrice2033/1000000)</f>
        <v/>
      </c>
      <c r="N161" s="82">
        <f>IF(RAND()&lt;0.5,nUsefulLifeDrawBase-(nUsefulLifeDrawBase-nUsefulLifeDrawMin)*BETA.INV(RAND(),1.15,1.15),nUsefulLifeDrawBase+(nUsefulLifeDrawMax-nUsefulLifeDrawBase)*BETA.INV(RAND(),1.15,1.15))</f>
        <v/>
      </c>
      <c r="O161" s="45">
        <f>((nInference*nGpuIdx+nAmort)*nUtilCal/D161)*(nUsefulLifeDrawBase/N161-1)</f>
        <v/>
      </c>
      <c r="P161" s="1" t="n"/>
      <c r="Q161" s="1" t="n"/>
      <c r="R161" s="1" t="n"/>
      <c r="S161" s="1" t="n"/>
      <c r="T161" s="1" t="n"/>
      <c r="U161" s="1" t="n"/>
    </row>
    <row r="162" ht="12" customHeight="1">
      <c r="A162" s="1" t="n"/>
      <c r="B162" s="38" t="n">
        <v>142</v>
      </c>
      <c r="C162" s="114">
        <f>Assumptions!$F$8+RAND()*(Assumptions!$D$8-Assumptions!$F$8)</f>
        <v/>
      </c>
      <c r="D162" s="114">
        <f>Assumptions!$D$9+RAND()*(Assumptions!$F$9-Assumptions!$D$9)</f>
        <v/>
      </c>
      <c r="E162" s="71">
        <f>Assumptions!$F$11+RAND()*(Assumptions!$D$11-Assumptions!$F$11)</f>
        <v/>
      </c>
      <c r="F162" s="45">
        <f>nListPrice*(1-C162)-(nInference*nGpuIdx+nAmort)*nUtilCal/D162-nNetworking-nOverheadBase*(E162/nPowerCal)-nCodBase*(1+I162/12)-O162</f>
        <v/>
      </c>
      <c r="G162" s="66">
        <f>MAX(F162,0)/nDebtService</f>
        <v/>
      </c>
      <c r="H162" s="71">
        <f>Anthropic!$J$18*Anthropic!$J$27+Anthropic!$J$19*Anthropic!$J$28+Anthropic!$J$20*Anthropic!$J$29+Anthropic!$J$21*E162*(1+nPowerCagr)^4*(1+nResidualBasisMarkup+nScarcityAlpha*POWER(Anthropic!$J$21,nScarcityGamma))</f>
        <v/>
      </c>
      <c r="I162" s="113">
        <f>Assumptions!$F$10+RAND()*(Assumptions!$D$10-Assumptions!$F$10)</f>
        <v/>
      </c>
      <c r="J162" s="113">
        <f>RAND()*nCodSlipMaxMo</f>
        <v/>
      </c>
      <c r="K162" s="114">
        <f>nAvailDrawMin+RAND()*(nAvailDrawMax-nAvailDrawMin)</f>
        <v/>
      </c>
      <c r="L162" s="45">
        <f>IF(2034&lt;sNsmrCodU1+J162/12,0,(nNsmrCap+nNsmrOpx*(1+sNsmrOpxEsc)^8+nNsmrFuel*FuelEsc*(1+nFuelCagr)^8-nNsmrItc)*IF(2034&lt;sNsmrCodU1+J162/12+nStepFirst,1,IF(nStepGated="Yes",(1+nStepPct)^(INT((2034-sNsmrCodU1-J162/12-nStepFirst)/nStepEvery)+1),1))+nExclPrem*(1-nFlexRelief)-nProdCredit)</f>
        <v/>
      </c>
      <c r="M162" s="63">
        <f>MIN(nShortfallCapM,MAX(0,sNsmrAvailY2-K162)*sNsmrUnitMw*sNsmrUnits*8760*NsmrPrice2033/1000000)</f>
        <v/>
      </c>
      <c r="N162" s="82">
        <f>IF(RAND()&lt;0.5,nUsefulLifeDrawBase-(nUsefulLifeDrawBase-nUsefulLifeDrawMin)*BETA.INV(RAND(),1.15,1.15),nUsefulLifeDrawBase+(nUsefulLifeDrawMax-nUsefulLifeDrawBase)*BETA.INV(RAND(),1.15,1.15))</f>
        <v/>
      </c>
      <c r="O162" s="45">
        <f>((nInference*nGpuIdx+nAmort)*nUtilCal/D162)*(nUsefulLifeDrawBase/N162-1)</f>
        <v/>
      </c>
      <c r="P162" s="1" t="n"/>
      <c r="Q162" s="1" t="n"/>
      <c r="R162" s="1" t="n"/>
      <c r="S162" s="1" t="n"/>
      <c r="T162" s="1" t="n"/>
      <c r="U162" s="1" t="n"/>
    </row>
    <row r="163" ht="12" customHeight="1">
      <c r="A163" s="1" t="n"/>
      <c r="B163" s="38" t="n">
        <v>143</v>
      </c>
      <c r="C163" s="114">
        <f>Assumptions!$F$8+RAND()*(Assumptions!$D$8-Assumptions!$F$8)</f>
        <v/>
      </c>
      <c r="D163" s="114">
        <f>Assumptions!$D$9+RAND()*(Assumptions!$F$9-Assumptions!$D$9)</f>
        <v/>
      </c>
      <c r="E163" s="71">
        <f>Assumptions!$F$11+RAND()*(Assumptions!$D$11-Assumptions!$F$11)</f>
        <v/>
      </c>
      <c r="F163" s="45">
        <f>nListPrice*(1-C163)-(nInference*nGpuIdx+nAmort)*nUtilCal/D163-nNetworking-nOverheadBase*(E163/nPowerCal)-nCodBase*(1+I163/12)-O163</f>
        <v/>
      </c>
      <c r="G163" s="66">
        <f>MAX(F163,0)/nDebtService</f>
        <v/>
      </c>
      <c r="H163" s="71">
        <f>Anthropic!$J$18*Anthropic!$J$27+Anthropic!$J$19*Anthropic!$J$28+Anthropic!$J$20*Anthropic!$J$29+Anthropic!$J$21*E163*(1+nPowerCagr)^4*(1+nResidualBasisMarkup+nScarcityAlpha*POWER(Anthropic!$J$21,nScarcityGamma))</f>
        <v/>
      </c>
      <c r="I163" s="113">
        <f>Assumptions!$F$10+RAND()*(Assumptions!$D$10-Assumptions!$F$10)</f>
        <v/>
      </c>
      <c r="J163" s="113">
        <f>RAND()*nCodSlipMaxMo</f>
        <v/>
      </c>
      <c r="K163" s="114">
        <f>nAvailDrawMin+RAND()*(nAvailDrawMax-nAvailDrawMin)</f>
        <v/>
      </c>
      <c r="L163" s="45">
        <f>IF(2034&lt;sNsmrCodU1+J163/12,0,(nNsmrCap+nNsmrOpx*(1+sNsmrOpxEsc)^8+nNsmrFuel*FuelEsc*(1+nFuelCagr)^8-nNsmrItc)*IF(2034&lt;sNsmrCodU1+J163/12+nStepFirst,1,IF(nStepGated="Yes",(1+nStepPct)^(INT((2034-sNsmrCodU1-J163/12-nStepFirst)/nStepEvery)+1),1))+nExclPrem*(1-nFlexRelief)-nProdCredit)</f>
        <v/>
      </c>
      <c r="M163" s="63">
        <f>MIN(nShortfallCapM,MAX(0,sNsmrAvailY2-K163)*sNsmrUnitMw*sNsmrUnits*8760*NsmrPrice2033/1000000)</f>
        <v/>
      </c>
      <c r="N163" s="82">
        <f>IF(RAND()&lt;0.5,nUsefulLifeDrawBase-(nUsefulLifeDrawBase-nUsefulLifeDrawMin)*BETA.INV(RAND(),1.15,1.15),nUsefulLifeDrawBase+(nUsefulLifeDrawMax-nUsefulLifeDrawBase)*BETA.INV(RAND(),1.15,1.15))</f>
        <v/>
      </c>
      <c r="O163" s="45">
        <f>((nInference*nGpuIdx+nAmort)*nUtilCal/D163)*(nUsefulLifeDrawBase/N163-1)</f>
        <v/>
      </c>
      <c r="P163" s="1" t="n"/>
      <c r="Q163" s="1" t="n"/>
      <c r="R163" s="1" t="n"/>
      <c r="S163" s="1" t="n"/>
      <c r="T163" s="1" t="n"/>
      <c r="U163" s="1" t="n"/>
    </row>
    <row r="164" ht="12" customHeight="1">
      <c r="A164" s="1" t="n"/>
      <c r="B164" s="38" t="n">
        <v>144</v>
      </c>
      <c r="C164" s="114">
        <f>Assumptions!$F$8+RAND()*(Assumptions!$D$8-Assumptions!$F$8)</f>
        <v/>
      </c>
      <c r="D164" s="114">
        <f>Assumptions!$D$9+RAND()*(Assumptions!$F$9-Assumptions!$D$9)</f>
        <v/>
      </c>
      <c r="E164" s="71">
        <f>Assumptions!$F$11+RAND()*(Assumptions!$D$11-Assumptions!$F$11)</f>
        <v/>
      </c>
      <c r="F164" s="45">
        <f>nListPrice*(1-C164)-(nInference*nGpuIdx+nAmort)*nUtilCal/D164-nNetworking-nOverheadBase*(E164/nPowerCal)-nCodBase*(1+I164/12)-O164</f>
        <v/>
      </c>
      <c r="G164" s="66">
        <f>MAX(F164,0)/nDebtService</f>
        <v/>
      </c>
      <c r="H164" s="71">
        <f>Anthropic!$J$18*Anthropic!$J$27+Anthropic!$J$19*Anthropic!$J$28+Anthropic!$J$20*Anthropic!$J$29+Anthropic!$J$21*E164*(1+nPowerCagr)^4*(1+nResidualBasisMarkup+nScarcityAlpha*POWER(Anthropic!$J$21,nScarcityGamma))</f>
        <v/>
      </c>
      <c r="I164" s="113">
        <f>Assumptions!$F$10+RAND()*(Assumptions!$D$10-Assumptions!$F$10)</f>
        <v/>
      </c>
      <c r="J164" s="113">
        <f>RAND()*nCodSlipMaxMo</f>
        <v/>
      </c>
      <c r="K164" s="114">
        <f>nAvailDrawMin+RAND()*(nAvailDrawMax-nAvailDrawMin)</f>
        <v/>
      </c>
      <c r="L164" s="45">
        <f>IF(2034&lt;sNsmrCodU1+J164/12,0,(nNsmrCap+nNsmrOpx*(1+sNsmrOpxEsc)^8+nNsmrFuel*FuelEsc*(1+nFuelCagr)^8-nNsmrItc)*IF(2034&lt;sNsmrCodU1+J164/12+nStepFirst,1,IF(nStepGated="Yes",(1+nStepPct)^(INT((2034-sNsmrCodU1-J164/12-nStepFirst)/nStepEvery)+1),1))+nExclPrem*(1-nFlexRelief)-nProdCredit)</f>
        <v/>
      </c>
      <c r="M164" s="63">
        <f>MIN(nShortfallCapM,MAX(0,sNsmrAvailY2-K164)*sNsmrUnitMw*sNsmrUnits*8760*NsmrPrice2033/1000000)</f>
        <v/>
      </c>
      <c r="N164" s="82">
        <f>IF(RAND()&lt;0.5,nUsefulLifeDrawBase-(nUsefulLifeDrawBase-nUsefulLifeDrawMin)*BETA.INV(RAND(),1.15,1.15),nUsefulLifeDrawBase+(nUsefulLifeDrawMax-nUsefulLifeDrawBase)*BETA.INV(RAND(),1.15,1.15))</f>
        <v/>
      </c>
      <c r="O164" s="45">
        <f>((nInference*nGpuIdx+nAmort)*nUtilCal/D164)*(nUsefulLifeDrawBase/N164-1)</f>
        <v/>
      </c>
      <c r="P164" s="1" t="n"/>
      <c r="Q164" s="1" t="n"/>
      <c r="R164" s="1" t="n"/>
      <c r="S164" s="1" t="n"/>
      <c r="T164" s="1" t="n"/>
      <c r="U164" s="1" t="n"/>
    </row>
    <row r="165" ht="12" customHeight="1">
      <c r="A165" s="1" t="n"/>
      <c r="B165" s="38" t="n">
        <v>145</v>
      </c>
      <c r="C165" s="114">
        <f>Assumptions!$F$8+RAND()*(Assumptions!$D$8-Assumptions!$F$8)</f>
        <v/>
      </c>
      <c r="D165" s="114">
        <f>Assumptions!$D$9+RAND()*(Assumptions!$F$9-Assumptions!$D$9)</f>
        <v/>
      </c>
      <c r="E165" s="71">
        <f>Assumptions!$F$11+RAND()*(Assumptions!$D$11-Assumptions!$F$11)</f>
        <v/>
      </c>
      <c r="F165" s="45">
        <f>nListPrice*(1-C165)-(nInference*nGpuIdx+nAmort)*nUtilCal/D165-nNetworking-nOverheadBase*(E165/nPowerCal)-nCodBase*(1+I165/12)-O165</f>
        <v/>
      </c>
      <c r="G165" s="66">
        <f>MAX(F165,0)/nDebtService</f>
        <v/>
      </c>
      <c r="H165" s="71">
        <f>Anthropic!$J$18*Anthropic!$J$27+Anthropic!$J$19*Anthropic!$J$28+Anthropic!$J$20*Anthropic!$J$29+Anthropic!$J$21*E165*(1+nPowerCagr)^4*(1+nResidualBasisMarkup+nScarcityAlpha*POWER(Anthropic!$J$21,nScarcityGamma))</f>
        <v/>
      </c>
      <c r="I165" s="113">
        <f>Assumptions!$F$10+RAND()*(Assumptions!$D$10-Assumptions!$F$10)</f>
        <v/>
      </c>
      <c r="J165" s="113">
        <f>RAND()*nCodSlipMaxMo</f>
        <v/>
      </c>
      <c r="K165" s="114">
        <f>nAvailDrawMin+RAND()*(nAvailDrawMax-nAvailDrawMin)</f>
        <v/>
      </c>
      <c r="L165" s="45">
        <f>IF(2034&lt;sNsmrCodU1+J165/12,0,(nNsmrCap+nNsmrOpx*(1+sNsmrOpxEsc)^8+nNsmrFuel*FuelEsc*(1+nFuelCagr)^8-nNsmrItc)*IF(2034&lt;sNsmrCodU1+J165/12+nStepFirst,1,IF(nStepGated="Yes",(1+nStepPct)^(INT((2034-sNsmrCodU1-J165/12-nStepFirst)/nStepEvery)+1),1))+nExclPrem*(1-nFlexRelief)-nProdCredit)</f>
        <v/>
      </c>
      <c r="M165" s="63">
        <f>MIN(nShortfallCapM,MAX(0,sNsmrAvailY2-K165)*sNsmrUnitMw*sNsmrUnits*8760*NsmrPrice2033/1000000)</f>
        <v/>
      </c>
      <c r="N165" s="82">
        <f>IF(RAND()&lt;0.5,nUsefulLifeDrawBase-(nUsefulLifeDrawBase-nUsefulLifeDrawMin)*BETA.INV(RAND(),1.15,1.15),nUsefulLifeDrawBase+(nUsefulLifeDrawMax-nUsefulLifeDrawBase)*BETA.INV(RAND(),1.15,1.15))</f>
        <v/>
      </c>
      <c r="O165" s="45">
        <f>((nInference*nGpuIdx+nAmort)*nUtilCal/D165)*(nUsefulLifeDrawBase/N165-1)</f>
        <v/>
      </c>
      <c r="P165" s="1" t="n"/>
      <c r="Q165" s="1" t="n"/>
      <c r="R165" s="1" t="n"/>
      <c r="S165" s="1" t="n"/>
      <c r="T165" s="1" t="n"/>
      <c r="U165" s="1" t="n"/>
    </row>
    <row r="166" ht="12" customHeight="1">
      <c r="A166" s="1" t="n"/>
      <c r="B166" s="38" t="n">
        <v>146</v>
      </c>
      <c r="C166" s="114">
        <f>Assumptions!$F$8+RAND()*(Assumptions!$D$8-Assumptions!$F$8)</f>
        <v/>
      </c>
      <c r="D166" s="114">
        <f>Assumptions!$D$9+RAND()*(Assumptions!$F$9-Assumptions!$D$9)</f>
        <v/>
      </c>
      <c r="E166" s="71">
        <f>Assumptions!$F$11+RAND()*(Assumptions!$D$11-Assumptions!$F$11)</f>
        <v/>
      </c>
      <c r="F166" s="45">
        <f>nListPrice*(1-C166)-(nInference*nGpuIdx+nAmort)*nUtilCal/D166-nNetworking-nOverheadBase*(E166/nPowerCal)-nCodBase*(1+I166/12)-O166</f>
        <v/>
      </c>
      <c r="G166" s="66">
        <f>MAX(F166,0)/nDebtService</f>
        <v/>
      </c>
      <c r="H166" s="71">
        <f>Anthropic!$J$18*Anthropic!$J$27+Anthropic!$J$19*Anthropic!$J$28+Anthropic!$J$20*Anthropic!$J$29+Anthropic!$J$21*E166*(1+nPowerCagr)^4*(1+nResidualBasisMarkup+nScarcityAlpha*POWER(Anthropic!$J$21,nScarcityGamma))</f>
        <v/>
      </c>
      <c r="I166" s="113">
        <f>Assumptions!$F$10+RAND()*(Assumptions!$D$10-Assumptions!$F$10)</f>
        <v/>
      </c>
      <c r="J166" s="113">
        <f>RAND()*nCodSlipMaxMo</f>
        <v/>
      </c>
      <c r="K166" s="114">
        <f>nAvailDrawMin+RAND()*(nAvailDrawMax-nAvailDrawMin)</f>
        <v/>
      </c>
      <c r="L166" s="45">
        <f>IF(2034&lt;sNsmrCodU1+J166/12,0,(nNsmrCap+nNsmrOpx*(1+sNsmrOpxEsc)^8+nNsmrFuel*FuelEsc*(1+nFuelCagr)^8-nNsmrItc)*IF(2034&lt;sNsmrCodU1+J166/12+nStepFirst,1,IF(nStepGated="Yes",(1+nStepPct)^(INT((2034-sNsmrCodU1-J166/12-nStepFirst)/nStepEvery)+1),1))+nExclPrem*(1-nFlexRelief)-nProdCredit)</f>
        <v/>
      </c>
      <c r="M166" s="63">
        <f>MIN(nShortfallCapM,MAX(0,sNsmrAvailY2-K166)*sNsmrUnitMw*sNsmrUnits*8760*NsmrPrice2033/1000000)</f>
        <v/>
      </c>
      <c r="N166" s="82">
        <f>IF(RAND()&lt;0.5,nUsefulLifeDrawBase-(nUsefulLifeDrawBase-nUsefulLifeDrawMin)*BETA.INV(RAND(),1.15,1.15),nUsefulLifeDrawBase+(nUsefulLifeDrawMax-nUsefulLifeDrawBase)*BETA.INV(RAND(),1.15,1.15))</f>
        <v/>
      </c>
      <c r="O166" s="45">
        <f>((nInference*nGpuIdx+nAmort)*nUtilCal/D166)*(nUsefulLifeDrawBase/N166-1)</f>
        <v/>
      </c>
      <c r="P166" s="1" t="n"/>
      <c r="Q166" s="1" t="n"/>
      <c r="R166" s="1" t="n"/>
      <c r="S166" s="1" t="n"/>
      <c r="T166" s="1" t="n"/>
      <c r="U166" s="1" t="n"/>
    </row>
    <row r="167" ht="12" customHeight="1">
      <c r="A167" s="1" t="n"/>
      <c r="B167" s="38" t="n">
        <v>147</v>
      </c>
      <c r="C167" s="114">
        <f>Assumptions!$F$8+RAND()*(Assumptions!$D$8-Assumptions!$F$8)</f>
        <v/>
      </c>
      <c r="D167" s="114">
        <f>Assumptions!$D$9+RAND()*(Assumptions!$F$9-Assumptions!$D$9)</f>
        <v/>
      </c>
      <c r="E167" s="71">
        <f>Assumptions!$F$11+RAND()*(Assumptions!$D$11-Assumptions!$F$11)</f>
        <v/>
      </c>
      <c r="F167" s="45">
        <f>nListPrice*(1-C167)-(nInference*nGpuIdx+nAmort)*nUtilCal/D167-nNetworking-nOverheadBase*(E167/nPowerCal)-nCodBase*(1+I167/12)-O167</f>
        <v/>
      </c>
      <c r="G167" s="66">
        <f>MAX(F167,0)/nDebtService</f>
        <v/>
      </c>
      <c r="H167" s="71">
        <f>Anthropic!$J$18*Anthropic!$J$27+Anthropic!$J$19*Anthropic!$J$28+Anthropic!$J$20*Anthropic!$J$29+Anthropic!$J$21*E167*(1+nPowerCagr)^4*(1+nResidualBasisMarkup+nScarcityAlpha*POWER(Anthropic!$J$21,nScarcityGamma))</f>
        <v/>
      </c>
      <c r="I167" s="113">
        <f>Assumptions!$F$10+RAND()*(Assumptions!$D$10-Assumptions!$F$10)</f>
        <v/>
      </c>
      <c r="J167" s="113">
        <f>RAND()*nCodSlipMaxMo</f>
        <v/>
      </c>
      <c r="K167" s="114">
        <f>nAvailDrawMin+RAND()*(nAvailDrawMax-nAvailDrawMin)</f>
        <v/>
      </c>
      <c r="L167" s="45">
        <f>IF(2034&lt;sNsmrCodU1+J167/12,0,(nNsmrCap+nNsmrOpx*(1+sNsmrOpxEsc)^8+nNsmrFuel*FuelEsc*(1+nFuelCagr)^8-nNsmrItc)*IF(2034&lt;sNsmrCodU1+J167/12+nStepFirst,1,IF(nStepGated="Yes",(1+nStepPct)^(INT((2034-sNsmrCodU1-J167/12-nStepFirst)/nStepEvery)+1),1))+nExclPrem*(1-nFlexRelief)-nProdCredit)</f>
        <v/>
      </c>
      <c r="M167" s="63">
        <f>MIN(nShortfallCapM,MAX(0,sNsmrAvailY2-K167)*sNsmrUnitMw*sNsmrUnits*8760*NsmrPrice2033/1000000)</f>
        <v/>
      </c>
      <c r="N167" s="82">
        <f>IF(RAND()&lt;0.5,nUsefulLifeDrawBase-(nUsefulLifeDrawBase-nUsefulLifeDrawMin)*BETA.INV(RAND(),1.15,1.15),nUsefulLifeDrawBase+(nUsefulLifeDrawMax-nUsefulLifeDrawBase)*BETA.INV(RAND(),1.15,1.15))</f>
        <v/>
      </c>
      <c r="O167" s="45">
        <f>((nInference*nGpuIdx+nAmort)*nUtilCal/D167)*(nUsefulLifeDrawBase/N167-1)</f>
        <v/>
      </c>
      <c r="P167" s="1" t="n"/>
      <c r="Q167" s="1" t="n"/>
      <c r="R167" s="1" t="n"/>
      <c r="S167" s="1" t="n"/>
      <c r="T167" s="1" t="n"/>
      <c r="U167" s="1" t="n"/>
    </row>
    <row r="168" ht="12" customHeight="1">
      <c r="A168" s="1" t="n"/>
      <c r="B168" s="38" t="n">
        <v>148</v>
      </c>
      <c r="C168" s="114">
        <f>Assumptions!$F$8+RAND()*(Assumptions!$D$8-Assumptions!$F$8)</f>
        <v/>
      </c>
      <c r="D168" s="114">
        <f>Assumptions!$D$9+RAND()*(Assumptions!$F$9-Assumptions!$D$9)</f>
        <v/>
      </c>
      <c r="E168" s="71">
        <f>Assumptions!$F$11+RAND()*(Assumptions!$D$11-Assumptions!$F$11)</f>
        <v/>
      </c>
      <c r="F168" s="45">
        <f>nListPrice*(1-C168)-(nInference*nGpuIdx+nAmort)*nUtilCal/D168-nNetworking-nOverheadBase*(E168/nPowerCal)-nCodBase*(1+I168/12)-O168</f>
        <v/>
      </c>
      <c r="G168" s="66">
        <f>MAX(F168,0)/nDebtService</f>
        <v/>
      </c>
      <c r="H168" s="71">
        <f>Anthropic!$J$18*Anthropic!$J$27+Anthropic!$J$19*Anthropic!$J$28+Anthropic!$J$20*Anthropic!$J$29+Anthropic!$J$21*E168*(1+nPowerCagr)^4*(1+nResidualBasisMarkup+nScarcityAlpha*POWER(Anthropic!$J$21,nScarcityGamma))</f>
        <v/>
      </c>
      <c r="I168" s="113">
        <f>Assumptions!$F$10+RAND()*(Assumptions!$D$10-Assumptions!$F$10)</f>
        <v/>
      </c>
      <c r="J168" s="113">
        <f>RAND()*nCodSlipMaxMo</f>
        <v/>
      </c>
      <c r="K168" s="114">
        <f>nAvailDrawMin+RAND()*(nAvailDrawMax-nAvailDrawMin)</f>
        <v/>
      </c>
      <c r="L168" s="45">
        <f>IF(2034&lt;sNsmrCodU1+J168/12,0,(nNsmrCap+nNsmrOpx*(1+sNsmrOpxEsc)^8+nNsmrFuel*FuelEsc*(1+nFuelCagr)^8-nNsmrItc)*IF(2034&lt;sNsmrCodU1+J168/12+nStepFirst,1,IF(nStepGated="Yes",(1+nStepPct)^(INT((2034-sNsmrCodU1-J168/12-nStepFirst)/nStepEvery)+1),1))+nExclPrem*(1-nFlexRelief)-nProdCredit)</f>
        <v/>
      </c>
      <c r="M168" s="63">
        <f>MIN(nShortfallCapM,MAX(0,sNsmrAvailY2-K168)*sNsmrUnitMw*sNsmrUnits*8760*NsmrPrice2033/1000000)</f>
        <v/>
      </c>
      <c r="N168" s="82">
        <f>IF(RAND()&lt;0.5,nUsefulLifeDrawBase-(nUsefulLifeDrawBase-nUsefulLifeDrawMin)*BETA.INV(RAND(),1.15,1.15),nUsefulLifeDrawBase+(nUsefulLifeDrawMax-nUsefulLifeDrawBase)*BETA.INV(RAND(),1.15,1.15))</f>
        <v/>
      </c>
      <c r="O168" s="45">
        <f>((nInference*nGpuIdx+nAmort)*nUtilCal/D168)*(nUsefulLifeDrawBase/N168-1)</f>
        <v/>
      </c>
      <c r="P168" s="1" t="n"/>
      <c r="Q168" s="1" t="n"/>
      <c r="R168" s="1" t="n"/>
      <c r="S168" s="1" t="n"/>
      <c r="T168" s="1" t="n"/>
      <c r="U168" s="1" t="n"/>
    </row>
    <row r="169" ht="12" customHeight="1">
      <c r="A169" s="1" t="n"/>
      <c r="B169" s="38" t="n">
        <v>149</v>
      </c>
      <c r="C169" s="114">
        <f>Assumptions!$F$8+RAND()*(Assumptions!$D$8-Assumptions!$F$8)</f>
        <v/>
      </c>
      <c r="D169" s="114">
        <f>Assumptions!$D$9+RAND()*(Assumptions!$F$9-Assumptions!$D$9)</f>
        <v/>
      </c>
      <c r="E169" s="71">
        <f>Assumptions!$F$11+RAND()*(Assumptions!$D$11-Assumptions!$F$11)</f>
        <v/>
      </c>
      <c r="F169" s="45">
        <f>nListPrice*(1-C169)-(nInference*nGpuIdx+nAmort)*nUtilCal/D169-nNetworking-nOverheadBase*(E169/nPowerCal)-nCodBase*(1+I169/12)-O169</f>
        <v/>
      </c>
      <c r="G169" s="66">
        <f>MAX(F169,0)/nDebtService</f>
        <v/>
      </c>
      <c r="H169" s="71">
        <f>Anthropic!$J$18*Anthropic!$J$27+Anthropic!$J$19*Anthropic!$J$28+Anthropic!$J$20*Anthropic!$J$29+Anthropic!$J$21*E169*(1+nPowerCagr)^4*(1+nResidualBasisMarkup+nScarcityAlpha*POWER(Anthropic!$J$21,nScarcityGamma))</f>
        <v/>
      </c>
      <c r="I169" s="113">
        <f>Assumptions!$F$10+RAND()*(Assumptions!$D$10-Assumptions!$F$10)</f>
        <v/>
      </c>
      <c r="J169" s="113">
        <f>RAND()*nCodSlipMaxMo</f>
        <v/>
      </c>
      <c r="K169" s="114">
        <f>nAvailDrawMin+RAND()*(nAvailDrawMax-nAvailDrawMin)</f>
        <v/>
      </c>
      <c r="L169" s="45">
        <f>IF(2034&lt;sNsmrCodU1+J169/12,0,(nNsmrCap+nNsmrOpx*(1+sNsmrOpxEsc)^8+nNsmrFuel*FuelEsc*(1+nFuelCagr)^8-nNsmrItc)*IF(2034&lt;sNsmrCodU1+J169/12+nStepFirst,1,IF(nStepGated="Yes",(1+nStepPct)^(INT((2034-sNsmrCodU1-J169/12-nStepFirst)/nStepEvery)+1),1))+nExclPrem*(1-nFlexRelief)-nProdCredit)</f>
        <v/>
      </c>
      <c r="M169" s="63">
        <f>MIN(nShortfallCapM,MAX(0,sNsmrAvailY2-K169)*sNsmrUnitMw*sNsmrUnits*8760*NsmrPrice2033/1000000)</f>
        <v/>
      </c>
      <c r="N169" s="82">
        <f>IF(RAND()&lt;0.5,nUsefulLifeDrawBase-(nUsefulLifeDrawBase-nUsefulLifeDrawMin)*BETA.INV(RAND(),1.15,1.15),nUsefulLifeDrawBase+(nUsefulLifeDrawMax-nUsefulLifeDrawBase)*BETA.INV(RAND(),1.15,1.15))</f>
        <v/>
      </c>
      <c r="O169" s="45">
        <f>((nInference*nGpuIdx+nAmort)*nUtilCal/D169)*(nUsefulLifeDrawBase/N169-1)</f>
        <v/>
      </c>
      <c r="P169" s="1" t="n"/>
      <c r="Q169" s="1" t="n"/>
      <c r="R169" s="1" t="n"/>
      <c r="S169" s="1" t="n"/>
      <c r="T169" s="1" t="n"/>
      <c r="U169" s="1" t="n"/>
    </row>
    <row r="170" ht="12" customHeight="1">
      <c r="A170" s="1" t="n"/>
      <c r="B170" s="38" t="n">
        <v>150</v>
      </c>
      <c r="C170" s="114">
        <f>Assumptions!$F$8+RAND()*(Assumptions!$D$8-Assumptions!$F$8)</f>
        <v/>
      </c>
      <c r="D170" s="114">
        <f>Assumptions!$D$9+RAND()*(Assumptions!$F$9-Assumptions!$D$9)</f>
        <v/>
      </c>
      <c r="E170" s="71">
        <f>Assumptions!$F$11+RAND()*(Assumptions!$D$11-Assumptions!$F$11)</f>
        <v/>
      </c>
      <c r="F170" s="45">
        <f>nListPrice*(1-C170)-(nInference*nGpuIdx+nAmort)*nUtilCal/D170-nNetworking-nOverheadBase*(E170/nPowerCal)-nCodBase*(1+I170/12)-O170</f>
        <v/>
      </c>
      <c r="G170" s="66">
        <f>MAX(F170,0)/nDebtService</f>
        <v/>
      </c>
      <c r="H170" s="71">
        <f>Anthropic!$J$18*Anthropic!$J$27+Anthropic!$J$19*Anthropic!$J$28+Anthropic!$J$20*Anthropic!$J$29+Anthropic!$J$21*E170*(1+nPowerCagr)^4*(1+nResidualBasisMarkup+nScarcityAlpha*POWER(Anthropic!$J$21,nScarcityGamma))</f>
        <v/>
      </c>
      <c r="I170" s="113">
        <f>Assumptions!$F$10+RAND()*(Assumptions!$D$10-Assumptions!$F$10)</f>
        <v/>
      </c>
      <c r="J170" s="113">
        <f>RAND()*nCodSlipMaxMo</f>
        <v/>
      </c>
      <c r="K170" s="114">
        <f>nAvailDrawMin+RAND()*(nAvailDrawMax-nAvailDrawMin)</f>
        <v/>
      </c>
      <c r="L170" s="45">
        <f>IF(2034&lt;sNsmrCodU1+J170/12,0,(nNsmrCap+nNsmrOpx*(1+sNsmrOpxEsc)^8+nNsmrFuel*FuelEsc*(1+nFuelCagr)^8-nNsmrItc)*IF(2034&lt;sNsmrCodU1+J170/12+nStepFirst,1,IF(nStepGated="Yes",(1+nStepPct)^(INT((2034-sNsmrCodU1-J170/12-nStepFirst)/nStepEvery)+1),1))+nExclPrem*(1-nFlexRelief)-nProdCredit)</f>
        <v/>
      </c>
      <c r="M170" s="63">
        <f>MIN(nShortfallCapM,MAX(0,sNsmrAvailY2-K170)*sNsmrUnitMw*sNsmrUnits*8760*NsmrPrice2033/1000000)</f>
        <v/>
      </c>
      <c r="N170" s="82">
        <f>IF(RAND()&lt;0.5,nUsefulLifeDrawBase-(nUsefulLifeDrawBase-nUsefulLifeDrawMin)*BETA.INV(RAND(),1.15,1.15),nUsefulLifeDrawBase+(nUsefulLifeDrawMax-nUsefulLifeDrawBase)*BETA.INV(RAND(),1.15,1.15))</f>
        <v/>
      </c>
      <c r="O170" s="45">
        <f>((nInference*nGpuIdx+nAmort)*nUtilCal/D170)*(nUsefulLifeDrawBase/N170-1)</f>
        <v/>
      </c>
      <c r="P170" s="1" t="n"/>
      <c r="Q170" s="1" t="n"/>
      <c r="R170" s="1" t="n"/>
      <c r="S170" s="1" t="n"/>
      <c r="T170" s="1" t="n"/>
      <c r="U170" s="1" t="n"/>
    </row>
    <row r="171" ht="12" customHeight="1">
      <c r="A171" s="1" t="n"/>
      <c r="B171" s="38" t="n">
        <v>151</v>
      </c>
      <c r="C171" s="114">
        <f>Assumptions!$F$8+RAND()*(Assumptions!$D$8-Assumptions!$F$8)</f>
        <v/>
      </c>
      <c r="D171" s="114">
        <f>Assumptions!$D$9+RAND()*(Assumptions!$F$9-Assumptions!$D$9)</f>
        <v/>
      </c>
      <c r="E171" s="71">
        <f>Assumptions!$F$11+RAND()*(Assumptions!$D$11-Assumptions!$F$11)</f>
        <v/>
      </c>
      <c r="F171" s="45">
        <f>nListPrice*(1-C171)-(nInference*nGpuIdx+nAmort)*nUtilCal/D171-nNetworking-nOverheadBase*(E171/nPowerCal)-nCodBase*(1+I171/12)-O171</f>
        <v/>
      </c>
      <c r="G171" s="66">
        <f>MAX(F171,0)/nDebtService</f>
        <v/>
      </c>
      <c r="H171" s="71">
        <f>Anthropic!$J$18*Anthropic!$J$27+Anthropic!$J$19*Anthropic!$J$28+Anthropic!$J$20*Anthropic!$J$29+Anthropic!$J$21*E171*(1+nPowerCagr)^4*(1+nResidualBasisMarkup+nScarcityAlpha*POWER(Anthropic!$J$21,nScarcityGamma))</f>
        <v/>
      </c>
      <c r="I171" s="113">
        <f>Assumptions!$F$10+RAND()*(Assumptions!$D$10-Assumptions!$F$10)</f>
        <v/>
      </c>
      <c r="J171" s="113">
        <f>RAND()*nCodSlipMaxMo</f>
        <v/>
      </c>
      <c r="K171" s="114">
        <f>nAvailDrawMin+RAND()*(nAvailDrawMax-nAvailDrawMin)</f>
        <v/>
      </c>
      <c r="L171" s="45">
        <f>IF(2034&lt;sNsmrCodU1+J171/12,0,(nNsmrCap+nNsmrOpx*(1+sNsmrOpxEsc)^8+nNsmrFuel*FuelEsc*(1+nFuelCagr)^8-nNsmrItc)*IF(2034&lt;sNsmrCodU1+J171/12+nStepFirst,1,IF(nStepGated="Yes",(1+nStepPct)^(INT((2034-sNsmrCodU1-J171/12-nStepFirst)/nStepEvery)+1),1))+nExclPrem*(1-nFlexRelief)-nProdCredit)</f>
        <v/>
      </c>
      <c r="M171" s="63">
        <f>MIN(nShortfallCapM,MAX(0,sNsmrAvailY2-K171)*sNsmrUnitMw*sNsmrUnits*8760*NsmrPrice2033/1000000)</f>
        <v/>
      </c>
      <c r="N171" s="82">
        <f>IF(RAND()&lt;0.5,nUsefulLifeDrawBase-(nUsefulLifeDrawBase-nUsefulLifeDrawMin)*BETA.INV(RAND(),1.15,1.15),nUsefulLifeDrawBase+(nUsefulLifeDrawMax-nUsefulLifeDrawBase)*BETA.INV(RAND(),1.15,1.15))</f>
        <v/>
      </c>
      <c r="O171" s="45">
        <f>((nInference*nGpuIdx+nAmort)*nUtilCal/D171)*(nUsefulLifeDrawBase/N171-1)</f>
        <v/>
      </c>
      <c r="P171" s="1" t="n"/>
      <c r="Q171" s="1" t="n"/>
      <c r="R171" s="1" t="n"/>
      <c r="S171" s="1" t="n"/>
      <c r="T171" s="1" t="n"/>
      <c r="U171" s="1" t="n"/>
    </row>
    <row r="172" ht="12" customHeight="1">
      <c r="A172" s="1" t="n"/>
      <c r="B172" s="38" t="n">
        <v>152</v>
      </c>
      <c r="C172" s="114">
        <f>Assumptions!$F$8+RAND()*(Assumptions!$D$8-Assumptions!$F$8)</f>
        <v/>
      </c>
      <c r="D172" s="114">
        <f>Assumptions!$D$9+RAND()*(Assumptions!$F$9-Assumptions!$D$9)</f>
        <v/>
      </c>
      <c r="E172" s="71">
        <f>Assumptions!$F$11+RAND()*(Assumptions!$D$11-Assumptions!$F$11)</f>
        <v/>
      </c>
      <c r="F172" s="45">
        <f>nListPrice*(1-C172)-(nInference*nGpuIdx+nAmort)*nUtilCal/D172-nNetworking-nOverheadBase*(E172/nPowerCal)-nCodBase*(1+I172/12)-O172</f>
        <v/>
      </c>
      <c r="G172" s="66">
        <f>MAX(F172,0)/nDebtService</f>
        <v/>
      </c>
      <c r="H172" s="71">
        <f>Anthropic!$J$18*Anthropic!$J$27+Anthropic!$J$19*Anthropic!$J$28+Anthropic!$J$20*Anthropic!$J$29+Anthropic!$J$21*E172*(1+nPowerCagr)^4*(1+nResidualBasisMarkup+nScarcityAlpha*POWER(Anthropic!$J$21,nScarcityGamma))</f>
        <v/>
      </c>
      <c r="I172" s="113">
        <f>Assumptions!$F$10+RAND()*(Assumptions!$D$10-Assumptions!$F$10)</f>
        <v/>
      </c>
      <c r="J172" s="113">
        <f>RAND()*nCodSlipMaxMo</f>
        <v/>
      </c>
      <c r="K172" s="114">
        <f>nAvailDrawMin+RAND()*(nAvailDrawMax-nAvailDrawMin)</f>
        <v/>
      </c>
      <c r="L172" s="45">
        <f>IF(2034&lt;sNsmrCodU1+J172/12,0,(nNsmrCap+nNsmrOpx*(1+sNsmrOpxEsc)^8+nNsmrFuel*FuelEsc*(1+nFuelCagr)^8-nNsmrItc)*IF(2034&lt;sNsmrCodU1+J172/12+nStepFirst,1,IF(nStepGated="Yes",(1+nStepPct)^(INT((2034-sNsmrCodU1-J172/12-nStepFirst)/nStepEvery)+1),1))+nExclPrem*(1-nFlexRelief)-nProdCredit)</f>
        <v/>
      </c>
      <c r="M172" s="63">
        <f>MIN(nShortfallCapM,MAX(0,sNsmrAvailY2-K172)*sNsmrUnitMw*sNsmrUnits*8760*NsmrPrice2033/1000000)</f>
        <v/>
      </c>
      <c r="N172" s="82">
        <f>IF(RAND()&lt;0.5,nUsefulLifeDrawBase-(nUsefulLifeDrawBase-nUsefulLifeDrawMin)*BETA.INV(RAND(),1.15,1.15),nUsefulLifeDrawBase+(nUsefulLifeDrawMax-nUsefulLifeDrawBase)*BETA.INV(RAND(),1.15,1.15))</f>
        <v/>
      </c>
      <c r="O172" s="45">
        <f>((nInference*nGpuIdx+nAmort)*nUtilCal/D172)*(nUsefulLifeDrawBase/N172-1)</f>
        <v/>
      </c>
      <c r="P172" s="1" t="n"/>
      <c r="Q172" s="1" t="n"/>
      <c r="R172" s="1" t="n"/>
      <c r="S172" s="1" t="n"/>
      <c r="T172" s="1" t="n"/>
      <c r="U172" s="1" t="n"/>
    </row>
    <row r="173" ht="12" customHeight="1">
      <c r="A173" s="1" t="n"/>
      <c r="B173" s="38" t="n">
        <v>153</v>
      </c>
      <c r="C173" s="114">
        <f>Assumptions!$F$8+RAND()*(Assumptions!$D$8-Assumptions!$F$8)</f>
        <v/>
      </c>
      <c r="D173" s="114">
        <f>Assumptions!$D$9+RAND()*(Assumptions!$F$9-Assumptions!$D$9)</f>
        <v/>
      </c>
      <c r="E173" s="71">
        <f>Assumptions!$F$11+RAND()*(Assumptions!$D$11-Assumptions!$F$11)</f>
        <v/>
      </c>
      <c r="F173" s="45">
        <f>nListPrice*(1-C173)-(nInference*nGpuIdx+nAmort)*nUtilCal/D173-nNetworking-nOverheadBase*(E173/nPowerCal)-nCodBase*(1+I173/12)-O173</f>
        <v/>
      </c>
      <c r="G173" s="66">
        <f>MAX(F173,0)/nDebtService</f>
        <v/>
      </c>
      <c r="H173" s="71">
        <f>Anthropic!$J$18*Anthropic!$J$27+Anthropic!$J$19*Anthropic!$J$28+Anthropic!$J$20*Anthropic!$J$29+Anthropic!$J$21*E173*(1+nPowerCagr)^4*(1+nResidualBasisMarkup+nScarcityAlpha*POWER(Anthropic!$J$21,nScarcityGamma))</f>
        <v/>
      </c>
      <c r="I173" s="113">
        <f>Assumptions!$F$10+RAND()*(Assumptions!$D$10-Assumptions!$F$10)</f>
        <v/>
      </c>
      <c r="J173" s="113">
        <f>RAND()*nCodSlipMaxMo</f>
        <v/>
      </c>
      <c r="K173" s="114">
        <f>nAvailDrawMin+RAND()*(nAvailDrawMax-nAvailDrawMin)</f>
        <v/>
      </c>
      <c r="L173" s="45">
        <f>IF(2034&lt;sNsmrCodU1+J173/12,0,(nNsmrCap+nNsmrOpx*(1+sNsmrOpxEsc)^8+nNsmrFuel*FuelEsc*(1+nFuelCagr)^8-nNsmrItc)*IF(2034&lt;sNsmrCodU1+J173/12+nStepFirst,1,IF(nStepGated="Yes",(1+nStepPct)^(INT((2034-sNsmrCodU1-J173/12-nStepFirst)/nStepEvery)+1),1))+nExclPrem*(1-nFlexRelief)-nProdCredit)</f>
        <v/>
      </c>
      <c r="M173" s="63">
        <f>MIN(nShortfallCapM,MAX(0,sNsmrAvailY2-K173)*sNsmrUnitMw*sNsmrUnits*8760*NsmrPrice2033/1000000)</f>
        <v/>
      </c>
      <c r="N173" s="82">
        <f>IF(RAND()&lt;0.5,nUsefulLifeDrawBase-(nUsefulLifeDrawBase-nUsefulLifeDrawMin)*BETA.INV(RAND(),1.15,1.15),nUsefulLifeDrawBase+(nUsefulLifeDrawMax-nUsefulLifeDrawBase)*BETA.INV(RAND(),1.15,1.15))</f>
        <v/>
      </c>
      <c r="O173" s="45">
        <f>((nInference*nGpuIdx+nAmort)*nUtilCal/D173)*(nUsefulLifeDrawBase/N173-1)</f>
        <v/>
      </c>
      <c r="P173" s="1" t="n"/>
      <c r="Q173" s="1" t="n"/>
      <c r="R173" s="1" t="n"/>
      <c r="S173" s="1" t="n"/>
      <c r="T173" s="1" t="n"/>
      <c r="U173" s="1" t="n"/>
    </row>
    <row r="174" ht="12" customHeight="1">
      <c r="A174" s="1" t="n"/>
      <c r="B174" s="38" t="n">
        <v>154</v>
      </c>
      <c r="C174" s="114">
        <f>Assumptions!$F$8+RAND()*(Assumptions!$D$8-Assumptions!$F$8)</f>
        <v/>
      </c>
      <c r="D174" s="114">
        <f>Assumptions!$D$9+RAND()*(Assumptions!$F$9-Assumptions!$D$9)</f>
        <v/>
      </c>
      <c r="E174" s="71">
        <f>Assumptions!$F$11+RAND()*(Assumptions!$D$11-Assumptions!$F$11)</f>
        <v/>
      </c>
      <c r="F174" s="45">
        <f>nListPrice*(1-C174)-(nInference*nGpuIdx+nAmort)*nUtilCal/D174-nNetworking-nOverheadBase*(E174/nPowerCal)-nCodBase*(1+I174/12)-O174</f>
        <v/>
      </c>
      <c r="G174" s="66">
        <f>MAX(F174,0)/nDebtService</f>
        <v/>
      </c>
      <c r="H174" s="71">
        <f>Anthropic!$J$18*Anthropic!$J$27+Anthropic!$J$19*Anthropic!$J$28+Anthropic!$J$20*Anthropic!$J$29+Anthropic!$J$21*E174*(1+nPowerCagr)^4*(1+nResidualBasisMarkup+nScarcityAlpha*POWER(Anthropic!$J$21,nScarcityGamma))</f>
        <v/>
      </c>
      <c r="I174" s="113">
        <f>Assumptions!$F$10+RAND()*(Assumptions!$D$10-Assumptions!$F$10)</f>
        <v/>
      </c>
      <c r="J174" s="113">
        <f>RAND()*nCodSlipMaxMo</f>
        <v/>
      </c>
      <c r="K174" s="114">
        <f>nAvailDrawMin+RAND()*(nAvailDrawMax-nAvailDrawMin)</f>
        <v/>
      </c>
      <c r="L174" s="45">
        <f>IF(2034&lt;sNsmrCodU1+J174/12,0,(nNsmrCap+nNsmrOpx*(1+sNsmrOpxEsc)^8+nNsmrFuel*FuelEsc*(1+nFuelCagr)^8-nNsmrItc)*IF(2034&lt;sNsmrCodU1+J174/12+nStepFirst,1,IF(nStepGated="Yes",(1+nStepPct)^(INT((2034-sNsmrCodU1-J174/12-nStepFirst)/nStepEvery)+1),1))+nExclPrem*(1-nFlexRelief)-nProdCredit)</f>
        <v/>
      </c>
      <c r="M174" s="63">
        <f>MIN(nShortfallCapM,MAX(0,sNsmrAvailY2-K174)*sNsmrUnitMw*sNsmrUnits*8760*NsmrPrice2033/1000000)</f>
        <v/>
      </c>
      <c r="N174" s="82">
        <f>IF(RAND()&lt;0.5,nUsefulLifeDrawBase-(nUsefulLifeDrawBase-nUsefulLifeDrawMin)*BETA.INV(RAND(),1.15,1.15),nUsefulLifeDrawBase+(nUsefulLifeDrawMax-nUsefulLifeDrawBase)*BETA.INV(RAND(),1.15,1.15))</f>
        <v/>
      </c>
      <c r="O174" s="45">
        <f>((nInference*nGpuIdx+nAmort)*nUtilCal/D174)*(nUsefulLifeDrawBase/N174-1)</f>
        <v/>
      </c>
      <c r="P174" s="1" t="n"/>
      <c r="Q174" s="1" t="n"/>
      <c r="R174" s="1" t="n"/>
      <c r="S174" s="1" t="n"/>
      <c r="T174" s="1" t="n"/>
      <c r="U174" s="1" t="n"/>
    </row>
    <row r="175" ht="12" customHeight="1">
      <c r="A175" s="1" t="n"/>
      <c r="B175" s="38" t="n">
        <v>155</v>
      </c>
      <c r="C175" s="114">
        <f>Assumptions!$F$8+RAND()*(Assumptions!$D$8-Assumptions!$F$8)</f>
        <v/>
      </c>
      <c r="D175" s="114">
        <f>Assumptions!$D$9+RAND()*(Assumptions!$F$9-Assumptions!$D$9)</f>
        <v/>
      </c>
      <c r="E175" s="71">
        <f>Assumptions!$F$11+RAND()*(Assumptions!$D$11-Assumptions!$F$11)</f>
        <v/>
      </c>
      <c r="F175" s="45">
        <f>nListPrice*(1-C175)-(nInference*nGpuIdx+nAmort)*nUtilCal/D175-nNetworking-nOverheadBase*(E175/nPowerCal)-nCodBase*(1+I175/12)-O175</f>
        <v/>
      </c>
      <c r="G175" s="66">
        <f>MAX(F175,0)/nDebtService</f>
        <v/>
      </c>
      <c r="H175" s="71">
        <f>Anthropic!$J$18*Anthropic!$J$27+Anthropic!$J$19*Anthropic!$J$28+Anthropic!$J$20*Anthropic!$J$29+Anthropic!$J$21*E175*(1+nPowerCagr)^4*(1+nResidualBasisMarkup+nScarcityAlpha*POWER(Anthropic!$J$21,nScarcityGamma))</f>
        <v/>
      </c>
      <c r="I175" s="113">
        <f>Assumptions!$F$10+RAND()*(Assumptions!$D$10-Assumptions!$F$10)</f>
        <v/>
      </c>
      <c r="J175" s="113">
        <f>RAND()*nCodSlipMaxMo</f>
        <v/>
      </c>
      <c r="K175" s="114">
        <f>nAvailDrawMin+RAND()*(nAvailDrawMax-nAvailDrawMin)</f>
        <v/>
      </c>
      <c r="L175" s="45">
        <f>IF(2034&lt;sNsmrCodU1+J175/12,0,(nNsmrCap+nNsmrOpx*(1+sNsmrOpxEsc)^8+nNsmrFuel*FuelEsc*(1+nFuelCagr)^8-nNsmrItc)*IF(2034&lt;sNsmrCodU1+J175/12+nStepFirst,1,IF(nStepGated="Yes",(1+nStepPct)^(INT((2034-sNsmrCodU1-J175/12-nStepFirst)/nStepEvery)+1),1))+nExclPrem*(1-nFlexRelief)-nProdCredit)</f>
        <v/>
      </c>
      <c r="M175" s="63">
        <f>MIN(nShortfallCapM,MAX(0,sNsmrAvailY2-K175)*sNsmrUnitMw*sNsmrUnits*8760*NsmrPrice2033/1000000)</f>
        <v/>
      </c>
      <c r="N175" s="82">
        <f>IF(RAND()&lt;0.5,nUsefulLifeDrawBase-(nUsefulLifeDrawBase-nUsefulLifeDrawMin)*BETA.INV(RAND(),1.15,1.15),nUsefulLifeDrawBase+(nUsefulLifeDrawMax-nUsefulLifeDrawBase)*BETA.INV(RAND(),1.15,1.15))</f>
        <v/>
      </c>
      <c r="O175" s="45">
        <f>((nInference*nGpuIdx+nAmort)*nUtilCal/D175)*(nUsefulLifeDrawBase/N175-1)</f>
        <v/>
      </c>
      <c r="P175" s="1" t="n"/>
      <c r="Q175" s="1" t="n"/>
      <c r="R175" s="1" t="n"/>
      <c r="S175" s="1" t="n"/>
      <c r="T175" s="1" t="n"/>
      <c r="U175" s="1" t="n"/>
    </row>
    <row r="176" ht="12" customHeight="1">
      <c r="A176" s="1" t="n"/>
      <c r="B176" s="38" t="n">
        <v>156</v>
      </c>
      <c r="C176" s="114">
        <f>Assumptions!$F$8+RAND()*(Assumptions!$D$8-Assumptions!$F$8)</f>
        <v/>
      </c>
      <c r="D176" s="114">
        <f>Assumptions!$D$9+RAND()*(Assumptions!$F$9-Assumptions!$D$9)</f>
        <v/>
      </c>
      <c r="E176" s="71">
        <f>Assumptions!$F$11+RAND()*(Assumptions!$D$11-Assumptions!$F$11)</f>
        <v/>
      </c>
      <c r="F176" s="45">
        <f>nListPrice*(1-C176)-(nInference*nGpuIdx+nAmort)*nUtilCal/D176-nNetworking-nOverheadBase*(E176/nPowerCal)-nCodBase*(1+I176/12)-O176</f>
        <v/>
      </c>
      <c r="G176" s="66">
        <f>MAX(F176,0)/nDebtService</f>
        <v/>
      </c>
      <c r="H176" s="71">
        <f>Anthropic!$J$18*Anthropic!$J$27+Anthropic!$J$19*Anthropic!$J$28+Anthropic!$J$20*Anthropic!$J$29+Anthropic!$J$21*E176*(1+nPowerCagr)^4*(1+nResidualBasisMarkup+nScarcityAlpha*POWER(Anthropic!$J$21,nScarcityGamma))</f>
        <v/>
      </c>
      <c r="I176" s="113">
        <f>Assumptions!$F$10+RAND()*(Assumptions!$D$10-Assumptions!$F$10)</f>
        <v/>
      </c>
      <c r="J176" s="113">
        <f>RAND()*nCodSlipMaxMo</f>
        <v/>
      </c>
      <c r="K176" s="114">
        <f>nAvailDrawMin+RAND()*(nAvailDrawMax-nAvailDrawMin)</f>
        <v/>
      </c>
      <c r="L176" s="45">
        <f>IF(2034&lt;sNsmrCodU1+J176/12,0,(nNsmrCap+nNsmrOpx*(1+sNsmrOpxEsc)^8+nNsmrFuel*FuelEsc*(1+nFuelCagr)^8-nNsmrItc)*IF(2034&lt;sNsmrCodU1+J176/12+nStepFirst,1,IF(nStepGated="Yes",(1+nStepPct)^(INT((2034-sNsmrCodU1-J176/12-nStepFirst)/nStepEvery)+1),1))+nExclPrem*(1-nFlexRelief)-nProdCredit)</f>
        <v/>
      </c>
      <c r="M176" s="63">
        <f>MIN(nShortfallCapM,MAX(0,sNsmrAvailY2-K176)*sNsmrUnitMw*sNsmrUnits*8760*NsmrPrice2033/1000000)</f>
        <v/>
      </c>
      <c r="N176" s="82">
        <f>IF(RAND()&lt;0.5,nUsefulLifeDrawBase-(nUsefulLifeDrawBase-nUsefulLifeDrawMin)*BETA.INV(RAND(),1.15,1.15),nUsefulLifeDrawBase+(nUsefulLifeDrawMax-nUsefulLifeDrawBase)*BETA.INV(RAND(),1.15,1.15))</f>
        <v/>
      </c>
      <c r="O176" s="45">
        <f>((nInference*nGpuIdx+nAmort)*nUtilCal/D176)*(nUsefulLifeDrawBase/N176-1)</f>
        <v/>
      </c>
      <c r="P176" s="1" t="n"/>
      <c r="Q176" s="1" t="n"/>
      <c r="R176" s="1" t="n"/>
      <c r="S176" s="1" t="n"/>
      <c r="T176" s="1" t="n"/>
      <c r="U176" s="1" t="n"/>
    </row>
    <row r="177" ht="12" customHeight="1">
      <c r="A177" s="1" t="n"/>
      <c r="B177" s="38" t="n">
        <v>157</v>
      </c>
      <c r="C177" s="114">
        <f>Assumptions!$F$8+RAND()*(Assumptions!$D$8-Assumptions!$F$8)</f>
        <v/>
      </c>
      <c r="D177" s="114">
        <f>Assumptions!$D$9+RAND()*(Assumptions!$F$9-Assumptions!$D$9)</f>
        <v/>
      </c>
      <c r="E177" s="71">
        <f>Assumptions!$F$11+RAND()*(Assumptions!$D$11-Assumptions!$F$11)</f>
        <v/>
      </c>
      <c r="F177" s="45">
        <f>nListPrice*(1-C177)-(nInference*nGpuIdx+nAmort)*nUtilCal/D177-nNetworking-nOverheadBase*(E177/nPowerCal)-nCodBase*(1+I177/12)-O177</f>
        <v/>
      </c>
      <c r="G177" s="66">
        <f>MAX(F177,0)/nDebtService</f>
        <v/>
      </c>
      <c r="H177" s="71">
        <f>Anthropic!$J$18*Anthropic!$J$27+Anthropic!$J$19*Anthropic!$J$28+Anthropic!$J$20*Anthropic!$J$29+Anthropic!$J$21*E177*(1+nPowerCagr)^4*(1+nResidualBasisMarkup+nScarcityAlpha*POWER(Anthropic!$J$21,nScarcityGamma))</f>
        <v/>
      </c>
      <c r="I177" s="113">
        <f>Assumptions!$F$10+RAND()*(Assumptions!$D$10-Assumptions!$F$10)</f>
        <v/>
      </c>
      <c r="J177" s="113">
        <f>RAND()*nCodSlipMaxMo</f>
        <v/>
      </c>
      <c r="K177" s="114">
        <f>nAvailDrawMin+RAND()*(nAvailDrawMax-nAvailDrawMin)</f>
        <v/>
      </c>
      <c r="L177" s="45">
        <f>IF(2034&lt;sNsmrCodU1+J177/12,0,(nNsmrCap+nNsmrOpx*(1+sNsmrOpxEsc)^8+nNsmrFuel*FuelEsc*(1+nFuelCagr)^8-nNsmrItc)*IF(2034&lt;sNsmrCodU1+J177/12+nStepFirst,1,IF(nStepGated="Yes",(1+nStepPct)^(INT((2034-sNsmrCodU1-J177/12-nStepFirst)/nStepEvery)+1),1))+nExclPrem*(1-nFlexRelief)-nProdCredit)</f>
        <v/>
      </c>
      <c r="M177" s="63">
        <f>MIN(nShortfallCapM,MAX(0,sNsmrAvailY2-K177)*sNsmrUnitMw*sNsmrUnits*8760*NsmrPrice2033/1000000)</f>
        <v/>
      </c>
      <c r="N177" s="82">
        <f>IF(RAND()&lt;0.5,nUsefulLifeDrawBase-(nUsefulLifeDrawBase-nUsefulLifeDrawMin)*BETA.INV(RAND(),1.15,1.15),nUsefulLifeDrawBase+(nUsefulLifeDrawMax-nUsefulLifeDrawBase)*BETA.INV(RAND(),1.15,1.15))</f>
        <v/>
      </c>
      <c r="O177" s="45">
        <f>((nInference*nGpuIdx+nAmort)*nUtilCal/D177)*(nUsefulLifeDrawBase/N177-1)</f>
        <v/>
      </c>
      <c r="P177" s="1" t="n"/>
      <c r="Q177" s="1" t="n"/>
      <c r="R177" s="1" t="n"/>
      <c r="S177" s="1" t="n"/>
      <c r="T177" s="1" t="n"/>
      <c r="U177" s="1" t="n"/>
    </row>
    <row r="178" ht="12" customHeight="1">
      <c r="A178" s="1" t="n"/>
      <c r="B178" s="38" t="n">
        <v>158</v>
      </c>
      <c r="C178" s="114">
        <f>Assumptions!$F$8+RAND()*(Assumptions!$D$8-Assumptions!$F$8)</f>
        <v/>
      </c>
      <c r="D178" s="114">
        <f>Assumptions!$D$9+RAND()*(Assumptions!$F$9-Assumptions!$D$9)</f>
        <v/>
      </c>
      <c r="E178" s="71">
        <f>Assumptions!$F$11+RAND()*(Assumptions!$D$11-Assumptions!$F$11)</f>
        <v/>
      </c>
      <c r="F178" s="45">
        <f>nListPrice*(1-C178)-(nInference*nGpuIdx+nAmort)*nUtilCal/D178-nNetworking-nOverheadBase*(E178/nPowerCal)-nCodBase*(1+I178/12)-O178</f>
        <v/>
      </c>
      <c r="G178" s="66">
        <f>MAX(F178,0)/nDebtService</f>
        <v/>
      </c>
      <c r="H178" s="71">
        <f>Anthropic!$J$18*Anthropic!$J$27+Anthropic!$J$19*Anthropic!$J$28+Anthropic!$J$20*Anthropic!$J$29+Anthropic!$J$21*E178*(1+nPowerCagr)^4*(1+nResidualBasisMarkup+nScarcityAlpha*POWER(Anthropic!$J$21,nScarcityGamma))</f>
        <v/>
      </c>
      <c r="I178" s="113">
        <f>Assumptions!$F$10+RAND()*(Assumptions!$D$10-Assumptions!$F$10)</f>
        <v/>
      </c>
      <c r="J178" s="113">
        <f>RAND()*nCodSlipMaxMo</f>
        <v/>
      </c>
      <c r="K178" s="114">
        <f>nAvailDrawMin+RAND()*(nAvailDrawMax-nAvailDrawMin)</f>
        <v/>
      </c>
      <c r="L178" s="45">
        <f>IF(2034&lt;sNsmrCodU1+J178/12,0,(nNsmrCap+nNsmrOpx*(1+sNsmrOpxEsc)^8+nNsmrFuel*FuelEsc*(1+nFuelCagr)^8-nNsmrItc)*IF(2034&lt;sNsmrCodU1+J178/12+nStepFirst,1,IF(nStepGated="Yes",(1+nStepPct)^(INT((2034-sNsmrCodU1-J178/12-nStepFirst)/nStepEvery)+1),1))+nExclPrem*(1-nFlexRelief)-nProdCredit)</f>
        <v/>
      </c>
      <c r="M178" s="63">
        <f>MIN(nShortfallCapM,MAX(0,sNsmrAvailY2-K178)*sNsmrUnitMw*sNsmrUnits*8760*NsmrPrice2033/1000000)</f>
        <v/>
      </c>
      <c r="N178" s="82">
        <f>IF(RAND()&lt;0.5,nUsefulLifeDrawBase-(nUsefulLifeDrawBase-nUsefulLifeDrawMin)*BETA.INV(RAND(),1.15,1.15),nUsefulLifeDrawBase+(nUsefulLifeDrawMax-nUsefulLifeDrawBase)*BETA.INV(RAND(),1.15,1.15))</f>
        <v/>
      </c>
      <c r="O178" s="45">
        <f>((nInference*nGpuIdx+nAmort)*nUtilCal/D178)*(nUsefulLifeDrawBase/N178-1)</f>
        <v/>
      </c>
      <c r="P178" s="1" t="n"/>
      <c r="Q178" s="1" t="n"/>
      <c r="R178" s="1" t="n"/>
      <c r="S178" s="1" t="n"/>
      <c r="T178" s="1" t="n"/>
      <c r="U178" s="1" t="n"/>
    </row>
    <row r="179" ht="12" customHeight="1">
      <c r="A179" s="1" t="n"/>
      <c r="B179" s="38" t="n">
        <v>159</v>
      </c>
      <c r="C179" s="114">
        <f>Assumptions!$F$8+RAND()*(Assumptions!$D$8-Assumptions!$F$8)</f>
        <v/>
      </c>
      <c r="D179" s="114">
        <f>Assumptions!$D$9+RAND()*(Assumptions!$F$9-Assumptions!$D$9)</f>
        <v/>
      </c>
      <c r="E179" s="71">
        <f>Assumptions!$F$11+RAND()*(Assumptions!$D$11-Assumptions!$F$11)</f>
        <v/>
      </c>
      <c r="F179" s="45">
        <f>nListPrice*(1-C179)-(nInference*nGpuIdx+nAmort)*nUtilCal/D179-nNetworking-nOverheadBase*(E179/nPowerCal)-nCodBase*(1+I179/12)-O179</f>
        <v/>
      </c>
      <c r="G179" s="66">
        <f>MAX(F179,0)/nDebtService</f>
        <v/>
      </c>
      <c r="H179" s="71">
        <f>Anthropic!$J$18*Anthropic!$J$27+Anthropic!$J$19*Anthropic!$J$28+Anthropic!$J$20*Anthropic!$J$29+Anthropic!$J$21*E179*(1+nPowerCagr)^4*(1+nResidualBasisMarkup+nScarcityAlpha*POWER(Anthropic!$J$21,nScarcityGamma))</f>
        <v/>
      </c>
      <c r="I179" s="113">
        <f>Assumptions!$F$10+RAND()*(Assumptions!$D$10-Assumptions!$F$10)</f>
        <v/>
      </c>
      <c r="J179" s="113">
        <f>RAND()*nCodSlipMaxMo</f>
        <v/>
      </c>
      <c r="K179" s="114">
        <f>nAvailDrawMin+RAND()*(nAvailDrawMax-nAvailDrawMin)</f>
        <v/>
      </c>
      <c r="L179" s="45">
        <f>IF(2034&lt;sNsmrCodU1+J179/12,0,(nNsmrCap+nNsmrOpx*(1+sNsmrOpxEsc)^8+nNsmrFuel*FuelEsc*(1+nFuelCagr)^8-nNsmrItc)*IF(2034&lt;sNsmrCodU1+J179/12+nStepFirst,1,IF(nStepGated="Yes",(1+nStepPct)^(INT((2034-sNsmrCodU1-J179/12-nStepFirst)/nStepEvery)+1),1))+nExclPrem*(1-nFlexRelief)-nProdCredit)</f>
        <v/>
      </c>
      <c r="M179" s="63">
        <f>MIN(nShortfallCapM,MAX(0,sNsmrAvailY2-K179)*sNsmrUnitMw*sNsmrUnits*8760*NsmrPrice2033/1000000)</f>
        <v/>
      </c>
      <c r="N179" s="82">
        <f>IF(RAND()&lt;0.5,nUsefulLifeDrawBase-(nUsefulLifeDrawBase-nUsefulLifeDrawMin)*BETA.INV(RAND(),1.15,1.15),nUsefulLifeDrawBase+(nUsefulLifeDrawMax-nUsefulLifeDrawBase)*BETA.INV(RAND(),1.15,1.15))</f>
        <v/>
      </c>
      <c r="O179" s="45">
        <f>((nInference*nGpuIdx+nAmort)*nUtilCal/D179)*(nUsefulLifeDrawBase/N179-1)</f>
        <v/>
      </c>
      <c r="P179" s="1" t="n"/>
      <c r="Q179" s="1" t="n"/>
      <c r="R179" s="1" t="n"/>
      <c r="S179" s="1" t="n"/>
      <c r="T179" s="1" t="n"/>
      <c r="U179" s="1" t="n"/>
    </row>
    <row r="180" ht="12" customHeight="1">
      <c r="A180" s="1" t="n"/>
      <c r="B180" s="38" t="n">
        <v>160</v>
      </c>
      <c r="C180" s="114">
        <f>Assumptions!$F$8+RAND()*(Assumptions!$D$8-Assumptions!$F$8)</f>
        <v/>
      </c>
      <c r="D180" s="114">
        <f>Assumptions!$D$9+RAND()*(Assumptions!$F$9-Assumptions!$D$9)</f>
        <v/>
      </c>
      <c r="E180" s="71">
        <f>Assumptions!$F$11+RAND()*(Assumptions!$D$11-Assumptions!$F$11)</f>
        <v/>
      </c>
      <c r="F180" s="45">
        <f>nListPrice*(1-C180)-(nInference*nGpuIdx+nAmort)*nUtilCal/D180-nNetworking-nOverheadBase*(E180/nPowerCal)-nCodBase*(1+I180/12)-O180</f>
        <v/>
      </c>
      <c r="G180" s="66">
        <f>MAX(F180,0)/nDebtService</f>
        <v/>
      </c>
      <c r="H180" s="71">
        <f>Anthropic!$J$18*Anthropic!$J$27+Anthropic!$J$19*Anthropic!$J$28+Anthropic!$J$20*Anthropic!$J$29+Anthropic!$J$21*E180*(1+nPowerCagr)^4*(1+nResidualBasisMarkup+nScarcityAlpha*POWER(Anthropic!$J$21,nScarcityGamma))</f>
        <v/>
      </c>
      <c r="I180" s="113">
        <f>Assumptions!$F$10+RAND()*(Assumptions!$D$10-Assumptions!$F$10)</f>
        <v/>
      </c>
      <c r="J180" s="113">
        <f>RAND()*nCodSlipMaxMo</f>
        <v/>
      </c>
      <c r="K180" s="114">
        <f>nAvailDrawMin+RAND()*(nAvailDrawMax-nAvailDrawMin)</f>
        <v/>
      </c>
      <c r="L180" s="45">
        <f>IF(2034&lt;sNsmrCodU1+J180/12,0,(nNsmrCap+nNsmrOpx*(1+sNsmrOpxEsc)^8+nNsmrFuel*FuelEsc*(1+nFuelCagr)^8-nNsmrItc)*IF(2034&lt;sNsmrCodU1+J180/12+nStepFirst,1,IF(nStepGated="Yes",(1+nStepPct)^(INT((2034-sNsmrCodU1-J180/12-nStepFirst)/nStepEvery)+1),1))+nExclPrem*(1-nFlexRelief)-nProdCredit)</f>
        <v/>
      </c>
      <c r="M180" s="63">
        <f>MIN(nShortfallCapM,MAX(0,sNsmrAvailY2-K180)*sNsmrUnitMw*sNsmrUnits*8760*NsmrPrice2033/1000000)</f>
        <v/>
      </c>
      <c r="N180" s="82">
        <f>IF(RAND()&lt;0.5,nUsefulLifeDrawBase-(nUsefulLifeDrawBase-nUsefulLifeDrawMin)*BETA.INV(RAND(),1.15,1.15),nUsefulLifeDrawBase+(nUsefulLifeDrawMax-nUsefulLifeDrawBase)*BETA.INV(RAND(),1.15,1.15))</f>
        <v/>
      </c>
      <c r="O180" s="45">
        <f>((nInference*nGpuIdx+nAmort)*nUtilCal/D180)*(nUsefulLifeDrawBase/N180-1)</f>
        <v/>
      </c>
      <c r="P180" s="1" t="n"/>
      <c r="Q180" s="1" t="n"/>
      <c r="R180" s="1" t="n"/>
      <c r="S180" s="1" t="n"/>
      <c r="T180" s="1" t="n"/>
      <c r="U180" s="1" t="n"/>
    </row>
    <row r="181" ht="12" customHeight="1">
      <c r="A181" s="1" t="n"/>
      <c r="B181" s="38" t="n">
        <v>161</v>
      </c>
      <c r="C181" s="114">
        <f>Assumptions!$F$8+RAND()*(Assumptions!$D$8-Assumptions!$F$8)</f>
        <v/>
      </c>
      <c r="D181" s="114">
        <f>Assumptions!$D$9+RAND()*(Assumptions!$F$9-Assumptions!$D$9)</f>
        <v/>
      </c>
      <c r="E181" s="71">
        <f>Assumptions!$F$11+RAND()*(Assumptions!$D$11-Assumptions!$F$11)</f>
        <v/>
      </c>
      <c r="F181" s="45">
        <f>nListPrice*(1-C181)-(nInference*nGpuIdx+nAmort)*nUtilCal/D181-nNetworking-nOverheadBase*(E181/nPowerCal)-nCodBase*(1+I181/12)-O181</f>
        <v/>
      </c>
      <c r="G181" s="66">
        <f>MAX(F181,0)/nDebtService</f>
        <v/>
      </c>
      <c r="H181" s="71">
        <f>Anthropic!$J$18*Anthropic!$J$27+Anthropic!$J$19*Anthropic!$J$28+Anthropic!$J$20*Anthropic!$J$29+Anthropic!$J$21*E181*(1+nPowerCagr)^4*(1+nResidualBasisMarkup+nScarcityAlpha*POWER(Anthropic!$J$21,nScarcityGamma))</f>
        <v/>
      </c>
      <c r="I181" s="113">
        <f>Assumptions!$F$10+RAND()*(Assumptions!$D$10-Assumptions!$F$10)</f>
        <v/>
      </c>
      <c r="J181" s="113">
        <f>RAND()*nCodSlipMaxMo</f>
        <v/>
      </c>
      <c r="K181" s="114">
        <f>nAvailDrawMin+RAND()*(nAvailDrawMax-nAvailDrawMin)</f>
        <v/>
      </c>
      <c r="L181" s="45">
        <f>IF(2034&lt;sNsmrCodU1+J181/12,0,(nNsmrCap+nNsmrOpx*(1+sNsmrOpxEsc)^8+nNsmrFuel*FuelEsc*(1+nFuelCagr)^8-nNsmrItc)*IF(2034&lt;sNsmrCodU1+J181/12+nStepFirst,1,IF(nStepGated="Yes",(1+nStepPct)^(INT((2034-sNsmrCodU1-J181/12-nStepFirst)/nStepEvery)+1),1))+nExclPrem*(1-nFlexRelief)-nProdCredit)</f>
        <v/>
      </c>
      <c r="M181" s="63">
        <f>MIN(nShortfallCapM,MAX(0,sNsmrAvailY2-K181)*sNsmrUnitMw*sNsmrUnits*8760*NsmrPrice2033/1000000)</f>
        <v/>
      </c>
      <c r="N181" s="82">
        <f>IF(RAND()&lt;0.5,nUsefulLifeDrawBase-(nUsefulLifeDrawBase-nUsefulLifeDrawMin)*BETA.INV(RAND(),1.15,1.15),nUsefulLifeDrawBase+(nUsefulLifeDrawMax-nUsefulLifeDrawBase)*BETA.INV(RAND(),1.15,1.15))</f>
        <v/>
      </c>
      <c r="O181" s="45">
        <f>((nInference*nGpuIdx+nAmort)*nUtilCal/D181)*(nUsefulLifeDrawBase/N181-1)</f>
        <v/>
      </c>
      <c r="P181" s="1" t="n"/>
      <c r="Q181" s="1" t="n"/>
      <c r="R181" s="1" t="n"/>
      <c r="S181" s="1" t="n"/>
      <c r="T181" s="1" t="n"/>
      <c r="U181" s="1" t="n"/>
    </row>
    <row r="182" ht="12" customHeight="1">
      <c r="A182" s="1" t="n"/>
      <c r="B182" s="38" t="n">
        <v>162</v>
      </c>
      <c r="C182" s="114">
        <f>Assumptions!$F$8+RAND()*(Assumptions!$D$8-Assumptions!$F$8)</f>
        <v/>
      </c>
      <c r="D182" s="114">
        <f>Assumptions!$D$9+RAND()*(Assumptions!$F$9-Assumptions!$D$9)</f>
        <v/>
      </c>
      <c r="E182" s="71">
        <f>Assumptions!$F$11+RAND()*(Assumptions!$D$11-Assumptions!$F$11)</f>
        <v/>
      </c>
      <c r="F182" s="45">
        <f>nListPrice*(1-C182)-(nInference*nGpuIdx+nAmort)*nUtilCal/D182-nNetworking-nOverheadBase*(E182/nPowerCal)-nCodBase*(1+I182/12)-O182</f>
        <v/>
      </c>
      <c r="G182" s="66">
        <f>MAX(F182,0)/nDebtService</f>
        <v/>
      </c>
      <c r="H182" s="71">
        <f>Anthropic!$J$18*Anthropic!$J$27+Anthropic!$J$19*Anthropic!$J$28+Anthropic!$J$20*Anthropic!$J$29+Anthropic!$J$21*E182*(1+nPowerCagr)^4*(1+nResidualBasisMarkup+nScarcityAlpha*POWER(Anthropic!$J$21,nScarcityGamma))</f>
        <v/>
      </c>
      <c r="I182" s="113">
        <f>Assumptions!$F$10+RAND()*(Assumptions!$D$10-Assumptions!$F$10)</f>
        <v/>
      </c>
      <c r="J182" s="113">
        <f>RAND()*nCodSlipMaxMo</f>
        <v/>
      </c>
      <c r="K182" s="114">
        <f>nAvailDrawMin+RAND()*(nAvailDrawMax-nAvailDrawMin)</f>
        <v/>
      </c>
      <c r="L182" s="45">
        <f>IF(2034&lt;sNsmrCodU1+J182/12,0,(nNsmrCap+nNsmrOpx*(1+sNsmrOpxEsc)^8+nNsmrFuel*FuelEsc*(1+nFuelCagr)^8-nNsmrItc)*IF(2034&lt;sNsmrCodU1+J182/12+nStepFirst,1,IF(nStepGated="Yes",(1+nStepPct)^(INT((2034-sNsmrCodU1-J182/12-nStepFirst)/nStepEvery)+1),1))+nExclPrem*(1-nFlexRelief)-nProdCredit)</f>
        <v/>
      </c>
      <c r="M182" s="63">
        <f>MIN(nShortfallCapM,MAX(0,sNsmrAvailY2-K182)*sNsmrUnitMw*sNsmrUnits*8760*NsmrPrice2033/1000000)</f>
        <v/>
      </c>
      <c r="N182" s="82">
        <f>IF(RAND()&lt;0.5,nUsefulLifeDrawBase-(nUsefulLifeDrawBase-nUsefulLifeDrawMin)*BETA.INV(RAND(),1.15,1.15),nUsefulLifeDrawBase+(nUsefulLifeDrawMax-nUsefulLifeDrawBase)*BETA.INV(RAND(),1.15,1.15))</f>
        <v/>
      </c>
      <c r="O182" s="45">
        <f>((nInference*nGpuIdx+nAmort)*nUtilCal/D182)*(nUsefulLifeDrawBase/N182-1)</f>
        <v/>
      </c>
      <c r="P182" s="1" t="n"/>
      <c r="Q182" s="1" t="n"/>
      <c r="R182" s="1" t="n"/>
      <c r="S182" s="1" t="n"/>
      <c r="T182" s="1" t="n"/>
      <c r="U182" s="1" t="n"/>
    </row>
    <row r="183" ht="12" customHeight="1">
      <c r="A183" s="1" t="n"/>
      <c r="B183" s="38" t="n">
        <v>163</v>
      </c>
      <c r="C183" s="114">
        <f>Assumptions!$F$8+RAND()*(Assumptions!$D$8-Assumptions!$F$8)</f>
        <v/>
      </c>
      <c r="D183" s="114">
        <f>Assumptions!$D$9+RAND()*(Assumptions!$F$9-Assumptions!$D$9)</f>
        <v/>
      </c>
      <c r="E183" s="71">
        <f>Assumptions!$F$11+RAND()*(Assumptions!$D$11-Assumptions!$F$11)</f>
        <v/>
      </c>
      <c r="F183" s="45">
        <f>nListPrice*(1-C183)-(nInference*nGpuIdx+nAmort)*nUtilCal/D183-nNetworking-nOverheadBase*(E183/nPowerCal)-nCodBase*(1+I183/12)-O183</f>
        <v/>
      </c>
      <c r="G183" s="66">
        <f>MAX(F183,0)/nDebtService</f>
        <v/>
      </c>
      <c r="H183" s="71">
        <f>Anthropic!$J$18*Anthropic!$J$27+Anthropic!$J$19*Anthropic!$J$28+Anthropic!$J$20*Anthropic!$J$29+Anthropic!$J$21*E183*(1+nPowerCagr)^4*(1+nResidualBasisMarkup+nScarcityAlpha*POWER(Anthropic!$J$21,nScarcityGamma))</f>
        <v/>
      </c>
      <c r="I183" s="113">
        <f>Assumptions!$F$10+RAND()*(Assumptions!$D$10-Assumptions!$F$10)</f>
        <v/>
      </c>
      <c r="J183" s="113">
        <f>RAND()*nCodSlipMaxMo</f>
        <v/>
      </c>
      <c r="K183" s="114">
        <f>nAvailDrawMin+RAND()*(nAvailDrawMax-nAvailDrawMin)</f>
        <v/>
      </c>
      <c r="L183" s="45">
        <f>IF(2034&lt;sNsmrCodU1+J183/12,0,(nNsmrCap+nNsmrOpx*(1+sNsmrOpxEsc)^8+nNsmrFuel*FuelEsc*(1+nFuelCagr)^8-nNsmrItc)*IF(2034&lt;sNsmrCodU1+J183/12+nStepFirst,1,IF(nStepGated="Yes",(1+nStepPct)^(INT((2034-sNsmrCodU1-J183/12-nStepFirst)/nStepEvery)+1),1))+nExclPrem*(1-nFlexRelief)-nProdCredit)</f>
        <v/>
      </c>
      <c r="M183" s="63">
        <f>MIN(nShortfallCapM,MAX(0,sNsmrAvailY2-K183)*sNsmrUnitMw*sNsmrUnits*8760*NsmrPrice2033/1000000)</f>
        <v/>
      </c>
      <c r="N183" s="82">
        <f>IF(RAND()&lt;0.5,nUsefulLifeDrawBase-(nUsefulLifeDrawBase-nUsefulLifeDrawMin)*BETA.INV(RAND(),1.15,1.15),nUsefulLifeDrawBase+(nUsefulLifeDrawMax-nUsefulLifeDrawBase)*BETA.INV(RAND(),1.15,1.15))</f>
        <v/>
      </c>
      <c r="O183" s="45">
        <f>((nInference*nGpuIdx+nAmort)*nUtilCal/D183)*(nUsefulLifeDrawBase/N183-1)</f>
        <v/>
      </c>
      <c r="P183" s="1" t="n"/>
      <c r="Q183" s="1" t="n"/>
      <c r="R183" s="1" t="n"/>
      <c r="S183" s="1" t="n"/>
      <c r="T183" s="1" t="n"/>
      <c r="U183" s="1" t="n"/>
    </row>
    <row r="184" ht="12" customHeight="1">
      <c r="A184" s="1" t="n"/>
      <c r="B184" s="38" t="n">
        <v>164</v>
      </c>
      <c r="C184" s="114">
        <f>Assumptions!$F$8+RAND()*(Assumptions!$D$8-Assumptions!$F$8)</f>
        <v/>
      </c>
      <c r="D184" s="114">
        <f>Assumptions!$D$9+RAND()*(Assumptions!$F$9-Assumptions!$D$9)</f>
        <v/>
      </c>
      <c r="E184" s="71">
        <f>Assumptions!$F$11+RAND()*(Assumptions!$D$11-Assumptions!$F$11)</f>
        <v/>
      </c>
      <c r="F184" s="45">
        <f>nListPrice*(1-C184)-(nInference*nGpuIdx+nAmort)*nUtilCal/D184-nNetworking-nOverheadBase*(E184/nPowerCal)-nCodBase*(1+I184/12)-O184</f>
        <v/>
      </c>
      <c r="G184" s="66">
        <f>MAX(F184,0)/nDebtService</f>
        <v/>
      </c>
      <c r="H184" s="71">
        <f>Anthropic!$J$18*Anthropic!$J$27+Anthropic!$J$19*Anthropic!$J$28+Anthropic!$J$20*Anthropic!$J$29+Anthropic!$J$21*E184*(1+nPowerCagr)^4*(1+nResidualBasisMarkup+nScarcityAlpha*POWER(Anthropic!$J$21,nScarcityGamma))</f>
        <v/>
      </c>
      <c r="I184" s="113">
        <f>Assumptions!$F$10+RAND()*(Assumptions!$D$10-Assumptions!$F$10)</f>
        <v/>
      </c>
      <c r="J184" s="113">
        <f>RAND()*nCodSlipMaxMo</f>
        <v/>
      </c>
      <c r="K184" s="114">
        <f>nAvailDrawMin+RAND()*(nAvailDrawMax-nAvailDrawMin)</f>
        <v/>
      </c>
      <c r="L184" s="45">
        <f>IF(2034&lt;sNsmrCodU1+J184/12,0,(nNsmrCap+nNsmrOpx*(1+sNsmrOpxEsc)^8+nNsmrFuel*FuelEsc*(1+nFuelCagr)^8-nNsmrItc)*IF(2034&lt;sNsmrCodU1+J184/12+nStepFirst,1,IF(nStepGated="Yes",(1+nStepPct)^(INT((2034-sNsmrCodU1-J184/12-nStepFirst)/nStepEvery)+1),1))+nExclPrem*(1-nFlexRelief)-nProdCredit)</f>
        <v/>
      </c>
      <c r="M184" s="63">
        <f>MIN(nShortfallCapM,MAX(0,sNsmrAvailY2-K184)*sNsmrUnitMw*sNsmrUnits*8760*NsmrPrice2033/1000000)</f>
        <v/>
      </c>
      <c r="N184" s="82">
        <f>IF(RAND()&lt;0.5,nUsefulLifeDrawBase-(nUsefulLifeDrawBase-nUsefulLifeDrawMin)*BETA.INV(RAND(),1.15,1.15),nUsefulLifeDrawBase+(nUsefulLifeDrawMax-nUsefulLifeDrawBase)*BETA.INV(RAND(),1.15,1.15))</f>
        <v/>
      </c>
      <c r="O184" s="45">
        <f>((nInference*nGpuIdx+nAmort)*nUtilCal/D184)*(nUsefulLifeDrawBase/N184-1)</f>
        <v/>
      </c>
      <c r="P184" s="1" t="n"/>
      <c r="Q184" s="1" t="n"/>
      <c r="R184" s="1" t="n"/>
      <c r="S184" s="1" t="n"/>
      <c r="T184" s="1" t="n"/>
      <c r="U184" s="1" t="n"/>
    </row>
    <row r="185" ht="12" customHeight="1">
      <c r="A185" s="1" t="n"/>
      <c r="B185" s="38" t="n">
        <v>165</v>
      </c>
      <c r="C185" s="114">
        <f>Assumptions!$F$8+RAND()*(Assumptions!$D$8-Assumptions!$F$8)</f>
        <v/>
      </c>
      <c r="D185" s="114">
        <f>Assumptions!$D$9+RAND()*(Assumptions!$F$9-Assumptions!$D$9)</f>
        <v/>
      </c>
      <c r="E185" s="71">
        <f>Assumptions!$F$11+RAND()*(Assumptions!$D$11-Assumptions!$F$11)</f>
        <v/>
      </c>
      <c r="F185" s="45">
        <f>nListPrice*(1-C185)-(nInference*nGpuIdx+nAmort)*nUtilCal/D185-nNetworking-nOverheadBase*(E185/nPowerCal)-nCodBase*(1+I185/12)-O185</f>
        <v/>
      </c>
      <c r="G185" s="66">
        <f>MAX(F185,0)/nDebtService</f>
        <v/>
      </c>
      <c r="H185" s="71">
        <f>Anthropic!$J$18*Anthropic!$J$27+Anthropic!$J$19*Anthropic!$J$28+Anthropic!$J$20*Anthropic!$J$29+Anthropic!$J$21*E185*(1+nPowerCagr)^4*(1+nResidualBasisMarkup+nScarcityAlpha*POWER(Anthropic!$J$21,nScarcityGamma))</f>
        <v/>
      </c>
      <c r="I185" s="113">
        <f>Assumptions!$F$10+RAND()*(Assumptions!$D$10-Assumptions!$F$10)</f>
        <v/>
      </c>
      <c r="J185" s="113">
        <f>RAND()*nCodSlipMaxMo</f>
        <v/>
      </c>
      <c r="K185" s="114">
        <f>nAvailDrawMin+RAND()*(nAvailDrawMax-nAvailDrawMin)</f>
        <v/>
      </c>
      <c r="L185" s="45">
        <f>IF(2034&lt;sNsmrCodU1+J185/12,0,(nNsmrCap+nNsmrOpx*(1+sNsmrOpxEsc)^8+nNsmrFuel*FuelEsc*(1+nFuelCagr)^8-nNsmrItc)*IF(2034&lt;sNsmrCodU1+J185/12+nStepFirst,1,IF(nStepGated="Yes",(1+nStepPct)^(INT((2034-sNsmrCodU1-J185/12-nStepFirst)/nStepEvery)+1),1))+nExclPrem*(1-nFlexRelief)-nProdCredit)</f>
        <v/>
      </c>
      <c r="M185" s="63">
        <f>MIN(nShortfallCapM,MAX(0,sNsmrAvailY2-K185)*sNsmrUnitMw*sNsmrUnits*8760*NsmrPrice2033/1000000)</f>
        <v/>
      </c>
      <c r="N185" s="82">
        <f>IF(RAND()&lt;0.5,nUsefulLifeDrawBase-(nUsefulLifeDrawBase-nUsefulLifeDrawMin)*BETA.INV(RAND(),1.15,1.15),nUsefulLifeDrawBase+(nUsefulLifeDrawMax-nUsefulLifeDrawBase)*BETA.INV(RAND(),1.15,1.15))</f>
        <v/>
      </c>
      <c r="O185" s="45">
        <f>((nInference*nGpuIdx+nAmort)*nUtilCal/D185)*(nUsefulLifeDrawBase/N185-1)</f>
        <v/>
      </c>
      <c r="P185" s="1" t="n"/>
      <c r="Q185" s="1" t="n"/>
      <c r="R185" s="1" t="n"/>
      <c r="S185" s="1" t="n"/>
      <c r="T185" s="1" t="n"/>
      <c r="U185" s="1" t="n"/>
    </row>
    <row r="186" ht="12" customHeight="1">
      <c r="A186" s="1" t="n"/>
      <c r="B186" s="38" t="n">
        <v>166</v>
      </c>
      <c r="C186" s="114">
        <f>Assumptions!$F$8+RAND()*(Assumptions!$D$8-Assumptions!$F$8)</f>
        <v/>
      </c>
      <c r="D186" s="114">
        <f>Assumptions!$D$9+RAND()*(Assumptions!$F$9-Assumptions!$D$9)</f>
        <v/>
      </c>
      <c r="E186" s="71">
        <f>Assumptions!$F$11+RAND()*(Assumptions!$D$11-Assumptions!$F$11)</f>
        <v/>
      </c>
      <c r="F186" s="45">
        <f>nListPrice*(1-C186)-(nInference*nGpuIdx+nAmort)*nUtilCal/D186-nNetworking-nOverheadBase*(E186/nPowerCal)-nCodBase*(1+I186/12)-O186</f>
        <v/>
      </c>
      <c r="G186" s="66">
        <f>MAX(F186,0)/nDebtService</f>
        <v/>
      </c>
      <c r="H186" s="71">
        <f>Anthropic!$J$18*Anthropic!$J$27+Anthropic!$J$19*Anthropic!$J$28+Anthropic!$J$20*Anthropic!$J$29+Anthropic!$J$21*E186*(1+nPowerCagr)^4*(1+nResidualBasisMarkup+nScarcityAlpha*POWER(Anthropic!$J$21,nScarcityGamma))</f>
        <v/>
      </c>
      <c r="I186" s="113">
        <f>Assumptions!$F$10+RAND()*(Assumptions!$D$10-Assumptions!$F$10)</f>
        <v/>
      </c>
      <c r="J186" s="113">
        <f>RAND()*nCodSlipMaxMo</f>
        <v/>
      </c>
      <c r="K186" s="114">
        <f>nAvailDrawMin+RAND()*(nAvailDrawMax-nAvailDrawMin)</f>
        <v/>
      </c>
      <c r="L186" s="45">
        <f>IF(2034&lt;sNsmrCodU1+J186/12,0,(nNsmrCap+nNsmrOpx*(1+sNsmrOpxEsc)^8+nNsmrFuel*FuelEsc*(1+nFuelCagr)^8-nNsmrItc)*IF(2034&lt;sNsmrCodU1+J186/12+nStepFirst,1,IF(nStepGated="Yes",(1+nStepPct)^(INT((2034-sNsmrCodU1-J186/12-nStepFirst)/nStepEvery)+1),1))+nExclPrem*(1-nFlexRelief)-nProdCredit)</f>
        <v/>
      </c>
      <c r="M186" s="63">
        <f>MIN(nShortfallCapM,MAX(0,sNsmrAvailY2-K186)*sNsmrUnitMw*sNsmrUnits*8760*NsmrPrice2033/1000000)</f>
        <v/>
      </c>
      <c r="N186" s="82">
        <f>IF(RAND()&lt;0.5,nUsefulLifeDrawBase-(nUsefulLifeDrawBase-nUsefulLifeDrawMin)*BETA.INV(RAND(),1.15,1.15),nUsefulLifeDrawBase+(nUsefulLifeDrawMax-nUsefulLifeDrawBase)*BETA.INV(RAND(),1.15,1.15))</f>
        <v/>
      </c>
      <c r="O186" s="45">
        <f>((nInference*nGpuIdx+nAmort)*nUtilCal/D186)*(nUsefulLifeDrawBase/N186-1)</f>
        <v/>
      </c>
      <c r="P186" s="1" t="n"/>
      <c r="Q186" s="1" t="n"/>
      <c r="R186" s="1" t="n"/>
      <c r="S186" s="1" t="n"/>
      <c r="T186" s="1" t="n"/>
      <c r="U186" s="1" t="n"/>
    </row>
    <row r="187" ht="12" customHeight="1">
      <c r="A187" s="1" t="n"/>
      <c r="B187" s="38" t="n">
        <v>167</v>
      </c>
      <c r="C187" s="114">
        <f>Assumptions!$F$8+RAND()*(Assumptions!$D$8-Assumptions!$F$8)</f>
        <v/>
      </c>
      <c r="D187" s="114">
        <f>Assumptions!$D$9+RAND()*(Assumptions!$F$9-Assumptions!$D$9)</f>
        <v/>
      </c>
      <c r="E187" s="71">
        <f>Assumptions!$F$11+RAND()*(Assumptions!$D$11-Assumptions!$F$11)</f>
        <v/>
      </c>
      <c r="F187" s="45">
        <f>nListPrice*(1-C187)-(nInference*nGpuIdx+nAmort)*nUtilCal/D187-nNetworking-nOverheadBase*(E187/nPowerCal)-nCodBase*(1+I187/12)-O187</f>
        <v/>
      </c>
      <c r="G187" s="66">
        <f>MAX(F187,0)/nDebtService</f>
        <v/>
      </c>
      <c r="H187" s="71">
        <f>Anthropic!$J$18*Anthropic!$J$27+Anthropic!$J$19*Anthropic!$J$28+Anthropic!$J$20*Anthropic!$J$29+Anthropic!$J$21*E187*(1+nPowerCagr)^4*(1+nResidualBasisMarkup+nScarcityAlpha*POWER(Anthropic!$J$21,nScarcityGamma))</f>
        <v/>
      </c>
      <c r="I187" s="113">
        <f>Assumptions!$F$10+RAND()*(Assumptions!$D$10-Assumptions!$F$10)</f>
        <v/>
      </c>
      <c r="J187" s="113">
        <f>RAND()*nCodSlipMaxMo</f>
        <v/>
      </c>
      <c r="K187" s="114">
        <f>nAvailDrawMin+RAND()*(nAvailDrawMax-nAvailDrawMin)</f>
        <v/>
      </c>
      <c r="L187" s="45">
        <f>IF(2034&lt;sNsmrCodU1+J187/12,0,(nNsmrCap+nNsmrOpx*(1+sNsmrOpxEsc)^8+nNsmrFuel*FuelEsc*(1+nFuelCagr)^8-nNsmrItc)*IF(2034&lt;sNsmrCodU1+J187/12+nStepFirst,1,IF(nStepGated="Yes",(1+nStepPct)^(INT((2034-sNsmrCodU1-J187/12-nStepFirst)/nStepEvery)+1),1))+nExclPrem*(1-nFlexRelief)-nProdCredit)</f>
        <v/>
      </c>
      <c r="M187" s="63">
        <f>MIN(nShortfallCapM,MAX(0,sNsmrAvailY2-K187)*sNsmrUnitMw*sNsmrUnits*8760*NsmrPrice2033/1000000)</f>
        <v/>
      </c>
      <c r="N187" s="82">
        <f>IF(RAND()&lt;0.5,nUsefulLifeDrawBase-(nUsefulLifeDrawBase-nUsefulLifeDrawMin)*BETA.INV(RAND(),1.15,1.15),nUsefulLifeDrawBase+(nUsefulLifeDrawMax-nUsefulLifeDrawBase)*BETA.INV(RAND(),1.15,1.15))</f>
        <v/>
      </c>
      <c r="O187" s="45">
        <f>((nInference*nGpuIdx+nAmort)*nUtilCal/D187)*(nUsefulLifeDrawBase/N187-1)</f>
        <v/>
      </c>
      <c r="P187" s="1" t="n"/>
      <c r="Q187" s="1" t="n"/>
      <c r="R187" s="1" t="n"/>
      <c r="S187" s="1" t="n"/>
      <c r="T187" s="1" t="n"/>
      <c r="U187" s="1" t="n"/>
    </row>
    <row r="188" ht="12" customHeight="1">
      <c r="A188" s="1" t="n"/>
      <c r="B188" s="38" t="n">
        <v>168</v>
      </c>
      <c r="C188" s="114">
        <f>Assumptions!$F$8+RAND()*(Assumptions!$D$8-Assumptions!$F$8)</f>
        <v/>
      </c>
      <c r="D188" s="114">
        <f>Assumptions!$D$9+RAND()*(Assumptions!$F$9-Assumptions!$D$9)</f>
        <v/>
      </c>
      <c r="E188" s="71">
        <f>Assumptions!$F$11+RAND()*(Assumptions!$D$11-Assumptions!$F$11)</f>
        <v/>
      </c>
      <c r="F188" s="45">
        <f>nListPrice*(1-C188)-(nInference*nGpuIdx+nAmort)*nUtilCal/D188-nNetworking-nOverheadBase*(E188/nPowerCal)-nCodBase*(1+I188/12)-O188</f>
        <v/>
      </c>
      <c r="G188" s="66">
        <f>MAX(F188,0)/nDebtService</f>
        <v/>
      </c>
      <c r="H188" s="71">
        <f>Anthropic!$J$18*Anthropic!$J$27+Anthropic!$J$19*Anthropic!$J$28+Anthropic!$J$20*Anthropic!$J$29+Anthropic!$J$21*E188*(1+nPowerCagr)^4*(1+nResidualBasisMarkup+nScarcityAlpha*POWER(Anthropic!$J$21,nScarcityGamma))</f>
        <v/>
      </c>
      <c r="I188" s="113">
        <f>Assumptions!$F$10+RAND()*(Assumptions!$D$10-Assumptions!$F$10)</f>
        <v/>
      </c>
      <c r="J188" s="113">
        <f>RAND()*nCodSlipMaxMo</f>
        <v/>
      </c>
      <c r="K188" s="114">
        <f>nAvailDrawMin+RAND()*(nAvailDrawMax-nAvailDrawMin)</f>
        <v/>
      </c>
      <c r="L188" s="45">
        <f>IF(2034&lt;sNsmrCodU1+J188/12,0,(nNsmrCap+nNsmrOpx*(1+sNsmrOpxEsc)^8+nNsmrFuel*FuelEsc*(1+nFuelCagr)^8-nNsmrItc)*IF(2034&lt;sNsmrCodU1+J188/12+nStepFirst,1,IF(nStepGated="Yes",(1+nStepPct)^(INT((2034-sNsmrCodU1-J188/12-nStepFirst)/nStepEvery)+1),1))+nExclPrem*(1-nFlexRelief)-nProdCredit)</f>
        <v/>
      </c>
      <c r="M188" s="63">
        <f>MIN(nShortfallCapM,MAX(0,sNsmrAvailY2-K188)*sNsmrUnitMw*sNsmrUnits*8760*NsmrPrice2033/1000000)</f>
        <v/>
      </c>
      <c r="N188" s="82">
        <f>IF(RAND()&lt;0.5,nUsefulLifeDrawBase-(nUsefulLifeDrawBase-nUsefulLifeDrawMin)*BETA.INV(RAND(),1.15,1.15),nUsefulLifeDrawBase+(nUsefulLifeDrawMax-nUsefulLifeDrawBase)*BETA.INV(RAND(),1.15,1.15))</f>
        <v/>
      </c>
      <c r="O188" s="45">
        <f>((nInference*nGpuIdx+nAmort)*nUtilCal/D188)*(nUsefulLifeDrawBase/N188-1)</f>
        <v/>
      </c>
      <c r="P188" s="1" t="n"/>
      <c r="Q188" s="1" t="n"/>
      <c r="R188" s="1" t="n"/>
      <c r="S188" s="1" t="n"/>
      <c r="T188" s="1" t="n"/>
      <c r="U188" s="1" t="n"/>
    </row>
    <row r="189" ht="12" customHeight="1">
      <c r="A189" s="1" t="n"/>
      <c r="B189" s="38" t="n">
        <v>169</v>
      </c>
      <c r="C189" s="114">
        <f>Assumptions!$F$8+RAND()*(Assumptions!$D$8-Assumptions!$F$8)</f>
        <v/>
      </c>
      <c r="D189" s="114">
        <f>Assumptions!$D$9+RAND()*(Assumptions!$F$9-Assumptions!$D$9)</f>
        <v/>
      </c>
      <c r="E189" s="71">
        <f>Assumptions!$F$11+RAND()*(Assumptions!$D$11-Assumptions!$F$11)</f>
        <v/>
      </c>
      <c r="F189" s="45">
        <f>nListPrice*(1-C189)-(nInference*nGpuIdx+nAmort)*nUtilCal/D189-nNetworking-nOverheadBase*(E189/nPowerCal)-nCodBase*(1+I189/12)-O189</f>
        <v/>
      </c>
      <c r="G189" s="66">
        <f>MAX(F189,0)/nDebtService</f>
        <v/>
      </c>
      <c r="H189" s="71">
        <f>Anthropic!$J$18*Anthropic!$J$27+Anthropic!$J$19*Anthropic!$J$28+Anthropic!$J$20*Anthropic!$J$29+Anthropic!$J$21*E189*(1+nPowerCagr)^4*(1+nResidualBasisMarkup+nScarcityAlpha*POWER(Anthropic!$J$21,nScarcityGamma))</f>
        <v/>
      </c>
      <c r="I189" s="113">
        <f>Assumptions!$F$10+RAND()*(Assumptions!$D$10-Assumptions!$F$10)</f>
        <v/>
      </c>
      <c r="J189" s="113">
        <f>RAND()*nCodSlipMaxMo</f>
        <v/>
      </c>
      <c r="K189" s="114">
        <f>nAvailDrawMin+RAND()*(nAvailDrawMax-nAvailDrawMin)</f>
        <v/>
      </c>
      <c r="L189" s="45">
        <f>IF(2034&lt;sNsmrCodU1+J189/12,0,(nNsmrCap+nNsmrOpx*(1+sNsmrOpxEsc)^8+nNsmrFuel*FuelEsc*(1+nFuelCagr)^8-nNsmrItc)*IF(2034&lt;sNsmrCodU1+J189/12+nStepFirst,1,IF(nStepGated="Yes",(1+nStepPct)^(INT((2034-sNsmrCodU1-J189/12-nStepFirst)/nStepEvery)+1),1))+nExclPrem*(1-nFlexRelief)-nProdCredit)</f>
        <v/>
      </c>
      <c r="M189" s="63">
        <f>MIN(nShortfallCapM,MAX(0,sNsmrAvailY2-K189)*sNsmrUnitMw*sNsmrUnits*8760*NsmrPrice2033/1000000)</f>
        <v/>
      </c>
      <c r="N189" s="82">
        <f>IF(RAND()&lt;0.5,nUsefulLifeDrawBase-(nUsefulLifeDrawBase-nUsefulLifeDrawMin)*BETA.INV(RAND(),1.15,1.15),nUsefulLifeDrawBase+(nUsefulLifeDrawMax-nUsefulLifeDrawBase)*BETA.INV(RAND(),1.15,1.15))</f>
        <v/>
      </c>
      <c r="O189" s="45">
        <f>((nInference*nGpuIdx+nAmort)*nUtilCal/D189)*(nUsefulLifeDrawBase/N189-1)</f>
        <v/>
      </c>
      <c r="P189" s="1" t="n"/>
      <c r="Q189" s="1" t="n"/>
      <c r="R189" s="1" t="n"/>
      <c r="S189" s="1" t="n"/>
      <c r="T189" s="1" t="n"/>
      <c r="U189" s="1" t="n"/>
    </row>
    <row r="190" ht="12" customHeight="1">
      <c r="A190" s="1" t="n"/>
      <c r="B190" s="38" t="n">
        <v>170</v>
      </c>
      <c r="C190" s="114">
        <f>Assumptions!$F$8+RAND()*(Assumptions!$D$8-Assumptions!$F$8)</f>
        <v/>
      </c>
      <c r="D190" s="114">
        <f>Assumptions!$D$9+RAND()*(Assumptions!$F$9-Assumptions!$D$9)</f>
        <v/>
      </c>
      <c r="E190" s="71">
        <f>Assumptions!$F$11+RAND()*(Assumptions!$D$11-Assumptions!$F$11)</f>
        <v/>
      </c>
      <c r="F190" s="45">
        <f>nListPrice*(1-C190)-(nInference*nGpuIdx+nAmort)*nUtilCal/D190-nNetworking-nOverheadBase*(E190/nPowerCal)-nCodBase*(1+I190/12)-O190</f>
        <v/>
      </c>
      <c r="G190" s="66">
        <f>MAX(F190,0)/nDebtService</f>
        <v/>
      </c>
      <c r="H190" s="71">
        <f>Anthropic!$J$18*Anthropic!$J$27+Anthropic!$J$19*Anthropic!$J$28+Anthropic!$J$20*Anthropic!$J$29+Anthropic!$J$21*E190*(1+nPowerCagr)^4*(1+nResidualBasisMarkup+nScarcityAlpha*POWER(Anthropic!$J$21,nScarcityGamma))</f>
        <v/>
      </c>
      <c r="I190" s="113">
        <f>Assumptions!$F$10+RAND()*(Assumptions!$D$10-Assumptions!$F$10)</f>
        <v/>
      </c>
      <c r="J190" s="113">
        <f>RAND()*nCodSlipMaxMo</f>
        <v/>
      </c>
      <c r="K190" s="114">
        <f>nAvailDrawMin+RAND()*(nAvailDrawMax-nAvailDrawMin)</f>
        <v/>
      </c>
      <c r="L190" s="45">
        <f>IF(2034&lt;sNsmrCodU1+J190/12,0,(nNsmrCap+nNsmrOpx*(1+sNsmrOpxEsc)^8+nNsmrFuel*FuelEsc*(1+nFuelCagr)^8-nNsmrItc)*IF(2034&lt;sNsmrCodU1+J190/12+nStepFirst,1,IF(nStepGated="Yes",(1+nStepPct)^(INT((2034-sNsmrCodU1-J190/12-nStepFirst)/nStepEvery)+1),1))+nExclPrem*(1-nFlexRelief)-nProdCredit)</f>
        <v/>
      </c>
      <c r="M190" s="63">
        <f>MIN(nShortfallCapM,MAX(0,sNsmrAvailY2-K190)*sNsmrUnitMw*sNsmrUnits*8760*NsmrPrice2033/1000000)</f>
        <v/>
      </c>
      <c r="N190" s="82">
        <f>IF(RAND()&lt;0.5,nUsefulLifeDrawBase-(nUsefulLifeDrawBase-nUsefulLifeDrawMin)*BETA.INV(RAND(),1.15,1.15),nUsefulLifeDrawBase+(nUsefulLifeDrawMax-nUsefulLifeDrawBase)*BETA.INV(RAND(),1.15,1.15))</f>
        <v/>
      </c>
      <c r="O190" s="45">
        <f>((nInference*nGpuIdx+nAmort)*nUtilCal/D190)*(nUsefulLifeDrawBase/N190-1)</f>
        <v/>
      </c>
      <c r="P190" s="1" t="n"/>
      <c r="Q190" s="1" t="n"/>
      <c r="R190" s="1" t="n"/>
      <c r="S190" s="1" t="n"/>
      <c r="T190" s="1" t="n"/>
      <c r="U190" s="1" t="n"/>
    </row>
    <row r="191" ht="12" customHeight="1">
      <c r="A191" s="1" t="n"/>
      <c r="B191" s="38" t="n">
        <v>171</v>
      </c>
      <c r="C191" s="114">
        <f>Assumptions!$F$8+RAND()*(Assumptions!$D$8-Assumptions!$F$8)</f>
        <v/>
      </c>
      <c r="D191" s="114">
        <f>Assumptions!$D$9+RAND()*(Assumptions!$F$9-Assumptions!$D$9)</f>
        <v/>
      </c>
      <c r="E191" s="71">
        <f>Assumptions!$F$11+RAND()*(Assumptions!$D$11-Assumptions!$F$11)</f>
        <v/>
      </c>
      <c r="F191" s="45">
        <f>nListPrice*(1-C191)-(nInference*nGpuIdx+nAmort)*nUtilCal/D191-nNetworking-nOverheadBase*(E191/nPowerCal)-nCodBase*(1+I191/12)-O191</f>
        <v/>
      </c>
      <c r="G191" s="66">
        <f>MAX(F191,0)/nDebtService</f>
        <v/>
      </c>
      <c r="H191" s="71">
        <f>Anthropic!$J$18*Anthropic!$J$27+Anthropic!$J$19*Anthropic!$J$28+Anthropic!$J$20*Anthropic!$J$29+Anthropic!$J$21*E191*(1+nPowerCagr)^4*(1+nResidualBasisMarkup+nScarcityAlpha*POWER(Anthropic!$J$21,nScarcityGamma))</f>
        <v/>
      </c>
      <c r="I191" s="113">
        <f>Assumptions!$F$10+RAND()*(Assumptions!$D$10-Assumptions!$F$10)</f>
        <v/>
      </c>
      <c r="J191" s="113">
        <f>RAND()*nCodSlipMaxMo</f>
        <v/>
      </c>
      <c r="K191" s="114">
        <f>nAvailDrawMin+RAND()*(nAvailDrawMax-nAvailDrawMin)</f>
        <v/>
      </c>
      <c r="L191" s="45">
        <f>IF(2034&lt;sNsmrCodU1+J191/12,0,(nNsmrCap+nNsmrOpx*(1+sNsmrOpxEsc)^8+nNsmrFuel*FuelEsc*(1+nFuelCagr)^8-nNsmrItc)*IF(2034&lt;sNsmrCodU1+J191/12+nStepFirst,1,IF(nStepGated="Yes",(1+nStepPct)^(INT((2034-sNsmrCodU1-J191/12-nStepFirst)/nStepEvery)+1),1))+nExclPrem*(1-nFlexRelief)-nProdCredit)</f>
        <v/>
      </c>
      <c r="M191" s="63">
        <f>MIN(nShortfallCapM,MAX(0,sNsmrAvailY2-K191)*sNsmrUnitMw*sNsmrUnits*8760*NsmrPrice2033/1000000)</f>
        <v/>
      </c>
      <c r="N191" s="82">
        <f>IF(RAND()&lt;0.5,nUsefulLifeDrawBase-(nUsefulLifeDrawBase-nUsefulLifeDrawMin)*BETA.INV(RAND(),1.15,1.15),nUsefulLifeDrawBase+(nUsefulLifeDrawMax-nUsefulLifeDrawBase)*BETA.INV(RAND(),1.15,1.15))</f>
        <v/>
      </c>
      <c r="O191" s="45">
        <f>((nInference*nGpuIdx+nAmort)*nUtilCal/D191)*(nUsefulLifeDrawBase/N191-1)</f>
        <v/>
      </c>
      <c r="P191" s="1" t="n"/>
      <c r="Q191" s="1" t="n"/>
      <c r="R191" s="1" t="n"/>
      <c r="S191" s="1" t="n"/>
      <c r="T191" s="1" t="n"/>
      <c r="U191" s="1" t="n"/>
    </row>
    <row r="192" ht="12" customHeight="1">
      <c r="A192" s="1" t="n"/>
      <c r="B192" s="38" t="n">
        <v>172</v>
      </c>
      <c r="C192" s="114">
        <f>Assumptions!$F$8+RAND()*(Assumptions!$D$8-Assumptions!$F$8)</f>
        <v/>
      </c>
      <c r="D192" s="114">
        <f>Assumptions!$D$9+RAND()*(Assumptions!$F$9-Assumptions!$D$9)</f>
        <v/>
      </c>
      <c r="E192" s="71">
        <f>Assumptions!$F$11+RAND()*(Assumptions!$D$11-Assumptions!$F$11)</f>
        <v/>
      </c>
      <c r="F192" s="45">
        <f>nListPrice*(1-C192)-(nInference*nGpuIdx+nAmort)*nUtilCal/D192-nNetworking-nOverheadBase*(E192/nPowerCal)-nCodBase*(1+I192/12)-O192</f>
        <v/>
      </c>
      <c r="G192" s="66">
        <f>MAX(F192,0)/nDebtService</f>
        <v/>
      </c>
      <c r="H192" s="71">
        <f>Anthropic!$J$18*Anthropic!$J$27+Anthropic!$J$19*Anthropic!$J$28+Anthropic!$J$20*Anthropic!$J$29+Anthropic!$J$21*E192*(1+nPowerCagr)^4*(1+nResidualBasisMarkup+nScarcityAlpha*POWER(Anthropic!$J$21,nScarcityGamma))</f>
        <v/>
      </c>
      <c r="I192" s="113">
        <f>Assumptions!$F$10+RAND()*(Assumptions!$D$10-Assumptions!$F$10)</f>
        <v/>
      </c>
      <c r="J192" s="113">
        <f>RAND()*nCodSlipMaxMo</f>
        <v/>
      </c>
      <c r="K192" s="114">
        <f>nAvailDrawMin+RAND()*(nAvailDrawMax-nAvailDrawMin)</f>
        <v/>
      </c>
      <c r="L192" s="45">
        <f>IF(2034&lt;sNsmrCodU1+J192/12,0,(nNsmrCap+nNsmrOpx*(1+sNsmrOpxEsc)^8+nNsmrFuel*FuelEsc*(1+nFuelCagr)^8-nNsmrItc)*IF(2034&lt;sNsmrCodU1+J192/12+nStepFirst,1,IF(nStepGated="Yes",(1+nStepPct)^(INT((2034-sNsmrCodU1-J192/12-nStepFirst)/nStepEvery)+1),1))+nExclPrem*(1-nFlexRelief)-nProdCredit)</f>
        <v/>
      </c>
      <c r="M192" s="63">
        <f>MIN(nShortfallCapM,MAX(0,sNsmrAvailY2-K192)*sNsmrUnitMw*sNsmrUnits*8760*NsmrPrice2033/1000000)</f>
        <v/>
      </c>
      <c r="N192" s="82">
        <f>IF(RAND()&lt;0.5,nUsefulLifeDrawBase-(nUsefulLifeDrawBase-nUsefulLifeDrawMin)*BETA.INV(RAND(),1.15,1.15),nUsefulLifeDrawBase+(nUsefulLifeDrawMax-nUsefulLifeDrawBase)*BETA.INV(RAND(),1.15,1.15))</f>
        <v/>
      </c>
      <c r="O192" s="45">
        <f>((nInference*nGpuIdx+nAmort)*nUtilCal/D192)*(nUsefulLifeDrawBase/N192-1)</f>
        <v/>
      </c>
      <c r="P192" s="1" t="n"/>
      <c r="Q192" s="1" t="n"/>
      <c r="R192" s="1" t="n"/>
      <c r="S192" s="1" t="n"/>
      <c r="T192" s="1" t="n"/>
      <c r="U192" s="1" t="n"/>
    </row>
    <row r="193" ht="12" customHeight="1">
      <c r="A193" s="1" t="n"/>
      <c r="B193" s="38" t="n">
        <v>173</v>
      </c>
      <c r="C193" s="114">
        <f>Assumptions!$F$8+RAND()*(Assumptions!$D$8-Assumptions!$F$8)</f>
        <v/>
      </c>
      <c r="D193" s="114">
        <f>Assumptions!$D$9+RAND()*(Assumptions!$F$9-Assumptions!$D$9)</f>
        <v/>
      </c>
      <c r="E193" s="71">
        <f>Assumptions!$F$11+RAND()*(Assumptions!$D$11-Assumptions!$F$11)</f>
        <v/>
      </c>
      <c r="F193" s="45">
        <f>nListPrice*(1-C193)-(nInference*nGpuIdx+nAmort)*nUtilCal/D193-nNetworking-nOverheadBase*(E193/nPowerCal)-nCodBase*(1+I193/12)-O193</f>
        <v/>
      </c>
      <c r="G193" s="66">
        <f>MAX(F193,0)/nDebtService</f>
        <v/>
      </c>
      <c r="H193" s="71">
        <f>Anthropic!$J$18*Anthropic!$J$27+Anthropic!$J$19*Anthropic!$J$28+Anthropic!$J$20*Anthropic!$J$29+Anthropic!$J$21*E193*(1+nPowerCagr)^4*(1+nResidualBasisMarkup+nScarcityAlpha*POWER(Anthropic!$J$21,nScarcityGamma))</f>
        <v/>
      </c>
      <c r="I193" s="113">
        <f>Assumptions!$F$10+RAND()*(Assumptions!$D$10-Assumptions!$F$10)</f>
        <v/>
      </c>
      <c r="J193" s="113">
        <f>RAND()*nCodSlipMaxMo</f>
        <v/>
      </c>
      <c r="K193" s="114">
        <f>nAvailDrawMin+RAND()*(nAvailDrawMax-nAvailDrawMin)</f>
        <v/>
      </c>
      <c r="L193" s="45">
        <f>IF(2034&lt;sNsmrCodU1+J193/12,0,(nNsmrCap+nNsmrOpx*(1+sNsmrOpxEsc)^8+nNsmrFuel*FuelEsc*(1+nFuelCagr)^8-nNsmrItc)*IF(2034&lt;sNsmrCodU1+J193/12+nStepFirst,1,IF(nStepGated="Yes",(1+nStepPct)^(INT((2034-sNsmrCodU1-J193/12-nStepFirst)/nStepEvery)+1),1))+nExclPrem*(1-nFlexRelief)-nProdCredit)</f>
        <v/>
      </c>
      <c r="M193" s="63">
        <f>MIN(nShortfallCapM,MAX(0,sNsmrAvailY2-K193)*sNsmrUnitMw*sNsmrUnits*8760*NsmrPrice2033/1000000)</f>
        <v/>
      </c>
      <c r="N193" s="82">
        <f>IF(RAND()&lt;0.5,nUsefulLifeDrawBase-(nUsefulLifeDrawBase-nUsefulLifeDrawMin)*BETA.INV(RAND(),1.15,1.15),nUsefulLifeDrawBase+(nUsefulLifeDrawMax-nUsefulLifeDrawBase)*BETA.INV(RAND(),1.15,1.15))</f>
        <v/>
      </c>
      <c r="O193" s="45">
        <f>((nInference*nGpuIdx+nAmort)*nUtilCal/D193)*(nUsefulLifeDrawBase/N193-1)</f>
        <v/>
      </c>
      <c r="P193" s="1" t="n"/>
      <c r="Q193" s="1" t="n"/>
      <c r="R193" s="1" t="n"/>
      <c r="S193" s="1" t="n"/>
      <c r="T193" s="1" t="n"/>
      <c r="U193" s="1" t="n"/>
    </row>
    <row r="194" ht="12" customHeight="1">
      <c r="A194" s="1" t="n"/>
      <c r="B194" s="38" t="n">
        <v>174</v>
      </c>
      <c r="C194" s="114">
        <f>Assumptions!$F$8+RAND()*(Assumptions!$D$8-Assumptions!$F$8)</f>
        <v/>
      </c>
      <c r="D194" s="114">
        <f>Assumptions!$D$9+RAND()*(Assumptions!$F$9-Assumptions!$D$9)</f>
        <v/>
      </c>
      <c r="E194" s="71">
        <f>Assumptions!$F$11+RAND()*(Assumptions!$D$11-Assumptions!$F$11)</f>
        <v/>
      </c>
      <c r="F194" s="45">
        <f>nListPrice*(1-C194)-(nInference*nGpuIdx+nAmort)*nUtilCal/D194-nNetworking-nOverheadBase*(E194/nPowerCal)-nCodBase*(1+I194/12)-O194</f>
        <v/>
      </c>
      <c r="G194" s="66">
        <f>MAX(F194,0)/nDebtService</f>
        <v/>
      </c>
      <c r="H194" s="71">
        <f>Anthropic!$J$18*Anthropic!$J$27+Anthropic!$J$19*Anthropic!$J$28+Anthropic!$J$20*Anthropic!$J$29+Anthropic!$J$21*E194*(1+nPowerCagr)^4*(1+nResidualBasisMarkup+nScarcityAlpha*POWER(Anthropic!$J$21,nScarcityGamma))</f>
        <v/>
      </c>
      <c r="I194" s="113">
        <f>Assumptions!$F$10+RAND()*(Assumptions!$D$10-Assumptions!$F$10)</f>
        <v/>
      </c>
      <c r="J194" s="113">
        <f>RAND()*nCodSlipMaxMo</f>
        <v/>
      </c>
      <c r="K194" s="114">
        <f>nAvailDrawMin+RAND()*(nAvailDrawMax-nAvailDrawMin)</f>
        <v/>
      </c>
      <c r="L194" s="45">
        <f>IF(2034&lt;sNsmrCodU1+J194/12,0,(nNsmrCap+nNsmrOpx*(1+sNsmrOpxEsc)^8+nNsmrFuel*FuelEsc*(1+nFuelCagr)^8-nNsmrItc)*IF(2034&lt;sNsmrCodU1+J194/12+nStepFirst,1,IF(nStepGated="Yes",(1+nStepPct)^(INT((2034-sNsmrCodU1-J194/12-nStepFirst)/nStepEvery)+1),1))+nExclPrem*(1-nFlexRelief)-nProdCredit)</f>
        <v/>
      </c>
      <c r="M194" s="63">
        <f>MIN(nShortfallCapM,MAX(0,sNsmrAvailY2-K194)*sNsmrUnitMw*sNsmrUnits*8760*NsmrPrice2033/1000000)</f>
        <v/>
      </c>
      <c r="N194" s="82">
        <f>IF(RAND()&lt;0.5,nUsefulLifeDrawBase-(nUsefulLifeDrawBase-nUsefulLifeDrawMin)*BETA.INV(RAND(),1.15,1.15),nUsefulLifeDrawBase+(nUsefulLifeDrawMax-nUsefulLifeDrawBase)*BETA.INV(RAND(),1.15,1.15))</f>
        <v/>
      </c>
      <c r="O194" s="45">
        <f>((nInference*nGpuIdx+nAmort)*nUtilCal/D194)*(nUsefulLifeDrawBase/N194-1)</f>
        <v/>
      </c>
      <c r="P194" s="1" t="n"/>
      <c r="Q194" s="1" t="n"/>
      <c r="R194" s="1" t="n"/>
      <c r="S194" s="1" t="n"/>
      <c r="T194" s="1" t="n"/>
      <c r="U194" s="1" t="n"/>
    </row>
    <row r="195" ht="12" customHeight="1">
      <c r="A195" s="1" t="n"/>
      <c r="B195" s="38" t="n">
        <v>175</v>
      </c>
      <c r="C195" s="114">
        <f>Assumptions!$F$8+RAND()*(Assumptions!$D$8-Assumptions!$F$8)</f>
        <v/>
      </c>
      <c r="D195" s="114">
        <f>Assumptions!$D$9+RAND()*(Assumptions!$F$9-Assumptions!$D$9)</f>
        <v/>
      </c>
      <c r="E195" s="71">
        <f>Assumptions!$F$11+RAND()*(Assumptions!$D$11-Assumptions!$F$11)</f>
        <v/>
      </c>
      <c r="F195" s="45">
        <f>nListPrice*(1-C195)-(nInference*nGpuIdx+nAmort)*nUtilCal/D195-nNetworking-nOverheadBase*(E195/nPowerCal)-nCodBase*(1+I195/12)-O195</f>
        <v/>
      </c>
      <c r="G195" s="66">
        <f>MAX(F195,0)/nDebtService</f>
        <v/>
      </c>
      <c r="H195" s="71">
        <f>Anthropic!$J$18*Anthropic!$J$27+Anthropic!$J$19*Anthropic!$J$28+Anthropic!$J$20*Anthropic!$J$29+Anthropic!$J$21*E195*(1+nPowerCagr)^4*(1+nResidualBasisMarkup+nScarcityAlpha*POWER(Anthropic!$J$21,nScarcityGamma))</f>
        <v/>
      </c>
      <c r="I195" s="113">
        <f>Assumptions!$F$10+RAND()*(Assumptions!$D$10-Assumptions!$F$10)</f>
        <v/>
      </c>
      <c r="J195" s="113">
        <f>RAND()*nCodSlipMaxMo</f>
        <v/>
      </c>
      <c r="K195" s="114">
        <f>nAvailDrawMin+RAND()*(nAvailDrawMax-nAvailDrawMin)</f>
        <v/>
      </c>
      <c r="L195" s="45">
        <f>IF(2034&lt;sNsmrCodU1+J195/12,0,(nNsmrCap+nNsmrOpx*(1+sNsmrOpxEsc)^8+nNsmrFuel*FuelEsc*(1+nFuelCagr)^8-nNsmrItc)*IF(2034&lt;sNsmrCodU1+J195/12+nStepFirst,1,IF(nStepGated="Yes",(1+nStepPct)^(INT((2034-sNsmrCodU1-J195/12-nStepFirst)/nStepEvery)+1),1))+nExclPrem*(1-nFlexRelief)-nProdCredit)</f>
        <v/>
      </c>
      <c r="M195" s="63">
        <f>MIN(nShortfallCapM,MAX(0,sNsmrAvailY2-K195)*sNsmrUnitMw*sNsmrUnits*8760*NsmrPrice2033/1000000)</f>
        <v/>
      </c>
      <c r="N195" s="82">
        <f>IF(RAND()&lt;0.5,nUsefulLifeDrawBase-(nUsefulLifeDrawBase-nUsefulLifeDrawMin)*BETA.INV(RAND(),1.15,1.15),nUsefulLifeDrawBase+(nUsefulLifeDrawMax-nUsefulLifeDrawBase)*BETA.INV(RAND(),1.15,1.15))</f>
        <v/>
      </c>
      <c r="O195" s="45">
        <f>((nInference*nGpuIdx+nAmort)*nUtilCal/D195)*(nUsefulLifeDrawBase/N195-1)</f>
        <v/>
      </c>
      <c r="P195" s="1" t="n"/>
      <c r="Q195" s="1" t="n"/>
      <c r="R195" s="1" t="n"/>
      <c r="S195" s="1" t="n"/>
      <c r="T195" s="1" t="n"/>
      <c r="U195" s="1" t="n"/>
    </row>
    <row r="196" ht="12" customHeight="1">
      <c r="A196" s="1" t="n"/>
      <c r="B196" s="38" t="n">
        <v>176</v>
      </c>
      <c r="C196" s="114">
        <f>Assumptions!$F$8+RAND()*(Assumptions!$D$8-Assumptions!$F$8)</f>
        <v/>
      </c>
      <c r="D196" s="114">
        <f>Assumptions!$D$9+RAND()*(Assumptions!$F$9-Assumptions!$D$9)</f>
        <v/>
      </c>
      <c r="E196" s="71">
        <f>Assumptions!$F$11+RAND()*(Assumptions!$D$11-Assumptions!$F$11)</f>
        <v/>
      </c>
      <c r="F196" s="45">
        <f>nListPrice*(1-C196)-(nInference*nGpuIdx+nAmort)*nUtilCal/D196-nNetworking-nOverheadBase*(E196/nPowerCal)-nCodBase*(1+I196/12)-O196</f>
        <v/>
      </c>
      <c r="G196" s="66">
        <f>MAX(F196,0)/nDebtService</f>
        <v/>
      </c>
      <c r="H196" s="71">
        <f>Anthropic!$J$18*Anthropic!$J$27+Anthropic!$J$19*Anthropic!$J$28+Anthropic!$J$20*Anthropic!$J$29+Anthropic!$J$21*E196*(1+nPowerCagr)^4*(1+nResidualBasisMarkup+nScarcityAlpha*POWER(Anthropic!$J$21,nScarcityGamma))</f>
        <v/>
      </c>
      <c r="I196" s="113">
        <f>Assumptions!$F$10+RAND()*(Assumptions!$D$10-Assumptions!$F$10)</f>
        <v/>
      </c>
      <c r="J196" s="113">
        <f>RAND()*nCodSlipMaxMo</f>
        <v/>
      </c>
      <c r="K196" s="114">
        <f>nAvailDrawMin+RAND()*(nAvailDrawMax-nAvailDrawMin)</f>
        <v/>
      </c>
      <c r="L196" s="45">
        <f>IF(2034&lt;sNsmrCodU1+J196/12,0,(nNsmrCap+nNsmrOpx*(1+sNsmrOpxEsc)^8+nNsmrFuel*FuelEsc*(1+nFuelCagr)^8-nNsmrItc)*IF(2034&lt;sNsmrCodU1+J196/12+nStepFirst,1,IF(nStepGated="Yes",(1+nStepPct)^(INT((2034-sNsmrCodU1-J196/12-nStepFirst)/nStepEvery)+1),1))+nExclPrem*(1-nFlexRelief)-nProdCredit)</f>
        <v/>
      </c>
      <c r="M196" s="63">
        <f>MIN(nShortfallCapM,MAX(0,sNsmrAvailY2-K196)*sNsmrUnitMw*sNsmrUnits*8760*NsmrPrice2033/1000000)</f>
        <v/>
      </c>
      <c r="N196" s="82">
        <f>IF(RAND()&lt;0.5,nUsefulLifeDrawBase-(nUsefulLifeDrawBase-nUsefulLifeDrawMin)*BETA.INV(RAND(),1.15,1.15),nUsefulLifeDrawBase+(nUsefulLifeDrawMax-nUsefulLifeDrawBase)*BETA.INV(RAND(),1.15,1.15))</f>
        <v/>
      </c>
      <c r="O196" s="45">
        <f>((nInference*nGpuIdx+nAmort)*nUtilCal/D196)*(nUsefulLifeDrawBase/N196-1)</f>
        <v/>
      </c>
      <c r="P196" s="1" t="n"/>
      <c r="Q196" s="1" t="n"/>
      <c r="R196" s="1" t="n"/>
      <c r="S196" s="1" t="n"/>
      <c r="T196" s="1" t="n"/>
      <c r="U196" s="1" t="n"/>
    </row>
    <row r="197" ht="12" customHeight="1">
      <c r="A197" s="1" t="n"/>
      <c r="B197" s="38" t="n">
        <v>177</v>
      </c>
      <c r="C197" s="114">
        <f>Assumptions!$F$8+RAND()*(Assumptions!$D$8-Assumptions!$F$8)</f>
        <v/>
      </c>
      <c r="D197" s="114">
        <f>Assumptions!$D$9+RAND()*(Assumptions!$F$9-Assumptions!$D$9)</f>
        <v/>
      </c>
      <c r="E197" s="71">
        <f>Assumptions!$F$11+RAND()*(Assumptions!$D$11-Assumptions!$F$11)</f>
        <v/>
      </c>
      <c r="F197" s="45">
        <f>nListPrice*(1-C197)-(nInference*nGpuIdx+nAmort)*nUtilCal/D197-nNetworking-nOverheadBase*(E197/nPowerCal)-nCodBase*(1+I197/12)-O197</f>
        <v/>
      </c>
      <c r="G197" s="66">
        <f>MAX(F197,0)/nDebtService</f>
        <v/>
      </c>
      <c r="H197" s="71">
        <f>Anthropic!$J$18*Anthropic!$J$27+Anthropic!$J$19*Anthropic!$J$28+Anthropic!$J$20*Anthropic!$J$29+Anthropic!$J$21*E197*(1+nPowerCagr)^4*(1+nResidualBasisMarkup+nScarcityAlpha*POWER(Anthropic!$J$21,nScarcityGamma))</f>
        <v/>
      </c>
      <c r="I197" s="113">
        <f>Assumptions!$F$10+RAND()*(Assumptions!$D$10-Assumptions!$F$10)</f>
        <v/>
      </c>
      <c r="J197" s="113">
        <f>RAND()*nCodSlipMaxMo</f>
        <v/>
      </c>
      <c r="K197" s="114">
        <f>nAvailDrawMin+RAND()*(nAvailDrawMax-nAvailDrawMin)</f>
        <v/>
      </c>
      <c r="L197" s="45">
        <f>IF(2034&lt;sNsmrCodU1+J197/12,0,(nNsmrCap+nNsmrOpx*(1+sNsmrOpxEsc)^8+nNsmrFuel*FuelEsc*(1+nFuelCagr)^8-nNsmrItc)*IF(2034&lt;sNsmrCodU1+J197/12+nStepFirst,1,IF(nStepGated="Yes",(1+nStepPct)^(INT((2034-sNsmrCodU1-J197/12-nStepFirst)/nStepEvery)+1),1))+nExclPrem*(1-nFlexRelief)-nProdCredit)</f>
        <v/>
      </c>
      <c r="M197" s="63">
        <f>MIN(nShortfallCapM,MAX(0,sNsmrAvailY2-K197)*sNsmrUnitMw*sNsmrUnits*8760*NsmrPrice2033/1000000)</f>
        <v/>
      </c>
      <c r="N197" s="82">
        <f>IF(RAND()&lt;0.5,nUsefulLifeDrawBase-(nUsefulLifeDrawBase-nUsefulLifeDrawMin)*BETA.INV(RAND(),1.15,1.15),nUsefulLifeDrawBase+(nUsefulLifeDrawMax-nUsefulLifeDrawBase)*BETA.INV(RAND(),1.15,1.15))</f>
        <v/>
      </c>
      <c r="O197" s="45">
        <f>((nInference*nGpuIdx+nAmort)*nUtilCal/D197)*(nUsefulLifeDrawBase/N197-1)</f>
        <v/>
      </c>
      <c r="P197" s="1" t="n"/>
      <c r="Q197" s="1" t="n"/>
      <c r="R197" s="1" t="n"/>
      <c r="S197" s="1" t="n"/>
      <c r="T197" s="1" t="n"/>
      <c r="U197" s="1" t="n"/>
    </row>
    <row r="198" ht="12" customHeight="1">
      <c r="A198" s="1" t="n"/>
      <c r="B198" s="38" t="n">
        <v>178</v>
      </c>
      <c r="C198" s="114">
        <f>Assumptions!$F$8+RAND()*(Assumptions!$D$8-Assumptions!$F$8)</f>
        <v/>
      </c>
      <c r="D198" s="114">
        <f>Assumptions!$D$9+RAND()*(Assumptions!$F$9-Assumptions!$D$9)</f>
        <v/>
      </c>
      <c r="E198" s="71">
        <f>Assumptions!$F$11+RAND()*(Assumptions!$D$11-Assumptions!$F$11)</f>
        <v/>
      </c>
      <c r="F198" s="45">
        <f>nListPrice*(1-C198)-(nInference*nGpuIdx+nAmort)*nUtilCal/D198-nNetworking-nOverheadBase*(E198/nPowerCal)-nCodBase*(1+I198/12)-O198</f>
        <v/>
      </c>
      <c r="G198" s="66">
        <f>MAX(F198,0)/nDebtService</f>
        <v/>
      </c>
      <c r="H198" s="71">
        <f>Anthropic!$J$18*Anthropic!$J$27+Anthropic!$J$19*Anthropic!$J$28+Anthropic!$J$20*Anthropic!$J$29+Anthropic!$J$21*E198*(1+nPowerCagr)^4*(1+nResidualBasisMarkup+nScarcityAlpha*POWER(Anthropic!$J$21,nScarcityGamma))</f>
        <v/>
      </c>
      <c r="I198" s="113">
        <f>Assumptions!$F$10+RAND()*(Assumptions!$D$10-Assumptions!$F$10)</f>
        <v/>
      </c>
      <c r="J198" s="113">
        <f>RAND()*nCodSlipMaxMo</f>
        <v/>
      </c>
      <c r="K198" s="114">
        <f>nAvailDrawMin+RAND()*(nAvailDrawMax-nAvailDrawMin)</f>
        <v/>
      </c>
      <c r="L198" s="45">
        <f>IF(2034&lt;sNsmrCodU1+J198/12,0,(nNsmrCap+nNsmrOpx*(1+sNsmrOpxEsc)^8+nNsmrFuel*FuelEsc*(1+nFuelCagr)^8-nNsmrItc)*IF(2034&lt;sNsmrCodU1+J198/12+nStepFirst,1,IF(nStepGated="Yes",(1+nStepPct)^(INT((2034-sNsmrCodU1-J198/12-nStepFirst)/nStepEvery)+1),1))+nExclPrem*(1-nFlexRelief)-nProdCredit)</f>
        <v/>
      </c>
      <c r="M198" s="63">
        <f>MIN(nShortfallCapM,MAX(0,sNsmrAvailY2-K198)*sNsmrUnitMw*sNsmrUnits*8760*NsmrPrice2033/1000000)</f>
        <v/>
      </c>
      <c r="N198" s="82">
        <f>IF(RAND()&lt;0.5,nUsefulLifeDrawBase-(nUsefulLifeDrawBase-nUsefulLifeDrawMin)*BETA.INV(RAND(),1.15,1.15),nUsefulLifeDrawBase+(nUsefulLifeDrawMax-nUsefulLifeDrawBase)*BETA.INV(RAND(),1.15,1.15))</f>
        <v/>
      </c>
      <c r="O198" s="45">
        <f>((nInference*nGpuIdx+nAmort)*nUtilCal/D198)*(nUsefulLifeDrawBase/N198-1)</f>
        <v/>
      </c>
      <c r="P198" s="1" t="n"/>
      <c r="Q198" s="1" t="n"/>
      <c r="R198" s="1" t="n"/>
      <c r="S198" s="1" t="n"/>
      <c r="T198" s="1" t="n"/>
      <c r="U198" s="1" t="n"/>
    </row>
    <row r="199" ht="12" customHeight="1">
      <c r="A199" s="1" t="n"/>
      <c r="B199" s="38" t="n">
        <v>179</v>
      </c>
      <c r="C199" s="114">
        <f>Assumptions!$F$8+RAND()*(Assumptions!$D$8-Assumptions!$F$8)</f>
        <v/>
      </c>
      <c r="D199" s="114">
        <f>Assumptions!$D$9+RAND()*(Assumptions!$F$9-Assumptions!$D$9)</f>
        <v/>
      </c>
      <c r="E199" s="71">
        <f>Assumptions!$F$11+RAND()*(Assumptions!$D$11-Assumptions!$F$11)</f>
        <v/>
      </c>
      <c r="F199" s="45">
        <f>nListPrice*(1-C199)-(nInference*nGpuIdx+nAmort)*nUtilCal/D199-nNetworking-nOverheadBase*(E199/nPowerCal)-nCodBase*(1+I199/12)-O199</f>
        <v/>
      </c>
      <c r="G199" s="66">
        <f>MAX(F199,0)/nDebtService</f>
        <v/>
      </c>
      <c r="H199" s="71">
        <f>Anthropic!$J$18*Anthropic!$J$27+Anthropic!$J$19*Anthropic!$J$28+Anthropic!$J$20*Anthropic!$J$29+Anthropic!$J$21*E199*(1+nPowerCagr)^4*(1+nResidualBasisMarkup+nScarcityAlpha*POWER(Anthropic!$J$21,nScarcityGamma))</f>
        <v/>
      </c>
      <c r="I199" s="113">
        <f>Assumptions!$F$10+RAND()*(Assumptions!$D$10-Assumptions!$F$10)</f>
        <v/>
      </c>
      <c r="J199" s="113">
        <f>RAND()*nCodSlipMaxMo</f>
        <v/>
      </c>
      <c r="K199" s="114">
        <f>nAvailDrawMin+RAND()*(nAvailDrawMax-nAvailDrawMin)</f>
        <v/>
      </c>
      <c r="L199" s="45">
        <f>IF(2034&lt;sNsmrCodU1+J199/12,0,(nNsmrCap+nNsmrOpx*(1+sNsmrOpxEsc)^8+nNsmrFuel*FuelEsc*(1+nFuelCagr)^8-nNsmrItc)*IF(2034&lt;sNsmrCodU1+J199/12+nStepFirst,1,IF(nStepGated="Yes",(1+nStepPct)^(INT((2034-sNsmrCodU1-J199/12-nStepFirst)/nStepEvery)+1),1))+nExclPrem*(1-nFlexRelief)-nProdCredit)</f>
        <v/>
      </c>
      <c r="M199" s="63">
        <f>MIN(nShortfallCapM,MAX(0,sNsmrAvailY2-K199)*sNsmrUnitMw*sNsmrUnits*8760*NsmrPrice2033/1000000)</f>
        <v/>
      </c>
      <c r="N199" s="82">
        <f>IF(RAND()&lt;0.5,nUsefulLifeDrawBase-(nUsefulLifeDrawBase-nUsefulLifeDrawMin)*BETA.INV(RAND(),1.15,1.15),nUsefulLifeDrawBase+(nUsefulLifeDrawMax-nUsefulLifeDrawBase)*BETA.INV(RAND(),1.15,1.15))</f>
        <v/>
      </c>
      <c r="O199" s="45">
        <f>((nInference*nGpuIdx+nAmort)*nUtilCal/D199)*(nUsefulLifeDrawBase/N199-1)</f>
        <v/>
      </c>
      <c r="P199" s="1" t="n"/>
      <c r="Q199" s="1" t="n"/>
      <c r="R199" s="1" t="n"/>
      <c r="S199" s="1" t="n"/>
      <c r="T199" s="1" t="n"/>
      <c r="U199" s="1" t="n"/>
    </row>
    <row r="200" ht="12" customHeight="1">
      <c r="A200" s="1" t="n"/>
      <c r="B200" s="38" t="n">
        <v>180</v>
      </c>
      <c r="C200" s="114">
        <f>Assumptions!$F$8+RAND()*(Assumptions!$D$8-Assumptions!$F$8)</f>
        <v/>
      </c>
      <c r="D200" s="114">
        <f>Assumptions!$D$9+RAND()*(Assumptions!$F$9-Assumptions!$D$9)</f>
        <v/>
      </c>
      <c r="E200" s="71">
        <f>Assumptions!$F$11+RAND()*(Assumptions!$D$11-Assumptions!$F$11)</f>
        <v/>
      </c>
      <c r="F200" s="45">
        <f>nListPrice*(1-C200)-(nInference*nGpuIdx+nAmort)*nUtilCal/D200-nNetworking-nOverheadBase*(E200/nPowerCal)-nCodBase*(1+I200/12)-O200</f>
        <v/>
      </c>
      <c r="G200" s="66">
        <f>MAX(F200,0)/nDebtService</f>
        <v/>
      </c>
      <c r="H200" s="71">
        <f>Anthropic!$J$18*Anthropic!$J$27+Anthropic!$J$19*Anthropic!$J$28+Anthropic!$J$20*Anthropic!$J$29+Anthropic!$J$21*E200*(1+nPowerCagr)^4*(1+nResidualBasisMarkup+nScarcityAlpha*POWER(Anthropic!$J$21,nScarcityGamma))</f>
        <v/>
      </c>
      <c r="I200" s="113">
        <f>Assumptions!$F$10+RAND()*(Assumptions!$D$10-Assumptions!$F$10)</f>
        <v/>
      </c>
      <c r="J200" s="113">
        <f>RAND()*nCodSlipMaxMo</f>
        <v/>
      </c>
      <c r="K200" s="114">
        <f>nAvailDrawMin+RAND()*(nAvailDrawMax-nAvailDrawMin)</f>
        <v/>
      </c>
      <c r="L200" s="45">
        <f>IF(2034&lt;sNsmrCodU1+J200/12,0,(nNsmrCap+nNsmrOpx*(1+sNsmrOpxEsc)^8+nNsmrFuel*FuelEsc*(1+nFuelCagr)^8-nNsmrItc)*IF(2034&lt;sNsmrCodU1+J200/12+nStepFirst,1,IF(nStepGated="Yes",(1+nStepPct)^(INT((2034-sNsmrCodU1-J200/12-nStepFirst)/nStepEvery)+1),1))+nExclPrem*(1-nFlexRelief)-nProdCredit)</f>
        <v/>
      </c>
      <c r="M200" s="63">
        <f>MIN(nShortfallCapM,MAX(0,sNsmrAvailY2-K200)*sNsmrUnitMw*sNsmrUnits*8760*NsmrPrice2033/1000000)</f>
        <v/>
      </c>
      <c r="N200" s="82">
        <f>IF(RAND()&lt;0.5,nUsefulLifeDrawBase-(nUsefulLifeDrawBase-nUsefulLifeDrawMin)*BETA.INV(RAND(),1.15,1.15),nUsefulLifeDrawBase+(nUsefulLifeDrawMax-nUsefulLifeDrawBase)*BETA.INV(RAND(),1.15,1.15))</f>
        <v/>
      </c>
      <c r="O200" s="45">
        <f>((nInference*nGpuIdx+nAmort)*nUtilCal/D200)*(nUsefulLifeDrawBase/N200-1)</f>
        <v/>
      </c>
      <c r="P200" s="1" t="n"/>
      <c r="Q200" s="1" t="n"/>
      <c r="R200" s="1" t="n"/>
      <c r="S200" s="1" t="n"/>
      <c r="T200" s="1" t="n"/>
      <c r="U200" s="1" t="n"/>
    </row>
    <row r="201" ht="12" customHeight="1">
      <c r="A201" s="1" t="n"/>
      <c r="B201" s="38" t="n">
        <v>181</v>
      </c>
      <c r="C201" s="114">
        <f>Assumptions!$F$8+RAND()*(Assumptions!$D$8-Assumptions!$F$8)</f>
        <v/>
      </c>
      <c r="D201" s="114">
        <f>Assumptions!$D$9+RAND()*(Assumptions!$F$9-Assumptions!$D$9)</f>
        <v/>
      </c>
      <c r="E201" s="71">
        <f>Assumptions!$F$11+RAND()*(Assumptions!$D$11-Assumptions!$F$11)</f>
        <v/>
      </c>
      <c r="F201" s="45">
        <f>nListPrice*(1-C201)-(nInference*nGpuIdx+nAmort)*nUtilCal/D201-nNetworking-nOverheadBase*(E201/nPowerCal)-nCodBase*(1+I201/12)-O201</f>
        <v/>
      </c>
      <c r="G201" s="66">
        <f>MAX(F201,0)/nDebtService</f>
        <v/>
      </c>
      <c r="H201" s="71">
        <f>Anthropic!$J$18*Anthropic!$J$27+Anthropic!$J$19*Anthropic!$J$28+Anthropic!$J$20*Anthropic!$J$29+Anthropic!$J$21*E201*(1+nPowerCagr)^4*(1+nResidualBasisMarkup+nScarcityAlpha*POWER(Anthropic!$J$21,nScarcityGamma))</f>
        <v/>
      </c>
      <c r="I201" s="113">
        <f>Assumptions!$F$10+RAND()*(Assumptions!$D$10-Assumptions!$F$10)</f>
        <v/>
      </c>
      <c r="J201" s="113">
        <f>RAND()*nCodSlipMaxMo</f>
        <v/>
      </c>
      <c r="K201" s="114">
        <f>nAvailDrawMin+RAND()*(nAvailDrawMax-nAvailDrawMin)</f>
        <v/>
      </c>
      <c r="L201" s="45">
        <f>IF(2034&lt;sNsmrCodU1+J201/12,0,(nNsmrCap+nNsmrOpx*(1+sNsmrOpxEsc)^8+nNsmrFuel*FuelEsc*(1+nFuelCagr)^8-nNsmrItc)*IF(2034&lt;sNsmrCodU1+J201/12+nStepFirst,1,IF(nStepGated="Yes",(1+nStepPct)^(INT((2034-sNsmrCodU1-J201/12-nStepFirst)/nStepEvery)+1),1))+nExclPrem*(1-nFlexRelief)-nProdCredit)</f>
        <v/>
      </c>
      <c r="M201" s="63">
        <f>MIN(nShortfallCapM,MAX(0,sNsmrAvailY2-K201)*sNsmrUnitMw*sNsmrUnits*8760*NsmrPrice2033/1000000)</f>
        <v/>
      </c>
      <c r="N201" s="82">
        <f>IF(RAND()&lt;0.5,nUsefulLifeDrawBase-(nUsefulLifeDrawBase-nUsefulLifeDrawMin)*BETA.INV(RAND(),1.15,1.15),nUsefulLifeDrawBase+(nUsefulLifeDrawMax-nUsefulLifeDrawBase)*BETA.INV(RAND(),1.15,1.15))</f>
        <v/>
      </c>
      <c r="O201" s="45">
        <f>((nInference*nGpuIdx+nAmort)*nUtilCal/D201)*(nUsefulLifeDrawBase/N201-1)</f>
        <v/>
      </c>
      <c r="P201" s="1" t="n"/>
      <c r="Q201" s="1" t="n"/>
      <c r="R201" s="1" t="n"/>
      <c r="S201" s="1" t="n"/>
      <c r="T201" s="1" t="n"/>
      <c r="U201" s="1" t="n"/>
    </row>
    <row r="202" ht="12" customHeight="1">
      <c r="A202" s="1" t="n"/>
      <c r="B202" s="38" t="n">
        <v>182</v>
      </c>
      <c r="C202" s="114">
        <f>Assumptions!$F$8+RAND()*(Assumptions!$D$8-Assumptions!$F$8)</f>
        <v/>
      </c>
      <c r="D202" s="114">
        <f>Assumptions!$D$9+RAND()*(Assumptions!$F$9-Assumptions!$D$9)</f>
        <v/>
      </c>
      <c r="E202" s="71">
        <f>Assumptions!$F$11+RAND()*(Assumptions!$D$11-Assumptions!$F$11)</f>
        <v/>
      </c>
      <c r="F202" s="45">
        <f>nListPrice*(1-C202)-(nInference*nGpuIdx+nAmort)*nUtilCal/D202-nNetworking-nOverheadBase*(E202/nPowerCal)-nCodBase*(1+I202/12)-O202</f>
        <v/>
      </c>
      <c r="G202" s="66">
        <f>MAX(F202,0)/nDebtService</f>
        <v/>
      </c>
      <c r="H202" s="71">
        <f>Anthropic!$J$18*Anthropic!$J$27+Anthropic!$J$19*Anthropic!$J$28+Anthropic!$J$20*Anthropic!$J$29+Anthropic!$J$21*E202*(1+nPowerCagr)^4*(1+nResidualBasisMarkup+nScarcityAlpha*POWER(Anthropic!$J$21,nScarcityGamma))</f>
        <v/>
      </c>
      <c r="I202" s="113">
        <f>Assumptions!$F$10+RAND()*(Assumptions!$D$10-Assumptions!$F$10)</f>
        <v/>
      </c>
      <c r="J202" s="113">
        <f>RAND()*nCodSlipMaxMo</f>
        <v/>
      </c>
      <c r="K202" s="114">
        <f>nAvailDrawMin+RAND()*(nAvailDrawMax-nAvailDrawMin)</f>
        <v/>
      </c>
      <c r="L202" s="45">
        <f>IF(2034&lt;sNsmrCodU1+J202/12,0,(nNsmrCap+nNsmrOpx*(1+sNsmrOpxEsc)^8+nNsmrFuel*FuelEsc*(1+nFuelCagr)^8-nNsmrItc)*IF(2034&lt;sNsmrCodU1+J202/12+nStepFirst,1,IF(nStepGated="Yes",(1+nStepPct)^(INT((2034-sNsmrCodU1-J202/12-nStepFirst)/nStepEvery)+1),1))+nExclPrem*(1-nFlexRelief)-nProdCredit)</f>
        <v/>
      </c>
      <c r="M202" s="63">
        <f>MIN(nShortfallCapM,MAX(0,sNsmrAvailY2-K202)*sNsmrUnitMw*sNsmrUnits*8760*NsmrPrice2033/1000000)</f>
        <v/>
      </c>
      <c r="N202" s="82">
        <f>IF(RAND()&lt;0.5,nUsefulLifeDrawBase-(nUsefulLifeDrawBase-nUsefulLifeDrawMin)*BETA.INV(RAND(),1.15,1.15),nUsefulLifeDrawBase+(nUsefulLifeDrawMax-nUsefulLifeDrawBase)*BETA.INV(RAND(),1.15,1.15))</f>
        <v/>
      </c>
      <c r="O202" s="45">
        <f>((nInference*nGpuIdx+nAmort)*nUtilCal/D202)*(nUsefulLifeDrawBase/N202-1)</f>
        <v/>
      </c>
      <c r="P202" s="1" t="n"/>
      <c r="Q202" s="1" t="n"/>
      <c r="R202" s="1" t="n"/>
      <c r="S202" s="1" t="n"/>
      <c r="T202" s="1" t="n"/>
      <c r="U202" s="1" t="n"/>
    </row>
    <row r="203" ht="12" customHeight="1">
      <c r="A203" s="1" t="n"/>
      <c r="B203" s="38" t="n">
        <v>183</v>
      </c>
      <c r="C203" s="114">
        <f>Assumptions!$F$8+RAND()*(Assumptions!$D$8-Assumptions!$F$8)</f>
        <v/>
      </c>
      <c r="D203" s="114">
        <f>Assumptions!$D$9+RAND()*(Assumptions!$F$9-Assumptions!$D$9)</f>
        <v/>
      </c>
      <c r="E203" s="71">
        <f>Assumptions!$F$11+RAND()*(Assumptions!$D$11-Assumptions!$F$11)</f>
        <v/>
      </c>
      <c r="F203" s="45">
        <f>nListPrice*(1-C203)-(nInference*nGpuIdx+nAmort)*nUtilCal/D203-nNetworking-nOverheadBase*(E203/nPowerCal)-nCodBase*(1+I203/12)-O203</f>
        <v/>
      </c>
      <c r="G203" s="66">
        <f>MAX(F203,0)/nDebtService</f>
        <v/>
      </c>
      <c r="H203" s="71">
        <f>Anthropic!$J$18*Anthropic!$J$27+Anthropic!$J$19*Anthropic!$J$28+Anthropic!$J$20*Anthropic!$J$29+Anthropic!$J$21*E203*(1+nPowerCagr)^4*(1+nResidualBasisMarkup+nScarcityAlpha*POWER(Anthropic!$J$21,nScarcityGamma))</f>
        <v/>
      </c>
      <c r="I203" s="113">
        <f>Assumptions!$F$10+RAND()*(Assumptions!$D$10-Assumptions!$F$10)</f>
        <v/>
      </c>
      <c r="J203" s="113">
        <f>RAND()*nCodSlipMaxMo</f>
        <v/>
      </c>
      <c r="K203" s="114">
        <f>nAvailDrawMin+RAND()*(nAvailDrawMax-nAvailDrawMin)</f>
        <v/>
      </c>
      <c r="L203" s="45">
        <f>IF(2034&lt;sNsmrCodU1+J203/12,0,(nNsmrCap+nNsmrOpx*(1+sNsmrOpxEsc)^8+nNsmrFuel*FuelEsc*(1+nFuelCagr)^8-nNsmrItc)*IF(2034&lt;sNsmrCodU1+J203/12+nStepFirst,1,IF(nStepGated="Yes",(1+nStepPct)^(INT((2034-sNsmrCodU1-J203/12-nStepFirst)/nStepEvery)+1),1))+nExclPrem*(1-nFlexRelief)-nProdCredit)</f>
        <v/>
      </c>
      <c r="M203" s="63">
        <f>MIN(nShortfallCapM,MAX(0,sNsmrAvailY2-K203)*sNsmrUnitMw*sNsmrUnits*8760*NsmrPrice2033/1000000)</f>
        <v/>
      </c>
      <c r="N203" s="82">
        <f>IF(RAND()&lt;0.5,nUsefulLifeDrawBase-(nUsefulLifeDrawBase-nUsefulLifeDrawMin)*BETA.INV(RAND(),1.15,1.15),nUsefulLifeDrawBase+(nUsefulLifeDrawMax-nUsefulLifeDrawBase)*BETA.INV(RAND(),1.15,1.15))</f>
        <v/>
      </c>
      <c r="O203" s="45">
        <f>((nInference*nGpuIdx+nAmort)*nUtilCal/D203)*(nUsefulLifeDrawBase/N203-1)</f>
        <v/>
      </c>
      <c r="P203" s="1" t="n"/>
      <c r="Q203" s="1" t="n"/>
      <c r="R203" s="1" t="n"/>
      <c r="S203" s="1" t="n"/>
      <c r="T203" s="1" t="n"/>
      <c r="U203" s="1" t="n"/>
    </row>
    <row r="204" ht="12" customHeight="1">
      <c r="A204" s="1" t="n"/>
      <c r="B204" s="38" t="n">
        <v>184</v>
      </c>
      <c r="C204" s="114">
        <f>Assumptions!$F$8+RAND()*(Assumptions!$D$8-Assumptions!$F$8)</f>
        <v/>
      </c>
      <c r="D204" s="114">
        <f>Assumptions!$D$9+RAND()*(Assumptions!$F$9-Assumptions!$D$9)</f>
        <v/>
      </c>
      <c r="E204" s="71">
        <f>Assumptions!$F$11+RAND()*(Assumptions!$D$11-Assumptions!$F$11)</f>
        <v/>
      </c>
      <c r="F204" s="45">
        <f>nListPrice*(1-C204)-(nInference*nGpuIdx+nAmort)*nUtilCal/D204-nNetworking-nOverheadBase*(E204/nPowerCal)-nCodBase*(1+I204/12)-O204</f>
        <v/>
      </c>
      <c r="G204" s="66">
        <f>MAX(F204,0)/nDebtService</f>
        <v/>
      </c>
      <c r="H204" s="71">
        <f>Anthropic!$J$18*Anthropic!$J$27+Anthropic!$J$19*Anthropic!$J$28+Anthropic!$J$20*Anthropic!$J$29+Anthropic!$J$21*E204*(1+nPowerCagr)^4*(1+nResidualBasisMarkup+nScarcityAlpha*POWER(Anthropic!$J$21,nScarcityGamma))</f>
        <v/>
      </c>
      <c r="I204" s="113">
        <f>Assumptions!$F$10+RAND()*(Assumptions!$D$10-Assumptions!$F$10)</f>
        <v/>
      </c>
      <c r="J204" s="113">
        <f>RAND()*nCodSlipMaxMo</f>
        <v/>
      </c>
      <c r="K204" s="114">
        <f>nAvailDrawMin+RAND()*(nAvailDrawMax-nAvailDrawMin)</f>
        <v/>
      </c>
      <c r="L204" s="45">
        <f>IF(2034&lt;sNsmrCodU1+J204/12,0,(nNsmrCap+nNsmrOpx*(1+sNsmrOpxEsc)^8+nNsmrFuel*FuelEsc*(1+nFuelCagr)^8-nNsmrItc)*IF(2034&lt;sNsmrCodU1+J204/12+nStepFirst,1,IF(nStepGated="Yes",(1+nStepPct)^(INT((2034-sNsmrCodU1-J204/12-nStepFirst)/nStepEvery)+1),1))+nExclPrem*(1-nFlexRelief)-nProdCredit)</f>
        <v/>
      </c>
      <c r="M204" s="63">
        <f>MIN(nShortfallCapM,MAX(0,sNsmrAvailY2-K204)*sNsmrUnitMw*sNsmrUnits*8760*NsmrPrice2033/1000000)</f>
        <v/>
      </c>
      <c r="N204" s="82">
        <f>IF(RAND()&lt;0.5,nUsefulLifeDrawBase-(nUsefulLifeDrawBase-nUsefulLifeDrawMin)*BETA.INV(RAND(),1.15,1.15),nUsefulLifeDrawBase+(nUsefulLifeDrawMax-nUsefulLifeDrawBase)*BETA.INV(RAND(),1.15,1.15))</f>
        <v/>
      </c>
      <c r="O204" s="45">
        <f>((nInference*nGpuIdx+nAmort)*nUtilCal/D204)*(nUsefulLifeDrawBase/N204-1)</f>
        <v/>
      </c>
      <c r="P204" s="1" t="n"/>
      <c r="Q204" s="1" t="n"/>
      <c r="R204" s="1" t="n"/>
      <c r="S204" s="1" t="n"/>
      <c r="T204" s="1" t="n"/>
      <c r="U204" s="1" t="n"/>
    </row>
    <row r="205" ht="12" customHeight="1">
      <c r="A205" s="1" t="n"/>
      <c r="B205" s="38" t="n">
        <v>185</v>
      </c>
      <c r="C205" s="114">
        <f>Assumptions!$F$8+RAND()*(Assumptions!$D$8-Assumptions!$F$8)</f>
        <v/>
      </c>
      <c r="D205" s="114">
        <f>Assumptions!$D$9+RAND()*(Assumptions!$F$9-Assumptions!$D$9)</f>
        <v/>
      </c>
      <c r="E205" s="71">
        <f>Assumptions!$F$11+RAND()*(Assumptions!$D$11-Assumptions!$F$11)</f>
        <v/>
      </c>
      <c r="F205" s="45">
        <f>nListPrice*(1-C205)-(nInference*nGpuIdx+nAmort)*nUtilCal/D205-nNetworking-nOverheadBase*(E205/nPowerCal)-nCodBase*(1+I205/12)-O205</f>
        <v/>
      </c>
      <c r="G205" s="66">
        <f>MAX(F205,0)/nDebtService</f>
        <v/>
      </c>
      <c r="H205" s="71">
        <f>Anthropic!$J$18*Anthropic!$J$27+Anthropic!$J$19*Anthropic!$J$28+Anthropic!$J$20*Anthropic!$J$29+Anthropic!$J$21*E205*(1+nPowerCagr)^4*(1+nResidualBasisMarkup+nScarcityAlpha*POWER(Anthropic!$J$21,nScarcityGamma))</f>
        <v/>
      </c>
      <c r="I205" s="113">
        <f>Assumptions!$F$10+RAND()*(Assumptions!$D$10-Assumptions!$F$10)</f>
        <v/>
      </c>
      <c r="J205" s="113">
        <f>RAND()*nCodSlipMaxMo</f>
        <v/>
      </c>
      <c r="K205" s="114">
        <f>nAvailDrawMin+RAND()*(nAvailDrawMax-nAvailDrawMin)</f>
        <v/>
      </c>
      <c r="L205" s="45">
        <f>IF(2034&lt;sNsmrCodU1+J205/12,0,(nNsmrCap+nNsmrOpx*(1+sNsmrOpxEsc)^8+nNsmrFuel*FuelEsc*(1+nFuelCagr)^8-nNsmrItc)*IF(2034&lt;sNsmrCodU1+J205/12+nStepFirst,1,IF(nStepGated="Yes",(1+nStepPct)^(INT((2034-sNsmrCodU1-J205/12-nStepFirst)/nStepEvery)+1),1))+nExclPrem*(1-nFlexRelief)-nProdCredit)</f>
        <v/>
      </c>
      <c r="M205" s="63">
        <f>MIN(nShortfallCapM,MAX(0,sNsmrAvailY2-K205)*sNsmrUnitMw*sNsmrUnits*8760*NsmrPrice2033/1000000)</f>
        <v/>
      </c>
      <c r="N205" s="82">
        <f>IF(RAND()&lt;0.5,nUsefulLifeDrawBase-(nUsefulLifeDrawBase-nUsefulLifeDrawMin)*BETA.INV(RAND(),1.15,1.15),nUsefulLifeDrawBase+(nUsefulLifeDrawMax-nUsefulLifeDrawBase)*BETA.INV(RAND(),1.15,1.15))</f>
        <v/>
      </c>
      <c r="O205" s="45">
        <f>((nInference*nGpuIdx+nAmort)*nUtilCal/D205)*(nUsefulLifeDrawBase/N205-1)</f>
        <v/>
      </c>
      <c r="P205" s="1" t="n"/>
      <c r="Q205" s="1" t="n"/>
      <c r="R205" s="1" t="n"/>
      <c r="S205" s="1" t="n"/>
      <c r="T205" s="1" t="n"/>
      <c r="U205" s="1" t="n"/>
    </row>
    <row r="206" ht="12" customHeight="1">
      <c r="A206" s="1" t="n"/>
      <c r="B206" s="38" t="n">
        <v>186</v>
      </c>
      <c r="C206" s="114">
        <f>Assumptions!$F$8+RAND()*(Assumptions!$D$8-Assumptions!$F$8)</f>
        <v/>
      </c>
      <c r="D206" s="114">
        <f>Assumptions!$D$9+RAND()*(Assumptions!$F$9-Assumptions!$D$9)</f>
        <v/>
      </c>
      <c r="E206" s="71">
        <f>Assumptions!$F$11+RAND()*(Assumptions!$D$11-Assumptions!$F$11)</f>
        <v/>
      </c>
      <c r="F206" s="45">
        <f>nListPrice*(1-C206)-(nInference*nGpuIdx+nAmort)*nUtilCal/D206-nNetworking-nOverheadBase*(E206/nPowerCal)-nCodBase*(1+I206/12)-O206</f>
        <v/>
      </c>
      <c r="G206" s="66">
        <f>MAX(F206,0)/nDebtService</f>
        <v/>
      </c>
      <c r="H206" s="71">
        <f>Anthropic!$J$18*Anthropic!$J$27+Anthropic!$J$19*Anthropic!$J$28+Anthropic!$J$20*Anthropic!$J$29+Anthropic!$J$21*E206*(1+nPowerCagr)^4*(1+nResidualBasisMarkup+nScarcityAlpha*POWER(Anthropic!$J$21,nScarcityGamma))</f>
        <v/>
      </c>
      <c r="I206" s="113">
        <f>Assumptions!$F$10+RAND()*(Assumptions!$D$10-Assumptions!$F$10)</f>
        <v/>
      </c>
      <c r="J206" s="113">
        <f>RAND()*nCodSlipMaxMo</f>
        <v/>
      </c>
      <c r="K206" s="114">
        <f>nAvailDrawMin+RAND()*(nAvailDrawMax-nAvailDrawMin)</f>
        <v/>
      </c>
      <c r="L206" s="45">
        <f>IF(2034&lt;sNsmrCodU1+J206/12,0,(nNsmrCap+nNsmrOpx*(1+sNsmrOpxEsc)^8+nNsmrFuel*FuelEsc*(1+nFuelCagr)^8-nNsmrItc)*IF(2034&lt;sNsmrCodU1+J206/12+nStepFirst,1,IF(nStepGated="Yes",(1+nStepPct)^(INT((2034-sNsmrCodU1-J206/12-nStepFirst)/nStepEvery)+1),1))+nExclPrem*(1-nFlexRelief)-nProdCredit)</f>
        <v/>
      </c>
      <c r="M206" s="63">
        <f>MIN(nShortfallCapM,MAX(0,sNsmrAvailY2-K206)*sNsmrUnitMw*sNsmrUnits*8760*NsmrPrice2033/1000000)</f>
        <v/>
      </c>
      <c r="N206" s="82">
        <f>IF(RAND()&lt;0.5,nUsefulLifeDrawBase-(nUsefulLifeDrawBase-nUsefulLifeDrawMin)*BETA.INV(RAND(),1.15,1.15),nUsefulLifeDrawBase+(nUsefulLifeDrawMax-nUsefulLifeDrawBase)*BETA.INV(RAND(),1.15,1.15))</f>
        <v/>
      </c>
      <c r="O206" s="45">
        <f>((nInference*nGpuIdx+nAmort)*nUtilCal/D206)*(nUsefulLifeDrawBase/N206-1)</f>
        <v/>
      </c>
      <c r="P206" s="1" t="n"/>
      <c r="Q206" s="1" t="n"/>
      <c r="R206" s="1" t="n"/>
      <c r="S206" s="1" t="n"/>
      <c r="T206" s="1" t="n"/>
      <c r="U206" s="1" t="n"/>
    </row>
    <row r="207" ht="12" customHeight="1">
      <c r="A207" s="1" t="n"/>
      <c r="B207" s="38" t="n">
        <v>187</v>
      </c>
      <c r="C207" s="114">
        <f>Assumptions!$F$8+RAND()*(Assumptions!$D$8-Assumptions!$F$8)</f>
        <v/>
      </c>
      <c r="D207" s="114">
        <f>Assumptions!$D$9+RAND()*(Assumptions!$F$9-Assumptions!$D$9)</f>
        <v/>
      </c>
      <c r="E207" s="71">
        <f>Assumptions!$F$11+RAND()*(Assumptions!$D$11-Assumptions!$F$11)</f>
        <v/>
      </c>
      <c r="F207" s="45">
        <f>nListPrice*(1-C207)-(nInference*nGpuIdx+nAmort)*nUtilCal/D207-nNetworking-nOverheadBase*(E207/nPowerCal)-nCodBase*(1+I207/12)-O207</f>
        <v/>
      </c>
      <c r="G207" s="66">
        <f>MAX(F207,0)/nDebtService</f>
        <v/>
      </c>
      <c r="H207" s="71">
        <f>Anthropic!$J$18*Anthropic!$J$27+Anthropic!$J$19*Anthropic!$J$28+Anthropic!$J$20*Anthropic!$J$29+Anthropic!$J$21*E207*(1+nPowerCagr)^4*(1+nResidualBasisMarkup+nScarcityAlpha*POWER(Anthropic!$J$21,nScarcityGamma))</f>
        <v/>
      </c>
      <c r="I207" s="113">
        <f>Assumptions!$F$10+RAND()*(Assumptions!$D$10-Assumptions!$F$10)</f>
        <v/>
      </c>
      <c r="J207" s="113">
        <f>RAND()*nCodSlipMaxMo</f>
        <v/>
      </c>
      <c r="K207" s="114">
        <f>nAvailDrawMin+RAND()*(nAvailDrawMax-nAvailDrawMin)</f>
        <v/>
      </c>
      <c r="L207" s="45">
        <f>IF(2034&lt;sNsmrCodU1+J207/12,0,(nNsmrCap+nNsmrOpx*(1+sNsmrOpxEsc)^8+nNsmrFuel*FuelEsc*(1+nFuelCagr)^8-nNsmrItc)*IF(2034&lt;sNsmrCodU1+J207/12+nStepFirst,1,IF(nStepGated="Yes",(1+nStepPct)^(INT((2034-sNsmrCodU1-J207/12-nStepFirst)/nStepEvery)+1),1))+nExclPrem*(1-nFlexRelief)-nProdCredit)</f>
        <v/>
      </c>
      <c r="M207" s="63">
        <f>MIN(nShortfallCapM,MAX(0,sNsmrAvailY2-K207)*sNsmrUnitMw*sNsmrUnits*8760*NsmrPrice2033/1000000)</f>
        <v/>
      </c>
      <c r="N207" s="82">
        <f>IF(RAND()&lt;0.5,nUsefulLifeDrawBase-(nUsefulLifeDrawBase-nUsefulLifeDrawMin)*BETA.INV(RAND(),1.15,1.15),nUsefulLifeDrawBase+(nUsefulLifeDrawMax-nUsefulLifeDrawBase)*BETA.INV(RAND(),1.15,1.15))</f>
        <v/>
      </c>
      <c r="O207" s="45">
        <f>((nInference*nGpuIdx+nAmort)*nUtilCal/D207)*(nUsefulLifeDrawBase/N207-1)</f>
        <v/>
      </c>
      <c r="P207" s="1" t="n"/>
      <c r="Q207" s="1" t="n"/>
      <c r="R207" s="1" t="n"/>
      <c r="S207" s="1" t="n"/>
      <c r="T207" s="1" t="n"/>
      <c r="U207" s="1" t="n"/>
    </row>
    <row r="208" ht="12" customHeight="1">
      <c r="A208" s="1" t="n"/>
      <c r="B208" s="38" t="n">
        <v>188</v>
      </c>
      <c r="C208" s="114">
        <f>Assumptions!$F$8+RAND()*(Assumptions!$D$8-Assumptions!$F$8)</f>
        <v/>
      </c>
      <c r="D208" s="114">
        <f>Assumptions!$D$9+RAND()*(Assumptions!$F$9-Assumptions!$D$9)</f>
        <v/>
      </c>
      <c r="E208" s="71">
        <f>Assumptions!$F$11+RAND()*(Assumptions!$D$11-Assumptions!$F$11)</f>
        <v/>
      </c>
      <c r="F208" s="45">
        <f>nListPrice*(1-C208)-(nInference*nGpuIdx+nAmort)*nUtilCal/D208-nNetworking-nOverheadBase*(E208/nPowerCal)-nCodBase*(1+I208/12)-O208</f>
        <v/>
      </c>
      <c r="G208" s="66">
        <f>MAX(F208,0)/nDebtService</f>
        <v/>
      </c>
      <c r="H208" s="71">
        <f>Anthropic!$J$18*Anthropic!$J$27+Anthropic!$J$19*Anthropic!$J$28+Anthropic!$J$20*Anthropic!$J$29+Anthropic!$J$21*E208*(1+nPowerCagr)^4*(1+nResidualBasisMarkup+nScarcityAlpha*POWER(Anthropic!$J$21,nScarcityGamma))</f>
        <v/>
      </c>
      <c r="I208" s="113">
        <f>Assumptions!$F$10+RAND()*(Assumptions!$D$10-Assumptions!$F$10)</f>
        <v/>
      </c>
      <c r="J208" s="113">
        <f>RAND()*nCodSlipMaxMo</f>
        <v/>
      </c>
      <c r="K208" s="114">
        <f>nAvailDrawMin+RAND()*(nAvailDrawMax-nAvailDrawMin)</f>
        <v/>
      </c>
      <c r="L208" s="45">
        <f>IF(2034&lt;sNsmrCodU1+J208/12,0,(nNsmrCap+nNsmrOpx*(1+sNsmrOpxEsc)^8+nNsmrFuel*FuelEsc*(1+nFuelCagr)^8-nNsmrItc)*IF(2034&lt;sNsmrCodU1+J208/12+nStepFirst,1,IF(nStepGated="Yes",(1+nStepPct)^(INT((2034-sNsmrCodU1-J208/12-nStepFirst)/nStepEvery)+1),1))+nExclPrem*(1-nFlexRelief)-nProdCredit)</f>
        <v/>
      </c>
      <c r="M208" s="63">
        <f>MIN(nShortfallCapM,MAX(0,sNsmrAvailY2-K208)*sNsmrUnitMw*sNsmrUnits*8760*NsmrPrice2033/1000000)</f>
        <v/>
      </c>
      <c r="N208" s="82">
        <f>IF(RAND()&lt;0.5,nUsefulLifeDrawBase-(nUsefulLifeDrawBase-nUsefulLifeDrawMin)*BETA.INV(RAND(),1.15,1.15),nUsefulLifeDrawBase+(nUsefulLifeDrawMax-nUsefulLifeDrawBase)*BETA.INV(RAND(),1.15,1.15))</f>
        <v/>
      </c>
      <c r="O208" s="45">
        <f>((nInference*nGpuIdx+nAmort)*nUtilCal/D208)*(nUsefulLifeDrawBase/N208-1)</f>
        <v/>
      </c>
      <c r="P208" s="1" t="n"/>
      <c r="Q208" s="1" t="n"/>
      <c r="R208" s="1" t="n"/>
      <c r="S208" s="1" t="n"/>
      <c r="T208" s="1" t="n"/>
      <c r="U208" s="1" t="n"/>
    </row>
    <row r="209" ht="12" customHeight="1">
      <c r="A209" s="1" t="n"/>
      <c r="B209" s="38" t="n">
        <v>189</v>
      </c>
      <c r="C209" s="114">
        <f>Assumptions!$F$8+RAND()*(Assumptions!$D$8-Assumptions!$F$8)</f>
        <v/>
      </c>
      <c r="D209" s="114">
        <f>Assumptions!$D$9+RAND()*(Assumptions!$F$9-Assumptions!$D$9)</f>
        <v/>
      </c>
      <c r="E209" s="71">
        <f>Assumptions!$F$11+RAND()*(Assumptions!$D$11-Assumptions!$F$11)</f>
        <v/>
      </c>
      <c r="F209" s="45">
        <f>nListPrice*(1-C209)-(nInference*nGpuIdx+nAmort)*nUtilCal/D209-nNetworking-nOverheadBase*(E209/nPowerCal)-nCodBase*(1+I209/12)-O209</f>
        <v/>
      </c>
      <c r="G209" s="66">
        <f>MAX(F209,0)/nDebtService</f>
        <v/>
      </c>
      <c r="H209" s="71">
        <f>Anthropic!$J$18*Anthropic!$J$27+Anthropic!$J$19*Anthropic!$J$28+Anthropic!$J$20*Anthropic!$J$29+Anthropic!$J$21*E209*(1+nPowerCagr)^4*(1+nResidualBasisMarkup+nScarcityAlpha*POWER(Anthropic!$J$21,nScarcityGamma))</f>
        <v/>
      </c>
      <c r="I209" s="113">
        <f>Assumptions!$F$10+RAND()*(Assumptions!$D$10-Assumptions!$F$10)</f>
        <v/>
      </c>
      <c r="J209" s="113">
        <f>RAND()*nCodSlipMaxMo</f>
        <v/>
      </c>
      <c r="K209" s="114">
        <f>nAvailDrawMin+RAND()*(nAvailDrawMax-nAvailDrawMin)</f>
        <v/>
      </c>
      <c r="L209" s="45">
        <f>IF(2034&lt;sNsmrCodU1+J209/12,0,(nNsmrCap+nNsmrOpx*(1+sNsmrOpxEsc)^8+nNsmrFuel*FuelEsc*(1+nFuelCagr)^8-nNsmrItc)*IF(2034&lt;sNsmrCodU1+J209/12+nStepFirst,1,IF(nStepGated="Yes",(1+nStepPct)^(INT((2034-sNsmrCodU1-J209/12-nStepFirst)/nStepEvery)+1),1))+nExclPrem*(1-nFlexRelief)-nProdCredit)</f>
        <v/>
      </c>
      <c r="M209" s="63">
        <f>MIN(nShortfallCapM,MAX(0,sNsmrAvailY2-K209)*sNsmrUnitMw*sNsmrUnits*8760*NsmrPrice2033/1000000)</f>
        <v/>
      </c>
      <c r="N209" s="82">
        <f>IF(RAND()&lt;0.5,nUsefulLifeDrawBase-(nUsefulLifeDrawBase-nUsefulLifeDrawMin)*BETA.INV(RAND(),1.15,1.15),nUsefulLifeDrawBase+(nUsefulLifeDrawMax-nUsefulLifeDrawBase)*BETA.INV(RAND(),1.15,1.15))</f>
        <v/>
      </c>
      <c r="O209" s="45">
        <f>((nInference*nGpuIdx+nAmort)*nUtilCal/D209)*(nUsefulLifeDrawBase/N209-1)</f>
        <v/>
      </c>
      <c r="P209" s="1" t="n"/>
      <c r="Q209" s="1" t="n"/>
      <c r="R209" s="1" t="n"/>
      <c r="S209" s="1" t="n"/>
      <c r="T209" s="1" t="n"/>
      <c r="U209" s="1" t="n"/>
    </row>
    <row r="210" ht="12" customHeight="1">
      <c r="A210" s="1" t="n"/>
      <c r="B210" s="38" t="n">
        <v>190</v>
      </c>
      <c r="C210" s="114">
        <f>Assumptions!$F$8+RAND()*(Assumptions!$D$8-Assumptions!$F$8)</f>
        <v/>
      </c>
      <c r="D210" s="114">
        <f>Assumptions!$D$9+RAND()*(Assumptions!$F$9-Assumptions!$D$9)</f>
        <v/>
      </c>
      <c r="E210" s="71">
        <f>Assumptions!$F$11+RAND()*(Assumptions!$D$11-Assumptions!$F$11)</f>
        <v/>
      </c>
      <c r="F210" s="45">
        <f>nListPrice*(1-C210)-(nInference*nGpuIdx+nAmort)*nUtilCal/D210-nNetworking-nOverheadBase*(E210/nPowerCal)-nCodBase*(1+I210/12)-O210</f>
        <v/>
      </c>
      <c r="G210" s="66">
        <f>MAX(F210,0)/nDebtService</f>
        <v/>
      </c>
      <c r="H210" s="71">
        <f>Anthropic!$J$18*Anthropic!$J$27+Anthropic!$J$19*Anthropic!$J$28+Anthropic!$J$20*Anthropic!$J$29+Anthropic!$J$21*E210*(1+nPowerCagr)^4*(1+nResidualBasisMarkup+nScarcityAlpha*POWER(Anthropic!$J$21,nScarcityGamma))</f>
        <v/>
      </c>
      <c r="I210" s="113">
        <f>Assumptions!$F$10+RAND()*(Assumptions!$D$10-Assumptions!$F$10)</f>
        <v/>
      </c>
      <c r="J210" s="113">
        <f>RAND()*nCodSlipMaxMo</f>
        <v/>
      </c>
      <c r="K210" s="114">
        <f>nAvailDrawMin+RAND()*(nAvailDrawMax-nAvailDrawMin)</f>
        <v/>
      </c>
      <c r="L210" s="45">
        <f>IF(2034&lt;sNsmrCodU1+J210/12,0,(nNsmrCap+nNsmrOpx*(1+sNsmrOpxEsc)^8+nNsmrFuel*FuelEsc*(1+nFuelCagr)^8-nNsmrItc)*IF(2034&lt;sNsmrCodU1+J210/12+nStepFirst,1,IF(nStepGated="Yes",(1+nStepPct)^(INT((2034-sNsmrCodU1-J210/12-nStepFirst)/nStepEvery)+1),1))+nExclPrem*(1-nFlexRelief)-nProdCredit)</f>
        <v/>
      </c>
      <c r="M210" s="63">
        <f>MIN(nShortfallCapM,MAX(0,sNsmrAvailY2-K210)*sNsmrUnitMw*sNsmrUnits*8760*NsmrPrice2033/1000000)</f>
        <v/>
      </c>
      <c r="N210" s="82">
        <f>IF(RAND()&lt;0.5,nUsefulLifeDrawBase-(nUsefulLifeDrawBase-nUsefulLifeDrawMin)*BETA.INV(RAND(),1.15,1.15),nUsefulLifeDrawBase+(nUsefulLifeDrawMax-nUsefulLifeDrawBase)*BETA.INV(RAND(),1.15,1.15))</f>
        <v/>
      </c>
      <c r="O210" s="45">
        <f>((nInference*nGpuIdx+nAmort)*nUtilCal/D210)*(nUsefulLifeDrawBase/N210-1)</f>
        <v/>
      </c>
      <c r="P210" s="1" t="n"/>
      <c r="Q210" s="1" t="n"/>
      <c r="R210" s="1" t="n"/>
      <c r="S210" s="1" t="n"/>
      <c r="T210" s="1" t="n"/>
      <c r="U210" s="1" t="n"/>
    </row>
    <row r="211" ht="12" customHeight="1">
      <c r="A211" s="1" t="n"/>
      <c r="B211" s="38" t="n">
        <v>191</v>
      </c>
      <c r="C211" s="114">
        <f>Assumptions!$F$8+RAND()*(Assumptions!$D$8-Assumptions!$F$8)</f>
        <v/>
      </c>
      <c r="D211" s="114">
        <f>Assumptions!$D$9+RAND()*(Assumptions!$F$9-Assumptions!$D$9)</f>
        <v/>
      </c>
      <c r="E211" s="71">
        <f>Assumptions!$F$11+RAND()*(Assumptions!$D$11-Assumptions!$F$11)</f>
        <v/>
      </c>
      <c r="F211" s="45">
        <f>nListPrice*(1-C211)-(nInference*nGpuIdx+nAmort)*nUtilCal/D211-nNetworking-nOverheadBase*(E211/nPowerCal)-nCodBase*(1+I211/12)-O211</f>
        <v/>
      </c>
      <c r="G211" s="66">
        <f>MAX(F211,0)/nDebtService</f>
        <v/>
      </c>
      <c r="H211" s="71">
        <f>Anthropic!$J$18*Anthropic!$J$27+Anthropic!$J$19*Anthropic!$J$28+Anthropic!$J$20*Anthropic!$J$29+Anthropic!$J$21*E211*(1+nPowerCagr)^4*(1+nResidualBasisMarkup+nScarcityAlpha*POWER(Anthropic!$J$21,nScarcityGamma))</f>
        <v/>
      </c>
      <c r="I211" s="113">
        <f>Assumptions!$F$10+RAND()*(Assumptions!$D$10-Assumptions!$F$10)</f>
        <v/>
      </c>
      <c r="J211" s="113">
        <f>RAND()*nCodSlipMaxMo</f>
        <v/>
      </c>
      <c r="K211" s="114">
        <f>nAvailDrawMin+RAND()*(nAvailDrawMax-nAvailDrawMin)</f>
        <v/>
      </c>
      <c r="L211" s="45">
        <f>IF(2034&lt;sNsmrCodU1+J211/12,0,(nNsmrCap+nNsmrOpx*(1+sNsmrOpxEsc)^8+nNsmrFuel*FuelEsc*(1+nFuelCagr)^8-nNsmrItc)*IF(2034&lt;sNsmrCodU1+J211/12+nStepFirst,1,IF(nStepGated="Yes",(1+nStepPct)^(INT((2034-sNsmrCodU1-J211/12-nStepFirst)/nStepEvery)+1),1))+nExclPrem*(1-nFlexRelief)-nProdCredit)</f>
        <v/>
      </c>
      <c r="M211" s="63">
        <f>MIN(nShortfallCapM,MAX(0,sNsmrAvailY2-K211)*sNsmrUnitMw*sNsmrUnits*8760*NsmrPrice2033/1000000)</f>
        <v/>
      </c>
      <c r="N211" s="82">
        <f>IF(RAND()&lt;0.5,nUsefulLifeDrawBase-(nUsefulLifeDrawBase-nUsefulLifeDrawMin)*BETA.INV(RAND(),1.15,1.15),nUsefulLifeDrawBase+(nUsefulLifeDrawMax-nUsefulLifeDrawBase)*BETA.INV(RAND(),1.15,1.15))</f>
        <v/>
      </c>
      <c r="O211" s="45">
        <f>((nInference*nGpuIdx+nAmort)*nUtilCal/D211)*(nUsefulLifeDrawBase/N211-1)</f>
        <v/>
      </c>
      <c r="P211" s="1" t="n"/>
      <c r="Q211" s="1" t="n"/>
      <c r="R211" s="1" t="n"/>
      <c r="S211" s="1" t="n"/>
      <c r="T211" s="1" t="n"/>
      <c r="U211" s="1" t="n"/>
    </row>
    <row r="212" ht="12" customHeight="1">
      <c r="A212" s="1" t="n"/>
      <c r="B212" s="38" t="n">
        <v>192</v>
      </c>
      <c r="C212" s="114">
        <f>Assumptions!$F$8+RAND()*(Assumptions!$D$8-Assumptions!$F$8)</f>
        <v/>
      </c>
      <c r="D212" s="114">
        <f>Assumptions!$D$9+RAND()*(Assumptions!$F$9-Assumptions!$D$9)</f>
        <v/>
      </c>
      <c r="E212" s="71">
        <f>Assumptions!$F$11+RAND()*(Assumptions!$D$11-Assumptions!$F$11)</f>
        <v/>
      </c>
      <c r="F212" s="45">
        <f>nListPrice*(1-C212)-(nInference*nGpuIdx+nAmort)*nUtilCal/D212-nNetworking-nOverheadBase*(E212/nPowerCal)-nCodBase*(1+I212/12)-O212</f>
        <v/>
      </c>
      <c r="G212" s="66">
        <f>MAX(F212,0)/nDebtService</f>
        <v/>
      </c>
      <c r="H212" s="71">
        <f>Anthropic!$J$18*Anthropic!$J$27+Anthropic!$J$19*Anthropic!$J$28+Anthropic!$J$20*Anthropic!$J$29+Anthropic!$J$21*E212*(1+nPowerCagr)^4*(1+nResidualBasisMarkup+nScarcityAlpha*POWER(Anthropic!$J$21,nScarcityGamma))</f>
        <v/>
      </c>
      <c r="I212" s="113">
        <f>Assumptions!$F$10+RAND()*(Assumptions!$D$10-Assumptions!$F$10)</f>
        <v/>
      </c>
      <c r="J212" s="113">
        <f>RAND()*nCodSlipMaxMo</f>
        <v/>
      </c>
      <c r="K212" s="114">
        <f>nAvailDrawMin+RAND()*(nAvailDrawMax-nAvailDrawMin)</f>
        <v/>
      </c>
      <c r="L212" s="45">
        <f>IF(2034&lt;sNsmrCodU1+J212/12,0,(nNsmrCap+nNsmrOpx*(1+sNsmrOpxEsc)^8+nNsmrFuel*FuelEsc*(1+nFuelCagr)^8-nNsmrItc)*IF(2034&lt;sNsmrCodU1+J212/12+nStepFirst,1,IF(nStepGated="Yes",(1+nStepPct)^(INT((2034-sNsmrCodU1-J212/12-nStepFirst)/nStepEvery)+1),1))+nExclPrem*(1-nFlexRelief)-nProdCredit)</f>
        <v/>
      </c>
      <c r="M212" s="63">
        <f>MIN(nShortfallCapM,MAX(0,sNsmrAvailY2-K212)*sNsmrUnitMw*sNsmrUnits*8760*NsmrPrice2033/1000000)</f>
        <v/>
      </c>
      <c r="N212" s="82">
        <f>IF(RAND()&lt;0.5,nUsefulLifeDrawBase-(nUsefulLifeDrawBase-nUsefulLifeDrawMin)*BETA.INV(RAND(),1.15,1.15),nUsefulLifeDrawBase+(nUsefulLifeDrawMax-nUsefulLifeDrawBase)*BETA.INV(RAND(),1.15,1.15))</f>
        <v/>
      </c>
      <c r="O212" s="45">
        <f>((nInference*nGpuIdx+nAmort)*nUtilCal/D212)*(nUsefulLifeDrawBase/N212-1)</f>
        <v/>
      </c>
      <c r="P212" s="1" t="n"/>
      <c r="Q212" s="1" t="n"/>
      <c r="R212" s="1" t="n"/>
      <c r="S212" s="1" t="n"/>
      <c r="T212" s="1" t="n"/>
      <c r="U212" s="1" t="n"/>
    </row>
    <row r="213" ht="12" customHeight="1">
      <c r="A213" s="1" t="n"/>
      <c r="B213" s="38" t="n">
        <v>193</v>
      </c>
      <c r="C213" s="114">
        <f>Assumptions!$F$8+RAND()*(Assumptions!$D$8-Assumptions!$F$8)</f>
        <v/>
      </c>
      <c r="D213" s="114">
        <f>Assumptions!$D$9+RAND()*(Assumptions!$F$9-Assumptions!$D$9)</f>
        <v/>
      </c>
      <c r="E213" s="71">
        <f>Assumptions!$F$11+RAND()*(Assumptions!$D$11-Assumptions!$F$11)</f>
        <v/>
      </c>
      <c r="F213" s="45">
        <f>nListPrice*(1-C213)-(nInference*nGpuIdx+nAmort)*nUtilCal/D213-nNetworking-nOverheadBase*(E213/nPowerCal)-nCodBase*(1+I213/12)-O213</f>
        <v/>
      </c>
      <c r="G213" s="66">
        <f>MAX(F213,0)/nDebtService</f>
        <v/>
      </c>
      <c r="H213" s="71">
        <f>Anthropic!$J$18*Anthropic!$J$27+Anthropic!$J$19*Anthropic!$J$28+Anthropic!$J$20*Anthropic!$J$29+Anthropic!$J$21*E213*(1+nPowerCagr)^4*(1+nResidualBasisMarkup+nScarcityAlpha*POWER(Anthropic!$J$21,nScarcityGamma))</f>
        <v/>
      </c>
      <c r="I213" s="113">
        <f>Assumptions!$F$10+RAND()*(Assumptions!$D$10-Assumptions!$F$10)</f>
        <v/>
      </c>
      <c r="J213" s="113">
        <f>RAND()*nCodSlipMaxMo</f>
        <v/>
      </c>
      <c r="K213" s="114">
        <f>nAvailDrawMin+RAND()*(nAvailDrawMax-nAvailDrawMin)</f>
        <v/>
      </c>
      <c r="L213" s="45">
        <f>IF(2034&lt;sNsmrCodU1+J213/12,0,(nNsmrCap+nNsmrOpx*(1+sNsmrOpxEsc)^8+nNsmrFuel*FuelEsc*(1+nFuelCagr)^8-nNsmrItc)*IF(2034&lt;sNsmrCodU1+J213/12+nStepFirst,1,IF(nStepGated="Yes",(1+nStepPct)^(INT((2034-sNsmrCodU1-J213/12-nStepFirst)/nStepEvery)+1),1))+nExclPrem*(1-nFlexRelief)-nProdCredit)</f>
        <v/>
      </c>
      <c r="M213" s="63">
        <f>MIN(nShortfallCapM,MAX(0,sNsmrAvailY2-K213)*sNsmrUnitMw*sNsmrUnits*8760*NsmrPrice2033/1000000)</f>
        <v/>
      </c>
      <c r="N213" s="82">
        <f>IF(RAND()&lt;0.5,nUsefulLifeDrawBase-(nUsefulLifeDrawBase-nUsefulLifeDrawMin)*BETA.INV(RAND(),1.15,1.15),nUsefulLifeDrawBase+(nUsefulLifeDrawMax-nUsefulLifeDrawBase)*BETA.INV(RAND(),1.15,1.15))</f>
        <v/>
      </c>
      <c r="O213" s="45">
        <f>((nInference*nGpuIdx+nAmort)*nUtilCal/D213)*(nUsefulLifeDrawBase/N213-1)</f>
        <v/>
      </c>
      <c r="P213" s="1" t="n"/>
      <c r="Q213" s="1" t="n"/>
      <c r="R213" s="1" t="n"/>
      <c r="S213" s="1" t="n"/>
      <c r="T213" s="1" t="n"/>
      <c r="U213" s="1" t="n"/>
    </row>
    <row r="214" ht="12" customHeight="1">
      <c r="A214" s="1" t="n"/>
      <c r="B214" s="38" t="n">
        <v>194</v>
      </c>
      <c r="C214" s="114">
        <f>Assumptions!$F$8+RAND()*(Assumptions!$D$8-Assumptions!$F$8)</f>
        <v/>
      </c>
      <c r="D214" s="114">
        <f>Assumptions!$D$9+RAND()*(Assumptions!$F$9-Assumptions!$D$9)</f>
        <v/>
      </c>
      <c r="E214" s="71">
        <f>Assumptions!$F$11+RAND()*(Assumptions!$D$11-Assumptions!$F$11)</f>
        <v/>
      </c>
      <c r="F214" s="45">
        <f>nListPrice*(1-C214)-(nInference*nGpuIdx+nAmort)*nUtilCal/D214-nNetworking-nOverheadBase*(E214/nPowerCal)-nCodBase*(1+I214/12)-O214</f>
        <v/>
      </c>
      <c r="G214" s="66">
        <f>MAX(F214,0)/nDebtService</f>
        <v/>
      </c>
      <c r="H214" s="71">
        <f>Anthropic!$J$18*Anthropic!$J$27+Anthropic!$J$19*Anthropic!$J$28+Anthropic!$J$20*Anthropic!$J$29+Anthropic!$J$21*E214*(1+nPowerCagr)^4*(1+nResidualBasisMarkup+nScarcityAlpha*POWER(Anthropic!$J$21,nScarcityGamma))</f>
        <v/>
      </c>
      <c r="I214" s="113">
        <f>Assumptions!$F$10+RAND()*(Assumptions!$D$10-Assumptions!$F$10)</f>
        <v/>
      </c>
      <c r="J214" s="113">
        <f>RAND()*nCodSlipMaxMo</f>
        <v/>
      </c>
      <c r="K214" s="114">
        <f>nAvailDrawMin+RAND()*(nAvailDrawMax-nAvailDrawMin)</f>
        <v/>
      </c>
      <c r="L214" s="45">
        <f>IF(2034&lt;sNsmrCodU1+J214/12,0,(nNsmrCap+nNsmrOpx*(1+sNsmrOpxEsc)^8+nNsmrFuel*FuelEsc*(1+nFuelCagr)^8-nNsmrItc)*IF(2034&lt;sNsmrCodU1+J214/12+nStepFirst,1,IF(nStepGated="Yes",(1+nStepPct)^(INT((2034-sNsmrCodU1-J214/12-nStepFirst)/nStepEvery)+1),1))+nExclPrem*(1-nFlexRelief)-nProdCredit)</f>
        <v/>
      </c>
      <c r="M214" s="63">
        <f>MIN(nShortfallCapM,MAX(0,sNsmrAvailY2-K214)*sNsmrUnitMw*sNsmrUnits*8760*NsmrPrice2033/1000000)</f>
        <v/>
      </c>
      <c r="N214" s="82">
        <f>IF(RAND()&lt;0.5,nUsefulLifeDrawBase-(nUsefulLifeDrawBase-nUsefulLifeDrawMin)*BETA.INV(RAND(),1.15,1.15),nUsefulLifeDrawBase+(nUsefulLifeDrawMax-nUsefulLifeDrawBase)*BETA.INV(RAND(),1.15,1.15))</f>
        <v/>
      </c>
      <c r="O214" s="45">
        <f>((nInference*nGpuIdx+nAmort)*nUtilCal/D214)*(nUsefulLifeDrawBase/N214-1)</f>
        <v/>
      </c>
      <c r="P214" s="1" t="n"/>
      <c r="Q214" s="1" t="n"/>
      <c r="R214" s="1" t="n"/>
      <c r="S214" s="1" t="n"/>
      <c r="T214" s="1" t="n"/>
      <c r="U214" s="1" t="n"/>
    </row>
    <row r="215" ht="12" customHeight="1">
      <c r="A215" s="1" t="n"/>
      <c r="B215" s="38" t="n">
        <v>195</v>
      </c>
      <c r="C215" s="114">
        <f>Assumptions!$F$8+RAND()*(Assumptions!$D$8-Assumptions!$F$8)</f>
        <v/>
      </c>
      <c r="D215" s="114">
        <f>Assumptions!$D$9+RAND()*(Assumptions!$F$9-Assumptions!$D$9)</f>
        <v/>
      </c>
      <c r="E215" s="71">
        <f>Assumptions!$F$11+RAND()*(Assumptions!$D$11-Assumptions!$F$11)</f>
        <v/>
      </c>
      <c r="F215" s="45">
        <f>nListPrice*(1-C215)-(nInference*nGpuIdx+nAmort)*nUtilCal/D215-nNetworking-nOverheadBase*(E215/nPowerCal)-nCodBase*(1+I215/12)-O215</f>
        <v/>
      </c>
      <c r="G215" s="66">
        <f>MAX(F215,0)/nDebtService</f>
        <v/>
      </c>
      <c r="H215" s="71">
        <f>Anthropic!$J$18*Anthropic!$J$27+Anthropic!$J$19*Anthropic!$J$28+Anthropic!$J$20*Anthropic!$J$29+Anthropic!$J$21*E215*(1+nPowerCagr)^4*(1+nResidualBasisMarkup+nScarcityAlpha*POWER(Anthropic!$J$21,nScarcityGamma))</f>
        <v/>
      </c>
      <c r="I215" s="113">
        <f>Assumptions!$F$10+RAND()*(Assumptions!$D$10-Assumptions!$F$10)</f>
        <v/>
      </c>
      <c r="J215" s="113">
        <f>RAND()*nCodSlipMaxMo</f>
        <v/>
      </c>
      <c r="K215" s="114">
        <f>nAvailDrawMin+RAND()*(nAvailDrawMax-nAvailDrawMin)</f>
        <v/>
      </c>
      <c r="L215" s="45">
        <f>IF(2034&lt;sNsmrCodU1+J215/12,0,(nNsmrCap+nNsmrOpx*(1+sNsmrOpxEsc)^8+nNsmrFuel*FuelEsc*(1+nFuelCagr)^8-nNsmrItc)*IF(2034&lt;sNsmrCodU1+J215/12+nStepFirst,1,IF(nStepGated="Yes",(1+nStepPct)^(INT((2034-sNsmrCodU1-J215/12-nStepFirst)/nStepEvery)+1),1))+nExclPrem*(1-nFlexRelief)-nProdCredit)</f>
        <v/>
      </c>
      <c r="M215" s="63">
        <f>MIN(nShortfallCapM,MAX(0,sNsmrAvailY2-K215)*sNsmrUnitMw*sNsmrUnits*8760*NsmrPrice2033/1000000)</f>
        <v/>
      </c>
      <c r="N215" s="82">
        <f>IF(RAND()&lt;0.5,nUsefulLifeDrawBase-(nUsefulLifeDrawBase-nUsefulLifeDrawMin)*BETA.INV(RAND(),1.15,1.15),nUsefulLifeDrawBase+(nUsefulLifeDrawMax-nUsefulLifeDrawBase)*BETA.INV(RAND(),1.15,1.15))</f>
        <v/>
      </c>
      <c r="O215" s="45">
        <f>((nInference*nGpuIdx+nAmort)*nUtilCal/D215)*(nUsefulLifeDrawBase/N215-1)</f>
        <v/>
      </c>
      <c r="P215" s="1" t="n"/>
      <c r="Q215" s="1" t="n"/>
      <c r="R215" s="1" t="n"/>
      <c r="S215" s="1" t="n"/>
      <c r="T215" s="1" t="n"/>
      <c r="U215" s="1" t="n"/>
    </row>
    <row r="216" ht="12" customHeight="1">
      <c r="A216" s="1" t="n"/>
      <c r="B216" s="38" t="n">
        <v>196</v>
      </c>
      <c r="C216" s="114">
        <f>Assumptions!$F$8+RAND()*(Assumptions!$D$8-Assumptions!$F$8)</f>
        <v/>
      </c>
      <c r="D216" s="114">
        <f>Assumptions!$D$9+RAND()*(Assumptions!$F$9-Assumptions!$D$9)</f>
        <v/>
      </c>
      <c r="E216" s="71">
        <f>Assumptions!$F$11+RAND()*(Assumptions!$D$11-Assumptions!$F$11)</f>
        <v/>
      </c>
      <c r="F216" s="45">
        <f>nListPrice*(1-C216)-(nInference*nGpuIdx+nAmort)*nUtilCal/D216-nNetworking-nOverheadBase*(E216/nPowerCal)-nCodBase*(1+I216/12)-O216</f>
        <v/>
      </c>
      <c r="G216" s="66">
        <f>MAX(F216,0)/nDebtService</f>
        <v/>
      </c>
      <c r="H216" s="71">
        <f>Anthropic!$J$18*Anthropic!$J$27+Anthropic!$J$19*Anthropic!$J$28+Anthropic!$J$20*Anthropic!$J$29+Anthropic!$J$21*E216*(1+nPowerCagr)^4*(1+nResidualBasisMarkup+nScarcityAlpha*POWER(Anthropic!$J$21,nScarcityGamma))</f>
        <v/>
      </c>
      <c r="I216" s="113">
        <f>Assumptions!$F$10+RAND()*(Assumptions!$D$10-Assumptions!$F$10)</f>
        <v/>
      </c>
      <c r="J216" s="113">
        <f>RAND()*nCodSlipMaxMo</f>
        <v/>
      </c>
      <c r="K216" s="114">
        <f>nAvailDrawMin+RAND()*(nAvailDrawMax-nAvailDrawMin)</f>
        <v/>
      </c>
      <c r="L216" s="45">
        <f>IF(2034&lt;sNsmrCodU1+J216/12,0,(nNsmrCap+nNsmrOpx*(1+sNsmrOpxEsc)^8+nNsmrFuel*FuelEsc*(1+nFuelCagr)^8-nNsmrItc)*IF(2034&lt;sNsmrCodU1+J216/12+nStepFirst,1,IF(nStepGated="Yes",(1+nStepPct)^(INT((2034-sNsmrCodU1-J216/12-nStepFirst)/nStepEvery)+1),1))+nExclPrem*(1-nFlexRelief)-nProdCredit)</f>
        <v/>
      </c>
      <c r="M216" s="63">
        <f>MIN(nShortfallCapM,MAX(0,sNsmrAvailY2-K216)*sNsmrUnitMw*sNsmrUnits*8760*NsmrPrice2033/1000000)</f>
        <v/>
      </c>
      <c r="N216" s="82">
        <f>IF(RAND()&lt;0.5,nUsefulLifeDrawBase-(nUsefulLifeDrawBase-nUsefulLifeDrawMin)*BETA.INV(RAND(),1.15,1.15),nUsefulLifeDrawBase+(nUsefulLifeDrawMax-nUsefulLifeDrawBase)*BETA.INV(RAND(),1.15,1.15))</f>
        <v/>
      </c>
      <c r="O216" s="45">
        <f>((nInference*nGpuIdx+nAmort)*nUtilCal/D216)*(nUsefulLifeDrawBase/N216-1)</f>
        <v/>
      </c>
      <c r="P216" s="1" t="n"/>
      <c r="Q216" s="1" t="n"/>
      <c r="R216" s="1" t="n"/>
      <c r="S216" s="1" t="n"/>
      <c r="T216" s="1" t="n"/>
      <c r="U216" s="1" t="n"/>
    </row>
    <row r="217" ht="12" customHeight="1">
      <c r="A217" s="1" t="n"/>
      <c r="B217" s="38" t="n">
        <v>197</v>
      </c>
      <c r="C217" s="114">
        <f>Assumptions!$F$8+RAND()*(Assumptions!$D$8-Assumptions!$F$8)</f>
        <v/>
      </c>
      <c r="D217" s="114">
        <f>Assumptions!$D$9+RAND()*(Assumptions!$F$9-Assumptions!$D$9)</f>
        <v/>
      </c>
      <c r="E217" s="71">
        <f>Assumptions!$F$11+RAND()*(Assumptions!$D$11-Assumptions!$F$11)</f>
        <v/>
      </c>
      <c r="F217" s="45">
        <f>nListPrice*(1-C217)-(nInference*nGpuIdx+nAmort)*nUtilCal/D217-nNetworking-nOverheadBase*(E217/nPowerCal)-nCodBase*(1+I217/12)-O217</f>
        <v/>
      </c>
      <c r="G217" s="66">
        <f>MAX(F217,0)/nDebtService</f>
        <v/>
      </c>
      <c r="H217" s="71">
        <f>Anthropic!$J$18*Anthropic!$J$27+Anthropic!$J$19*Anthropic!$J$28+Anthropic!$J$20*Anthropic!$J$29+Anthropic!$J$21*E217*(1+nPowerCagr)^4*(1+nResidualBasisMarkup+nScarcityAlpha*POWER(Anthropic!$J$21,nScarcityGamma))</f>
        <v/>
      </c>
      <c r="I217" s="113">
        <f>Assumptions!$F$10+RAND()*(Assumptions!$D$10-Assumptions!$F$10)</f>
        <v/>
      </c>
      <c r="J217" s="113">
        <f>RAND()*nCodSlipMaxMo</f>
        <v/>
      </c>
      <c r="K217" s="114">
        <f>nAvailDrawMin+RAND()*(nAvailDrawMax-nAvailDrawMin)</f>
        <v/>
      </c>
      <c r="L217" s="45">
        <f>IF(2034&lt;sNsmrCodU1+J217/12,0,(nNsmrCap+nNsmrOpx*(1+sNsmrOpxEsc)^8+nNsmrFuel*FuelEsc*(1+nFuelCagr)^8-nNsmrItc)*IF(2034&lt;sNsmrCodU1+J217/12+nStepFirst,1,IF(nStepGated="Yes",(1+nStepPct)^(INT((2034-sNsmrCodU1-J217/12-nStepFirst)/nStepEvery)+1),1))+nExclPrem*(1-nFlexRelief)-nProdCredit)</f>
        <v/>
      </c>
      <c r="M217" s="63">
        <f>MIN(nShortfallCapM,MAX(0,sNsmrAvailY2-K217)*sNsmrUnitMw*sNsmrUnits*8760*NsmrPrice2033/1000000)</f>
        <v/>
      </c>
      <c r="N217" s="82">
        <f>IF(RAND()&lt;0.5,nUsefulLifeDrawBase-(nUsefulLifeDrawBase-nUsefulLifeDrawMin)*BETA.INV(RAND(),1.15,1.15),nUsefulLifeDrawBase+(nUsefulLifeDrawMax-nUsefulLifeDrawBase)*BETA.INV(RAND(),1.15,1.15))</f>
        <v/>
      </c>
      <c r="O217" s="45">
        <f>((nInference*nGpuIdx+nAmort)*nUtilCal/D217)*(nUsefulLifeDrawBase/N217-1)</f>
        <v/>
      </c>
      <c r="P217" s="1" t="n"/>
      <c r="Q217" s="1" t="n"/>
      <c r="R217" s="1" t="n"/>
      <c r="S217" s="1" t="n"/>
      <c r="T217" s="1" t="n"/>
      <c r="U217" s="1" t="n"/>
    </row>
    <row r="218" ht="12" customHeight="1">
      <c r="A218" s="1" t="n"/>
      <c r="B218" s="38" t="n">
        <v>198</v>
      </c>
      <c r="C218" s="114">
        <f>Assumptions!$F$8+RAND()*(Assumptions!$D$8-Assumptions!$F$8)</f>
        <v/>
      </c>
      <c r="D218" s="114">
        <f>Assumptions!$D$9+RAND()*(Assumptions!$F$9-Assumptions!$D$9)</f>
        <v/>
      </c>
      <c r="E218" s="71">
        <f>Assumptions!$F$11+RAND()*(Assumptions!$D$11-Assumptions!$F$11)</f>
        <v/>
      </c>
      <c r="F218" s="45">
        <f>nListPrice*(1-C218)-(nInference*nGpuIdx+nAmort)*nUtilCal/D218-nNetworking-nOverheadBase*(E218/nPowerCal)-nCodBase*(1+I218/12)-O218</f>
        <v/>
      </c>
      <c r="G218" s="66">
        <f>MAX(F218,0)/nDebtService</f>
        <v/>
      </c>
      <c r="H218" s="71">
        <f>Anthropic!$J$18*Anthropic!$J$27+Anthropic!$J$19*Anthropic!$J$28+Anthropic!$J$20*Anthropic!$J$29+Anthropic!$J$21*E218*(1+nPowerCagr)^4*(1+nResidualBasisMarkup+nScarcityAlpha*POWER(Anthropic!$J$21,nScarcityGamma))</f>
        <v/>
      </c>
      <c r="I218" s="113">
        <f>Assumptions!$F$10+RAND()*(Assumptions!$D$10-Assumptions!$F$10)</f>
        <v/>
      </c>
      <c r="J218" s="113">
        <f>RAND()*nCodSlipMaxMo</f>
        <v/>
      </c>
      <c r="K218" s="114">
        <f>nAvailDrawMin+RAND()*(nAvailDrawMax-nAvailDrawMin)</f>
        <v/>
      </c>
      <c r="L218" s="45">
        <f>IF(2034&lt;sNsmrCodU1+J218/12,0,(nNsmrCap+nNsmrOpx*(1+sNsmrOpxEsc)^8+nNsmrFuel*FuelEsc*(1+nFuelCagr)^8-nNsmrItc)*IF(2034&lt;sNsmrCodU1+J218/12+nStepFirst,1,IF(nStepGated="Yes",(1+nStepPct)^(INT((2034-sNsmrCodU1-J218/12-nStepFirst)/nStepEvery)+1),1))+nExclPrem*(1-nFlexRelief)-nProdCredit)</f>
        <v/>
      </c>
      <c r="M218" s="63">
        <f>MIN(nShortfallCapM,MAX(0,sNsmrAvailY2-K218)*sNsmrUnitMw*sNsmrUnits*8760*NsmrPrice2033/1000000)</f>
        <v/>
      </c>
      <c r="N218" s="82">
        <f>IF(RAND()&lt;0.5,nUsefulLifeDrawBase-(nUsefulLifeDrawBase-nUsefulLifeDrawMin)*BETA.INV(RAND(),1.15,1.15),nUsefulLifeDrawBase+(nUsefulLifeDrawMax-nUsefulLifeDrawBase)*BETA.INV(RAND(),1.15,1.15))</f>
        <v/>
      </c>
      <c r="O218" s="45">
        <f>((nInference*nGpuIdx+nAmort)*nUtilCal/D218)*(nUsefulLifeDrawBase/N218-1)</f>
        <v/>
      </c>
      <c r="P218" s="1" t="n"/>
      <c r="Q218" s="1" t="n"/>
      <c r="R218" s="1" t="n"/>
      <c r="S218" s="1" t="n"/>
      <c r="T218" s="1" t="n"/>
      <c r="U218" s="1" t="n"/>
    </row>
    <row r="219" ht="12" customHeight="1">
      <c r="A219" s="1" t="n"/>
      <c r="B219" s="38" t="n">
        <v>199</v>
      </c>
      <c r="C219" s="114">
        <f>Assumptions!$F$8+RAND()*(Assumptions!$D$8-Assumptions!$F$8)</f>
        <v/>
      </c>
      <c r="D219" s="114">
        <f>Assumptions!$D$9+RAND()*(Assumptions!$F$9-Assumptions!$D$9)</f>
        <v/>
      </c>
      <c r="E219" s="71">
        <f>Assumptions!$F$11+RAND()*(Assumptions!$D$11-Assumptions!$F$11)</f>
        <v/>
      </c>
      <c r="F219" s="45">
        <f>nListPrice*(1-C219)-(nInference*nGpuIdx+nAmort)*nUtilCal/D219-nNetworking-nOverheadBase*(E219/nPowerCal)-nCodBase*(1+I219/12)-O219</f>
        <v/>
      </c>
      <c r="G219" s="66">
        <f>MAX(F219,0)/nDebtService</f>
        <v/>
      </c>
      <c r="H219" s="71">
        <f>Anthropic!$J$18*Anthropic!$J$27+Anthropic!$J$19*Anthropic!$J$28+Anthropic!$J$20*Anthropic!$J$29+Anthropic!$J$21*E219*(1+nPowerCagr)^4*(1+nResidualBasisMarkup+nScarcityAlpha*POWER(Anthropic!$J$21,nScarcityGamma))</f>
        <v/>
      </c>
      <c r="I219" s="113">
        <f>Assumptions!$F$10+RAND()*(Assumptions!$D$10-Assumptions!$F$10)</f>
        <v/>
      </c>
      <c r="J219" s="113">
        <f>RAND()*nCodSlipMaxMo</f>
        <v/>
      </c>
      <c r="K219" s="114">
        <f>nAvailDrawMin+RAND()*(nAvailDrawMax-nAvailDrawMin)</f>
        <v/>
      </c>
      <c r="L219" s="45">
        <f>IF(2034&lt;sNsmrCodU1+J219/12,0,(nNsmrCap+nNsmrOpx*(1+sNsmrOpxEsc)^8+nNsmrFuel*FuelEsc*(1+nFuelCagr)^8-nNsmrItc)*IF(2034&lt;sNsmrCodU1+J219/12+nStepFirst,1,IF(nStepGated="Yes",(1+nStepPct)^(INT((2034-sNsmrCodU1-J219/12-nStepFirst)/nStepEvery)+1),1))+nExclPrem*(1-nFlexRelief)-nProdCredit)</f>
        <v/>
      </c>
      <c r="M219" s="63">
        <f>MIN(nShortfallCapM,MAX(0,sNsmrAvailY2-K219)*sNsmrUnitMw*sNsmrUnits*8760*NsmrPrice2033/1000000)</f>
        <v/>
      </c>
      <c r="N219" s="82">
        <f>IF(RAND()&lt;0.5,nUsefulLifeDrawBase-(nUsefulLifeDrawBase-nUsefulLifeDrawMin)*BETA.INV(RAND(),1.15,1.15),nUsefulLifeDrawBase+(nUsefulLifeDrawMax-nUsefulLifeDrawBase)*BETA.INV(RAND(),1.15,1.15))</f>
        <v/>
      </c>
      <c r="O219" s="45">
        <f>((nInference*nGpuIdx+nAmort)*nUtilCal/D219)*(nUsefulLifeDrawBase/N219-1)</f>
        <v/>
      </c>
      <c r="P219" s="1" t="n"/>
      <c r="Q219" s="1" t="n"/>
      <c r="R219" s="1" t="n"/>
      <c r="S219" s="1" t="n"/>
      <c r="T219" s="1" t="n"/>
      <c r="U219" s="1" t="n"/>
    </row>
    <row r="220" ht="12" customHeight="1">
      <c r="A220" s="1" t="n"/>
      <c r="B220" s="38" t="n">
        <v>200</v>
      </c>
      <c r="C220" s="114">
        <f>Assumptions!$F$8+RAND()*(Assumptions!$D$8-Assumptions!$F$8)</f>
        <v/>
      </c>
      <c r="D220" s="114">
        <f>Assumptions!$D$9+RAND()*(Assumptions!$F$9-Assumptions!$D$9)</f>
        <v/>
      </c>
      <c r="E220" s="71">
        <f>Assumptions!$F$11+RAND()*(Assumptions!$D$11-Assumptions!$F$11)</f>
        <v/>
      </c>
      <c r="F220" s="45">
        <f>nListPrice*(1-C220)-(nInference*nGpuIdx+nAmort)*nUtilCal/D220-nNetworking-nOverheadBase*(E220/nPowerCal)-nCodBase*(1+I220/12)-O220</f>
        <v/>
      </c>
      <c r="G220" s="66">
        <f>MAX(F220,0)/nDebtService</f>
        <v/>
      </c>
      <c r="H220" s="71">
        <f>Anthropic!$J$18*Anthropic!$J$27+Anthropic!$J$19*Anthropic!$J$28+Anthropic!$J$20*Anthropic!$J$29+Anthropic!$J$21*E220*(1+nPowerCagr)^4*(1+nResidualBasisMarkup+nScarcityAlpha*POWER(Anthropic!$J$21,nScarcityGamma))</f>
        <v/>
      </c>
      <c r="I220" s="113">
        <f>Assumptions!$F$10+RAND()*(Assumptions!$D$10-Assumptions!$F$10)</f>
        <v/>
      </c>
      <c r="J220" s="113">
        <f>RAND()*nCodSlipMaxMo</f>
        <v/>
      </c>
      <c r="K220" s="114">
        <f>nAvailDrawMin+RAND()*(nAvailDrawMax-nAvailDrawMin)</f>
        <v/>
      </c>
      <c r="L220" s="45">
        <f>IF(2034&lt;sNsmrCodU1+J220/12,0,(nNsmrCap+nNsmrOpx*(1+sNsmrOpxEsc)^8+nNsmrFuel*FuelEsc*(1+nFuelCagr)^8-nNsmrItc)*IF(2034&lt;sNsmrCodU1+J220/12+nStepFirst,1,IF(nStepGated="Yes",(1+nStepPct)^(INT((2034-sNsmrCodU1-J220/12-nStepFirst)/nStepEvery)+1),1))+nExclPrem*(1-nFlexRelief)-nProdCredit)</f>
        <v/>
      </c>
      <c r="M220" s="63">
        <f>MIN(nShortfallCapM,MAX(0,sNsmrAvailY2-K220)*sNsmrUnitMw*sNsmrUnits*8760*NsmrPrice2033/1000000)</f>
        <v/>
      </c>
      <c r="N220" s="82">
        <f>IF(RAND()&lt;0.5,nUsefulLifeDrawBase-(nUsefulLifeDrawBase-nUsefulLifeDrawMin)*BETA.INV(RAND(),1.15,1.15),nUsefulLifeDrawBase+(nUsefulLifeDrawMax-nUsefulLifeDrawBase)*BETA.INV(RAND(),1.15,1.15))</f>
        <v/>
      </c>
      <c r="O220" s="45">
        <f>((nInference*nGpuIdx+nAmort)*nUtilCal/D220)*(nUsefulLifeDrawBase/N220-1)</f>
        <v/>
      </c>
      <c r="P220" s="1" t="n"/>
      <c r="Q220" s="1" t="n"/>
      <c r="R220" s="1" t="n"/>
      <c r="S220" s="1" t="n"/>
      <c r="T220" s="1" t="n"/>
      <c r="U220" s="1" t="n"/>
    </row>
    <row r="221" ht="12" customHeight="1">
      <c r="A221" s="1" t="n"/>
      <c r="B221" s="38" t="n">
        <v>201</v>
      </c>
      <c r="C221" s="114">
        <f>Assumptions!$F$8+RAND()*(Assumptions!$D$8-Assumptions!$F$8)</f>
        <v/>
      </c>
      <c r="D221" s="114">
        <f>Assumptions!$D$9+RAND()*(Assumptions!$F$9-Assumptions!$D$9)</f>
        <v/>
      </c>
      <c r="E221" s="71">
        <f>Assumptions!$F$11+RAND()*(Assumptions!$D$11-Assumptions!$F$11)</f>
        <v/>
      </c>
      <c r="F221" s="45">
        <f>nListPrice*(1-C221)-(nInference*nGpuIdx+nAmort)*nUtilCal/D221-nNetworking-nOverheadBase*(E221/nPowerCal)-nCodBase*(1+I221/12)-O221</f>
        <v/>
      </c>
      <c r="G221" s="66">
        <f>MAX(F221,0)/nDebtService</f>
        <v/>
      </c>
      <c r="H221" s="71">
        <f>Anthropic!$J$18*Anthropic!$J$27+Anthropic!$J$19*Anthropic!$J$28+Anthropic!$J$20*Anthropic!$J$29+Anthropic!$J$21*E221*(1+nPowerCagr)^4*(1+nResidualBasisMarkup+nScarcityAlpha*POWER(Anthropic!$J$21,nScarcityGamma))</f>
        <v/>
      </c>
      <c r="I221" s="113">
        <f>Assumptions!$F$10+RAND()*(Assumptions!$D$10-Assumptions!$F$10)</f>
        <v/>
      </c>
      <c r="J221" s="113">
        <f>RAND()*nCodSlipMaxMo</f>
        <v/>
      </c>
      <c r="K221" s="114">
        <f>nAvailDrawMin+RAND()*(nAvailDrawMax-nAvailDrawMin)</f>
        <v/>
      </c>
      <c r="L221" s="45">
        <f>IF(2034&lt;sNsmrCodU1+J221/12,0,(nNsmrCap+nNsmrOpx*(1+sNsmrOpxEsc)^8+nNsmrFuel*FuelEsc*(1+nFuelCagr)^8-nNsmrItc)*IF(2034&lt;sNsmrCodU1+J221/12+nStepFirst,1,IF(nStepGated="Yes",(1+nStepPct)^(INT((2034-sNsmrCodU1-J221/12-nStepFirst)/nStepEvery)+1),1))+nExclPrem*(1-nFlexRelief)-nProdCredit)</f>
        <v/>
      </c>
      <c r="M221" s="63">
        <f>MIN(nShortfallCapM,MAX(0,sNsmrAvailY2-K221)*sNsmrUnitMw*sNsmrUnits*8760*NsmrPrice2033/1000000)</f>
        <v/>
      </c>
      <c r="N221" s="82">
        <f>IF(RAND()&lt;0.5,nUsefulLifeDrawBase-(nUsefulLifeDrawBase-nUsefulLifeDrawMin)*BETA.INV(RAND(),1.15,1.15),nUsefulLifeDrawBase+(nUsefulLifeDrawMax-nUsefulLifeDrawBase)*BETA.INV(RAND(),1.15,1.15))</f>
        <v/>
      </c>
      <c r="O221" s="45">
        <f>((nInference*nGpuIdx+nAmort)*nUtilCal/D221)*(nUsefulLifeDrawBase/N221-1)</f>
        <v/>
      </c>
      <c r="P221" s="1" t="n"/>
      <c r="Q221" s="1" t="n"/>
      <c r="R221" s="1" t="n"/>
      <c r="S221" s="1" t="n"/>
      <c r="T221" s="1" t="n"/>
      <c r="U221" s="1" t="n"/>
    </row>
    <row r="222" ht="12" customHeight="1">
      <c r="A222" s="1" t="n"/>
      <c r="B222" s="38" t="n">
        <v>202</v>
      </c>
      <c r="C222" s="114">
        <f>Assumptions!$F$8+RAND()*(Assumptions!$D$8-Assumptions!$F$8)</f>
        <v/>
      </c>
      <c r="D222" s="114">
        <f>Assumptions!$D$9+RAND()*(Assumptions!$F$9-Assumptions!$D$9)</f>
        <v/>
      </c>
      <c r="E222" s="71">
        <f>Assumptions!$F$11+RAND()*(Assumptions!$D$11-Assumptions!$F$11)</f>
        <v/>
      </c>
      <c r="F222" s="45">
        <f>nListPrice*(1-C222)-(nInference*nGpuIdx+nAmort)*nUtilCal/D222-nNetworking-nOverheadBase*(E222/nPowerCal)-nCodBase*(1+I222/12)-O222</f>
        <v/>
      </c>
      <c r="G222" s="66">
        <f>MAX(F222,0)/nDebtService</f>
        <v/>
      </c>
      <c r="H222" s="71">
        <f>Anthropic!$J$18*Anthropic!$J$27+Anthropic!$J$19*Anthropic!$J$28+Anthropic!$J$20*Anthropic!$J$29+Anthropic!$J$21*E222*(1+nPowerCagr)^4*(1+nResidualBasisMarkup+nScarcityAlpha*POWER(Anthropic!$J$21,nScarcityGamma))</f>
        <v/>
      </c>
      <c r="I222" s="113">
        <f>Assumptions!$F$10+RAND()*(Assumptions!$D$10-Assumptions!$F$10)</f>
        <v/>
      </c>
      <c r="J222" s="113">
        <f>RAND()*nCodSlipMaxMo</f>
        <v/>
      </c>
      <c r="K222" s="114">
        <f>nAvailDrawMin+RAND()*(nAvailDrawMax-nAvailDrawMin)</f>
        <v/>
      </c>
      <c r="L222" s="45">
        <f>IF(2034&lt;sNsmrCodU1+J222/12,0,(nNsmrCap+nNsmrOpx*(1+sNsmrOpxEsc)^8+nNsmrFuel*FuelEsc*(1+nFuelCagr)^8-nNsmrItc)*IF(2034&lt;sNsmrCodU1+J222/12+nStepFirst,1,IF(nStepGated="Yes",(1+nStepPct)^(INT((2034-sNsmrCodU1-J222/12-nStepFirst)/nStepEvery)+1),1))+nExclPrem*(1-nFlexRelief)-nProdCredit)</f>
        <v/>
      </c>
      <c r="M222" s="63">
        <f>MIN(nShortfallCapM,MAX(0,sNsmrAvailY2-K222)*sNsmrUnitMw*sNsmrUnits*8760*NsmrPrice2033/1000000)</f>
        <v/>
      </c>
      <c r="N222" s="82">
        <f>IF(RAND()&lt;0.5,nUsefulLifeDrawBase-(nUsefulLifeDrawBase-nUsefulLifeDrawMin)*BETA.INV(RAND(),1.15,1.15),nUsefulLifeDrawBase+(nUsefulLifeDrawMax-nUsefulLifeDrawBase)*BETA.INV(RAND(),1.15,1.15))</f>
        <v/>
      </c>
      <c r="O222" s="45">
        <f>((nInference*nGpuIdx+nAmort)*nUtilCal/D222)*(nUsefulLifeDrawBase/N222-1)</f>
        <v/>
      </c>
      <c r="P222" s="1" t="n"/>
      <c r="Q222" s="1" t="n"/>
      <c r="R222" s="1" t="n"/>
      <c r="S222" s="1" t="n"/>
      <c r="T222" s="1" t="n"/>
      <c r="U222" s="1" t="n"/>
    </row>
    <row r="223" ht="12" customHeight="1">
      <c r="A223" s="1" t="n"/>
      <c r="B223" s="38" t="n">
        <v>203</v>
      </c>
      <c r="C223" s="114">
        <f>Assumptions!$F$8+RAND()*(Assumptions!$D$8-Assumptions!$F$8)</f>
        <v/>
      </c>
      <c r="D223" s="114">
        <f>Assumptions!$D$9+RAND()*(Assumptions!$F$9-Assumptions!$D$9)</f>
        <v/>
      </c>
      <c r="E223" s="71">
        <f>Assumptions!$F$11+RAND()*(Assumptions!$D$11-Assumptions!$F$11)</f>
        <v/>
      </c>
      <c r="F223" s="45">
        <f>nListPrice*(1-C223)-(nInference*nGpuIdx+nAmort)*nUtilCal/D223-nNetworking-nOverheadBase*(E223/nPowerCal)-nCodBase*(1+I223/12)-O223</f>
        <v/>
      </c>
      <c r="G223" s="66">
        <f>MAX(F223,0)/nDebtService</f>
        <v/>
      </c>
      <c r="H223" s="71">
        <f>Anthropic!$J$18*Anthropic!$J$27+Anthropic!$J$19*Anthropic!$J$28+Anthropic!$J$20*Anthropic!$J$29+Anthropic!$J$21*E223*(1+nPowerCagr)^4*(1+nResidualBasisMarkup+nScarcityAlpha*POWER(Anthropic!$J$21,nScarcityGamma))</f>
        <v/>
      </c>
      <c r="I223" s="113">
        <f>Assumptions!$F$10+RAND()*(Assumptions!$D$10-Assumptions!$F$10)</f>
        <v/>
      </c>
      <c r="J223" s="113">
        <f>RAND()*nCodSlipMaxMo</f>
        <v/>
      </c>
      <c r="K223" s="114">
        <f>nAvailDrawMin+RAND()*(nAvailDrawMax-nAvailDrawMin)</f>
        <v/>
      </c>
      <c r="L223" s="45">
        <f>IF(2034&lt;sNsmrCodU1+J223/12,0,(nNsmrCap+nNsmrOpx*(1+sNsmrOpxEsc)^8+nNsmrFuel*FuelEsc*(1+nFuelCagr)^8-nNsmrItc)*IF(2034&lt;sNsmrCodU1+J223/12+nStepFirst,1,IF(nStepGated="Yes",(1+nStepPct)^(INT((2034-sNsmrCodU1-J223/12-nStepFirst)/nStepEvery)+1),1))+nExclPrem*(1-nFlexRelief)-nProdCredit)</f>
        <v/>
      </c>
      <c r="M223" s="63">
        <f>MIN(nShortfallCapM,MAX(0,sNsmrAvailY2-K223)*sNsmrUnitMw*sNsmrUnits*8760*NsmrPrice2033/1000000)</f>
        <v/>
      </c>
      <c r="N223" s="82">
        <f>IF(RAND()&lt;0.5,nUsefulLifeDrawBase-(nUsefulLifeDrawBase-nUsefulLifeDrawMin)*BETA.INV(RAND(),1.15,1.15),nUsefulLifeDrawBase+(nUsefulLifeDrawMax-nUsefulLifeDrawBase)*BETA.INV(RAND(),1.15,1.15))</f>
        <v/>
      </c>
      <c r="O223" s="45">
        <f>((nInference*nGpuIdx+nAmort)*nUtilCal/D223)*(nUsefulLifeDrawBase/N223-1)</f>
        <v/>
      </c>
      <c r="P223" s="1" t="n"/>
      <c r="Q223" s="1" t="n"/>
      <c r="R223" s="1" t="n"/>
      <c r="S223" s="1" t="n"/>
      <c r="T223" s="1" t="n"/>
      <c r="U223" s="1" t="n"/>
    </row>
    <row r="224" ht="12" customHeight="1">
      <c r="A224" s="1" t="n"/>
      <c r="B224" s="38" t="n">
        <v>204</v>
      </c>
      <c r="C224" s="114">
        <f>Assumptions!$F$8+RAND()*(Assumptions!$D$8-Assumptions!$F$8)</f>
        <v/>
      </c>
      <c r="D224" s="114">
        <f>Assumptions!$D$9+RAND()*(Assumptions!$F$9-Assumptions!$D$9)</f>
        <v/>
      </c>
      <c r="E224" s="71">
        <f>Assumptions!$F$11+RAND()*(Assumptions!$D$11-Assumptions!$F$11)</f>
        <v/>
      </c>
      <c r="F224" s="45">
        <f>nListPrice*(1-C224)-(nInference*nGpuIdx+nAmort)*nUtilCal/D224-nNetworking-nOverheadBase*(E224/nPowerCal)-nCodBase*(1+I224/12)-O224</f>
        <v/>
      </c>
      <c r="G224" s="66">
        <f>MAX(F224,0)/nDebtService</f>
        <v/>
      </c>
      <c r="H224" s="71">
        <f>Anthropic!$J$18*Anthropic!$J$27+Anthropic!$J$19*Anthropic!$J$28+Anthropic!$J$20*Anthropic!$J$29+Anthropic!$J$21*E224*(1+nPowerCagr)^4*(1+nResidualBasisMarkup+nScarcityAlpha*POWER(Anthropic!$J$21,nScarcityGamma))</f>
        <v/>
      </c>
      <c r="I224" s="113">
        <f>Assumptions!$F$10+RAND()*(Assumptions!$D$10-Assumptions!$F$10)</f>
        <v/>
      </c>
      <c r="J224" s="113">
        <f>RAND()*nCodSlipMaxMo</f>
        <v/>
      </c>
      <c r="K224" s="114">
        <f>nAvailDrawMin+RAND()*(nAvailDrawMax-nAvailDrawMin)</f>
        <v/>
      </c>
      <c r="L224" s="45">
        <f>IF(2034&lt;sNsmrCodU1+J224/12,0,(nNsmrCap+nNsmrOpx*(1+sNsmrOpxEsc)^8+nNsmrFuel*FuelEsc*(1+nFuelCagr)^8-nNsmrItc)*IF(2034&lt;sNsmrCodU1+J224/12+nStepFirst,1,IF(nStepGated="Yes",(1+nStepPct)^(INT((2034-sNsmrCodU1-J224/12-nStepFirst)/nStepEvery)+1),1))+nExclPrem*(1-nFlexRelief)-nProdCredit)</f>
        <v/>
      </c>
      <c r="M224" s="63">
        <f>MIN(nShortfallCapM,MAX(0,sNsmrAvailY2-K224)*sNsmrUnitMw*sNsmrUnits*8760*NsmrPrice2033/1000000)</f>
        <v/>
      </c>
      <c r="N224" s="82">
        <f>IF(RAND()&lt;0.5,nUsefulLifeDrawBase-(nUsefulLifeDrawBase-nUsefulLifeDrawMin)*BETA.INV(RAND(),1.15,1.15),nUsefulLifeDrawBase+(nUsefulLifeDrawMax-nUsefulLifeDrawBase)*BETA.INV(RAND(),1.15,1.15))</f>
        <v/>
      </c>
      <c r="O224" s="45">
        <f>((nInference*nGpuIdx+nAmort)*nUtilCal/D224)*(nUsefulLifeDrawBase/N224-1)</f>
        <v/>
      </c>
      <c r="P224" s="1" t="n"/>
      <c r="Q224" s="1" t="n"/>
      <c r="R224" s="1" t="n"/>
      <c r="S224" s="1" t="n"/>
      <c r="T224" s="1" t="n"/>
      <c r="U224" s="1" t="n"/>
    </row>
    <row r="225" ht="12" customHeight="1">
      <c r="A225" s="1" t="n"/>
      <c r="B225" s="38" t="n">
        <v>205</v>
      </c>
      <c r="C225" s="114">
        <f>Assumptions!$F$8+RAND()*(Assumptions!$D$8-Assumptions!$F$8)</f>
        <v/>
      </c>
      <c r="D225" s="114">
        <f>Assumptions!$D$9+RAND()*(Assumptions!$F$9-Assumptions!$D$9)</f>
        <v/>
      </c>
      <c r="E225" s="71">
        <f>Assumptions!$F$11+RAND()*(Assumptions!$D$11-Assumptions!$F$11)</f>
        <v/>
      </c>
      <c r="F225" s="45">
        <f>nListPrice*(1-C225)-(nInference*nGpuIdx+nAmort)*nUtilCal/D225-nNetworking-nOverheadBase*(E225/nPowerCal)-nCodBase*(1+I225/12)-O225</f>
        <v/>
      </c>
      <c r="G225" s="66">
        <f>MAX(F225,0)/nDebtService</f>
        <v/>
      </c>
      <c r="H225" s="71">
        <f>Anthropic!$J$18*Anthropic!$J$27+Anthropic!$J$19*Anthropic!$J$28+Anthropic!$J$20*Anthropic!$J$29+Anthropic!$J$21*E225*(1+nPowerCagr)^4*(1+nResidualBasisMarkup+nScarcityAlpha*POWER(Anthropic!$J$21,nScarcityGamma))</f>
        <v/>
      </c>
      <c r="I225" s="113">
        <f>Assumptions!$F$10+RAND()*(Assumptions!$D$10-Assumptions!$F$10)</f>
        <v/>
      </c>
      <c r="J225" s="113">
        <f>RAND()*nCodSlipMaxMo</f>
        <v/>
      </c>
      <c r="K225" s="114">
        <f>nAvailDrawMin+RAND()*(nAvailDrawMax-nAvailDrawMin)</f>
        <v/>
      </c>
      <c r="L225" s="45">
        <f>IF(2034&lt;sNsmrCodU1+J225/12,0,(nNsmrCap+nNsmrOpx*(1+sNsmrOpxEsc)^8+nNsmrFuel*FuelEsc*(1+nFuelCagr)^8-nNsmrItc)*IF(2034&lt;sNsmrCodU1+J225/12+nStepFirst,1,IF(nStepGated="Yes",(1+nStepPct)^(INT((2034-sNsmrCodU1-J225/12-nStepFirst)/nStepEvery)+1),1))+nExclPrem*(1-nFlexRelief)-nProdCredit)</f>
        <v/>
      </c>
      <c r="M225" s="63">
        <f>MIN(nShortfallCapM,MAX(0,sNsmrAvailY2-K225)*sNsmrUnitMw*sNsmrUnits*8760*NsmrPrice2033/1000000)</f>
        <v/>
      </c>
      <c r="N225" s="82">
        <f>IF(RAND()&lt;0.5,nUsefulLifeDrawBase-(nUsefulLifeDrawBase-nUsefulLifeDrawMin)*BETA.INV(RAND(),1.15,1.15),nUsefulLifeDrawBase+(nUsefulLifeDrawMax-nUsefulLifeDrawBase)*BETA.INV(RAND(),1.15,1.15))</f>
        <v/>
      </c>
      <c r="O225" s="45">
        <f>((nInference*nGpuIdx+nAmort)*nUtilCal/D225)*(nUsefulLifeDrawBase/N225-1)</f>
        <v/>
      </c>
      <c r="P225" s="1" t="n"/>
      <c r="Q225" s="1" t="n"/>
      <c r="R225" s="1" t="n"/>
      <c r="S225" s="1" t="n"/>
      <c r="T225" s="1" t="n"/>
      <c r="U225" s="1" t="n"/>
    </row>
    <row r="226" ht="12" customHeight="1">
      <c r="A226" s="1" t="n"/>
      <c r="B226" s="38" t="n">
        <v>206</v>
      </c>
      <c r="C226" s="114">
        <f>Assumptions!$F$8+RAND()*(Assumptions!$D$8-Assumptions!$F$8)</f>
        <v/>
      </c>
      <c r="D226" s="114">
        <f>Assumptions!$D$9+RAND()*(Assumptions!$F$9-Assumptions!$D$9)</f>
        <v/>
      </c>
      <c r="E226" s="71">
        <f>Assumptions!$F$11+RAND()*(Assumptions!$D$11-Assumptions!$F$11)</f>
        <v/>
      </c>
      <c r="F226" s="45">
        <f>nListPrice*(1-C226)-(nInference*nGpuIdx+nAmort)*nUtilCal/D226-nNetworking-nOverheadBase*(E226/nPowerCal)-nCodBase*(1+I226/12)-O226</f>
        <v/>
      </c>
      <c r="G226" s="66">
        <f>MAX(F226,0)/nDebtService</f>
        <v/>
      </c>
      <c r="H226" s="71">
        <f>Anthropic!$J$18*Anthropic!$J$27+Anthropic!$J$19*Anthropic!$J$28+Anthropic!$J$20*Anthropic!$J$29+Anthropic!$J$21*E226*(1+nPowerCagr)^4*(1+nResidualBasisMarkup+nScarcityAlpha*POWER(Anthropic!$J$21,nScarcityGamma))</f>
        <v/>
      </c>
      <c r="I226" s="113">
        <f>Assumptions!$F$10+RAND()*(Assumptions!$D$10-Assumptions!$F$10)</f>
        <v/>
      </c>
      <c r="J226" s="113">
        <f>RAND()*nCodSlipMaxMo</f>
        <v/>
      </c>
      <c r="K226" s="114">
        <f>nAvailDrawMin+RAND()*(nAvailDrawMax-nAvailDrawMin)</f>
        <v/>
      </c>
      <c r="L226" s="45">
        <f>IF(2034&lt;sNsmrCodU1+J226/12,0,(nNsmrCap+nNsmrOpx*(1+sNsmrOpxEsc)^8+nNsmrFuel*FuelEsc*(1+nFuelCagr)^8-nNsmrItc)*IF(2034&lt;sNsmrCodU1+J226/12+nStepFirst,1,IF(nStepGated="Yes",(1+nStepPct)^(INT((2034-sNsmrCodU1-J226/12-nStepFirst)/nStepEvery)+1),1))+nExclPrem*(1-nFlexRelief)-nProdCredit)</f>
        <v/>
      </c>
      <c r="M226" s="63">
        <f>MIN(nShortfallCapM,MAX(0,sNsmrAvailY2-K226)*sNsmrUnitMw*sNsmrUnits*8760*NsmrPrice2033/1000000)</f>
        <v/>
      </c>
      <c r="N226" s="82">
        <f>IF(RAND()&lt;0.5,nUsefulLifeDrawBase-(nUsefulLifeDrawBase-nUsefulLifeDrawMin)*BETA.INV(RAND(),1.15,1.15),nUsefulLifeDrawBase+(nUsefulLifeDrawMax-nUsefulLifeDrawBase)*BETA.INV(RAND(),1.15,1.15))</f>
        <v/>
      </c>
      <c r="O226" s="45">
        <f>((nInference*nGpuIdx+nAmort)*nUtilCal/D226)*(nUsefulLifeDrawBase/N226-1)</f>
        <v/>
      </c>
      <c r="P226" s="1" t="n"/>
      <c r="Q226" s="1" t="n"/>
      <c r="R226" s="1" t="n"/>
      <c r="S226" s="1" t="n"/>
      <c r="T226" s="1" t="n"/>
      <c r="U226" s="1" t="n"/>
    </row>
    <row r="227" ht="12" customHeight="1">
      <c r="A227" s="1" t="n"/>
      <c r="B227" s="38" t="n">
        <v>207</v>
      </c>
      <c r="C227" s="114">
        <f>Assumptions!$F$8+RAND()*(Assumptions!$D$8-Assumptions!$F$8)</f>
        <v/>
      </c>
      <c r="D227" s="114">
        <f>Assumptions!$D$9+RAND()*(Assumptions!$F$9-Assumptions!$D$9)</f>
        <v/>
      </c>
      <c r="E227" s="71">
        <f>Assumptions!$F$11+RAND()*(Assumptions!$D$11-Assumptions!$F$11)</f>
        <v/>
      </c>
      <c r="F227" s="45">
        <f>nListPrice*(1-C227)-(nInference*nGpuIdx+nAmort)*nUtilCal/D227-nNetworking-nOverheadBase*(E227/nPowerCal)-nCodBase*(1+I227/12)-O227</f>
        <v/>
      </c>
      <c r="G227" s="66">
        <f>MAX(F227,0)/nDebtService</f>
        <v/>
      </c>
      <c r="H227" s="71">
        <f>Anthropic!$J$18*Anthropic!$J$27+Anthropic!$J$19*Anthropic!$J$28+Anthropic!$J$20*Anthropic!$J$29+Anthropic!$J$21*E227*(1+nPowerCagr)^4*(1+nResidualBasisMarkup+nScarcityAlpha*POWER(Anthropic!$J$21,nScarcityGamma))</f>
        <v/>
      </c>
      <c r="I227" s="113">
        <f>Assumptions!$F$10+RAND()*(Assumptions!$D$10-Assumptions!$F$10)</f>
        <v/>
      </c>
      <c r="J227" s="113">
        <f>RAND()*nCodSlipMaxMo</f>
        <v/>
      </c>
      <c r="K227" s="114">
        <f>nAvailDrawMin+RAND()*(nAvailDrawMax-nAvailDrawMin)</f>
        <v/>
      </c>
      <c r="L227" s="45">
        <f>IF(2034&lt;sNsmrCodU1+J227/12,0,(nNsmrCap+nNsmrOpx*(1+sNsmrOpxEsc)^8+nNsmrFuel*FuelEsc*(1+nFuelCagr)^8-nNsmrItc)*IF(2034&lt;sNsmrCodU1+J227/12+nStepFirst,1,IF(nStepGated="Yes",(1+nStepPct)^(INT((2034-sNsmrCodU1-J227/12-nStepFirst)/nStepEvery)+1),1))+nExclPrem*(1-nFlexRelief)-nProdCredit)</f>
        <v/>
      </c>
      <c r="M227" s="63">
        <f>MIN(nShortfallCapM,MAX(0,sNsmrAvailY2-K227)*sNsmrUnitMw*sNsmrUnits*8760*NsmrPrice2033/1000000)</f>
        <v/>
      </c>
      <c r="N227" s="82">
        <f>IF(RAND()&lt;0.5,nUsefulLifeDrawBase-(nUsefulLifeDrawBase-nUsefulLifeDrawMin)*BETA.INV(RAND(),1.15,1.15),nUsefulLifeDrawBase+(nUsefulLifeDrawMax-nUsefulLifeDrawBase)*BETA.INV(RAND(),1.15,1.15))</f>
        <v/>
      </c>
      <c r="O227" s="45">
        <f>((nInference*nGpuIdx+nAmort)*nUtilCal/D227)*(nUsefulLifeDrawBase/N227-1)</f>
        <v/>
      </c>
      <c r="P227" s="1" t="n"/>
      <c r="Q227" s="1" t="n"/>
      <c r="R227" s="1" t="n"/>
      <c r="S227" s="1" t="n"/>
      <c r="T227" s="1" t="n"/>
      <c r="U227" s="1" t="n"/>
    </row>
    <row r="228" ht="12" customHeight="1">
      <c r="A228" s="1" t="n"/>
      <c r="B228" s="38" t="n">
        <v>208</v>
      </c>
      <c r="C228" s="114">
        <f>Assumptions!$F$8+RAND()*(Assumptions!$D$8-Assumptions!$F$8)</f>
        <v/>
      </c>
      <c r="D228" s="114">
        <f>Assumptions!$D$9+RAND()*(Assumptions!$F$9-Assumptions!$D$9)</f>
        <v/>
      </c>
      <c r="E228" s="71">
        <f>Assumptions!$F$11+RAND()*(Assumptions!$D$11-Assumptions!$F$11)</f>
        <v/>
      </c>
      <c r="F228" s="45">
        <f>nListPrice*(1-C228)-(nInference*nGpuIdx+nAmort)*nUtilCal/D228-nNetworking-nOverheadBase*(E228/nPowerCal)-nCodBase*(1+I228/12)-O228</f>
        <v/>
      </c>
      <c r="G228" s="66">
        <f>MAX(F228,0)/nDebtService</f>
        <v/>
      </c>
      <c r="H228" s="71">
        <f>Anthropic!$J$18*Anthropic!$J$27+Anthropic!$J$19*Anthropic!$J$28+Anthropic!$J$20*Anthropic!$J$29+Anthropic!$J$21*E228*(1+nPowerCagr)^4*(1+nResidualBasisMarkup+nScarcityAlpha*POWER(Anthropic!$J$21,nScarcityGamma))</f>
        <v/>
      </c>
      <c r="I228" s="113">
        <f>Assumptions!$F$10+RAND()*(Assumptions!$D$10-Assumptions!$F$10)</f>
        <v/>
      </c>
      <c r="J228" s="113">
        <f>RAND()*nCodSlipMaxMo</f>
        <v/>
      </c>
      <c r="K228" s="114">
        <f>nAvailDrawMin+RAND()*(nAvailDrawMax-nAvailDrawMin)</f>
        <v/>
      </c>
      <c r="L228" s="45">
        <f>IF(2034&lt;sNsmrCodU1+J228/12,0,(nNsmrCap+nNsmrOpx*(1+sNsmrOpxEsc)^8+nNsmrFuel*FuelEsc*(1+nFuelCagr)^8-nNsmrItc)*IF(2034&lt;sNsmrCodU1+J228/12+nStepFirst,1,IF(nStepGated="Yes",(1+nStepPct)^(INT((2034-sNsmrCodU1-J228/12-nStepFirst)/nStepEvery)+1),1))+nExclPrem*(1-nFlexRelief)-nProdCredit)</f>
        <v/>
      </c>
      <c r="M228" s="63">
        <f>MIN(nShortfallCapM,MAX(0,sNsmrAvailY2-K228)*sNsmrUnitMw*sNsmrUnits*8760*NsmrPrice2033/1000000)</f>
        <v/>
      </c>
      <c r="N228" s="82">
        <f>IF(RAND()&lt;0.5,nUsefulLifeDrawBase-(nUsefulLifeDrawBase-nUsefulLifeDrawMin)*BETA.INV(RAND(),1.15,1.15),nUsefulLifeDrawBase+(nUsefulLifeDrawMax-nUsefulLifeDrawBase)*BETA.INV(RAND(),1.15,1.15))</f>
        <v/>
      </c>
      <c r="O228" s="45">
        <f>((nInference*nGpuIdx+nAmort)*nUtilCal/D228)*(nUsefulLifeDrawBase/N228-1)</f>
        <v/>
      </c>
      <c r="P228" s="1" t="n"/>
      <c r="Q228" s="1" t="n"/>
      <c r="R228" s="1" t="n"/>
      <c r="S228" s="1" t="n"/>
      <c r="T228" s="1" t="n"/>
      <c r="U228" s="1" t="n"/>
    </row>
    <row r="229" ht="12" customHeight="1">
      <c r="A229" s="1" t="n"/>
      <c r="B229" s="38" t="n">
        <v>209</v>
      </c>
      <c r="C229" s="114">
        <f>Assumptions!$F$8+RAND()*(Assumptions!$D$8-Assumptions!$F$8)</f>
        <v/>
      </c>
      <c r="D229" s="114">
        <f>Assumptions!$D$9+RAND()*(Assumptions!$F$9-Assumptions!$D$9)</f>
        <v/>
      </c>
      <c r="E229" s="71">
        <f>Assumptions!$F$11+RAND()*(Assumptions!$D$11-Assumptions!$F$11)</f>
        <v/>
      </c>
      <c r="F229" s="45">
        <f>nListPrice*(1-C229)-(nInference*nGpuIdx+nAmort)*nUtilCal/D229-nNetworking-nOverheadBase*(E229/nPowerCal)-nCodBase*(1+I229/12)-O229</f>
        <v/>
      </c>
      <c r="G229" s="66">
        <f>MAX(F229,0)/nDebtService</f>
        <v/>
      </c>
      <c r="H229" s="71">
        <f>Anthropic!$J$18*Anthropic!$J$27+Anthropic!$J$19*Anthropic!$J$28+Anthropic!$J$20*Anthropic!$J$29+Anthropic!$J$21*E229*(1+nPowerCagr)^4*(1+nResidualBasisMarkup+nScarcityAlpha*POWER(Anthropic!$J$21,nScarcityGamma))</f>
        <v/>
      </c>
      <c r="I229" s="113">
        <f>Assumptions!$F$10+RAND()*(Assumptions!$D$10-Assumptions!$F$10)</f>
        <v/>
      </c>
      <c r="J229" s="113">
        <f>RAND()*nCodSlipMaxMo</f>
        <v/>
      </c>
      <c r="K229" s="114">
        <f>nAvailDrawMin+RAND()*(nAvailDrawMax-nAvailDrawMin)</f>
        <v/>
      </c>
      <c r="L229" s="45">
        <f>IF(2034&lt;sNsmrCodU1+J229/12,0,(nNsmrCap+nNsmrOpx*(1+sNsmrOpxEsc)^8+nNsmrFuel*FuelEsc*(1+nFuelCagr)^8-nNsmrItc)*IF(2034&lt;sNsmrCodU1+J229/12+nStepFirst,1,IF(nStepGated="Yes",(1+nStepPct)^(INT((2034-sNsmrCodU1-J229/12-nStepFirst)/nStepEvery)+1),1))+nExclPrem*(1-nFlexRelief)-nProdCredit)</f>
        <v/>
      </c>
      <c r="M229" s="63">
        <f>MIN(nShortfallCapM,MAX(0,sNsmrAvailY2-K229)*sNsmrUnitMw*sNsmrUnits*8760*NsmrPrice2033/1000000)</f>
        <v/>
      </c>
      <c r="N229" s="82">
        <f>IF(RAND()&lt;0.5,nUsefulLifeDrawBase-(nUsefulLifeDrawBase-nUsefulLifeDrawMin)*BETA.INV(RAND(),1.15,1.15),nUsefulLifeDrawBase+(nUsefulLifeDrawMax-nUsefulLifeDrawBase)*BETA.INV(RAND(),1.15,1.15))</f>
        <v/>
      </c>
      <c r="O229" s="45">
        <f>((nInference*nGpuIdx+nAmort)*nUtilCal/D229)*(nUsefulLifeDrawBase/N229-1)</f>
        <v/>
      </c>
      <c r="P229" s="1" t="n"/>
      <c r="Q229" s="1" t="n"/>
      <c r="R229" s="1" t="n"/>
      <c r="S229" s="1" t="n"/>
      <c r="T229" s="1" t="n"/>
      <c r="U229" s="1" t="n"/>
    </row>
    <row r="230" ht="12" customHeight="1">
      <c r="A230" s="1" t="n"/>
      <c r="B230" s="38" t="n">
        <v>210</v>
      </c>
      <c r="C230" s="114">
        <f>Assumptions!$F$8+RAND()*(Assumptions!$D$8-Assumptions!$F$8)</f>
        <v/>
      </c>
      <c r="D230" s="114">
        <f>Assumptions!$D$9+RAND()*(Assumptions!$F$9-Assumptions!$D$9)</f>
        <v/>
      </c>
      <c r="E230" s="71">
        <f>Assumptions!$F$11+RAND()*(Assumptions!$D$11-Assumptions!$F$11)</f>
        <v/>
      </c>
      <c r="F230" s="45">
        <f>nListPrice*(1-C230)-(nInference*nGpuIdx+nAmort)*nUtilCal/D230-nNetworking-nOverheadBase*(E230/nPowerCal)-nCodBase*(1+I230/12)-O230</f>
        <v/>
      </c>
      <c r="G230" s="66">
        <f>MAX(F230,0)/nDebtService</f>
        <v/>
      </c>
      <c r="H230" s="71">
        <f>Anthropic!$J$18*Anthropic!$J$27+Anthropic!$J$19*Anthropic!$J$28+Anthropic!$J$20*Anthropic!$J$29+Anthropic!$J$21*E230*(1+nPowerCagr)^4*(1+nResidualBasisMarkup+nScarcityAlpha*POWER(Anthropic!$J$21,nScarcityGamma))</f>
        <v/>
      </c>
      <c r="I230" s="113">
        <f>Assumptions!$F$10+RAND()*(Assumptions!$D$10-Assumptions!$F$10)</f>
        <v/>
      </c>
      <c r="J230" s="113">
        <f>RAND()*nCodSlipMaxMo</f>
        <v/>
      </c>
      <c r="K230" s="114">
        <f>nAvailDrawMin+RAND()*(nAvailDrawMax-nAvailDrawMin)</f>
        <v/>
      </c>
      <c r="L230" s="45">
        <f>IF(2034&lt;sNsmrCodU1+J230/12,0,(nNsmrCap+nNsmrOpx*(1+sNsmrOpxEsc)^8+nNsmrFuel*FuelEsc*(1+nFuelCagr)^8-nNsmrItc)*IF(2034&lt;sNsmrCodU1+J230/12+nStepFirst,1,IF(nStepGated="Yes",(1+nStepPct)^(INT((2034-sNsmrCodU1-J230/12-nStepFirst)/nStepEvery)+1),1))+nExclPrem*(1-nFlexRelief)-nProdCredit)</f>
        <v/>
      </c>
      <c r="M230" s="63">
        <f>MIN(nShortfallCapM,MAX(0,sNsmrAvailY2-K230)*sNsmrUnitMw*sNsmrUnits*8760*NsmrPrice2033/1000000)</f>
        <v/>
      </c>
      <c r="N230" s="82">
        <f>IF(RAND()&lt;0.5,nUsefulLifeDrawBase-(nUsefulLifeDrawBase-nUsefulLifeDrawMin)*BETA.INV(RAND(),1.15,1.15),nUsefulLifeDrawBase+(nUsefulLifeDrawMax-nUsefulLifeDrawBase)*BETA.INV(RAND(),1.15,1.15))</f>
        <v/>
      </c>
      <c r="O230" s="45">
        <f>((nInference*nGpuIdx+nAmort)*nUtilCal/D230)*(nUsefulLifeDrawBase/N230-1)</f>
        <v/>
      </c>
      <c r="P230" s="1" t="n"/>
      <c r="Q230" s="1" t="n"/>
      <c r="R230" s="1" t="n"/>
      <c r="S230" s="1" t="n"/>
      <c r="T230" s="1" t="n"/>
      <c r="U230" s="1" t="n"/>
    </row>
    <row r="231" ht="12" customHeight="1">
      <c r="A231" s="1" t="n"/>
      <c r="B231" s="38" t="n">
        <v>211</v>
      </c>
      <c r="C231" s="114">
        <f>Assumptions!$F$8+RAND()*(Assumptions!$D$8-Assumptions!$F$8)</f>
        <v/>
      </c>
      <c r="D231" s="114">
        <f>Assumptions!$D$9+RAND()*(Assumptions!$F$9-Assumptions!$D$9)</f>
        <v/>
      </c>
      <c r="E231" s="71">
        <f>Assumptions!$F$11+RAND()*(Assumptions!$D$11-Assumptions!$F$11)</f>
        <v/>
      </c>
      <c r="F231" s="45">
        <f>nListPrice*(1-C231)-(nInference*nGpuIdx+nAmort)*nUtilCal/D231-nNetworking-nOverheadBase*(E231/nPowerCal)-nCodBase*(1+I231/12)-O231</f>
        <v/>
      </c>
      <c r="G231" s="66">
        <f>MAX(F231,0)/nDebtService</f>
        <v/>
      </c>
      <c r="H231" s="71">
        <f>Anthropic!$J$18*Anthropic!$J$27+Anthropic!$J$19*Anthropic!$J$28+Anthropic!$J$20*Anthropic!$J$29+Anthropic!$J$21*E231*(1+nPowerCagr)^4*(1+nResidualBasisMarkup+nScarcityAlpha*POWER(Anthropic!$J$21,nScarcityGamma))</f>
        <v/>
      </c>
      <c r="I231" s="113">
        <f>Assumptions!$F$10+RAND()*(Assumptions!$D$10-Assumptions!$F$10)</f>
        <v/>
      </c>
      <c r="J231" s="113">
        <f>RAND()*nCodSlipMaxMo</f>
        <v/>
      </c>
      <c r="K231" s="114">
        <f>nAvailDrawMin+RAND()*(nAvailDrawMax-nAvailDrawMin)</f>
        <v/>
      </c>
      <c r="L231" s="45">
        <f>IF(2034&lt;sNsmrCodU1+J231/12,0,(nNsmrCap+nNsmrOpx*(1+sNsmrOpxEsc)^8+nNsmrFuel*FuelEsc*(1+nFuelCagr)^8-nNsmrItc)*IF(2034&lt;sNsmrCodU1+J231/12+nStepFirst,1,IF(nStepGated="Yes",(1+nStepPct)^(INT((2034-sNsmrCodU1-J231/12-nStepFirst)/nStepEvery)+1),1))+nExclPrem*(1-nFlexRelief)-nProdCredit)</f>
        <v/>
      </c>
      <c r="M231" s="63">
        <f>MIN(nShortfallCapM,MAX(0,sNsmrAvailY2-K231)*sNsmrUnitMw*sNsmrUnits*8760*NsmrPrice2033/1000000)</f>
        <v/>
      </c>
      <c r="N231" s="82">
        <f>IF(RAND()&lt;0.5,nUsefulLifeDrawBase-(nUsefulLifeDrawBase-nUsefulLifeDrawMin)*BETA.INV(RAND(),1.15,1.15),nUsefulLifeDrawBase+(nUsefulLifeDrawMax-nUsefulLifeDrawBase)*BETA.INV(RAND(),1.15,1.15))</f>
        <v/>
      </c>
      <c r="O231" s="45">
        <f>((nInference*nGpuIdx+nAmort)*nUtilCal/D231)*(nUsefulLifeDrawBase/N231-1)</f>
        <v/>
      </c>
      <c r="P231" s="1" t="n"/>
      <c r="Q231" s="1" t="n"/>
      <c r="R231" s="1" t="n"/>
      <c r="S231" s="1" t="n"/>
      <c r="T231" s="1" t="n"/>
      <c r="U231" s="1" t="n"/>
    </row>
    <row r="232" ht="12" customHeight="1">
      <c r="A232" s="1" t="n"/>
      <c r="B232" s="38" t="n">
        <v>212</v>
      </c>
      <c r="C232" s="114">
        <f>Assumptions!$F$8+RAND()*(Assumptions!$D$8-Assumptions!$F$8)</f>
        <v/>
      </c>
      <c r="D232" s="114">
        <f>Assumptions!$D$9+RAND()*(Assumptions!$F$9-Assumptions!$D$9)</f>
        <v/>
      </c>
      <c r="E232" s="71">
        <f>Assumptions!$F$11+RAND()*(Assumptions!$D$11-Assumptions!$F$11)</f>
        <v/>
      </c>
      <c r="F232" s="45">
        <f>nListPrice*(1-C232)-(nInference*nGpuIdx+nAmort)*nUtilCal/D232-nNetworking-nOverheadBase*(E232/nPowerCal)-nCodBase*(1+I232/12)-O232</f>
        <v/>
      </c>
      <c r="G232" s="66">
        <f>MAX(F232,0)/nDebtService</f>
        <v/>
      </c>
      <c r="H232" s="71">
        <f>Anthropic!$J$18*Anthropic!$J$27+Anthropic!$J$19*Anthropic!$J$28+Anthropic!$J$20*Anthropic!$J$29+Anthropic!$J$21*E232*(1+nPowerCagr)^4*(1+nResidualBasisMarkup+nScarcityAlpha*POWER(Anthropic!$J$21,nScarcityGamma))</f>
        <v/>
      </c>
      <c r="I232" s="113">
        <f>Assumptions!$F$10+RAND()*(Assumptions!$D$10-Assumptions!$F$10)</f>
        <v/>
      </c>
      <c r="J232" s="113">
        <f>RAND()*nCodSlipMaxMo</f>
        <v/>
      </c>
      <c r="K232" s="114">
        <f>nAvailDrawMin+RAND()*(nAvailDrawMax-nAvailDrawMin)</f>
        <v/>
      </c>
      <c r="L232" s="45">
        <f>IF(2034&lt;sNsmrCodU1+J232/12,0,(nNsmrCap+nNsmrOpx*(1+sNsmrOpxEsc)^8+nNsmrFuel*FuelEsc*(1+nFuelCagr)^8-nNsmrItc)*IF(2034&lt;sNsmrCodU1+J232/12+nStepFirst,1,IF(nStepGated="Yes",(1+nStepPct)^(INT((2034-sNsmrCodU1-J232/12-nStepFirst)/nStepEvery)+1),1))+nExclPrem*(1-nFlexRelief)-nProdCredit)</f>
        <v/>
      </c>
      <c r="M232" s="63">
        <f>MIN(nShortfallCapM,MAX(0,sNsmrAvailY2-K232)*sNsmrUnitMw*sNsmrUnits*8760*NsmrPrice2033/1000000)</f>
        <v/>
      </c>
      <c r="N232" s="82">
        <f>IF(RAND()&lt;0.5,nUsefulLifeDrawBase-(nUsefulLifeDrawBase-nUsefulLifeDrawMin)*BETA.INV(RAND(),1.15,1.15),nUsefulLifeDrawBase+(nUsefulLifeDrawMax-nUsefulLifeDrawBase)*BETA.INV(RAND(),1.15,1.15))</f>
        <v/>
      </c>
      <c r="O232" s="45">
        <f>((nInference*nGpuIdx+nAmort)*nUtilCal/D232)*(nUsefulLifeDrawBase/N232-1)</f>
        <v/>
      </c>
      <c r="P232" s="1" t="n"/>
      <c r="Q232" s="1" t="n"/>
      <c r="R232" s="1" t="n"/>
      <c r="S232" s="1" t="n"/>
      <c r="T232" s="1" t="n"/>
      <c r="U232" s="1" t="n"/>
    </row>
    <row r="233" ht="12" customHeight="1">
      <c r="A233" s="1" t="n"/>
      <c r="B233" s="38" t="n">
        <v>213</v>
      </c>
      <c r="C233" s="114">
        <f>Assumptions!$F$8+RAND()*(Assumptions!$D$8-Assumptions!$F$8)</f>
        <v/>
      </c>
      <c r="D233" s="114">
        <f>Assumptions!$D$9+RAND()*(Assumptions!$F$9-Assumptions!$D$9)</f>
        <v/>
      </c>
      <c r="E233" s="71">
        <f>Assumptions!$F$11+RAND()*(Assumptions!$D$11-Assumptions!$F$11)</f>
        <v/>
      </c>
      <c r="F233" s="45">
        <f>nListPrice*(1-C233)-(nInference*nGpuIdx+nAmort)*nUtilCal/D233-nNetworking-nOverheadBase*(E233/nPowerCal)-nCodBase*(1+I233/12)-O233</f>
        <v/>
      </c>
      <c r="G233" s="66">
        <f>MAX(F233,0)/nDebtService</f>
        <v/>
      </c>
      <c r="H233" s="71">
        <f>Anthropic!$J$18*Anthropic!$J$27+Anthropic!$J$19*Anthropic!$J$28+Anthropic!$J$20*Anthropic!$J$29+Anthropic!$J$21*E233*(1+nPowerCagr)^4*(1+nResidualBasisMarkup+nScarcityAlpha*POWER(Anthropic!$J$21,nScarcityGamma))</f>
        <v/>
      </c>
      <c r="I233" s="113">
        <f>Assumptions!$F$10+RAND()*(Assumptions!$D$10-Assumptions!$F$10)</f>
        <v/>
      </c>
      <c r="J233" s="113">
        <f>RAND()*nCodSlipMaxMo</f>
        <v/>
      </c>
      <c r="K233" s="114">
        <f>nAvailDrawMin+RAND()*(nAvailDrawMax-nAvailDrawMin)</f>
        <v/>
      </c>
      <c r="L233" s="45">
        <f>IF(2034&lt;sNsmrCodU1+J233/12,0,(nNsmrCap+nNsmrOpx*(1+sNsmrOpxEsc)^8+nNsmrFuel*FuelEsc*(1+nFuelCagr)^8-nNsmrItc)*IF(2034&lt;sNsmrCodU1+J233/12+nStepFirst,1,IF(nStepGated="Yes",(1+nStepPct)^(INT((2034-sNsmrCodU1-J233/12-nStepFirst)/nStepEvery)+1),1))+nExclPrem*(1-nFlexRelief)-nProdCredit)</f>
        <v/>
      </c>
      <c r="M233" s="63">
        <f>MIN(nShortfallCapM,MAX(0,sNsmrAvailY2-K233)*sNsmrUnitMw*sNsmrUnits*8760*NsmrPrice2033/1000000)</f>
        <v/>
      </c>
      <c r="N233" s="82">
        <f>IF(RAND()&lt;0.5,nUsefulLifeDrawBase-(nUsefulLifeDrawBase-nUsefulLifeDrawMin)*BETA.INV(RAND(),1.15,1.15),nUsefulLifeDrawBase+(nUsefulLifeDrawMax-nUsefulLifeDrawBase)*BETA.INV(RAND(),1.15,1.15))</f>
        <v/>
      </c>
      <c r="O233" s="45">
        <f>((nInference*nGpuIdx+nAmort)*nUtilCal/D233)*(nUsefulLifeDrawBase/N233-1)</f>
        <v/>
      </c>
      <c r="P233" s="1" t="n"/>
      <c r="Q233" s="1" t="n"/>
      <c r="R233" s="1" t="n"/>
      <c r="S233" s="1" t="n"/>
      <c r="T233" s="1" t="n"/>
      <c r="U233" s="1" t="n"/>
    </row>
    <row r="234" ht="12" customHeight="1">
      <c r="A234" s="1" t="n"/>
      <c r="B234" s="38" t="n">
        <v>214</v>
      </c>
      <c r="C234" s="114">
        <f>Assumptions!$F$8+RAND()*(Assumptions!$D$8-Assumptions!$F$8)</f>
        <v/>
      </c>
      <c r="D234" s="114">
        <f>Assumptions!$D$9+RAND()*(Assumptions!$F$9-Assumptions!$D$9)</f>
        <v/>
      </c>
      <c r="E234" s="71">
        <f>Assumptions!$F$11+RAND()*(Assumptions!$D$11-Assumptions!$F$11)</f>
        <v/>
      </c>
      <c r="F234" s="45">
        <f>nListPrice*(1-C234)-(nInference*nGpuIdx+nAmort)*nUtilCal/D234-nNetworking-nOverheadBase*(E234/nPowerCal)-nCodBase*(1+I234/12)-O234</f>
        <v/>
      </c>
      <c r="G234" s="66">
        <f>MAX(F234,0)/nDebtService</f>
        <v/>
      </c>
      <c r="H234" s="71">
        <f>Anthropic!$J$18*Anthropic!$J$27+Anthropic!$J$19*Anthropic!$J$28+Anthropic!$J$20*Anthropic!$J$29+Anthropic!$J$21*E234*(1+nPowerCagr)^4*(1+nResidualBasisMarkup+nScarcityAlpha*POWER(Anthropic!$J$21,nScarcityGamma))</f>
        <v/>
      </c>
      <c r="I234" s="113">
        <f>Assumptions!$F$10+RAND()*(Assumptions!$D$10-Assumptions!$F$10)</f>
        <v/>
      </c>
      <c r="J234" s="113">
        <f>RAND()*nCodSlipMaxMo</f>
        <v/>
      </c>
      <c r="K234" s="114">
        <f>nAvailDrawMin+RAND()*(nAvailDrawMax-nAvailDrawMin)</f>
        <v/>
      </c>
      <c r="L234" s="45">
        <f>IF(2034&lt;sNsmrCodU1+J234/12,0,(nNsmrCap+nNsmrOpx*(1+sNsmrOpxEsc)^8+nNsmrFuel*FuelEsc*(1+nFuelCagr)^8-nNsmrItc)*IF(2034&lt;sNsmrCodU1+J234/12+nStepFirst,1,IF(nStepGated="Yes",(1+nStepPct)^(INT((2034-sNsmrCodU1-J234/12-nStepFirst)/nStepEvery)+1),1))+nExclPrem*(1-nFlexRelief)-nProdCredit)</f>
        <v/>
      </c>
      <c r="M234" s="63">
        <f>MIN(nShortfallCapM,MAX(0,sNsmrAvailY2-K234)*sNsmrUnitMw*sNsmrUnits*8760*NsmrPrice2033/1000000)</f>
        <v/>
      </c>
      <c r="N234" s="82">
        <f>IF(RAND()&lt;0.5,nUsefulLifeDrawBase-(nUsefulLifeDrawBase-nUsefulLifeDrawMin)*BETA.INV(RAND(),1.15,1.15),nUsefulLifeDrawBase+(nUsefulLifeDrawMax-nUsefulLifeDrawBase)*BETA.INV(RAND(),1.15,1.15))</f>
        <v/>
      </c>
      <c r="O234" s="45">
        <f>((nInference*nGpuIdx+nAmort)*nUtilCal/D234)*(nUsefulLifeDrawBase/N234-1)</f>
        <v/>
      </c>
      <c r="P234" s="1" t="n"/>
      <c r="Q234" s="1" t="n"/>
      <c r="R234" s="1" t="n"/>
      <c r="S234" s="1" t="n"/>
      <c r="T234" s="1" t="n"/>
      <c r="U234" s="1" t="n"/>
    </row>
    <row r="235" ht="12" customHeight="1">
      <c r="A235" s="1" t="n"/>
      <c r="B235" s="38" t="n">
        <v>215</v>
      </c>
      <c r="C235" s="114">
        <f>Assumptions!$F$8+RAND()*(Assumptions!$D$8-Assumptions!$F$8)</f>
        <v/>
      </c>
      <c r="D235" s="114">
        <f>Assumptions!$D$9+RAND()*(Assumptions!$F$9-Assumptions!$D$9)</f>
        <v/>
      </c>
      <c r="E235" s="71">
        <f>Assumptions!$F$11+RAND()*(Assumptions!$D$11-Assumptions!$F$11)</f>
        <v/>
      </c>
      <c r="F235" s="45">
        <f>nListPrice*(1-C235)-(nInference*nGpuIdx+nAmort)*nUtilCal/D235-nNetworking-nOverheadBase*(E235/nPowerCal)-nCodBase*(1+I235/12)-O235</f>
        <v/>
      </c>
      <c r="G235" s="66">
        <f>MAX(F235,0)/nDebtService</f>
        <v/>
      </c>
      <c r="H235" s="71">
        <f>Anthropic!$J$18*Anthropic!$J$27+Anthropic!$J$19*Anthropic!$J$28+Anthropic!$J$20*Anthropic!$J$29+Anthropic!$J$21*E235*(1+nPowerCagr)^4*(1+nResidualBasisMarkup+nScarcityAlpha*POWER(Anthropic!$J$21,nScarcityGamma))</f>
        <v/>
      </c>
      <c r="I235" s="113">
        <f>Assumptions!$F$10+RAND()*(Assumptions!$D$10-Assumptions!$F$10)</f>
        <v/>
      </c>
      <c r="J235" s="113">
        <f>RAND()*nCodSlipMaxMo</f>
        <v/>
      </c>
      <c r="K235" s="114">
        <f>nAvailDrawMin+RAND()*(nAvailDrawMax-nAvailDrawMin)</f>
        <v/>
      </c>
      <c r="L235" s="45">
        <f>IF(2034&lt;sNsmrCodU1+J235/12,0,(nNsmrCap+nNsmrOpx*(1+sNsmrOpxEsc)^8+nNsmrFuel*FuelEsc*(1+nFuelCagr)^8-nNsmrItc)*IF(2034&lt;sNsmrCodU1+J235/12+nStepFirst,1,IF(nStepGated="Yes",(1+nStepPct)^(INT((2034-sNsmrCodU1-J235/12-nStepFirst)/nStepEvery)+1),1))+nExclPrem*(1-nFlexRelief)-nProdCredit)</f>
        <v/>
      </c>
      <c r="M235" s="63">
        <f>MIN(nShortfallCapM,MAX(0,sNsmrAvailY2-K235)*sNsmrUnitMw*sNsmrUnits*8760*NsmrPrice2033/1000000)</f>
        <v/>
      </c>
      <c r="N235" s="82">
        <f>IF(RAND()&lt;0.5,nUsefulLifeDrawBase-(nUsefulLifeDrawBase-nUsefulLifeDrawMin)*BETA.INV(RAND(),1.15,1.15),nUsefulLifeDrawBase+(nUsefulLifeDrawMax-nUsefulLifeDrawBase)*BETA.INV(RAND(),1.15,1.15))</f>
        <v/>
      </c>
      <c r="O235" s="45">
        <f>((nInference*nGpuIdx+nAmort)*nUtilCal/D235)*(nUsefulLifeDrawBase/N235-1)</f>
        <v/>
      </c>
      <c r="P235" s="1" t="n"/>
      <c r="Q235" s="1" t="n"/>
      <c r="R235" s="1" t="n"/>
      <c r="S235" s="1" t="n"/>
      <c r="T235" s="1" t="n"/>
      <c r="U235" s="1" t="n"/>
    </row>
    <row r="236" ht="12" customHeight="1">
      <c r="A236" s="1" t="n"/>
      <c r="B236" s="38" t="n">
        <v>216</v>
      </c>
      <c r="C236" s="114">
        <f>Assumptions!$F$8+RAND()*(Assumptions!$D$8-Assumptions!$F$8)</f>
        <v/>
      </c>
      <c r="D236" s="114">
        <f>Assumptions!$D$9+RAND()*(Assumptions!$F$9-Assumptions!$D$9)</f>
        <v/>
      </c>
      <c r="E236" s="71">
        <f>Assumptions!$F$11+RAND()*(Assumptions!$D$11-Assumptions!$F$11)</f>
        <v/>
      </c>
      <c r="F236" s="45">
        <f>nListPrice*(1-C236)-(nInference*nGpuIdx+nAmort)*nUtilCal/D236-nNetworking-nOverheadBase*(E236/nPowerCal)-nCodBase*(1+I236/12)-O236</f>
        <v/>
      </c>
      <c r="G236" s="66">
        <f>MAX(F236,0)/nDebtService</f>
        <v/>
      </c>
      <c r="H236" s="71">
        <f>Anthropic!$J$18*Anthropic!$J$27+Anthropic!$J$19*Anthropic!$J$28+Anthropic!$J$20*Anthropic!$J$29+Anthropic!$J$21*E236*(1+nPowerCagr)^4*(1+nResidualBasisMarkup+nScarcityAlpha*POWER(Anthropic!$J$21,nScarcityGamma))</f>
        <v/>
      </c>
      <c r="I236" s="113">
        <f>Assumptions!$F$10+RAND()*(Assumptions!$D$10-Assumptions!$F$10)</f>
        <v/>
      </c>
      <c r="J236" s="113">
        <f>RAND()*nCodSlipMaxMo</f>
        <v/>
      </c>
      <c r="K236" s="114">
        <f>nAvailDrawMin+RAND()*(nAvailDrawMax-nAvailDrawMin)</f>
        <v/>
      </c>
      <c r="L236" s="45">
        <f>IF(2034&lt;sNsmrCodU1+J236/12,0,(nNsmrCap+nNsmrOpx*(1+sNsmrOpxEsc)^8+nNsmrFuel*FuelEsc*(1+nFuelCagr)^8-nNsmrItc)*IF(2034&lt;sNsmrCodU1+J236/12+nStepFirst,1,IF(nStepGated="Yes",(1+nStepPct)^(INT((2034-sNsmrCodU1-J236/12-nStepFirst)/nStepEvery)+1),1))+nExclPrem*(1-nFlexRelief)-nProdCredit)</f>
        <v/>
      </c>
      <c r="M236" s="63">
        <f>MIN(nShortfallCapM,MAX(0,sNsmrAvailY2-K236)*sNsmrUnitMw*sNsmrUnits*8760*NsmrPrice2033/1000000)</f>
        <v/>
      </c>
      <c r="N236" s="82">
        <f>IF(RAND()&lt;0.5,nUsefulLifeDrawBase-(nUsefulLifeDrawBase-nUsefulLifeDrawMin)*BETA.INV(RAND(),1.15,1.15),nUsefulLifeDrawBase+(nUsefulLifeDrawMax-nUsefulLifeDrawBase)*BETA.INV(RAND(),1.15,1.15))</f>
        <v/>
      </c>
      <c r="O236" s="45">
        <f>((nInference*nGpuIdx+nAmort)*nUtilCal/D236)*(nUsefulLifeDrawBase/N236-1)</f>
        <v/>
      </c>
      <c r="P236" s="1" t="n"/>
      <c r="Q236" s="1" t="n"/>
      <c r="R236" s="1" t="n"/>
      <c r="S236" s="1" t="n"/>
      <c r="T236" s="1" t="n"/>
      <c r="U236" s="1" t="n"/>
    </row>
    <row r="237" ht="12" customHeight="1">
      <c r="A237" s="1" t="n"/>
      <c r="B237" s="38" t="n">
        <v>217</v>
      </c>
      <c r="C237" s="114">
        <f>Assumptions!$F$8+RAND()*(Assumptions!$D$8-Assumptions!$F$8)</f>
        <v/>
      </c>
      <c r="D237" s="114">
        <f>Assumptions!$D$9+RAND()*(Assumptions!$F$9-Assumptions!$D$9)</f>
        <v/>
      </c>
      <c r="E237" s="71">
        <f>Assumptions!$F$11+RAND()*(Assumptions!$D$11-Assumptions!$F$11)</f>
        <v/>
      </c>
      <c r="F237" s="45">
        <f>nListPrice*(1-C237)-(nInference*nGpuIdx+nAmort)*nUtilCal/D237-nNetworking-nOverheadBase*(E237/nPowerCal)-nCodBase*(1+I237/12)-O237</f>
        <v/>
      </c>
      <c r="G237" s="66">
        <f>MAX(F237,0)/nDebtService</f>
        <v/>
      </c>
      <c r="H237" s="71">
        <f>Anthropic!$J$18*Anthropic!$J$27+Anthropic!$J$19*Anthropic!$J$28+Anthropic!$J$20*Anthropic!$J$29+Anthropic!$J$21*E237*(1+nPowerCagr)^4*(1+nResidualBasisMarkup+nScarcityAlpha*POWER(Anthropic!$J$21,nScarcityGamma))</f>
        <v/>
      </c>
      <c r="I237" s="113">
        <f>Assumptions!$F$10+RAND()*(Assumptions!$D$10-Assumptions!$F$10)</f>
        <v/>
      </c>
      <c r="J237" s="113">
        <f>RAND()*nCodSlipMaxMo</f>
        <v/>
      </c>
      <c r="K237" s="114">
        <f>nAvailDrawMin+RAND()*(nAvailDrawMax-nAvailDrawMin)</f>
        <v/>
      </c>
      <c r="L237" s="45">
        <f>IF(2034&lt;sNsmrCodU1+J237/12,0,(nNsmrCap+nNsmrOpx*(1+sNsmrOpxEsc)^8+nNsmrFuel*FuelEsc*(1+nFuelCagr)^8-nNsmrItc)*IF(2034&lt;sNsmrCodU1+J237/12+nStepFirst,1,IF(nStepGated="Yes",(1+nStepPct)^(INT((2034-sNsmrCodU1-J237/12-nStepFirst)/nStepEvery)+1),1))+nExclPrem*(1-nFlexRelief)-nProdCredit)</f>
        <v/>
      </c>
      <c r="M237" s="63">
        <f>MIN(nShortfallCapM,MAX(0,sNsmrAvailY2-K237)*sNsmrUnitMw*sNsmrUnits*8760*NsmrPrice2033/1000000)</f>
        <v/>
      </c>
      <c r="N237" s="82">
        <f>IF(RAND()&lt;0.5,nUsefulLifeDrawBase-(nUsefulLifeDrawBase-nUsefulLifeDrawMin)*BETA.INV(RAND(),1.15,1.15),nUsefulLifeDrawBase+(nUsefulLifeDrawMax-nUsefulLifeDrawBase)*BETA.INV(RAND(),1.15,1.15))</f>
        <v/>
      </c>
      <c r="O237" s="45">
        <f>((nInference*nGpuIdx+nAmort)*nUtilCal/D237)*(nUsefulLifeDrawBase/N237-1)</f>
        <v/>
      </c>
      <c r="P237" s="1" t="n"/>
      <c r="Q237" s="1" t="n"/>
      <c r="R237" s="1" t="n"/>
      <c r="S237" s="1" t="n"/>
      <c r="T237" s="1" t="n"/>
      <c r="U237" s="1" t="n"/>
    </row>
    <row r="238" ht="12" customHeight="1">
      <c r="A238" s="1" t="n"/>
      <c r="B238" s="38" t="n">
        <v>218</v>
      </c>
      <c r="C238" s="114">
        <f>Assumptions!$F$8+RAND()*(Assumptions!$D$8-Assumptions!$F$8)</f>
        <v/>
      </c>
      <c r="D238" s="114">
        <f>Assumptions!$D$9+RAND()*(Assumptions!$F$9-Assumptions!$D$9)</f>
        <v/>
      </c>
      <c r="E238" s="71">
        <f>Assumptions!$F$11+RAND()*(Assumptions!$D$11-Assumptions!$F$11)</f>
        <v/>
      </c>
      <c r="F238" s="45">
        <f>nListPrice*(1-C238)-(nInference*nGpuIdx+nAmort)*nUtilCal/D238-nNetworking-nOverheadBase*(E238/nPowerCal)-nCodBase*(1+I238/12)-O238</f>
        <v/>
      </c>
      <c r="G238" s="66">
        <f>MAX(F238,0)/nDebtService</f>
        <v/>
      </c>
      <c r="H238" s="71">
        <f>Anthropic!$J$18*Anthropic!$J$27+Anthropic!$J$19*Anthropic!$J$28+Anthropic!$J$20*Anthropic!$J$29+Anthropic!$J$21*E238*(1+nPowerCagr)^4*(1+nResidualBasisMarkup+nScarcityAlpha*POWER(Anthropic!$J$21,nScarcityGamma))</f>
        <v/>
      </c>
      <c r="I238" s="113">
        <f>Assumptions!$F$10+RAND()*(Assumptions!$D$10-Assumptions!$F$10)</f>
        <v/>
      </c>
      <c r="J238" s="113">
        <f>RAND()*nCodSlipMaxMo</f>
        <v/>
      </c>
      <c r="K238" s="114">
        <f>nAvailDrawMin+RAND()*(nAvailDrawMax-nAvailDrawMin)</f>
        <v/>
      </c>
      <c r="L238" s="45">
        <f>IF(2034&lt;sNsmrCodU1+J238/12,0,(nNsmrCap+nNsmrOpx*(1+sNsmrOpxEsc)^8+nNsmrFuel*FuelEsc*(1+nFuelCagr)^8-nNsmrItc)*IF(2034&lt;sNsmrCodU1+J238/12+nStepFirst,1,IF(nStepGated="Yes",(1+nStepPct)^(INT((2034-sNsmrCodU1-J238/12-nStepFirst)/nStepEvery)+1),1))+nExclPrem*(1-nFlexRelief)-nProdCredit)</f>
        <v/>
      </c>
      <c r="M238" s="63">
        <f>MIN(nShortfallCapM,MAX(0,sNsmrAvailY2-K238)*sNsmrUnitMw*sNsmrUnits*8760*NsmrPrice2033/1000000)</f>
        <v/>
      </c>
      <c r="N238" s="82">
        <f>IF(RAND()&lt;0.5,nUsefulLifeDrawBase-(nUsefulLifeDrawBase-nUsefulLifeDrawMin)*BETA.INV(RAND(),1.15,1.15),nUsefulLifeDrawBase+(nUsefulLifeDrawMax-nUsefulLifeDrawBase)*BETA.INV(RAND(),1.15,1.15))</f>
        <v/>
      </c>
      <c r="O238" s="45">
        <f>((nInference*nGpuIdx+nAmort)*nUtilCal/D238)*(nUsefulLifeDrawBase/N238-1)</f>
        <v/>
      </c>
      <c r="P238" s="1" t="n"/>
      <c r="Q238" s="1" t="n"/>
      <c r="R238" s="1" t="n"/>
      <c r="S238" s="1" t="n"/>
      <c r="T238" s="1" t="n"/>
      <c r="U238" s="1" t="n"/>
    </row>
    <row r="239" ht="12" customHeight="1">
      <c r="A239" s="1" t="n"/>
      <c r="B239" s="38" t="n">
        <v>219</v>
      </c>
      <c r="C239" s="114">
        <f>Assumptions!$F$8+RAND()*(Assumptions!$D$8-Assumptions!$F$8)</f>
        <v/>
      </c>
      <c r="D239" s="114">
        <f>Assumptions!$D$9+RAND()*(Assumptions!$F$9-Assumptions!$D$9)</f>
        <v/>
      </c>
      <c r="E239" s="71">
        <f>Assumptions!$F$11+RAND()*(Assumptions!$D$11-Assumptions!$F$11)</f>
        <v/>
      </c>
      <c r="F239" s="45">
        <f>nListPrice*(1-C239)-(nInference*nGpuIdx+nAmort)*nUtilCal/D239-nNetworking-nOverheadBase*(E239/nPowerCal)-nCodBase*(1+I239/12)-O239</f>
        <v/>
      </c>
      <c r="G239" s="66">
        <f>MAX(F239,0)/nDebtService</f>
        <v/>
      </c>
      <c r="H239" s="71">
        <f>Anthropic!$J$18*Anthropic!$J$27+Anthropic!$J$19*Anthropic!$J$28+Anthropic!$J$20*Anthropic!$J$29+Anthropic!$J$21*E239*(1+nPowerCagr)^4*(1+nResidualBasisMarkup+nScarcityAlpha*POWER(Anthropic!$J$21,nScarcityGamma))</f>
        <v/>
      </c>
      <c r="I239" s="113">
        <f>Assumptions!$F$10+RAND()*(Assumptions!$D$10-Assumptions!$F$10)</f>
        <v/>
      </c>
      <c r="J239" s="113">
        <f>RAND()*nCodSlipMaxMo</f>
        <v/>
      </c>
      <c r="K239" s="114">
        <f>nAvailDrawMin+RAND()*(nAvailDrawMax-nAvailDrawMin)</f>
        <v/>
      </c>
      <c r="L239" s="45">
        <f>IF(2034&lt;sNsmrCodU1+J239/12,0,(nNsmrCap+nNsmrOpx*(1+sNsmrOpxEsc)^8+nNsmrFuel*FuelEsc*(1+nFuelCagr)^8-nNsmrItc)*IF(2034&lt;sNsmrCodU1+J239/12+nStepFirst,1,IF(nStepGated="Yes",(1+nStepPct)^(INT((2034-sNsmrCodU1-J239/12-nStepFirst)/nStepEvery)+1),1))+nExclPrem*(1-nFlexRelief)-nProdCredit)</f>
        <v/>
      </c>
      <c r="M239" s="63">
        <f>MIN(nShortfallCapM,MAX(0,sNsmrAvailY2-K239)*sNsmrUnitMw*sNsmrUnits*8760*NsmrPrice2033/1000000)</f>
        <v/>
      </c>
      <c r="N239" s="82">
        <f>IF(RAND()&lt;0.5,nUsefulLifeDrawBase-(nUsefulLifeDrawBase-nUsefulLifeDrawMin)*BETA.INV(RAND(),1.15,1.15),nUsefulLifeDrawBase+(nUsefulLifeDrawMax-nUsefulLifeDrawBase)*BETA.INV(RAND(),1.15,1.15))</f>
        <v/>
      </c>
      <c r="O239" s="45">
        <f>((nInference*nGpuIdx+nAmort)*nUtilCal/D239)*(nUsefulLifeDrawBase/N239-1)</f>
        <v/>
      </c>
      <c r="P239" s="1" t="n"/>
      <c r="Q239" s="1" t="n"/>
      <c r="R239" s="1" t="n"/>
      <c r="S239" s="1" t="n"/>
      <c r="T239" s="1" t="n"/>
      <c r="U239" s="1" t="n"/>
    </row>
    <row r="240" ht="12" customHeight="1">
      <c r="A240" s="1" t="n"/>
      <c r="B240" s="38" t="n">
        <v>220</v>
      </c>
      <c r="C240" s="114">
        <f>Assumptions!$F$8+RAND()*(Assumptions!$D$8-Assumptions!$F$8)</f>
        <v/>
      </c>
      <c r="D240" s="114">
        <f>Assumptions!$D$9+RAND()*(Assumptions!$F$9-Assumptions!$D$9)</f>
        <v/>
      </c>
      <c r="E240" s="71">
        <f>Assumptions!$F$11+RAND()*(Assumptions!$D$11-Assumptions!$F$11)</f>
        <v/>
      </c>
      <c r="F240" s="45">
        <f>nListPrice*(1-C240)-(nInference*nGpuIdx+nAmort)*nUtilCal/D240-nNetworking-nOverheadBase*(E240/nPowerCal)-nCodBase*(1+I240/12)-O240</f>
        <v/>
      </c>
      <c r="G240" s="66">
        <f>MAX(F240,0)/nDebtService</f>
        <v/>
      </c>
      <c r="H240" s="71">
        <f>Anthropic!$J$18*Anthropic!$J$27+Anthropic!$J$19*Anthropic!$J$28+Anthropic!$J$20*Anthropic!$J$29+Anthropic!$J$21*E240*(1+nPowerCagr)^4*(1+nResidualBasisMarkup+nScarcityAlpha*POWER(Anthropic!$J$21,nScarcityGamma))</f>
        <v/>
      </c>
      <c r="I240" s="113">
        <f>Assumptions!$F$10+RAND()*(Assumptions!$D$10-Assumptions!$F$10)</f>
        <v/>
      </c>
      <c r="J240" s="113">
        <f>RAND()*nCodSlipMaxMo</f>
        <v/>
      </c>
      <c r="K240" s="114">
        <f>nAvailDrawMin+RAND()*(nAvailDrawMax-nAvailDrawMin)</f>
        <v/>
      </c>
      <c r="L240" s="45">
        <f>IF(2034&lt;sNsmrCodU1+J240/12,0,(nNsmrCap+nNsmrOpx*(1+sNsmrOpxEsc)^8+nNsmrFuel*FuelEsc*(1+nFuelCagr)^8-nNsmrItc)*IF(2034&lt;sNsmrCodU1+J240/12+nStepFirst,1,IF(nStepGated="Yes",(1+nStepPct)^(INT((2034-sNsmrCodU1-J240/12-nStepFirst)/nStepEvery)+1),1))+nExclPrem*(1-nFlexRelief)-nProdCredit)</f>
        <v/>
      </c>
      <c r="M240" s="63">
        <f>MIN(nShortfallCapM,MAX(0,sNsmrAvailY2-K240)*sNsmrUnitMw*sNsmrUnits*8760*NsmrPrice2033/1000000)</f>
        <v/>
      </c>
      <c r="N240" s="82">
        <f>IF(RAND()&lt;0.5,nUsefulLifeDrawBase-(nUsefulLifeDrawBase-nUsefulLifeDrawMin)*BETA.INV(RAND(),1.15,1.15),nUsefulLifeDrawBase+(nUsefulLifeDrawMax-nUsefulLifeDrawBase)*BETA.INV(RAND(),1.15,1.15))</f>
        <v/>
      </c>
      <c r="O240" s="45">
        <f>((nInference*nGpuIdx+nAmort)*nUtilCal/D240)*(nUsefulLifeDrawBase/N240-1)</f>
        <v/>
      </c>
      <c r="P240" s="1" t="n"/>
      <c r="Q240" s="1" t="n"/>
      <c r="R240" s="1" t="n"/>
      <c r="S240" s="1" t="n"/>
      <c r="T240" s="1" t="n"/>
      <c r="U240" s="1" t="n"/>
    </row>
    <row r="241" ht="12" customHeight="1">
      <c r="A241" s="1" t="n"/>
      <c r="B241" s="38" t="n">
        <v>221</v>
      </c>
      <c r="C241" s="114">
        <f>Assumptions!$F$8+RAND()*(Assumptions!$D$8-Assumptions!$F$8)</f>
        <v/>
      </c>
      <c r="D241" s="114">
        <f>Assumptions!$D$9+RAND()*(Assumptions!$F$9-Assumptions!$D$9)</f>
        <v/>
      </c>
      <c r="E241" s="71">
        <f>Assumptions!$F$11+RAND()*(Assumptions!$D$11-Assumptions!$F$11)</f>
        <v/>
      </c>
      <c r="F241" s="45">
        <f>nListPrice*(1-C241)-(nInference*nGpuIdx+nAmort)*nUtilCal/D241-nNetworking-nOverheadBase*(E241/nPowerCal)-nCodBase*(1+I241/12)-O241</f>
        <v/>
      </c>
      <c r="G241" s="66">
        <f>MAX(F241,0)/nDebtService</f>
        <v/>
      </c>
      <c r="H241" s="71">
        <f>Anthropic!$J$18*Anthropic!$J$27+Anthropic!$J$19*Anthropic!$J$28+Anthropic!$J$20*Anthropic!$J$29+Anthropic!$J$21*E241*(1+nPowerCagr)^4*(1+nResidualBasisMarkup+nScarcityAlpha*POWER(Anthropic!$J$21,nScarcityGamma))</f>
        <v/>
      </c>
      <c r="I241" s="113">
        <f>Assumptions!$F$10+RAND()*(Assumptions!$D$10-Assumptions!$F$10)</f>
        <v/>
      </c>
      <c r="J241" s="113">
        <f>RAND()*nCodSlipMaxMo</f>
        <v/>
      </c>
      <c r="K241" s="114">
        <f>nAvailDrawMin+RAND()*(nAvailDrawMax-nAvailDrawMin)</f>
        <v/>
      </c>
      <c r="L241" s="45">
        <f>IF(2034&lt;sNsmrCodU1+J241/12,0,(nNsmrCap+nNsmrOpx*(1+sNsmrOpxEsc)^8+nNsmrFuel*FuelEsc*(1+nFuelCagr)^8-nNsmrItc)*IF(2034&lt;sNsmrCodU1+J241/12+nStepFirst,1,IF(nStepGated="Yes",(1+nStepPct)^(INT((2034-sNsmrCodU1-J241/12-nStepFirst)/nStepEvery)+1),1))+nExclPrem*(1-nFlexRelief)-nProdCredit)</f>
        <v/>
      </c>
      <c r="M241" s="63">
        <f>MIN(nShortfallCapM,MAX(0,sNsmrAvailY2-K241)*sNsmrUnitMw*sNsmrUnits*8760*NsmrPrice2033/1000000)</f>
        <v/>
      </c>
      <c r="N241" s="82">
        <f>IF(RAND()&lt;0.5,nUsefulLifeDrawBase-(nUsefulLifeDrawBase-nUsefulLifeDrawMin)*BETA.INV(RAND(),1.15,1.15),nUsefulLifeDrawBase+(nUsefulLifeDrawMax-nUsefulLifeDrawBase)*BETA.INV(RAND(),1.15,1.15))</f>
        <v/>
      </c>
      <c r="O241" s="45">
        <f>((nInference*nGpuIdx+nAmort)*nUtilCal/D241)*(nUsefulLifeDrawBase/N241-1)</f>
        <v/>
      </c>
      <c r="P241" s="1" t="n"/>
      <c r="Q241" s="1" t="n"/>
      <c r="R241" s="1" t="n"/>
      <c r="S241" s="1" t="n"/>
      <c r="T241" s="1" t="n"/>
      <c r="U241" s="1" t="n"/>
    </row>
    <row r="242" ht="12" customHeight="1">
      <c r="A242" s="1" t="n"/>
      <c r="B242" s="38" t="n">
        <v>222</v>
      </c>
      <c r="C242" s="114">
        <f>Assumptions!$F$8+RAND()*(Assumptions!$D$8-Assumptions!$F$8)</f>
        <v/>
      </c>
      <c r="D242" s="114">
        <f>Assumptions!$D$9+RAND()*(Assumptions!$F$9-Assumptions!$D$9)</f>
        <v/>
      </c>
      <c r="E242" s="71">
        <f>Assumptions!$F$11+RAND()*(Assumptions!$D$11-Assumptions!$F$11)</f>
        <v/>
      </c>
      <c r="F242" s="45">
        <f>nListPrice*(1-C242)-(nInference*nGpuIdx+nAmort)*nUtilCal/D242-nNetworking-nOverheadBase*(E242/nPowerCal)-nCodBase*(1+I242/12)-O242</f>
        <v/>
      </c>
      <c r="G242" s="66">
        <f>MAX(F242,0)/nDebtService</f>
        <v/>
      </c>
      <c r="H242" s="71">
        <f>Anthropic!$J$18*Anthropic!$J$27+Anthropic!$J$19*Anthropic!$J$28+Anthropic!$J$20*Anthropic!$J$29+Anthropic!$J$21*E242*(1+nPowerCagr)^4*(1+nResidualBasisMarkup+nScarcityAlpha*POWER(Anthropic!$J$21,nScarcityGamma))</f>
        <v/>
      </c>
      <c r="I242" s="113">
        <f>Assumptions!$F$10+RAND()*(Assumptions!$D$10-Assumptions!$F$10)</f>
        <v/>
      </c>
      <c r="J242" s="113">
        <f>RAND()*nCodSlipMaxMo</f>
        <v/>
      </c>
      <c r="K242" s="114">
        <f>nAvailDrawMin+RAND()*(nAvailDrawMax-nAvailDrawMin)</f>
        <v/>
      </c>
      <c r="L242" s="45">
        <f>IF(2034&lt;sNsmrCodU1+J242/12,0,(nNsmrCap+nNsmrOpx*(1+sNsmrOpxEsc)^8+nNsmrFuel*FuelEsc*(1+nFuelCagr)^8-nNsmrItc)*IF(2034&lt;sNsmrCodU1+J242/12+nStepFirst,1,IF(nStepGated="Yes",(1+nStepPct)^(INT((2034-sNsmrCodU1-J242/12-nStepFirst)/nStepEvery)+1),1))+nExclPrem*(1-nFlexRelief)-nProdCredit)</f>
        <v/>
      </c>
      <c r="M242" s="63">
        <f>MIN(nShortfallCapM,MAX(0,sNsmrAvailY2-K242)*sNsmrUnitMw*sNsmrUnits*8760*NsmrPrice2033/1000000)</f>
        <v/>
      </c>
      <c r="N242" s="82">
        <f>IF(RAND()&lt;0.5,nUsefulLifeDrawBase-(nUsefulLifeDrawBase-nUsefulLifeDrawMin)*BETA.INV(RAND(),1.15,1.15),nUsefulLifeDrawBase+(nUsefulLifeDrawMax-nUsefulLifeDrawBase)*BETA.INV(RAND(),1.15,1.15))</f>
        <v/>
      </c>
      <c r="O242" s="45">
        <f>((nInference*nGpuIdx+nAmort)*nUtilCal/D242)*(nUsefulLifeDrawBase/N242-1)</f>
        <v/>
      </c>
      <c r="P242" s="1" t="n"/>
      <c r="Q242" s="1" t="n"/>
      <c r="R242" s="1" t="n"/>
      <c r="S242" s="1" t="n"/>
      <c r="T242" s="1" t="n"/>
      <c r="U242" s="1" t="n"/>
    </row>
    <row r="243" ht="12" customHeight="1">
      <c r="A243" s="1" t="n"/>
      <c r="B243" s="38" t="n">
        <v>223</v>
      </c>
      <c r="C243" s="114">
        <f>Assumptions!$F$8+RAND()*(Assumptions!$D$8-Assumptions!$F$8)</f>
        <v/>
      </c>
      <c r="D243" s="114">
        <f>Assumptions!$D$9+RAND()*(Assumptions!$F$9-Assumptions!$D$9)</f>
        <v/>
      </c>
      <c r="E243" s="71">
        <f>Assumptions!$F$11+RAND()*(Assumptions!$D$11-Assumptions!$F$11)</f>
        <v/>
      </c>
      <c r="F243" s="45">
        <f>nListPrice*(1-C243)-(nInference*nGpuIdx+nAmort)*nUtilCal/D243-nNetworking-nOverheadBase*(E243/nPowerCal)-nCodBase*(1+I243/12)-O243</f>
        <v/>
      </c>
      <c r="G243" s="66">
        <f>MAX(F243,0)/nDebtService</f>
        <v/>
      </c>
      <c r="H243" s="71">
        <f>Anthropic!$J$18*Anthropic!$J$27+Anthropic!$J$19*Anthropic!$J$28+Anthropic!$J$20*Anthropic!$J$29+Anthropic!$J$21*E243*(1+nPowerCagr)^4*(1+nResidualBasisMarkup+nScarcityAlpha*POWER(Anthropic!$J$21,nScarcityGamma))</f>
        <v/>
      </c>
      <c r="I243" s="113">
        <f>Assumptions!$F$10+RAND()*(Assumptions!$D$10-Assumptions!$F$10)</f>
        <v/>
      </c>
      <c r="J243" s="113">
        <f>RAND()*nCodSlipMaxMo</f>
        <v/>
      </c>
      <c r="K243" s="114">
        <f>nAvailDrawMin+RAND()*(nAvailDrawMax-nAvailDrawMin)</f>
        <v/>
      </c>
      <c r="L243" s="45">
        <f>IF(2034&lt;sNsmrCodU1+J243/12,0,(nNsmrCap+nNsmrOpx*(1+sNsmrOpxEsc)^8+nNsmrFuel*FuelEsc*(1+nFuelCagr)^8-nNsmrItc)*IF(2034&lt;sNsmrCodU1+J243/12+nStepFirst,1,IF(nStepGated="Yes",(1+nStepPct)^(INT((2034-sNsmrCodU1-J243/12-nStepFirst)/nStepEvery)+1),1))+nExclPrem*(1-nFlexRelief)-nProdCredit)</f>
        <v/>
      </c>
      <c r="M243" s="63">
        <f>MIN(nShortfallCapM,MAX(0,sNsmrAvailY2-K243)*sNsmrUnitMw*sNsmrUnits*8760*NsmrPrice2033/1000000)</f>
        <v/>
      </c>
      <c r="N243" s="82">
        <f>IF(RAND()&lt;0.5,nUsefulLifeDrawBase-(nUsefulLifeDrawBase-nUsefulLifeDrawMin)*BETA.INV(RAND(),1.15,1.15),nUsefulLifeDrawBase+(nUsefulLifeDrawMax-nUsefulLifeDrawBase)*BETA.INV(RAND(),1.15,1.15))</f>
        <v/>
      </c>
      <c r="O243" s="45">
        <f>((nInference*nGpuIdx+nAmort)*nUtilCal/D243)*(nUsefulLifeDrawBase/N243-1)</f>
        <v/>
      </c>
      <c r="P243" s="1" t="n"/>
      <c r="Q243" s="1" t="n"/>
      <c r="R243" s="1" t="n"/>
      <c r="S243" s="1" t="n"/>
      <c r="T243" s="1" t="n"/>
      <c r="U243" s="1" t="n"/>
    </row>
    <row r="244" ht="12" customHeight="1">
      <c r="A244" s="1" t="n"/>
      <c r="B244" s="38" t="n">
        <v>224</v>
      </c>
      <c r="C244" s="114">
        <f>Assumptions!$F$8+RAND()*(Assumptions!$D$8-Assumptions!$F$8)</f>
        <v/>
      </c>
      <c r="D244" s="114">
        <f>Assumptions!$D$9+RAND()*(Assumptions!$F$9-Assumptions!$D$9)</f>
        <v/>
      </c>
      <c r="E244" s="71">
        <f>Assumptions!$F$11+RAND()*(Assumptions!$D$11-Assumptions!$F$11)</f>
        <v/>
      </c>
      <c r="F244" s="45">
        <f>nListPrice*(1-C244)-(nInference*nGpuIdx+nAmort)*nUtilCal/D244-nNetworking-nOverheadBase*(E244/nPowerCal)-nCodBase*(1+I244/12)-O244</f>
        <v/>
      </c>
      <c r="G244" s="66">
        <f>MAX(F244,0)/nDebtService</f>
        <v/>
      </c>
      <c r="H244" s="71">
        <f>Anthropic!$J$18*Anthropic!$J$27+Anthropic!$J$19*Anthropic!$J$28+Anthropic!$J$20*Anthropic!$J$29+Anthropic!$J$21*E244*(1+nPowerCagr)^4*(1+nResidualBasisMarkup+nScarcityAlpha*POWER(Anthropic!$J$21,nScarcityGamma))</f>
        <v/>
      </c>
      <c r="I244" s="113">
        <f>Assumptions!$F$10+RAND()*(Assumptions!$D$10-Assumptions!$F$10)</f>
        <v/>
      </c>
      <c r="J244" s="113">
        <f>RAND()*nCodSlipMaxMo</f>
        <v/>
      </c>
      <c r="K244" s="114">
        <f>nAvailDrawMin+RAND()*(nAvailDrawMax-nAvailDrawMin)</f>
        <v/>
      </c>
      <c r="L244" s="45">
        <f>IF(2034&lt;sNsmrCodU1+J244/12,0,(nNsmrCap+nNsmrOpx*(1+sNsmrOpxEsc)^8+nNsmrFuel*FuelEsc*(1+nFuelCagr)^8-nNsmrItc)*IF(2034&lt;sNsmrCodU1+J244/12+nStepFirst,1,IF(nStepGated="Yes",(1+nStepPct)^(INT((2034-sNsmrCodU1-J244/12-nStepFirst)/nStepEvery)+1),1))+nExclPrem*(1-nFlexRelief)-nProdCredit)</f>
        <v/>
      </c>
      <c r="M244" s="63">
        <f>MIN(nShortfallCapM,MAX(0,sNsmrAvailY2-K244)*sNsmrUnitMw*sNsmrUnits*8760*NsmrPrice2033/1000000)</f>
        <v/>
      </c>
      <c r="N244" s="82">
        <f>IF(RAND()&lt;0.5,nUsefulLifeDrawBase-(nUsefulLifeDrawBase-nUsefulLifeDrawMin)*BETA.INV(RAND(),1.15,1.15),nUsefulLifeDrawBase+(nUsefulLifeDrawMax-nUsefulLifeDrawBase)*BETA.INV(RAND(),1.15,1.15))</f>
        <v/>
      </c>
      <c r="O244" s="45">
        <f>((nInference*nGpuIdx+nAmort)*nUtilCal/D244)*(nUsefulLifeDrawBase/N244-1)</f>
        <v/>
      </c>
      <c r="P244" s="1" t="n"/>
      <c r="Q244" s="1" t="n"/>
      <c r="R244" s="1" t="n"/>
      <c r="S244" s="1" t="n"/>
      <c r="T244" s="1" t="n"/>
      <c r="U244" s="1" t="n"/>
    </row>
    <row r="245" ht="12" customHeight="1">
      <c r="A245" s="1" t="n"/>
      <c r="B245" s="38" t="n">
        <v>225</v>
      </c>
      <c r="C245" s="114">
        <f>Assumptions!$F$8+RAND()*(Assumptions!$D$8-Assumptions!$F$8)</f>
        <v/>
      </c>
      <c r="D245" s="114">
        <f>Assumptions!$D$9+RAND()*(Assumptions!$F$9-Assumptions!$D$9)</f>
        <v/>
      </c>
      <c r="E245" s="71">
        <f>Assumptions!$F$11+RAND()*(Assumptions!$D$11-Assumptions!$F$11)</f>
        <v/>
      </c>
      <c r="F245" s="45">
        <f>nListPrice*(1-C245)-(nInference*nGpuIdx+nAmort)*nUtilCal/D245-nNetworking-nOverheadBase*(E245/nPowerCal)-nCodBase*(1+I245/12)-O245</f>
        <v/>
      </c>
      <c r="G245" s="66">
        <f>MAX(F245,0)/nDebtService</f>
        <v/>
      </c>
      <c r="H245" s="71">
        <f>Anthropic!$J$18*Anthropic!$J$27+Anthropic!$J$19*Anthropic!$J$28+Anthropic!$J$20*Anthropic!$J$29+Anthropic!$J$21*E245*(1+nPowerCagr)^4*(1+nResidualBasisMarkup+nScarcityAlpha*POWER(Anthropic!$J$21,nScarcityGamma))</f>
        <v/>
      </c>
      <c r="I245" s="113">
        <f>Assumptions!$F$10+RAND()*(Assumptions!$D$10-Assumptions!$F$10)</f>
        <v/>
      </c>
      <c r="J245" s="113">
        <f>RAND()*nCodSlipMaxMo</f>
        <v/>
      </c>
      <c r="K245" s="114">
        <f>nAvailDrawMin+RAND()*(nAvailDrawMax-nAvailDrawMin)</f>
        <v/>
      </c>
      <c r="L245" s="45">
        <f>IF(2034&lt;sNsmrCodU1+J245/12,0,(nNsmrCap+nNsmrOpx*(1+sNsmrOpxEsc)^8+nNsmrFuel*FuelEsc*(1+nFuelCagr)^8-nNsmrItc)*IF(2034&lt;sNsmrCodU1+J245/12+nStepFirst,1,IF(nStepGated="Yes",(1+nStepPct)^(INT((2034-sNsmrCodU1-J245/12-nStepFirst)/nStepEvery)+1),1))+nExclPrem*(1-nFlexRelief)-nProdCredit)</f>
        <v/>
      </c>
      <c r="M245" s="63">
        <f>MIN(nShortfallCapM,MAX(0,sNsmrAvailY2-K245)*sNsmrUnitMw*sNsmrUnits*8760*NsmrPrice2033/1000000)</f>
        <v/>
      </c>
      <c r="N245" s="82">
        <f>IF(RAND()&lt;0.5,nUsefulLifeDrawBase-(nUsefulLifeDrawBase-nUsefulLifeDrawMin)*BETA.INV(RAND(),1.15,1.15),nUsefulLifeDrawBase+(nUsefulLifeDrawMax-nUsefulLifeDrawBase)*BETA.INV(RAND(),1.15,1.15))</f>
        <v/>
      </c>
      <c r="O245" s="45">
        <f>((nInference*nGpuIdx+nAmort)*nUtilCal/D245)*(nUsefulLifeDrawBase/N245-1)</f>
        <v/>
      </c>
      <c r="P245" s="1" t="n"/>
      <c r="Q245" s="1" t="n"/>
      <c r="R245" s="1" t="n"/>
      <c r="S245" s="1" t="n"/>
      <c r="T245" s="1" t="n"/>
      <c r="U245" s="1" t="n"/>
    </row>
    <row r="246" ht="12" customHeight="1">
      <c r="A246" s="1" t="n"/>
      <c r="B246" s="38" t="n">
        <v>226</v>
      </c>
      <c r="C246" s="114">
        <f>Assumptions!$F$8+RAND()*(Assumptions!$D$8-Assumptions!$F$8)</f>
        <v/>
      </c>
      <c r="D246" s="114">
        <f>Assumptions!$D$9+RAND()*(Assumptions!$F$9-Assumptions!$D$9)</f>
        <v/>
      </c>
      <c r="E246" s="71">
        <f>Assumptions!$F$11+RAND()*(Assumptions!$D$11-Assumptions!$F$11)</f>
        <v/>
      </c>
      <c r="F246" s="45">
        <f>nListPrice*(1-C246)-(nInference*nGpuIdx+nAmort)*nUtilCal/D246-nNetworking-nOverheadBase*(E246/nPowerCal)-nCodBase*(1+I246/12)-O246</f>
        <v/>
      </c>
      <c r="G246" s="66">
        <f>MAX(F246,0)/nDebtService</f>
        <v/>
      </c>
      <c r="H246" s="71">
        <f>Anthropic!$J$18*Anthropic!$J$27+Anthropic!$J$19*Anthropic!$J$28+Anthropic!$J$20*Anthropic!$J$29+Anthropic!$J$21*E246*(1+nPowerCagr)^4*(1+nResidualBasisMarkup+nScarcityAlpha*POWER(Anthropic!$J$21,nScarcityGamma))</f>
        <v/>
      </c>
      <c r="I246" s="113">
        <f>Assumptions!$F$10+RAND()*(Assumptions!$D$10-Assumptions!$F$10)</f>
        <v/>
      </c>
      <c r="J246" s="113">
        <f>RAND()*nCodSlipMaxMo</f>
        <v/>
      </c>
      <c r="K246" s="114">
        <f>nAvailDrawMin+RAND()*(nAvailDrawMax-nAvailDrawMin)</f>
        <v/>
      </c>
      <c r="L246" s="45">
        <f>IF(2034&lt;sNsmrCodU1+J246/12,0,(nNsmrCap+nNsmrOpx*(1+sNsmrOpxEsc)^8+nNsmrFuel*FuelEsc*(1+nFuelCagr)^8-nNsmrItc)*IF(2034&lt;sNsmrCodU1+J246/12+nStepFirst,1,IF(nStepGated="Yes",(1+nStepPct)^(INT((2034-sNsmrCodU1-J246/12-nStepFirst)/nStepEvery)+1),1))+nExclPrem*(1-nFlexRelief)-nProdCredit)</f>
        <v/>
      </c>
      <c r="M246" s="63">
        <f>MIN(nShortfallCapM,MAX(0,sNsmrAvailY2-K246)*sNsmrUnitMw*sNsmrUnits*8760*NsmrPrice2033/1000000)</f>
        <v/>
      </c>
      <c r="N246" s="82">
        <f>IF(RAND()&lt;0.5,nUsefulLifeDrawBase-(nUsefulLifeDrawBase-nUsefulLifeDrawMin)*BETA.INV(RAND(),1.15,1.15),nUsefulLifeDrawBase+(nUsefulLifeDrawMax-nUsefulLifeDrawBase)*BETA.INV(RAND(),1.15,1.15))</f>
        <v/>
      </c>
      <c r="O246" s="45">
        <f>((nInference*nGpuIdx+nAmort)*nUtilCal/D246)*(nUsefulLifeDrawBase/N246-1)</f>
        <v/>
      </c>
      <c r="P246" s="1" t="n"/>
      <c r="Q246" s="1" t="n"/>
      <c r="R246" s="1" t="n"/>
      <c r="S246" s="1" t="n"/>
      <c r="T246" s="1" t="n"/>
      <c r="U246" s="1" t="n"/>
    </row>
    <row r="247" ht="12" customHeight="1">
      <c r="A247" s="1" t="n"/>
      <c r="B247" s="38" t="n">
        <v>227</v>
      </c>
      <c r="C247" s="114">
        <f>Assumptions!$F$8+RAND()*(Assumptions!$D$8-Assumptions!$F$8)</f>
        <v/>
      </c>
      <c r="D247" s="114">
        <f>Assumptions!$D$9+RAND()*(Assumptions!$F$9-Assumptions!$D$9)</f>
        <v/>
      </c>
      <c r="E247" s="71">
        <f>Assumptions!$F$11+RAND()*(Assumptions!$D$11-Assumptions!$F$11)</f>
        <v/>
      </c>
      <c r="F247" s="45">
        <f>nListPrice*(1-C247)-(nInference*nGpuIdx+nAmort)*nUtilCal/D247-nNetworking-nOverheadBase*(E247/nPowerCal)-nCodBase*(1+I247/12)-O247</f>
        <v/>
      </c>
      <c r="G247" s="66">
        <f>MAX(F247,0)/nDebtService</f>
        <v/>
      </c>
      <c r="H247" s="71">
        <f>Anthropic!$J$18*Anthropic!$J$27+Anthropic!$J$19*Anthropic!$J$28+Anthropic!$J$20*Anthropic!$J$29+Anthropic!$J$21*E247*(1+nPowerCagr)^4*(1+nResidualBasisMarkup+nScarcityAlpha*POWER(Anthropic!$J$21,nScarcityGamma))</f>
        <v/>
      </c>
      <c r="I247" s="113">
        <f>Assumptions!$F$10+RAND()*(Assumptions!$D$10-Assumptions!$F$10)</f>
        <v/>
      </c>
      <c r="J247" s="113">
        <f>RAND()*nCodSlipMaxMo</f>
        <v/>
      </c>
      <c r="K247" s="114">
        <f>nAvailDrawMin+RAND()*(nAvailDrawMax-nAvailDrawMin)</f>
        <v/>
      </c>
      <c r="L247" s="45">
        <f>IF(2034&lt;sNsmrCodU1+J247/12,0,(nNsmrCap+nNsmrOpx*(1+sNsmrOpxEsc)^8+nNsmrFuel*FuelEsc*(1+nFuelCagr)^8-nNsmrItc)*IF(2034&lt;sNsmrCodU1+J247/12+nStepFirst,1,IF(nStepGated="Yes",(1+nStepPct)^(INT((2034-sNsmrCodU1-J247/12-nStepFirst)/nStepEvery)+1),1))+nExclPrem*(1-nFlexRelief)-nProdCredit)</f>
        <v/>
      </c>
      <c r="M247" s="63">
        <f>MIN(nShortfallCapM,MAX(0,sNsmrAvailY2-K247)*sNsmrUnitMw*sNsmrUnits*8760*NsmrPrice2033/1000000)</f>
        <v/>
      </c>
      <c r="N247" s="82">
        <f>IF(RAND()&lt;0.5,nUsefulLifeDrawBase-(nUsefulLifeDrawBase-nUsefulLifeDrawMin)*BETA.INV(RAND(),1.15,1.15),nUsefulLifeDrawBase+(nUsefulLifeDrawMax-nUsefulLifeDrawBase)*BETA.INV(RAND(),1.15,1.15))</f>
        <v/>
      </c>
      <c r="O247" s="45">
        <f>((nInference*nGpuIdx+nAmort)*nUtilCal/D247)*(nUsefulLifeDrawBase/N247-1)</f>
        <v/>
      </c>
      <c r="P247" s="1" t="n"/>
      <c r="Q247" s="1" t="n"/>
      <c r="R247" s="1" t="n"/>
      <c r="S247" s="1" t="n"/>
      <c r="T247" s="1" t="n"/>
      <c r="U247" s="1" t="n"/>
    </row>
    <row r="248" ht="12" customHeight="1">
      <c r="A248" s="1" t="n"/>
      <c r="B248" s="38" t="n">
        <v>228</v>
      </c>
      <c r="C248" s="114">
        <f>Assumptions!$F$8+RAND()*(Assumptions!$D$8-Assumptions!$F$8)</f>
        <v/>
      </c>
      <c r="D248" s="114">
        <f>Assumptions!$D$9+RAND()*(Assumptions!$F$9-Assumptions!$D$9)</f>
        <v/>
      </c>
      <c r="E248" s="71">
        <f>Assumptions!$F$11+RAND()*(Assumptions!$D$11-Assumptions!$F$11)</f>
        <v/>
      </c>
      <c r="F248" s="45">
        <f>nListPrice*(1-C248)-(nInference*nGpuIdx+nAmort)*nUtilCal/D248-nNetworking-nOverheadBase*(E248/nPowerCal)-nCodBase*(1+I248/12)-O248</f>
        <v/>
      </c>
      <c r="G248" s="66">
        <f>MAX(F248,0)/nDebtService</f>
        <v/>
      </c>
      <c r="H248" s="71">
        <f>Anthropic!$J$18*Anthropic!$J$27+Anthropic!$J$19*Anthropic!$J$28+Anthropic!$J$20*Anthropic!$J$29+Anthropic!$J$21*E248*(1+nPowerCagr)^4*(1+nResidualBasisMarkup+nScarcityAlpha*POWER(Anthropic!$J$21,nScarcityGamma))</f>
        <v/>
      </c>
      <c r="I248" s="113">
        <f>Assumptions!$F$10+RAND()*(Assumptions!$D$10-Assumptions!$F$10)</f>
        <v/>
      </c>
      <c r="J248" s="113">
        <f>RAND()*nCodSlipMaxMo</f>
        <v/>
      </c>
      <c r="K248" s="114">
        <f>nAvailDrawMin+RAND()*(nAvailDrawMax-nAvailDrawMin)</f>
        <v/>
      </c>
      <c r="L248" s="45">
        <f>IF(2034&lt;sNsmrCodU1+J248/12,0,(nNsmrCap+nNsmrOpx*(1+sNsmrOpxEsc)^8+nNsmrFuel*FuelEsc*(1+nFuelCagr)^8-nNsmrItc)*IF(2034&lt;sNsmrCodU1+J248/12+nStepFirst,1,IF(nStepGated="Yes",(1+nStepPct)^(INT((2034-sNsmrCodU1-J248/12-nStepFirst)/nStepEvery)+1),1))+nExclPrem*(1-nFlexRelief)-nProdCredit)</f>
        <v/>
      </c>
      <c r="M248" s="63">
        <f>MIN(nShortfallCapM,MAX(0,sNsmrAvailY2-K248)*sNsmrUnitMw*sNsmrUnits*8760*NsmrPrice2033/1000000)</f>
        <v/>
      </c>
      <c r="N248" s="82">
        <f>IF(RAND()&lt;0.5,nUsefulLifeDrawBase-(nUsefulLifeDrawBase-nUsefulLifeDrawMin)*BETA.INV(RAND(),1.15,1.15),nUsefulLifeDrawBase+(nUsefulLifeDrawMax-nUsefulLifeDrawBase)*BETA.INV(RAND(),1.15,1.15))</f>
        <v/>
      </c>
      <c r="O248" s="45">
        <f>((nInference*nGpuIdx+nAmort)*nUtilCal/D248)*(nUsefulLifeDrawBase/N248-1)</f>
        <v/>
      </c>
      <c r="P248" s="1" t="n"/>
      <c r="Q248" s="1" t="n"/>
      <c r="R248" s="1" t="n"/>
      <c r="S248" s="1" t="n"/>
      <c r="T248" s="1" t="n"/>
      <c r="U248" s="1" t="n"/>
    </row>
    <row r="249" ht="12" customHeight="1">
      <c r="A249" s="1" t="n"/>
      <c r="B249" s="38" t="n">
        <v>229</v>
      </c>
      <c r="C249" s="114">
        <f>Assumptions!$F$8+RAND()*(Assumptions!$D$8-Assumptions!$F$8)</f>
        <v/>
      </c>
      <c r="D249" s="114">
        <f>Assumptions!$D$9+RAND()*(Assumptions!$F$9-Assumptions!$D$9)</f>
        <v/>
      </c>
      <c r="E249" s="71">
        <f>Assumptions!$F$11+RAND()*(Assumptions!$D$11-Assumptions!$F$11)</f>
        <v/>
      </c>
      <c r="F249" s="45">
        <f>nListPrice*(1-C249)-(nInference*nGpuIdx+nAmort)*nUtilCal/D249-nNetworking-nOverheadBase*(E249/nPowerCal)-nCodBase*(1+I249/12)-O249</f>
        <v/>
      </c>
      <c r="G249" s="66">
        <f>MAX(F249,0)/nDebtService</f>
        <v/>
      </c>
      <c r="H249" s="71">
        <f>Anthropic!$J$18*Anthropic!$J$27+Anthropic!$J$19*Anthropic!$J$28+Anthropic!$J$20*Anthropic!$J$29+Anthropic!$J$21*E249*(1+nPowerCagr)^4*(1+nResidualBasisMarkup+nScarcityAlpha*POWER(Anthropic!$J$21,nScarcityGamma))</f>
        <v/>
      </c>
      <c r="I249" s="113">
        <f>Assumptions!$F$10+RAND()*(Assumptions!$D$10-Assumptions!$F$10)</f>
        <v/>
      </c>
      <c r="J249" s="113">
        <f>RAND()*nCodSlipMaxMo</f>
        <v/>
      </c>
      <c r="K249" s="114">
        <f>nAvailDrawMin+RAND()*(nAvailDrawMax-nAvailDrawMin)</f>
        <v/>
      </c>
      <c r="L249" s="45">
        <f>IF(2034&lt;sNsmrCodU1+J249/12,0,(nNsmrCap+nNsmrOpx*(1+sNsmrOpxEsc)^8+nNsmrFuel*FuelEsc*(1+nFuelCagr)^8-nNsmrItc)*IF(2034&lt;sNsmrCodU1+J249/12+nStepFirst,1,IF(nStepGated="Yes",(1+nStepPct)^(INT((2034-sNsmrCodU1-J249/12-nStepFirst)/nStepEvery)+1),1))+nExclPrem*(1-nFlexRelief)-nProdCredit)</f>
        <v/>
      </c>
      <c r="M249" s="63">
        <f>MIN(nShortfallCapM,MAX(0,sNsmrAvailY2-K249)*sNsmrUnitMw*sNsmrUnits*8760*NsmrPrice2033/1000000)</f>
        <v/>
      </c>
      <c r="N249" s="82">
        <f>IF(RAND()&lt;0.5,nUsefulLifeDrawBase-(nUsefulLifeDrawBase-nUsefulLifeDrawMin)*BETA.INV(RAND(),1.15,1.15),nUsefulLifeDrawBase+(nUsefulLifeDrawMax-nUsefulLifeDrawBase)*BETA.INV(RAND(),1.15,1.15))</f>
        <v/>
      </c>
      <c r="O249" s="45">
        <f>((nInference*nGpuIdx+nAmort)*nUtilCal/D249)*(nUsefulLifeDrawBase/N249-1)</f>
        <v/>
      </c>
      <c r="P249" s="1" t="n"/>
      <c r="Q249" s="1" t="n"/>
      <c r="R249" s="1" t="n"/>
      <c r="S249" s="1" t="n"/>
      <c r="T249" s="1" t="n"/>
      <c r="U249" s="1" t="n"/>
    </row>
    <row r="250" ht="12" customHeight="1">
      <c r="A250" s="1" t="n"/>
      <c r="B250" s="38" t="n">
        <v>230</v>
      </c>
      <c r="C250" s="114">
        <f>Assumptions!$F$8+RAND()*(Assumptions!$D$8-Assumptions!$F$8)</f>
        <v/>
      </c>
      <c r="D250" s="114">
        <f>Assumptions!$D$9+RAND()*(Assumptions!$F$9-Assumptions!$D$9)</f>
        <v/>
      </c>
      <c r="E250" s="71">
        <f>Assumptions!$F$11+RAND()*(Assumptions!$D$11-Assumptions!$F$11)</f>
        <v/>
      </c>
      <c r="F250" s="45">
        <f>nListPrice*(1-C250)-(nInference*nGpuIdx+nAmort)*nUtilCal/D250-nNetworking-nOverheadBase*(E250/nPowerCal)-nCodBase*(1+I250/12)-O250</f>
        <v/>
      </c>
      <c r="G250" s="66">
        <f>MAX(F250,0)/nDebtService</f>
        <v/>
      </c>
      <c r="H250" s="71">
        <f>Anthropic!$J$18*Anthropic!$J$27+Anthropic!$J$19*Anthropic!$J$28+Anthropic!$J$20*Anthropic!$J$29+Anthropic!$J$21*E250*(1+nPowerCagr)^4*(1+nResidualBasisMarkup+nScarcityAlpha*POWER(Anthropic!$J$21,nScarcityGamma))</f>
        <v/>
      </c>
      <c r="I250" s="113">
        <f>Assumptions!$F$10+RAND()*(Assumptions!$D$10-Assumptions!$F$10)</f>
        <v/>
      </c>
      <c r="J250" s="113">
        <f>RAND()*nCodSlipMaxMo</f>
        <v/>
      </c>
      <c r="K250" s="114">
        <f>nAvailDrawMin+RAND()*(nAvailDrawMax-nAvailDrawMin)</f>
        <v/>
      </c>
      <c r="L250" s="45">
        <f>IF(2034&lt;sNsmrCodU1+J250/12,0,(nNsmrCap+nNsmrOpx*(1+sNsmrOpxEsc)^8+nNsmrFuel*FuelEsc*(1+nFuelCagr)^8-nNsmrItc)*IF(2034&lt;sNsmrCodU1+J250/12+nStepFirst,1,IF(nStepGated="Yes",(1+nStepPct)^(INT((2034-sNsmrCodU1-J250/12-nStepFirst)/nStepEvery)+1),1))+nExclPrem*(1-nFlexRelief)-nProdCredit)</f>
        <v/>
      </c>
      <c r="M250" s="63">
        <f>MIN(nShortfallCapM,MAX(0,sNsmrAvailY2-K250)*sNsmrUnitMw*sNsmrUnits*8760*NsmrPrice2033/1000000)</f>
        <v/>
      </c>
      <c r="N250" s="82">
        <f>IF(RAND()&lt;0.5,nUsefulLifeDrawBase-(nUsefulLifeDrawBase-nUsefulLifeDrawMin)*BETA.INV(RAND(),1.15,1.15),nUsefulLifeDrawBase+(nUsefulLifeDrawMax-nUsefulLifeDrawBase)*BETA.INV(RAND(),1.15,1.15))</f>
        <v/>
      </c>
      <c r="O250" s="45">
        <f>((nInference*nGpuIdx+nAmort)*nUtilCal/D250)*(nUsefulLifeDrawBase/N250-1)</f>
        <v/>
      </c>
      <c r="P250" s="1" t="n"/>
      <c r="Q250" s="1" t="n"/>
      <c r="R250" s="1" t="n"/>
      <c r="S250" s="1" t="n"/>
      <c r="T250" s="1" t="n"/>
      <c r="U250" s="1" t="n"/>
    </row>
    <row r="251" ht="12" customHeight="1">
      <c r="A251" s="1" t="n"/>
      <c r="B251" s="38" t="n">
        <v>231</v>
      </c>
      <c r="C251" s="114">
        <f>Assumptions!$F$8+RAND()*(Assumptions!$D$8-Assumptions!$F$8)</f>
        <v/>
      </c>
      <c r="D251" s="114">
        <f>Assumptions!$D$9+RAND()*(Assumptions!$F$9-Assumptions!$D$9)</f>
        <v/>
      </c>
      <c r="E251" s="71">
        <f>Assumptions!$F$11+RAND()*(Assumptions!$D$11-Assumptions!$F$11)</f>
        <v/>
      </c>
      <c r="F251" s="45">
        <f>nListPrice*(1-C251)-(nInference*nGpuIdx+nAmort)*nUtilCal/D251-nNetworking-nOverheadBase*(E251/nPowerCal)-nCodBase*(1+I251/12)-O251</f>
        <v/>
      </c>
      <c r="G251" s="66">
        <f>MAX(F251,0)/nDebtService</f>
        <v/>
      </c>
      <c r="H251" s="71">
        <f>Anthropic!$J$18*Anthropic!$J$27+Anthropic!$J$19*Anthropic!$J$28+Anthropic!$J$20*Anthropic!$J$29+Anthropic!$J$21*E251*(1+nPowerCagr)^4*(1+nResidualBasisMarkup+nScarcityAlpha*POWER(Anthropic!$J$21,nScarcityGamma))</f>
        <v/>
      </c>
      <c r="I251" s="113">
        <f>Assumptions!$F$10+RAND()*(Assumptions!$D$10-Assumptions!$F$10)</f>
        <v/>
      </c>
      <c r="J251" s="113">
        <f>RAND()*nCodSlipMaxMo</f>
        <v/>
      </c>
      <c r="K251" s="114">
        <f>nAvailDrawMin+RAND()*(nAvailDrawMax-nAvailDrawMin)</f>
        <v/>
      </c>
      <c r="L251" s="45">
        <f>IF(2034&lt;sNsmrCodU1+J251/12,0,(nNsmrCap+nNsmrOpx*(1+sNsmrOpxEsc)^8+nNsmrFuel*FuelEsc*(1+nFuelCagr)^8-nNsmrItc)*IF(2034&lt;sNsmrCodU1+J251/12+nStepFirst,1,IF(nStepGated="Yes",(1+nStepPct)^(INT((2034-sNsmrCodU1-J251/12-nStepFirst)/nStepEvery)+1),1))+nExclPrem*(1-nFlexRelief)-nProdCredit)</f>
        <v/>
      </c>
      <c r="M251" s="63">
        <f>MIN(nShortfallCapM,MAX(0,sNsmrAvailY2-K251)*sNsmrUnitMw*sNsmrUnits*8760*NsmrPrice2033/1000000)</f>
        <v/>
      </c>
      <c r="N251" s="82">
        <f>IF(RAND()&lt;0.5,nUsefulLifeDrawBase-(nUsefulLifeDrawBase-nUsefulLifeDrawMin)*BETA.INV(RAND(),1.15,1.15),nUsefulLifeDrawBase+(nUsefulLifeDrawMax-nUsefulLifeDrawBase)*BETA.INV(RAND(),1.15,1.15))</f>
        <v/>
      </c>
      <c r="O251" s="45">
        <f>((nInference*nGpuIdx+nAmort)*nUtilCal/D251)*(nUsefulLifeDrawBase/N251-1)</f>
        <v/>
      </c>
      <c r="P251" s="1" t="n"/>
      <c r="Q251" s="1" t="n"/>
      <c r="R251" s="1" t="n"/>
      <c r="S251" s="1" t="n"/>
      <c r="T251" s="1" t="n"/>
      <c r="U251" s="1" t="n"/>
    </row>
    <row r="252" ht="12" customHeight="1">
      <c r="A252" s="1" t="n"/>
      <c r="B252" s="38" t="n">
        <v>232</v>
      </c>
      <c r="C252" s="114">
        <f>Assumptions!$F$8+RAND()*(Assumptions!$D$8-Assumptions!$F$8)</f>
        <v/>
      </c>
      <c r="D252" s="114">
        <f>Assumptions!$D$9+RAND()*(Assumptions!$F$9-Assumptions!$D$9)</f>
        <v/>
      </c>
      <c r="E252" s="71">
        <f>Assumptions!$F$11+RAND()*(Assumptions!$D$11-Assumptions!$F$11)</f>
        <v/>
      </c>
      <c r="F252" s="45">
        <f>nListPrice*(1-C252)-(nInference*nGpuIdx+nAmort)*nUtilCal/D252-nNetworking-nOverheadBase*(E252/nPowerCal)-nCodBase*(1+I252/12)-O252</f>
        <v/>
      </c>
      <c r="G252" s="66">
        <f>MAX(F252,0)/nDebtService</f>
        <v/>
      </c>
      <c r="H252" s="71">
        <f>Anthropic!$J$18*Anthropic!$J$27+Anthropic!$J$19*Anthropic!$J$28+Anthropic!$J$20*Anthropic!$J$29+Anthropic!$J$21*E252*(1+nPowerCagr)^4*(1+nResidualBasisMarkup+nScarcityAlpha*POWER(Anthropic!$J$21,nScarcityGamma))</f>
        <v/>
      </c>
      <c r="I252" s="113">
        <f>Assumptions!$F$10+RAND()*(Assumptions!$D$10-Assumptions!$F$10)</f>
        <v/>
      </c>
      <c r="J252" s="113">
        <f>RAND()*nCodSlipMaxMo</f>
        <v/>
      </c>
      <c r="K252" s="114">
        <f>nAvailDrawMin+RAND()*(nAvailDrawMax-nAvailDrawMin)</f>
        <v/>
      </c>
      <c r="L252" s="45">
        <f>IF(2034&lt;sNsmrCodU1+J252/12,0,(nNsmrCap+nNsmrOpx*(1+sNsmrOpxEsc)^8+nNsmrFuel*FuelEsc*(1+nFuelCagr)^8-nNsmrItc)*IF(2034&lt;sNsmrCodU1+J252/12+nStepFirst,1,IF(nStepGated="Yes",(1+nStepPct)^(INT((2034-sNsmrCodU1-J252/12-nStepFirst)/nStepEvery)+1),1))+nExclPrem*(1-nFlexRelief)-nProdCredit)</f>
        <v/>
      </c>
      <c r="M252" s="63">
        <f>MIN(nShortfallCapM,MAX(0,sNsmrAvailY2-K252)*sNsmrUnitMw*sNsmrUnits*8760*NsmrPrice2033/1000000)</f>
        <v/>
      </c>
      <c r="N252" s="82">
        <f>IF(RAND()&lt;0.5,nUsefulLifeDrawBase-(nUsefulLifeDrawBase-nUsefulLifeDrawMin)*BETA.INV(RAND(),1.15,1.15),nUsefulLifeDrawBase+(nUsefulLifeDrawMax-nUsefulLifeDrawBase)*BETA.INV(RAND(),1.15,1.15))</f>
        <v/>
      </c>
      <c r="O252" s="45">
        <f>((nInference*nGpuIdx+nAmort)*nUtilCal/D252)*(nUsefulLifeDrawBase/N252-1)</f>
        <v/>
      </c>
      <c r="P252" s="1" t="n"/>
      <c r="Q252" s="1" t="n"/>
      <c r="R252" s="1" t="n"/>
      <c r="S252" s="1" t="n"/>
      <c r="T252" s="1" t="n"/>
      <c r="U252" s="1" t="n"/>
    </row>
    <row r="253" ht="12" customHeight="1">
      <c r="A253" s="1" t="n"/>
      <c r="B253" s="38" t="n">
        <v>233</v>
      </c>
      <c r="C253" s="114">
        <f>Assumptions!$F$8+RAND()*(Assumptions!$D$8-Assumptions!$F$8)</f>
        <v/>
      </c>
      <c r="D253" s="114">
        <f>Assumptions!$D$9+RAND()*(Assumptions!$F$9-Assumptions!$D$9)</f>
        <v/>
      </c>
      <c r="E253" s="71">
        <f>Assumptions!$F$11+RAND()*(Assumptions!$D$11-Assumptions!$F$11)</f>
        <v/>
      </c>
      <c r="F253" s="45">
        <f>nListPrice*(1-C253)-(nInference*nGpuIdx+nAmort)*nUtilCal/D253-nNetworking-nOverheadBase*(E253/nPowerCal)-nCodBase*(1+I253/12)-O253</f>
        <v/>
      </c>
      <c r="G253" s="66">
        <f>MAX(F253,0)/nDebtService</f>
        <v/>
      </c>
      <c r="H253" s="71">
        <f>Anthropic!$J$18*Anthropic!$J$27+Anthropic!$J$19*Anthropic!$J$28+Anthropic!$J$20*Anthropic!$J$29+Anthropic!$J$21*E253*(1+nPowerCagr)^4*(1+nResidualBasisMarkup+nScarcityAlpha*POWER(Anthropic!$J$21,nScarcityGamma))</f>
        <v/>
      </c>
      <c r="I253" s="113">
        <f>Assumptions!$F$10+RAND()*(Assumptions!$D$10-Assumptions!$F$10)</f>
        <v/>
      </c>
      <c r="J253" s="113">
        <f>RAND()*nCodSlipMaxMo</f>
        <v/>
      </c>
      <c r="K253" s="114">
        <f>nAvailDrawMin+RAND()*(nAvailDrawMax-nAvailDrawMin)</f>
        <v/>
      </c>
      <c r="L253" s="45">
        <f>IF(2034&lt;sNsmrCodU1+J253/12,0,(nNsmrCap+nNsmrOpx*(1+sNsmrOpxEsc)^8+nNsmrFuel*FuelEsc*(1+nFuelCagr)^8-nNsmrItc)*IF(2034&lt;sNsmrCodU1+J253/12+nStepFirst,1,IF(nStepGated="Yes",(1+nStepPct)^(INT((2034-sNsmrCodU1-J253/12-nStepFirst)/nStepEvery)+1),1))+nExclPrem*(1-nFlexRelief)-nProdCredit)</f>
        <v/>
      </c>
      <c r="M253" s="63">
        <f>MIN(nShortfallCapM,MAX(0,sNsmrAvailY2-K253)*sNsmrUnitMw*sNsmrUnits*8760*NsmrPrice2033/1000000)</f>
        <v/>
      </c>
      <c r="N253" s="82">
        <f>IF(RAND()&lt;0.5,nUsefulLifeDrawBase-(nUsefulLifeDrawBase-nUsefulLifeDrawMin)*BETA.INV(RAND(),1.15,1.15),nUsefulLifeDrawBase+(nUsefulLifeDrawMax-nUsefulLifeDrawBase)*BETA.INV(RAND(),1.15,1.15))</f>
        <v/>
      </c>
      <c r="O253" s="45">
        <f>((nInference*nGpuIdx+nAmort)*nUtilCal/D253)*(nUsefulLifeDrawBase/N253-1)</f>
        <v/>
      </c>
      <c r="P253" s="1" t="n"/>
      <c r="Q253" s="1" t="n"/>
      <c r="R253" s="1" t="n"/>
      <c r="S253" s="1" t="n"/>
      <c r="T253" s="1" t="n"/>
      <c r="U253" s="1" t="n"/>
    </row>
    <row r="254" ht="12" customHeight="1">
      <c r="A254" s="1" t="n"/>
      <c r="B254" s="38" t="n">
        <v>234</v>
      </c>
      <c r="C254" s="114">
        <f>Assumptions!$F$8+RAND()*(Assumptions!$D$8-Assumptions!$F$8)</f>
        <v/>
      </c>
      <c r="D254" s="114">
        <f>Assumptions!$D$9+RAND()*(Assumptions!$F$9-Assumptions!$D$9)</f>
        <v/>
      </c>
      <c r="E254" s="71">
        <f>Assumptions!$F$11+RAND()*(Assumptions!$D$11-Assumptions!$F$11)</f>
        <v/>
      </c>
      <c r="F254" s="45">
        <f>nListPrice*(1-C254)-(nInference*nGpuIdx+nAmort)*nUtilCal/D254-nNetworking-nOverheadBase*(E254/nPowerCal)-nCodBase*(1+I254/12)-O254</f>
        <v/>
      </c>
      <c r="G254" s="66">
        <f>MAX(F254,0)/nDebtService</f>
        <v/>
      </c>
      <c r="H254" s="71">
        <f>Anthropic!$J$18*Anthropic!$J$27+Anthropic!$J$19*Anthropic!$J$28+Anthropic!$J$20*Anthropic!$J$29+Anthropic!$J$21*E254*(1+nPowerCagr)^4*(1+nResidualBasisMarkup+nScarcityAlpha*POWER(Anthropic!$J$21,nScarcityGamma))</f>
        <v/>
      </c>
      <c r="I254" s="113">
        <f>Assumptions!$F$10+RAND()*(Assumptions!$D$10-Assumptions!$F$10)</f>
        <v/>
      </c>
      <c r="J254" s="113">
        <f>RAND()*nCodSlipMaxMo</f>
        <v/>
      </c>
      <c r="K254" s="114">
        <f>nAvailDrawMin+RAND()*(nAvailDrawMax-nAvailDrawMin)</f>
        <v/>
      </c>
      <c r="L254" s="45">
        <f>IF(2034&lt;sNsmrCodU1+J254/12,0,(nNsmrCap+nNsmrOpx*(1+sNsmrOpxEsc)^8+nNsmrFuel*FuelEsc*(1+nFuelCagr)^8-nNsmrItc)*IF(2034&lt;sNsmrCodU1+J254/12+nStepFirst,1,IF(nStepGated="Yes",(1+nStepPct)^(INT((2034-sNsmrCodU1-J254/12-nStepFirst)/nStepEvery)+1),1))+nExclPrem*(1-nFlexRelief)-nProdCredit)</f>
        <v/>
      </c>
      <c r="M254" s="63">
        <f>MIN(nShortfallCapM,MAX(0,sNsmrAvailY2-K254)*sNsmrUnitMw*sNsmrUnits*8760*NsmrPrice2033/1000000)</f>
        <v/>
      </c>
      <c r="N254" s="82">
        <f>IF(RAND()&lt;0.5,nUsefulLifeDrawBase-(nUsefulLifeDrawBase-nUsefulLifeDrawMin)*BETA.INV(RAND(),1.15,1.15),nUsefulLifeDrawBase+(nUsefulLifeDrawMax-nUsefulLifeDrawBase)*BETA.INV(RAND(),1.15,1.15))</f>
        <v/>
      </c>
      <c r="O254" s="45">
        <f>((nInference*nGpuIdx+nAmort)*nUtilCal/D254)*(nUsefulLifeDrawBase/N254-1)</f>
        <v/>
      </c>
      <c r="P254" s="1" t="n"/>
      <c r="Q254" s="1" t="n"/>
      <c r="R254" s="1" t="n"/>
      <c r="S254" s="1" t="n"/>
      <c r="T254" s="1" t="n"/>
      <c r="U254" s="1" t="n"/>
    </row>
    <row r="255" ht="12" customHeight="1">
      <c r="A255" s="1" t="n"/>
      <c r="B255" s="38" t="n">
        <v>235</v>
      </c>
      <c r="C255" s="114">
        <f>Assumptions!$F$8+RAND()*(Assumptions!$D$8-Assumptions!$F$8)</f>
        <v/>
      </c>
      <c r="D255" s="114">
        <f>Assumptions!$D$9+RAND()*(Assumptions!$F$9-Assumptions!$D$9)</f>
        <v/>
      </c>
      <c r="E255" s="71">
        <f>Assumptions!$F$11+RAND()*(Assumptions!$D$11-Assumptions!$F$11)</f>
        <v/>
      </c>
      <c r="F255" s="45">
        <f>nListPrice*(1-C255)-(nInference*nGpuIdx+nAmort)*nUtilCal/D255-nNetworking-nOverheadBase*(E255/nPowerCal)-nCodBase*(1+I255/12)-O255</f>
        <v/>
      </c>
      <c r="G255" s="66">
        <f>MAX(F255,0)/nDebtService</f>
        <v/>
      </c>
      <c r="H255" s="71">
        <f>Anthropic!$J$18*Anthropic!$J$27+Anthropic!$J$19*Anthropic!$J$28+Anthropic!$J$20*Anthropic!$J$29+Anthropic!$J$21*E255*(1+nPowerCagr)^4*(1+nResidualBasisMarkup+nScarcityAlpha*POWER(Anthropic!$J$21,nScarcityGamma))</f>
        <v/>
      </c>
      <c r="I255" s="113">
        <f>Assumptions!$F$10+RAND()*(Assumptions!$D$10-Assumptions!$F$10)</f>
        <v/>
      </c>
      <c r="J255" s="113">
        <f>RAND()*nCodSlipMaxMo</f>
        <v/>
      </c>
      <c r="K255" s="114">
        <f>nAvailDrawMin+RAND()*(nAvailDrawMax-nAvailDrawMin)</f>
        <v/>
      </c>
      <c r="L255" s="45">
        <f>IF(2034&lt;sNsmrCodU1+J255/12,0,(nNsmrCap+nNsmrOpx*(1+sNsmrOpxEsc)^8+nNsmrFuel*FuelEsc*(1+nFuelCagr)^8-nNsmrItc)*IF(2034&lt;sNsmrCodU1+J255/12+nStepFirst,1,IF(nStepGated="Yes",(1+nStepPct)^(INT((2034-sNsmrCodU1-J255/12-nStepFirst)/nStepEvery)+1),1))+nExclPrem*(1-nFlexRelief)-nProdCredit)</f>
        <v/>
      </c>
      <c r="M255" s="63">
        <f>MIN(nShortfallCapM,MAX(0,sNsmrAvailY2-K255)*sNsmrUnitMw*sNsmrUnits*8760*NsmrPrice2033/1000000)</f>
        <v/>
      </c>
      <c r="N255" s="82">
        <f>IF(RAND()&lt;0.5,nUsefulLifeDrawBase-(nUsefulLifeDrawBase-nUsefulLifeDrawMin)*BETA.INV(RAND(),1.15,1.15),nUsefulLifeDrawBase+(nUsefulLifeDrawMax-nUsefulLifeDrawBase)*BETA.INV(RAND(),1.15,1.15))</f>
        <v/>
      </c>
      <c r="O255" s="45">
        <f>((nInference*nGpuIdx+nAmort)*nUtilCal/D255)*(nUsefulLifeDrawBase/N255-1)</f>
        <v/>
      </c>
      <c r="P255" s="1" t="n"/>
      <c r="Q255" s="1" t="n"/>
      <c r="R255" s="1" t="n"/>
      <c r="S255" s="1" t="n"/>
      <c r="T255" s="1" t="n"/>
      <c r="U255" s="1" t="n"/>
    </row>
    <row r="256" ht="12" customHeight="1">
      <c r="A256" s="1" t="n"/>
      <c r="B256" s="38" t="n">
        <v>236</v>
      </c>
      <c r="C256" s="114">
        <f>Assumptions!$F$8+RAND()*(Assumptions!$D$8-Assumptions!$F$8)</f>
        <v/>
      </c>
      <c r="D256" s="114">
        <f>Assumptions!$D$9+RAND()*(Assumptions!$F$9-Assumptions!$D$9)</f>
        <v/>
      </c>
      <c r="E256" s="71">
        <f>Assumptions!$F$11+RAND()*(Assumptions!$D$11-Assumptions!$F$11)</f>
        <v/>
      </c>
      <c r="F256" s="45">
        <f>nListPrice*(1-C256)-(nInference*nGpuIdx+nAmort)*nUtilCal/D256-nNetworking-nOverheadBase*(E256/nPowerCal)-nCodBase*(1+I256/12)-O256</f>
        <v/>
      </c>
      <c r="G256" s="66">
        <f>MAX(F256,0)/nDebtService</f>
        <v/>
      </c>
      <c r="H256" s="71">
        <f>Anthropic!$J$18*Anthropic!$J$27+Anthropic!$J$19*Anthropic!$J$28+Anthropic!$J$20*Anthropic!$J$29+Anthropic!$J$21*E256*(1+nPowerCagr)^4*(1+nResidualBasisMarkup+nScarcityAlpha*POWER(Anthropic!$J$21,nScarcityGamma))</f>
        <v/>
      </c>
      <c r="I256" s="113">
        <f>Assumptions!$F$10+RAND()*(Assumptions!$D$10-Assumptions!$F$10)</f>
        <v/>
      </c>
      <c r="J256" s="113">
        <f>RAND()*nCodSlipMaxMo</f>
        <v/>
      </c>
      <c r="K256" s="114">
        <f>nAvailDrawMin+RAND()*(nAvailDrawMax-nAvailDrawMin)</f>
        <v/>
      </c>
      <c r="L256" s="45">
        <f>IF(2034&lt;sNsmrCodU1+J256/12,0,(nNsmrCap+nNsmrOpx*(1+sNsmrOpxEsc)^8+nNsmrFuel*FuelEsc*(1+nFuelCagr)^8-nNsmrItc)*IF(2034&lt;sNsmrCodU1+J256/12+nStepFirst,1,IF(nStepGated="Yes",(1+nStepPct)^(INT((2034-sNsmrCodU1-J256/12-nStepFirst)/nStepEvery)+1),1))+nExclPrem*(1-nFlexRelief)-nProdCredit)</f>
        <v/>
      </c>
      <c r="M256" s="63">
        <f>MIN(nShortfallCapM,MAX(0,sNsmrAvailY2-K256)*sNsmrUnitMw*sNsmrUnits*8760*NsmrPrice2033/1000000)</f>
        <v/>
      </c>
      <c r="N256" s="82">
        <f>IF(RAND()&lt;0.5,nUsefulLifeDrawBase-(nUsefulLifeDrawBase-nUsefulLifeDrawMin)*BETA.INV(RAND(),1.15,1.15),nUsefulLifeDrawBase+(nUsefulLifeDrawMax-nUsefulLifeDrawBase)*BETA.INV(RAND(),1.15,1.15))</f>
        <v/>
      </c>
      <c r="O256" s="45">
        <f>((nInference*nGpuIdx+nAmort)*nUtilCal/D256)*(nUsefulLifeDrawBase/N256-1)</f>
        <v/>
      </c>
      <c r="P256" s="1" t="n"/>
      <c r="Q256" s="1" t="n"/>
      <c r="R256" s="1" t="n"/>
      <c r="S256" s="1" t="n"/>
      <c r="T256" s="1" t="n"/>
      <c r="U256" s="1" t="n"/>
    </row>
    <row r="257" ht="12" customHeight="1">
      <c r="A257" s="1" t="n"/>
      <c r="B257" s="38" t="n">
        <v>237</v>
      </c>
      <c r="C257" s="114">
        <f>Assumptions!$F$8+RAND()*(Assumptions!$D$8-Assumptions!$F$8)</f>
        <v/>
      </c>
      <c r="D257" s="114">
        <f>Assumptions!$D$9+RAND()*(Assumptions!$F$9-Assumptions!$D$9)</f>
        <v/>
      </c>
      <c r="E257" s="71">
        <f>Assumptions!$F$11+RAND()*(Assumptions!$D$11-Assumptions!$F$11)</f>
        <v/>
      </c>
      <c r="F257" s="45">
        <f>nListPrice*(1-C257)-(nInference*nGpuIdx+nAmort)*nUtilCal/D257-nNetworking-nOverheadBase*(E257/nPowerCal)-nCodBase*(1+I257/12)-O257</f>
        <v/>
      </c>
      <c r="G257" s="66">
        <f>MAX(F257,0)/nDebtService</f>
        <v/>
      </c>
      <c r="H257" s="71">
        <f>Anthropic!$J$18*Anthropic!$J$27+Anthropic!$J$19*Anthropic!$J$28+Anthropic!$J$20*Anthropic!$J$29+Anthropic!$J$21*E257*(1+nPowerCagr)^4*(1+nResidualBasisMarkup+nScarcityAlpha*POWER(Anthropic!$J$21,nScarcityGamma))</f>
        <v/>
      </c>
      <c r="I257" s="113">
        <f>Assumptions!$F$10+RAND()*(Assumptions!$D$10-Assumptions!$F$10)</f>
        <v/>
      </c>
      <c r="J257" s="113">
        <f>RAND()*nCodSlipMaxMo</f>
        <v/>
      </c>
      <c r="K257" s="114">
        <f>nAvailDrawMin+RAND()*(nAvailDrawMax-nAvailDrawMin)</f>
        <v/>
      </c>
      <c r="L257" s="45">
        <f>IF(2034&lt;sNsmrCodU1+J257/12,0,(nNsmrCap+nNsmrOpx*(1+sNsmrOpxEsc)^8+nNsmrFuel*FuelEsc*(1+nFuelCagr)^8-nNsmrItc)*IF(2034&lt;sNsmrCodU1+J257/12+nStepFirst,1,IF(nStepGated="Yes",(1+nStepPct)^(INT((2034-sNsmrCodU1-J257/12-nStepFirst)/nStepEvery)+1),1))+nExclPrem*(1-nFlexRelief)-nProdCredit)</f>
        <v/>
      </c>
      <c r="M257" s="63">
        <f>MIN(nShortfallCapM,MAX(0,sNsmrAvailY2-K257)*sNsmrUnitMw*sNsmrUnits*8760*NsmrPrice2033/1000000)</f>
        <v/>
      </c>
      <c r="N257" s="82">
        <f>IF(RAND()&lt;0.5,nUsefulLifeDrawBase-(nUsefulLifeDrawBase-nUsefulLifeDrawMin)*BETA.INV(RAND(),1.15,1.15),nUsefulLifeDrawBase+(nUsefulLifeDrawMax-nUsefulLifeDrawBase)*BETA.INV(RAND(),1.15,1.15))</f>
        <v/>
      </c>
      <c r="O257" s="45">
        <f>((nInference*nGpuIdx+nAmort)*nUtilCal/D257)*(nUsefulLifeDrawBase/N257-1)</f>
        <v/>
      </c>
      <c r="P257" s="1" t="n"/>
      <c r="Q257" s="1" t="n"/>
      <c r="R257" s="1" t="n"/>
      <c r="S257" s="1" t="n"/>
      <c r="T257" s="1" t="n"/>
      <c r="U257" s="1" t="n"/>
    </row>
    <row r="258" ht="12" customHeight="1">
      <c r="A258" s="1" t="n"/>
      <c r="B258" s="38" t="n">
        <v>238</v>
      </c>
      <c r="C258" s="114">
        <f>Assumptions!$F$8+RAND()*(Assumptions!$D$8-Assumptions!$F$8)</f>
        <v/>
      </c>
      <c r="D258" s="114">
        <f>Assumptions!$D$9+RAND()*(Assumptions!$F$9-Assumptions!$D$9)</f>
        <v/>
      </c>
      <c r="E258" s="71">
        <f>Assumptions!$F$11+RAND()*(Assumptions!$D$11-Assumptions!$F$11)</f>
        <v/>
      </c>
      <c r="F258" s="45">
        <f>nListPrice*(1-C258)-(nInference*nGpuIdx+nAmort)*nUtilCal/D258-nNetworking-nOverheadBase*(E258/nPowerCal)-nCodBase*(1+I258/12)-O258</f>
        <v/>
      </c>
      <c r="G258" s="66">
        <f>MAX(F258,0)/nDebtService</f>
        <v/>
      </c>
      <c r="H258" s="71">
        <f>Anthropic!$J$18*Anthropic!$J$27+Anthropic!$J$19*Anthropic!$J$28+Anthropic!$J$20*Anthropic!$J$29+Anthropic!$J$21*E258*(1+nPowerCagr)^4*(1+nResidualBasisMarkup+nScarcityAlpha*POWER(Anthropic!$J$21,nScarcityGamma))</f>
        <v/>
      </c>
      <c r="I258" s="113">
        <f>Assumptions!$F$10+RAND()*(Assumptions!$D$10-Assumptions!$F$10)</f>
        <v/>
      </c>
      <c r="J258" s="113">
        <f>RAND()*nCodSlipMaxMo</f>
        <v/>
      </c>
      <c r="K258" s="114">
        <f>nAvailDrawMin+RAND()*(nAvailDrawMax-nAvailDrawMin)</f>
        <v/>
      </c>
      <c r="L258" s="45">
        <f>IF(2034&lt;sNsmrCodU1+J258/12,0,(nNsmrCap+nNsmrOpx*(1+sNsmrOpxEsc)^8+nNsmrFuel*FuelEsc*(1+nFuelCagr)^8-nNsmrItc)*IF(2034&lt;sNsmrCodU1+J258/12+nStepFirst,1,IF(nStepGated="Yes",(1+nStepPct)^(INT((2034-sNsmrCodU1-J258/12-nStepFirst)/nStepEvery)+1),1))+nExclPrem*(1-nFlexRelief)-nProdCredit)</f>
        <v/>
      </c>
      <c r="M258" s="63">
        <f>MIN(nShortfallCapM,MAX(0,sNsmrAvailY2-K258)*sNsmrUnitMw*sNsmrUnits*8760*NsmrPrice2033/1000000)</f>
        <v/>
      </c>
      <c r="N258" s="82">
        <f>IF(RAND()&lt;0.5,nUsefulLifeDrawBase-(nUsefulLifeDrawBase-nUsefulLifeDrawMin)*BETA.INV(RAND(),1.15,1.15),nUsefulLifeDrawBase+(nUsefulLifeDrawMax-nUsefulLifeDrawBase)*BETA.INV(RAND(),1.15,1.15))</f>
        <v/>
      </c>
      <c r="O258" s="45">
        <f>((nInference*nGpuIdx+nAmort)*nUtilCal/D258)*(nUsefulLifeDrawBase/N258-1)</f>
        <v/>
      </c>
      <c r="P258" s="1" t="n"/>
      <c r="Q258" s="1" t="n"/>
      <c r="R258" s="1" t="n"/>
      <c r="S258" s="1" t="n"/>
      <c r="T258" s="1" t="n"/>
      <c r="U258" s="1" t="n"/>
    </row>
    <row r="259" ht="12" customHeight="1">
      <c r="A259" s="1" t="n"/>
      <c r="B259" s="38" t="n">
        <v>239</v>
      </c>
      <c r="C259" s="114">
        <f>Assumptions!$F$8+RAND()*(Assumptions!$D$8-Assumptions!$F$8)</f>
        <v/>
      </c>
      <c r="D259" s="114">
        <f>Assumptions!$D$9+RAND()*(Assumptions!$F$9-Assumptions!$D$9)</f>
        <v/>
      </c>
      <c r="E259" s="71">
        <f>Assumptions!$F$11+RAND()*(Assumptions!$D$11-Assumptions!$F$11)</f>
        <v/>
      </c>
      <c r="F259" s="45">
        <f>nListPrice*(1-C259)-(nInference*nGpuIdx+nAmort)*nUtilCal/D259-nNetworking-nOverheadBase*(E259/nPowerCal)-nCodBase*(1+I259/12)-O259</f>
        <v/>
      </c>
      <c r="G259" s="66">
        <f>MAX(F259,0)/nDebtService</f>
        <v/>
      </c>
      <c r="H259" s="71">
        <f>Anthropic!$J$18*Anthropic!$J$27+Anthropic!$J$19*Anthropic!$J$28+Anthropic!$J$20*Anthropic!$J$29+Anthropic!$J$21*E259*(1+nPowerCagr)^4*(1+nResidualBasisMarkup+nScarcityAlpha*POWER(Anthropic!$J$21,nScarcityGamma))</f>
        <v/>
      </c>
      <c r="I259" s="113">
        <f>Assumptions!$F$10+RAND()*(Assumptions!$D$10-Assumptions!$F$10)</f>
        <v/>
      </c>
      <c r="J259" s="113">
        <f>RAND()*nCodSlipMaxMo</f>
        <v/>
      </c>
      <c r="K259" s="114">
        <f>nAvailDrawMin+RAND()*(nAvailDrawMax-nAvailDrawMin)</f>
        <v/>
      </c>
      <c r="L259" s="45">
        <f>IF(2034&lt;sNsmrCodU1+J259/12,0,(nNsmrCap+nNsmrOpx*(1+sNsmrOpxEsc)^8+nNsmrFuel*FuelEsc*(1+nFuelCagr)^8-nNsmrItc)*IF(2034&lt;sNsmrCodU1+J259/12+nStepFirst,1,IF(nStepGated="Yes",(1+nStepPct)^(INT((2034-sNsmrCodU1-J259/12-nStepFirst)/nStepEvery)+1),1))+nExclPrem*(1-nFlexRelief)-nProdCredit)</f>
        <v/>
      </c>
      <c r="M259" s="63">
        <f>MIN(nShortfallCapM,MAX(0,sNsmrAvailY2-K259)*sNsmrUnitMw*sNsmrUnits*8760*NsmrPrice2033/1000000)</f>
        <v/>
      </c>
      <c r="N259" s="82">
        <f>IF(RAND()&lt;0.5,nUsefulLifeDrawBase-(nUsefulLifeDrawBase-nUsefulLifeDrawMin)*BETA.INV(RAND(),1.15,1.15),nUsefulLifeDrawBase+(nUsefulLifeDrawMax-nUsefulLifeDrawBase)*BETA.INV(RAND(),1.15,1.15))</f>
        <v/>
      </c>
      <c r="O259" s="45">
        <f>((nInference*nGpuIdx+nAmort)*nUtilCal/D259)*(nUsefulLifeDrawBase/N259-1)</f>
        <v/>
      </c>
      <c r="P259" s="1" t="n"/>
      <c r="Q259" s="1" t="n"/>
      <c r="R259" s="1" t="n"/>
      <c r="S259" s="1" t="n"/>
      <c r="T259" s="1" t="n"/>
      <c r="U259" s="1" t="n"/>
    </row>
    <row r="260" ht="12" customHeight="1">
      <c r="A260" s="1" t="n"/>
      <c r="B260" s="38" t="n">
        <v>240</v>
      </c>
      <c r="C260" s="114">
        <f>Assumptions!$F$8+RAND()*(Assumptions!$D$8-Assumptions!$F$8)</f>
        <v/>
      </c>
      <c r="D260" s="114">
        <f>Assumptions!$D$9+RAND()*(Assumptions!$F$9-Assumptions!$D$9)</f>
        <v/>
      </c>
      <c r="E260" s="71">
        <f>Assumptions!$F$11+RAND()*(Assumptions!$D$11-Assumptions!$F$11)</f>
        <v/>
      </c>
      <c r="F260" s="45">
        <f>nListPrice*(1-C260)-(nInference*nGpuIdx+nAmort)*nUtilCal/D260-nNetworking-nOverheadBase*(E260/nPowerCal)-nCodBase*(1+I260/12)-O260</f>
        <v/>
      </c>
      <c r="G260" s="66">
        <f>MAX(F260,0)/nDebtService</f>
        <v/>
      </c>
      <c r="H260" s="71">
        <f>Anthropic!$J$18*Anthropic!$J$27+Anthropic!$J$19*Anthropic!$J$28+Anthropic!$J$20*Anthropic!$J$29+Anthropic!$J$21*E260*(1+nPowerCagr)^4*(1+nResidualBasisMarkup+nScarcityAlpha*POWER(Anthropic!$J$21,nScarcityGamma))</f>
        <v/>
      </c>
      <c r="I260" s="113">
        <f>Assumptions!$F$10+RAND()*(Assumptions!$D$10-Assumptions!$F$10)</f>
        <v/>
      </c>
      <c r="J260" s="113">
        <f>RAND()*nCodSlipMaxMo</f>
        <v/>
      </c>
      <c r="K260" s="114">
        <f>nAvailDrawMin+RAND()*(nAvailDrawMax-nAvailDrawMin)</f>
        <v/>
      </c>
      <c r="L260" s="45">
        <f>IF(2034&lt;sNsmrCodU1+J260/12,0,(nNsmrCap+nNsmrOpx*(1+sNsmrOpxEsc)^8+nNsmrFuel*FuelEsc*(1+nFuelCagr)^8-nNsmrItc)*IF(2034&lt;sNsmrCodU1+J260/12+nStepFirst,1,IF(nStepGated="Yes",(1+nStepPct)^(INT((2034-sNsmrCodU1-J260/12-nStepFirst)/nStepEvery)+1),1))+nExclPrem*(1-nFlexRelief)-nProdCredit)</f>
        <v/>
      </c>
      <c r="M260" s="63">
        <f>MIN(nShortfallCapM,MAX(0,sNsmrAvailY2-K260)*sNsmrUnitMw*sNsmrUnits*8760*NsmrPrice2033/1000000)</f>
        <v/>
      </c>
      <c r="N260" s="82">
        <f>IF(RAND()&lt;0.5,nUsefulLifeDrawBase-(nUsefulLifeDrawBase-nUsefulLifeDrawMin)*BETA.INV(RAND(),1.15,1.15),nUsefulLifeDrawBase+(nUsefulLifeDrawMax-nUsefulLifeDrawBase)*BETA.INV(RAND(),1.15,1.15))</f>
        <v/>
      </c>
      <c r="O260" s="45">
        <f>((nInference*nGpuIdx+nAmort)*nUtilCal/D260)*(nUsefulLifeDrawBase/N260-1)</f>
        <v/>
      </c>
      <c r="P260" s="1" t="n"/>
      <c r="Q260" s="1" t="n"/>
      <c r="R260" s="1" t="n"/>
      <c r="S260" s="1" t="n"/>
      <c r="T260" s="1" t="n"/>
      <c r="U260" s="1" t="n"/>
    </row>
    <row r="261" ht="12" customHeight="1">
      <c r="A261" s="1" t="n"/>
      <c r="B261" s="38" t="n">
        <v>241</v>
      </c>
      <c r="C261" s="114">
        <f>Assumptions!$F$8+RAND()*(Assumptions!$D$8-Assumptions!$F$8)</f>
        <v/>
      </c>
      <c r="D261" s="114">
        <f>Assumptions!$D$9+RAND()*(Assumptions!$F$9-Assumptions!$D$9)</f>
        <v/>
      </c>
      <c r="E261" s="71">
        <f>Assumptions!$F$11+RAND()*(Assumptions!$D$11-Assumptions!$F$11)</f>
        <v/>
      </c>
      <c r="F261" s="45">
        <f>nListPrice*(1-C261)-(nInference*nGpuIdx+nAmort)*nUtilCal/D261-nNetworking-nOverheadBase*(E261/nPowerCal)-nCodBase*(1+I261/12)-O261</f>
        <v/>
      </c>
      <c r="G261" s="66">
        <f>MAX(F261,0)/nDebtService</f>
        <v/>
      </c>
      <c r="H261" s="71">
        <f>Anthropic!$J$18*Anthropic!$J$27+Anthropic!$J$19*Anthropic!$J$28+Anthropic!$J$20*Anthropic!$J$29+Anthropic!$J$21*E261*(1+nPowerCagr)^4*(1+nResidualBasisMarkup+nScarcityAlpha*POWER(Anthropic!$J$21,nScarcityGamma))</f>
        <v/>
      </c>
      <c r="I261" s="113">
        <f>Assumptions!$F$10+RAND()*(Assumptions!$D$10-Assumptions!$F$10)</f>
        <v/>
      </c>
      <c r="J261" s="113">
        <f>RAND()*nCodSlipMaxMo</f>
        <v/>
      </c>
      <c r="K261" s="114">
        <f>nAvailDrawMin+RAND()*(nAvailDrawMax-nAvailDrawMin)</f>
        <v/>
      </c>
      <c r="L261" s="45">
        <f>IF(2034&lt;sNsmrCodU1+J261/12,0,(nNsmrCap+nNsmrOpx*(1+sNsmrOpxEsc)^8+nNsmrFuel*FuelEsc*(1+nFuelCagr)^8-nNsmrItc)*IF(2034&lt;sNsmrCodU1+J261/12+nStepFirst,1,IF(nStepGated="Yes",(1+nStepPct)^(INT((2034-sNsmrCodU1-J261/12-nStepFirst)/nStepEvery)+1),1))+nExclPrem*(1-nFlexRelief)-nProdCredit)</f>
        <v/>
      </c>
      <c r="M261" s="63">
        <f>MIN(nShortfallCapM,MAX(0,sNsmrAvailY2-K261)*sNsmrUnitMw*sNsmrUnits*8760*NsmrPrice2033/1000000)</f>
        <v/>
      </c>
      <c r="N261" s="82">
        <f>IF(RAND()&lt;0.5,nUsefulLifeDrawBase-(nUsefulLifeDrawBase-nUsefulLifeDrawMin)*BETA.INV(RAND(),1.15,1.15),nUsefulLifeDrawBase+(nUsefulLifeDrawMax-nUsefulLifeDrawBase)*BETA.INV(RAND(),1.15,1.15))</f>
        <v/>
      </c>
      <c r="O261" s="45">
        <f>((nInference*nGpuIdx+nAmort)*nUtilCal/D261)*(nUsefulLifeDrawBase/N261-1)</f>
        <v/>
      </c>
      <c r="P261" s="1" t="n"/>
      <c r="Q261" s="1" t="n"/>
      <c r="R261" s="1" t="n"/>
      <c r="S261" s="1" t="n"/>
      <c r="T261" s="1" t="n"/>
      <c r="U261" s="1" t="n"/>
    </row>
    <row r="262" ht="12" customHeight="1">
      <c r="A262" s="1" t="n"/>
      <c r="B262" s="38" t="n">
        <v>242</v>
      </c>
      <c r="C262" s="114">
        <f>Assumptions!$F$8+RAND()*(Assumptions!$D$8-Assumptions!$F$8)</f>
        <v/>
      </c>
      <c r="D262" s="114">
        <f>Assumptions!$D$9+RAND()*(Assumptions!$F$9-Assumptions!$D$9)</f>
        <v/>
      </c>
      <c r="E262" s="71">
        <f>Assumptions!$F$11+RAND()*(Assumptions!$D$11-Assumptions!$F$11)</f>
        <v/>
      </c>
      <c r="F262" s="45">
        <f>nListPrice*(1-C262)-(nInference*nGpuIdx+nAmort)*nUtilCal/D262-nNetworking-nOverheadBase*(E262/nPowerCal)-nCodBase*(1+I262/12)-O262</f>
        <v/>
      </c>
      <c r="G262" s="66">
        <f>MAX(F262,0)/nDebtService</f>
        <v/>
      </c>
      <c r="H262" s="71">
        <f>Anthropic!$J$18*Anthropic!$J$27+Anthropic!$J$19*Anthropic!$J$28+Anthropic!$J$20*Anthropic!$J$29+Anthropic!$J$21*E262*(1+nPowerCagr)^4*(1+nResidualBasisMarkup+nScarcityAlpha*POWER(Anthropic!$J$21,nScarcityGamma))</f>
        <v/>
      </c>
      <c r="I262" s="113">
        <f>Assumptions!$F$10+RAND()*(Assumptions!$D$10-Assumptions!$F$10)</f>
        <v/>
      </c>
      <c r="J262" s="113">
        <f>RAND()*nCodSlipMaxMo</f>
        <v/>
      </c>
      <c r="K262" s="114">
        <f>nAvailDrawMin+RAND()*(nAvailDrawMax-nAvailDrawMin)</f>
        <v/>
      </c>
      <c r="L262" s="45">
        <f>IF(2034&lt;sNsmrCodU1+J262/12,0,(nNsmrCap+nNsmrOpx*(1+sNsmrOpxEsc)^8+nNsmrFuel*FuelEsc*(1+nFuelCagr)^8-nNsmrItc)*IF(2034&lt;sNsmrCodU1+J262/12+nStepFirst,1,IF(nStepGated="Yes",(1+nStepPct)^(INT((2034-sNsmrCodU1-J262/12-nStepFirst)/nStepEvery)+1),1))+nExclPrem*(1-nFlexRelief)-nProdCredit)</f>
        <v/>
      </c>
      <c r="M262" s="63">
        <f>MIN(nShortfallCapM,MAX(0,sNsmrAvailY2-K262)*sNsmrUnitMw*sNsmrUnits*8760*NsmrPrice2033/1000000)</f>
        <v/>
      </c>
      <c r="N262" s="82">
        <f>IF(RAND()&lt;0.5,nUsefulLifeDrawBase-(nUsefulLifeDrawBase-nUsefulLifeDrawMin)*BETA.INV(RAND(),1.15,1.15),nUsefulLifeDrawBase+(nUsefulLifeDrawMax-nUsefulLifeDrawBase)*BETA.INV(RAND(),1.15,1.15))</f>
        <v/>
      </c>
      <c r="O262" s="45">
        <f>((nInference*nGpuIdx+nAmort)*nUtilCal/D262)*(nUsefulLifeDrawBase/N262-1)</f>
        <v/>
      </c>
      <c r="P262" s="1" t="n"/>
      <c r="Q262" s="1" t="n"/>
      <c r="R262" s="1" t="n"/>
      <c r="S262" s="1" t="n"/>
      <c r="T262" s="1" t="n"/>
      <c r="U262" s="1" t="n"/>
    </row>
    <row r="263" ht="12" customHeight="1">
      <c r="A263" s="1" t="n"/>
      <c r="B263" s="38" t="n">
        <v>243</v>
      </c>
      <c r="C263" s="114">
        <f>Assumptions!$F$8+RAND()*(Assumptions!$D$8-Assumptions!$F$8)</f>
        <v/>
      </c>
      <c r="D263" s="114">
        <f>Assumptions!$D$9+RAND()*(Assumptions!$F$9-Assumptions!$D$9)</f>
        <v/>
      </c>
      <c r="E263" s="71">
        <f>Assumptions!$F$11+RAND()*(Assumptions!$D$11-Assumptions!$F$11)</f>
        <v/>
      </c>
      <c r="F263" s="45">
        <f>nListPrice*(1-C263)-(nInference*nGpuIdx+nAmort)*nUtilCal/D263-nNetworking-nOverheadBase*(E263/nPowerCal)-nCodBase*(1+I263/12)-O263</f>
        <v/>
      </c>
      <c r="G263" s="66">
        <f>MAX(F263,0)/nDebtService</f>
        <v/>
      </c>
      <c r="H263" s="71">
        <f>Anthropic!$J$18*Anthropic!$J$27+Anthropic!$J$19*Anthropic!$J$28+Anthropic!$J$20*Anthropic!$J$29+Anthropic!$J$21*E263*(1+nPowerCagr)^4*(1+nResidualBasisMarkup+nScarcityAlpha*POWER(Anthropic!$J$21,nScarcityGamma))</f>
        <v/>
      </c>
      <c r="I263" s="113">
        <f>Assumptions!$F$10+RAND()*(Assumptions!$D$10-Assumptions!$F$10)</f>
        <v/>
      </c>
      <c r="J263" s="113">
        <f>RAND()*nCodSlipMaxMo</f>
        <v/>
      </c>
      <c r="K263" s="114">
        <f>nAvailDrawMin+RAND()*(nAvailDrawMax-nAvailDrawMin)</f>
        <v/>
      </c>
      <c r="L263" s="45">
        <f>IF(2034&lt;sNsmrCodU1+J263/12,0,(nNsmrCap+nNsmrOpx*(1+sNsmrOpxEsc)^8+nNsmrFuel*FuelEsc*(1+nFuelCagr)^8-nNsmrItc)*IF(2034&lt;sNsmrCodU1+J263/12+nStepFirst,1,IF(nStepGated="Yes",(1+nStepPct)^(INT((2034-sNsmrCodU1-J263/12-nStepFirst)/nStepEvery)+1),1))+nExclPrem*(1-nFlexRelief)-nProdCredit)</f>
        <v/>
      </c>
      <c r="M263" s="63">
        <f>MIN(nShortfallCapM,MAX(0,sNsmrAvailY2-K263)*sNsmrUnitMw*sNsmrUnits*8760*NsmrPrice2033/1000000)</f>
        <v/>
      </c>
      <c r="N263" s="82">
        <f>IF(RAND()&lt;0.5,nUsefulLifeDrawBase-(nUsefulLifeDrawBase-nUsefulLifeDrawMin)*BETA.INV(RAND(),1.15,1.15),nUsefulLifeDrawBase+(nUsefulLifeDrawMax-nUsefulLifeDrawBase)*BETA.INV(RAND(),1.15,1.15))</f>
        <v/>
      </c>
      <c r="O263" s="45">
        <f>((nInference*nGpuIdx+nAmort)*nUtilCal/D263)*(nUsefulLifeDrawBase/N263-1)</f>
        <v/>
      </c>
      <c r="P263" s="1" t="n"/>
      <c r="Q263" s="1" t="n"/>
      <c r="R263" s="1" t="n"/>
      <c r="S263" s="1" t="n"/>
      <c r="T263" s="1" t="n"/>
      <c r="U263" s="1" t="n"/>
    </row>
    <row r="264" ht="12" customHeight="1">
      <c r="A264" s="1" t="n"/>
      <c r="B264" s="38" t="n">
        <v>244</v>
      </c>
      <c r="C264" s="114">
        <f>Assumptions!$F$8+RAND()*(Assumptions!$D$8-Assumptions!$F$8)</f>
        <v/>
      </c>
      <c r="D264" s="114">
        <f>Assumptions!$D$9+RAND()*(Assumptions!$F$9-Assumptions!$D$9)</f>
        <v/>
      </c>
      <c r="E264" s="71">
        <f>Assumptions!$F$11+RAND()*(Assumptions!$D$11-Assumptions!$F$11)</f>
        <v/>
      </c>
      <c r="F264" s="45">
        <f>nListPrice*(1-C264)-(nInference*nGpuIdx+nAmort)*nUtilCal/D264-nNetworking-nOverheadBase*(E264/nPowerCal)-nCodBase*(1+I264/12)-O264</f>
        <v/>
      </c>
      <c r="G264" s="66">
        <f>MAX(F264,0)/nDebtService</f>
        <v/>
      </c>
      <c r="H264" s="71">
        <f>Anthropic!$J$18*Anthropic!$J$27+Anthropic!$J$19*Anthropic!$J$28+Anthropic!$J$20*Anthropic!$J$29+Anthropic!$J$21*E264*(1+nPowerCagr)^4*(1+nResidualBasisMarkup+nScarcityAlpha*POWER(Anthropic!$J$21,nScarcityGamma))</f>
        <v/>
      </c>
      <c r="I264" s="113">
        <f>Assumptions!$F$10+RAND()*(Assumptions!$D$10-Assumptions!$F$10)</f>
        <v/>
      </c>
      <c r="J264" s="113">
        <f>RAND()*nCodSlipMaxMo</f>
        <v/>
      </c>
      <c r="K264" s="114">
        <f>nAvailDrawMin+RAND()*(nAvailDrawMax-nAvailDrawMin)</f>
        <v/>
      </c>
      <c r="L264" s="45">
        <f>IF(2034&lt;sNsmrCodU1+J264/12,0,(nNsmrCap+nNsmrOpx*(1+sNsmrOpxEsc)^8+nNsmrFuel*FuelEsc*(1+nFuelCagr)^8-nNsmrItc)*IF(2034&lt;sNsmrCodU1+J264/12+nStepFirst,1,IF(nStepGated="Yes",(1+nStepPct)^(INT((2034-sNsmrCodU1-J264/12-nStepFirst)/nStepEvery)+1),1))+nExclPrem*(1-nFlexRelief)-nProdCredit)</f>
        <v/>
      </c>
      <c r="M264" s="63">
        <f>MIN(nShortfallCapM,MAX(0,sNsmrAvailY2-K264)*sNsmrUnitMw*sNsmrUnits*8760*NsmrPrice2033/1000000)</f>
        <v/>
      </c>
      <c r="N264" s="82">
        <f>IF(RAND()&lt;0.5,nUsefulLifeDrawBase-(nUsefulLifeDrawBase-nUsefulLifeDrawMin)*BETA.INV(RAND(),1.15,1.15),nUsefulLifeDrawBase+(nUsefulLifeDrawMax-nUsefulLifeDrawBase)*BETA.INV(RAND(),1.15,1.15))</f>
        <v/>
      </c>
      <c r="O264" s="45">
        <f>((nInference*nGpuIdx+nAmort)*nUtilCal/D264)*(nUsefulLifeDrawBase/N264-1)</f>
        <v/>
      </c>
      <c r="P264" s="1" t="n"/>
      <c r="Q264" s="1" t="n"/>
      <c r="R264" s="1" t="n"/>
      <c r="S264" s="1" t="n"/>
      <c r="T264" s="1" t="n"/>
      <c r="U264" s="1" t="n"/>
    </row>
    <row r="265" ht="12" customHeight="1">
      <c r="A265" s="1" t="n"/>
      <c r="B265" s="38" t="n">
        <v>245</v>
      </c>
      <c r="C265" s="114">
        <f>Assumptions!$F$8+RAND()*(Assumptions!$D$8-Assumptions!$F$8)</f>
        <v/>
      </c>
      <c r="D265" s="114">
        <f>Assumptions!$D$9+RAND()*(Assumptions!$F$9-Assumptions!$D$9)</f>
        <v/>
      </c>
      <c r="E265" s="71">
        <f>Assumptions!$F$11+RAND()*(Assumptions!$D$11-Assumptions!$F$11)</f>
        <v/>
      </c>
      <c r="F265" s="45">
        <f>nListPrice*(1-C265)-(nInference*nGpuIdx+nAmort)*nUtilCal/D265-nNetworking-nOverheadBase*(E265/nPowerCal)-nCodBase*(1+I265/12)-O265</f>
        <v/>
      </c>
      <c r="G265" s="66">
        <f>MAX(F265,0)/nDebtService</f>
        <v/>
      </c>
      <c r="H265" s="71">
        <f>Anthropic!$J$18*Anthropic!$J$27+Anthropic!$J$19*Anthropic!$J$28+Anthropic!$J$20*Anthropic!$J$29+Anthropic!$J$21*E265*(1+nPowerCagr)^4*(1+nResidualBasisMarkup+nScarcityAlpha*POWER(Anthropic!$J$21,nScarcityGamma))</f>
        <v/>
      </c>
      <c r="I265" s="113">
        <f>Assumptions!$F$10+RAND()*(Assumptions!$D$10-Assumptions!$F$10)</f>
        <v/>
      </c>
      <c r="J265" s="113">
        <f>RAND()*nCodSlipMaxMo</f>
        <v/>
      </c>
      <c r="K265" s="114">
        <f>nAvailDrawMin+RAND()*(nAvailDrawMax-nAvailDrawMin)</f>
        <v/>
      </c>
      <c r="L265" s="45">
        <f>IF(2034&lt;sNsmrCodU1+J265/12,0,(nNsmrCap+nNsmrOpx*(1+sNsmrOpxEsc)^8+nNsmrFuel*FuelEsc*(1+nFuelCagr)^8-nNsmrItc)*IF(2034&lt;sNsmrCodU1+J265/12+nStepFirst,1,IF(nStepGated="Yes",(1+nStepPct)^(INT((2034-sNsmrCodU1-J265/12-nStepFirst)/nStepEvery)+1),1))+nExclPrem*(1-nFlexRelief)-nProdCredit)</f>
        <v/>
      </c>
      <c r="M265" s="63">
        <f>MIN(nShortfallCapM,MAX(0,sNsmrAvailY2-K265)*sNsmrUnitMw*sNsmrUnits*8760*NsmrPrice2033/1000000)</f>
        <v/>
      </c>
      <c r="N265" s="82">
        <f>IF(RAND()&lt;0.5,nUsefulLifeDrawBase-(nUsefulLifeDrawBase-nUsefulLifeDrawMin)*BETA.INV(RAND(),1.15,1.15),nUsefulLifeDrawBase+(nUsefulLifeDrawMax-nUsefulLifeDrawBase)*BETA.INV(RAND(),1.15,1.15))</f>
        <v/>
      </c>
      <c r="O265" s="45">
        <f>((nInference*nGpuIdx+nAmort)*nUtilCal/D265)*(nUsefulLifeDrawBase/N265-1)</f>
        <v/>
      </c>
      <c r="P265" s="1" t="n"/>
      <c r="Q265" s="1" t="n"/>
      <c r="R265" s="1" t="n"/>
      <c r="S265" s="1" t="n"/>
      <c r="T265" s="1" t="n"/>
      <c r="U265" s="1" t="n"/>
    </row>
    <row r="266" ht="12" customHeight="1">
      <c r="A266" s="1" t="n"/>
      <c r="B266" s="38" t="n">
        <v>246</v>
      </c>
      <c r="C266" s="114">
        <f>Assumptions!$F$8+RAND()*(Assumptions!$D$8-Assumptions!$F$8)</f>
        <v/>
      </c>
      <c r="D266" s="114">
        <f>Assumptions!$D$9+RAND()*(Assumptions!$F$9-Assumptions!$D$9)</f>
        <v/>
      </c>
      <c r="E266" s="71">
        <f>Assumptions!$F$11+RAND()*(Assumptions!$D$11-Assumptions!$F$11)</f>
        <v/>
      </c>
      <c r="F266" s="45">
        <f>nListPrice*(1-C266)-(nInference*nGpuIdx+nAmort)*nUtilCal/D266-nNetworking-nOverheadBase*(E266/nPowerCal)-nCodBase*(1+I266/12)-O266</f>
        <v/>
      </c>
      <c r="G266" s="66">
        <f>MAX(F266,0)/nDebtService</f>
        <v/>
      </c>
      <c r="H266" s="71">
        <f>Anthropic!$J$18*Anthropic!$J$27+Anthropic!$J$19*Anthropic!$J$28+Anthropic!$J$20*Anthropic!$J$29+Anthropic!$J$21*E266*(1+nPowerCagr)^4*(1+nResidualBasisMarkup+nScarcityAlpha*POWER(Anthropic!$J$21,nScarcityGamma))</f>
        <v/>
      </c>
      <c r="I266" s="113">
        <f>Assumptions!$F$10+RAND()*(Assumptions!$D$10-Assumptions!$F$10)</f>
        <v/>
      </c>
      <c r="J266" s="113">
        <f>RAND()*nCodSlipMaxMo</f>
        <v/>
      </c>
      <c r="K266" s="114">
        <f>nAvailDrawMin+RAND()*(nAvailDrawMax-nAvailDrawMin)</f>
        <v/>
      </c>
      <c r="L266" s="45">
        <f>IF(2034&lt;sNsmrCodU1+J266/12,0,(nNsmrCap+nNsmrOpx*(1+sNsmrOpxEsc)^8+nNsmrFuel*FuelEsc*(1+nFuelCagr)^8-nNsmrItc)*IF(2034&lt;sNsmrCodU1+J266/12+nStepFirst,1,IF(nStepGated="Yes",(1+nStepPct)^(INT((2034-sNsmrCodU1-J266/12-nStepFirst)/nStepEvery)+1),1))+nExclPrem*(1-nFlexRelief)-nProdCredit)</f>
        <v/>
      </c>
      <c r="M266" s="63">
        <f>MIN(nShortfallCapM,MAX(0,sNsmrAvailY2-K266)*sNsmrUnitMw*sNsmrUnits*8760*NsmrPrice2033/1000000)</f>
        <v/>
      </c>
      <c r="N266" s="82">
        <f>IF(RAND()&lt;0.5,nUsefulLifeDrawBase-(nUsefulLifeDrawBase-nUsefulLifeDrawMin)*BETA.INV(RAND(),1.15,1.15),nUsefulLifeDrawBase+(nUsefulLifeDrawMax-nUsefulLifeDrawBase)*BETA.INV(RAND(),1.15,1.15))</f>
        <v/>
      </c>
      <c r="O266" s="45">
        <f>((nInference*nGpuIdx+nAmort)*nUtilCal/D266)*(nUsefulLifeDrawBase/N266-1)</f>
        <v/>
      </c>
      <c r="P266" s="1" t="n"/>
      <c r="Q266" s="1" t="n"/>
      <c r="R266" s="1" t="n"/>
      <c r="S266" s="1" t="n"/>
      <c r="T266" s="1" t="n"/>
      <c r="U266" s="1" t="n"/>
    </row>
    <row r="267" ht="12" customHeight="1">
      <c r="A267" s="1" t="n"/>
      <c r="B267" s="38" t="n">
        <v>247</v>
      </c>
      <c r="C267" s="114">
        <f>Assumptions!$F$8+RAND()*(Assumptions!$D$8-Assumptions!$F$8)</f>
        <v/>
      </c>
      <c r="D267" s="114">
        <f>Assumptions!$D$9+RAND()*(Assumptions!$F$9-Assumptions!$D$9)</f>
        <v/>
      </c>
      <c r="E267" s="71">
        <f>Assumptions!$F$11+RAND()*(Assumptions!$D$11-Assumptions!$F$11)</f>
        <v/>
      </c>
      <c r="F267" s="45">
        <f>nListPrice*(1-C267)-(nInference*nGpuIdx+nAmort)*nUtilCal/D267-nNetworking-nOverheadBase*(E267/nPowerCal)-nCodBase*(1+I267/12)-O267</f>
        <v/>
      </c>
      <c r="G267" s="66">
        <f>MAX(F267,0)/nDebtService</f>
        <v/>
      </c>
      <c r="H267" s="71">
        <f>Anthropic!$J$18*Anthropic!$J$27+Anthropic!$J$19*Anthropic!$J$28+Anthropic!$J$20*Anthropic!$J$29+Anthropic!$J$21*E267*(1+nPowerCagr)^4*(1+nResidualBasisMarkup+nScarcityAlpha*POWER(Anthropic!$J$21,nScarcityGamma))</f>
        <v/>
      </c>
      <c r="I267" s="113">
        <f>Assumptions!$F$10+RAND()*(Assumptions!$D$10-Assumptions!$F$10)</f>
        <v/>
      </c>
      <c r="J267" s="113">
        <f>RAND()*nCodSlipMaxMo</f>
        <v/>
      </c>
      <c r="K267" s="114">
        <f>nAvailDrawMin+RAND()*(nAvailDrawMax-nAvailDrawMin)</f>
        <v/>
      </c>
      <c r="L267" s="45">
        <f>IF(2034&lt;sNsmrCodU1+J267/12,0,(nNsmrCap+nNsmrOpx*(1+sNsmrOpxEsc)^8+nNsmrFuel*FuelEsc*(1+nFuelCagr)^8-nNsmrItc)*IF(2034&lt;sNsmrCodU1+J267/12+nStepFirst,1,IF(nStepGated="Yes",(1+nStepPct)^(INT((2034-sNsmrCodU1-J267/12-nStepFirst)/nStepEvery)+1),1))+nExclPrem*(1-nFlexRelief)-nProdCredit)</f>
        <v/>
      </c>
      <c r="M267" s="63">
        <f>MIN(nShortfallCapM,MAX(0,sNsmrAvailY2-K267)*sNsmrUnitMw*sNsmrUnits*8760*NsmrPrice2033/1000000)</f>
        <v/>
      </c>
      <c r="N267" s="82">
        <f>IF(RAND()&lt;0.5,nUsefulLifeDrawBase-(nUsefulLifeDrawBase-nUsefulLifeDrawMin)*BETA.INV(RAND(),1.15,1.15),nUsefulLifeDrawBase+(nUsefulLifeDrawMax-nUsefulLifeDrawBase)*BETA.INV(RAND(),1.15,1.15))</f>
        <v/>
      </c>
      <c r="O267" s="45">
        <f>((nInference*nGpuIdx+nAmort)*nUtilCal/D267)*(nUsefulLifeDrawBase/N267-1)</f>
        <v/>
      </c>
      <c r="P267" s="1" t="n"/>
      <c r="Q267" s="1" t="n"/>
      <c r="R267" s="1" t="n"/>
      <c r="S267" s="1" t="n"/>
      <c r="T267" s="1" t="n"/>
      <c r="U267" s="1" t="n"/>
    </row>
    <row r="268" ht="12" customHeight="1">
      <c r="A268" s="1" t="n"/>
      <c r="B268" s="38" t="n">
        <v>248</v>
      </c>
      <c r="C268" s="114">
        <f>Assumptions!$F$8+RAND()*(Assumptions!$D$8-Assumptions!$F$8)</f>
        <v/>
      </c>
      <c r="D268" s="114">
        <f>Assumptions!$D$9+RAND()*(Assumptions!$F$9-Assumptions!$D$9)</f>
        <v/>
      </c>
      <c r="E268" s="71">
        <f>Assumptions!$F$11+RAND()*(Assumptions!$D$11-Assumptions!$F$11)</f>
        <v/>
      </c>
      <c r="F268" s="45">
        <f>nListPrice*(1-C268)-(nInference*nGpuIdx+nAmort)*nUtilCal/D268-nNetworking-nOverheadBase*(E268/nPowerCal)-nCodBase*(1+I268/12)-O268</f>
        <v/>
      </c>
      <c r="G268" s="66">
        <f>MAX(F268,0)/nDebtService</f>
        <v/>
      </c>
      <c r="H268" s="71">
        <f>Anthropic!$J$18*Anthropic!$J$27+Anthropic!$J$19*Anthropic!$J$28+Anthropic!$J$20*Anthropic!$J$29+Anthropic!$J$21*E268*(1+nPowerCagr)^4*(1+nResidualBasisMarkup+nScarcityAlpha*POWER(Anthropic!$J$21,nScarcityGamma))</f>
        <v/>
      </c>
      <c r="I268" s="113">
        <f>Assumptions!$F$10+RAND()*(Assumptions!$D$10-Assumptions!$F$10)</f>
        <v/>
      </c>
      <c r="J268" s="113">
        <f>RAND()*nCodSlipMaxMo</f>
        <v/>
      </c>
      <c r="K268" s="114">
        <f>nAvailDrawMin+RAND()*(nAvailDrawMax-nAvailDrawMin)</f>
        <v/>
      </c>
      <c r="L268" s="45">
        <f>IF(2034&lt;sNsmrCodU1+J268/12,0,(nNsmrCap+nNsmrOpx*(1+sNsmrOpxEsc)^8+nNsmrFuel*FuelEsc*(1+nFuelCagr)^8-nNsmrItc)*IF(2034&lt;sNsmrCodU1+J268/12+nStepFirst,1,IF(nStepGated="Yes",(1+nStepPct)^(INT((2034-sNsmrCodU1-J268/12-nStepFirst)/nStepEvery)+1),1))+nExclPrem*(1-nFlexRelief)-nProdCredit)</f>
        <v/>
      </c>
      <c r="M268" s="63">
        <f>MIN(nShortfallCapM,MAX(0,sNsmrAvailY2-K268)*sNsmrUnitMw*sNsmrUnits*8760*NsmrPrice2033/1000000)</f>
        <v/>
      </c>
      <c r="N268" s="82">
        <f>IF(RAND()&lt;0.5,nUsefulLifeDrawBase-(nUsefulLifeDrawBase-nUsefulLifeDrawMin)*BETA.INV(RAND(),1.15,1.15),nUsefulLifeDrawBase+(nUsefulLifeDrawMax-nUsefulLifeDrawBase)*BETA.INV(RAND(),1.15,1.15))</f>
        <v/>
      </c>
      <c r="O268" s="45">
        <f>((nInference*nGpuIdx+nAmort)*nUtilCal/D268)*(nUsefulLifeDrawBase/N268-1)</f>
        <v/>
      </c>
      <c r="P268" s="1" t="n"/>
      <c r="Q268" s="1" t="n"/>
      <c r="R268" s="1" t="n"/>
      <c r="S268" s="1" t="n"/>
      <c r="T268" s="1" t="n"/>
      <c r="U268" s="1" t="n"/>
    </row>
    <row r="269" ht="12" customHeight="1">
      <c r="A269" s="1" t="n"/>
      <c r="B269" s="38" t="n">
        <v>249</v>
      </c>
      <c r="C269" s="114">
        <f>Assumptions!$F$8+RAND()*(Assumptions!$D$8-Assumptions!$F$8)</f>
        <v/>
      </c>
      <c r="D269" s="114">
        <f>Assumptions!$D$9+RAND()*(Assumptions!$F$9-Assumptions!$D$9)</f>
        <v/>
      </c>
      <c r="E269" s="71">
        <f>Assumptions!$F$11+RAND()*(Assumptions!$D$11-Assumptions!$F$11)</f>
        <v/>
      </c>
      <c r="F269" s="45">
        <f>nListPrice*(1-C269)-(nInference*nGpuIdx+nAmort)*nUtilCal/D269-nNetworking-nOverheadBase*(E269/nPowerCal)-nCodBase*(1+I269/12)-O269</f>
        <v/>
      </c>
      <c r="G269" s="66">
        <f>MAX(F269,0)/nDebtService</f>
        <v/>
      </c>
      <c r="H269" s="71">
        <f>Anthropic!$J$18*Anthropic!$J$27+Anthropic!$J$19*Anthropic!$J$28+Anthropic!$J$20*Anthropic!$J$29+Anthropic!$J$21*E269*(1+nPowerCagr)^4*(1+nResidualBasisMarkup+nScarcityAlpha*POWER(Anthropic!$J$21,nScarcityGamma))</f>
        <v/>
      </c>
      <c r="I269" s="113">
        <f>Assumptions!$F$10+RAND()*(Assumptions!$D$10-Assumptions!$F$10)</f>
        <v/>
      </c>
      <c r="J269" s="113">
        <f>RAND()*nCodSlipMaxMo</f>
        <v/>
      </c>
      <c r="K269" s="114">
        <f>nAvailDrawMin+RAND()*(nAvailDrawMax-nAvailDrawMin)</f>
        <v/>
      </c>
      <c r="L269" s="45">
        <f>IF(2034&lt;sNsmrCodU1+J269/12,0,(nNsmrCap+nNsmrOpx*(1+sNsmrOpxEsc)^8+nNsmrFuel*FuelEsc*(1+nFuelCagr)^8-nNsmrItc)*IF(2034&lt;sNsmrCodU1+J269/12+nStepFirst,1,IF(nStepGated="Yes",(1+nStepPct)^(INT((2034-sNsmrCodU1-J269/12-nStepFirst)/nStepEvery)+1),1))+nExclPrem*(1-nFlexRelief)-nProdCredit)</f>
        <v/>
      </c>
      <c r="M269" s="63">
        <f>MIN(nShortfallCapM,MAX(0,sNsmrAvailY2-K269)*sNsmrUnitMw*sNsmrUnits*8760*NsmrPrice2033/1000000)</f>
        <v/>
      </c>
      <c r="N269" s="82">
        <f>IF(RAND()&lt;0.5,nUsefulLifeDrawBase-(nUsefulLifeDrawBase-nUsefulLifeDrawMin)*BETA.INV(RAND(),1.15,1.15),nUsefulLifeDrawBase+(nUsefulLifeDrawMax-nUsefulLifeDrawBase)*BETA.INV(RAND(),1.15,1.15))</f>
        <v/>
      </c>
      <c r="O269" s="45">
        <f>((nInference*nGpuIdx+nAmort)*nUtilCal/D269)*(nUsefulLifeDrawBase/N269-1)</f>
        <v/>
      </c>
      <c r="P269" s="1" t="n"/>
      <c r="Q269" s="1" t="n"/>
      <c r="R269" s="1" t="n"/>
      <c r="S269" s="1" t="n"/>
      <c r="T269" s="1" t="n"/>
      <c r="U269" s="1" t="n"/>
    </row>
    <row r="270" ht="12" customHeight="1">
      <c r="A270" s="1" t="n"/>
      <c r="B270" s="38" t="n">
        <v>250</v>
      </c>
      <c r="C270" s="114">
        <f>Assumptions!$F$8+RAND()*(Assumptions!$D$8-Assumptions!$F$8)</f>
        <v/>
      </c>
      <c r="D270" s="114">
        <f>Assumptions!$D$9+RAND()*(Assumptions!$F$9-Assumptions!$D$9)</f>
        <v/>
      </c>
      <c r="E270" s="71">
        <f>Assumptions!$F$11+RAND()*(Assumptions!$D$11-Assumptions!$F$11)</f>
        <v/>
      </c>
      <c r="F270" s="45">
        <f>nListPrice*(1-C270)-(nInference*nGpuIdx+nAmort)*nUtilCal/D270-nNetworking-nOverheadBase*(E270/nPowerCal)-nCodBase*(1+I270/12)-O270</f>
        <v/>
      </c>
      <c r="G270" s="66">
        <f>MAX(F270,0)/nDebtService</f>
        <v/>
      </c>
      <c r="H270" s="71">
        <f>Anthropic!$J$18*Anthropic!$J$27+Anthropic!$J$19*Anthropic!$J$28+Anthropic!$J$20*Anthropic!$J$29+Anthropic!$J$21*E270*(1+nPowerCagr)^4*(1+nResidualBasisMarkup+nScarcityAlpha*POWER(Anthropic!$J$21,nScarcityGamma))</f>
        <v/>
      </c>
      <c r="I270" s="113">
        <f>Assumptions!$F$10+RAND()*(Assumptions!$D$10-Assumptions!$F$10)</f>
        <v/>
      </c>
      <c r="J270" s="113">
        <f>RAND()*nCodSlipMaxMo</f>
        <v/>
      </c>
      <c r="K270" s="114">
        <f>nAvailDrawMin+RAND()*(nAvailDrawMax-nAvailDrawMin)</f>
        <v/>
      </c>
      <c r="L270" s="45">
        <f>IF(2034&lt;sNsmrCodU1+J270/12,0,(nNsmrCap+nNsmrOpx*(1+sNsmrOpxEsc)^8+nNsmrFuel*FuelEsc*(1+nFuelCagr)^8-nNsmrItc)*IF(2034&lt;sNsmrCodU1+J270/12+nStepFirst,1,IF(nStepGated="Yes",(1+nStepPct)^(INT((2034-sNsmrCodU1-J270/12-nStepFirst)/nStepEvery)+1),1))+nExclPrem*(1-nFlexRelief)-nProdCredit)</f>
        <v/>
      </c>
      <c r="M270" s="63">
        <f>MIN(nShortfallCapM,MAX(0,sNsmrAvailY2-K270)*sNsmrUnitMw*sNsmrUnits*8760*NsmrPrice2033/1000000)</f>
        <v/>
      </c>
      <c r="N270" s="82">
        <f>IF(RAND()&lt;0.5,nUsefulLifeDrawBase-(nUsefulLifeDrawBase-nUsefulLifeDrawMin)*BETA.INV(RAND(),1.15,1.15),nUsefulLifeDrawBase+(nUsefulLifeDrawMax-nUsefulLifeDrawBase)*BETA.INV(RAND(),1.15,1.15))</f>
        <v/>
      </c>
      <c r="O270" s="45">
        <f>((nInference*nGpuIdx+nAmort)*nUtilCal/D270)*(nUsefulLifeDrawBase/N270-1)</f>
        <v/>
      </c>
      <c r="P270" s="1" t="n"/>
      <c r="Q270" s="1" t="n"/>
      <c r="R270" s="1" t="n"/>
      <c r="S270" s="1" t="n"/>
      <c r="T270" s="1" t="n"/>
      <c r="U270" s="1" t="n"/>
    </row>
    <row r="271" ht="12" customHeight="1">
      <c r="A271" s="1" t="n"/>
      <c r="B271" s="38" t="n">
        <v>251</v>
      </c>
      <c r="C271" s="114">
        <f>Assumptions!$F$8+RAND()*(Assumptions!$D$8-Assumptions!$F$8)</f>
        <v/>
      </c>
      <c r="D271" s="114">
        <f>Assumptions!$D$9+RAND()*(Assumptions!$F$9-Assumptions!$D$9)</f>
        <v/>
      </c>
      <c r="E271" s="71">
        <f>Assumptions!$F$11+RAND()*(Assumptions!$D$11-Assumptions!$F$11)</f>
        <v/>
      </c>
      <c r="F271" s="45">
        <f>nListPrice*(1-C271)-(nInference*nGpuIdx+nAmort)*nUtilCal/D271-nNetworking-nOverheadBase*(E271/nPowerCal)-nCodBase*(1+I271/12)-O271</f>
        <v/>
      </c>
      <c r="G271" s="66">
        <f>MAX(F271,0)/nDebtService</f>
        <v/>
      </c>
      <c r="H271" s="71">
        <f>Anthropic!$J$18*Anthropic!$J$27+Anthropic!$J$19*Anthropic!$J$28+Anthropic!$J$20*Anthropic!$J$29+Anthropic!$J$21*E271*(1+nPowerCagr)^4*(1+nResidualBasisMarkup+nScarcityAlpha*POWER(Anthropic!$J$21,nScarcityGamma))</f>
        <v/>
      </c>
      <c r="I271" s="113">
        <f>Assumptions!$F$10+RAND()*(Assumptions!$D$10-Assumptions!$F$10)</f>
        <v/>
      </c>
      <c r="J271" s="113">
        <f>RAND()*nCodSlipMaxMo</f>
        <v/>
      </c>
      <c r="K271" s="114">
        <f>nAvailDrawMin+RAND()*(nAvailDrawMax-nAvailDrawMin)</f>
        <v/>
      </c>
      <c r="L271" s="45">
        <f>IF(2034&lt;sNsmrCodU1+J271/12,0,(nNsmrCap+nNsmrOpx*(1+sNsmrOpxEsc)^8+nNsmrFuel*FuelEsc*(1+nFuelCagr)^8-nNsmrItc)*IF(2034&lt;sNsmrCodU1+J271/12+nStepFirst,1,IF(nStepGated="Yes",(1+nStepPct)^(INT((2034-sNsmrCodU1-J271/12-nStepFirst)/nStepEvery)+1),1))+nExclPrem*(1-nFlexRelief)-nProdCredit)</f>
        <v/>
      </c>
      <c r="M271" s="63">
        <f>MIN(nShortfallCapM,MAX(0,sNsmrAvailY2-K271)*sNsmrUnitMw*sNsmrUnits*8760*NsmrPrice2033/1000000)</f>
        <v/>
      </c>
      <c r="N271" s="82">
        <f>IF(RAND()&lt;0.5,nUsefulLifeDrawBase-(nUsefulLifeDrawBase-nUsefulLifeDrawMin)*BETA.INV(RAND(),1.15,1.15),nUsefulLifeDrawBase+(nUsefulLifeDrawMax-nUsefulLifeDrawBase)*BETA.INV(RAND(),1.15,1.15))</f>
        <v/>
      </c>
      <c r="O271" s="45">
        <f>((nInference*nGpuIdx+nAmort)*nUtilCal/D271)*(nUsefulLifeDrawBase/N271-1)</f>
        <v/>
      </c>
      <c r="P271" s="1" t="n"/>
      <c r="Q271" s="1" t="n"/>
      <c r="R271" s="1" t="n"/>
      <c r="S271" s="1" t="n"/>
      <c r="T271" s="1" t="n"/>
      <c r="U271" s="1" t="n"/>
    </row>
    <row r="272" ht="12" customHeight="1">
      <c r="A272" s="1" t="n"/>
      <c r="B272" s="38" t="n">
        <v>252</v>
      </c>
      <c r="C272" s="114">
        <f>Assumptions!$F$8+RAND()*(Assumptions!$D$8-Assumptions!$F$8)</f>
        <v/>
      </c>
      <c r="D272" s="114">
        <f>Assumptions!$D$9+RAND()*(Assumptions!$F$9-Assumptions!$D$9)</f>
        <v/>
      </c>
      <c r="E272" s="71">
        <f>Assumptions!$F$11+RAND()*(Assumptions!$D$11-Assumptions!$F$11)</f>
        <v/>
      </c>
      <c r="F272" s="45">
        <f>nListPrice*(1-C272)-(nInference*nGpuIdx+nAmort)*nUtilCal/D272-nNetworking-nOverheadBase*(E272/nPowerCal)-nCodBase*(1+I272/12)-O272</f>
        <v/>
      </c>
      <c r="G272" s="66">
        <f>MAX(F272,0)/nDebtService</f>
        <v/>
      </c>
      <c r="H272" s="71">
        <f>Anthropic!$J$18*Anthropic!$J$27+Anthropic!$J$19*Anthropic!$J$28+Anthropic!$J$20*Anthropic!$J$29+Anthropic!$J$21*E272*(1+nPowerCagr)^4*(1+nResidualBasisMarkup+nScarcityAlpha*POWER(Anthropic!$J$21,nScarcityGamma))</f>
        <v/>
      </c>
      <c r="I272" s="113">
        <f>Assumptions!$F$10+RAND()*(Assumptions!$D$10-Assumptions!$F$10)</f>
        <v/>
      </c>
      <c r="J272" s="113">
        <f>RAND()*nCodSlipMaxMo</f>
        <v/>
      </c>
      <c r="K272" s="114">
        <f>nAvailDrawMin+RAND()*(nAvailDrawMax-nAvailDrawMin)</f>
        <v/>
      </c>
      <c r="L272" s="45">
        <f>IF(2034&lt;sNsmrCodU1+J272/12,0,(nNsmrCap+nNsmrOpx*(1+sNsmrOpxEsc)^8+nNsmrFuel*FuelEsc*(1+nFuelCagr)^8-nNsmrItc)*IF(2034&lt;sNsmrCodU1+J272/12+nStepFirst,1,IF(nStepGated="Yes",(1+nStepPct)^(INT((2034-sNsmrCodU1-J272/12-nStepFirst)/nStepEvery)+1),1))+nExclPrem*(1-nFlexRelief)-nProdCredit)</f>
        <v/>
      </c>
      <c r="M272" s="63">
        <f>MIN(nShortfallCapM,MAX(0,sNsmrAvailY2-K272)*sNsmrUnitMw*sNsmrUnits*8760*NsmrPrice2033/1000000)</f>
        <v/>
      </c>
      <c r="N272" s="82">
        <f>IF(RAND()&lt;0.5,nUsefulLifeDrawBase-(nUsefulLifeDrawBase-nUsefulLifeDrawMin)*BETA.INV(RAND(),1.15,1.15),nUsefulLifeDrawBase+(nUsefulLifeDrawMax-nUsefulLifeDrawBase)*BETA.INV(RAND(),1.15,1.15))</f>
        <v/>
      </c>
      <c r="O272" s="45">
        <f>((nInference*nGpuIdx+nAmort)*nUtilCal/D272)*(nUsefulLifeDrawBase/N272-1)</f>
        <v/>
      </c>
      <c r="P272" s="1" t="n"/>
      <c r="Q272" s="1" t="n"/>
      <c r="R272" s="1" t="n"/>
      <c r="S272" s="1" t="n"/>
      <c r="T272" s="1" t="n"/>
      <c r="U272" s="1" t="n"/>
    </row>
    <row r="273" ht="12" customHeight="1">
      <c r="A273" s="1" t="n"/>
      <c r="B273" s="38" t="n">
        <v>253</v>
      </c>
      <c r="C273" s="114">
        <f>Assumptions!$F$8+RAND()*(Assumptions!$D$8-Assumptions!$F$8)</f>
        <v/>
      </c>
      <c r="D273" s="114">
        <f>Assumptions!$D$9+RAND()*(Assumptions!$F$9-Assumptions!$D$9)</f>
        <v/>
      </c>
      <c r="E273" s="71">
        <f>Assumptions!$F$11+RAND()*(Assumptions!$D$11-Assumptions!$F$11)</f>
        <v/>
      </c>
      <c r="F273" s="45">
        <f>nListPrice*(1-C273)-(nInference*nGpuIdx+nAmort)*nUtilCal/D273-nNetworking-nOverheadBase*(E273/nPowerCal)-nCodBase*(1+I273/12)-O273</f>
        <v/>
      </c>
      <c r="G273" s="66">
        <f>MAX(F273,0)/nDebtService</f>
        <v/>
      </c>
      <c r="H273" s="71">
        <f>Anthropic!$J$18*Anthropic!$J$27+Anthropic!$J$19*Anthropic!$J$28+Anthropic!$J$20*Anthropic!$J$29+Anthropic!$J$21*E273*(1+nPowerCagr)^4*(1+nResidualBasisMarkup+nScarcityAlpha*POWER(Anthropic!$J$21,nScarcityGamma))</f>
        <v/>
      </c>
      <c r="I273" s="113">
        <f>Assumptions!$F$10+RAND()*(Assumptions!$D$10-Assumptions!$F$10)</f>
        <v/>
      </c>
      <c r="J273" s="113">
        <f>RAND()*nCodSlipMaxMo</f>
        <v/>
      </c>
      <c r="K273" s="114">
        <f>nAvailDrawMin+RAND()*(nAvailDrawMax-nAvailDrawMin)</f>
        <v/>
      </c>
      <c r="L273" s="45">
        <f>IF(2034&lt;sNsmrCodU1+J273/12,0,(nNsmrCap+nNsmrOpx*(1+sNsmrOpxEsc)^8+nNsmrFuel*FuelEsc*(1+nFuelCagr)^8-nNsmrItc)*IF(2034&lt;sNsmrCodU1+J273/12+nStepFirst,1,IF(nStepGated="Yes",(1+nStepPct)^(INT((2034-sNsmrCodU1-J273/12-nStepFirst)/nStepEvery)+1),1))+nExclPrem*(1-nFlexRelief)-nProdCredit)</f>
        <v/>
      </c>
      <c r="M273" s="63">
        <f>MIN(nShortfallCapM,MAX(0,sNsmrAvailY2-K273)*sNsmrUnitMw*sNsmrUnits*8760*NsmrPrice2033/1000000)</f>
        <v/>
      </c>
      <c r="N273" s="82">
        <f>IF(RAND()&lt;0.5,nUsefulLifeDrawBase-(nUsefulLifeDrawBase-nUsefulLifeDrawMin)*BETA.INV(RAND(),1.15,1.15),nUsefulLifeDrawBase+(nUsefulLifeDrawMax-nUsefulLifeDrawBase)*BETA.INV(RAND(),1.15,1.15))</f>
        <v/>
      </c>
      <c r="O273" s="45">
        <f>((nInference*nGpuIdx+nAmort)*nUtilCal/D273)*(nUsefulLifeDrawBase/N273-1)</f>
        <v/>
      </c>
      <c r="P273" s="1" t="n"/>
      <c r="Q273" s="1" t="n"/>
      <c r="R273" s="1" t="n"/>
      <c r="S273" s="1" t="n"/>
      <c r="T273" s="1" t="n"/>
      <c r="U273" s="1" t="n"/>
    </row>
    <row r="274" ht="12" customHeight="1">
      <c r="A274" s="1" t="n"/>
      <c r="B274" s="38" t="n">
        <v>254</v>
      </c>
      <c r="C274" s="114">
        <f>Assumptions!$F$8+RAND()*(Assumptions!$D$8-Assumptions!$F$8)</f>
        <v/>
      </c>
      <c r="D274" s="114">
        <f>Assumptions!$D$9+RAND()*(Assumptions!$F$9-Assumptions!$D$9)</f>
        <v/>
      </c>
      <c r="E274" s="71">
        <f>Assumptions!$F$11+RAND()*(Assumptions!$D$11-Assumptions!$F$11)</f>
        <v/>
      </c>
      <c r="F274" s="45">
        <f>nListPrice*(1-C274)-(nInference*nGpuIdx+nAmort)*nUtilCal/D274-nNetworking-nOverheadBase*(E274/nPowerCal)-nCodBase*(1+I274/12)-O274</f>
        <v/>
      </c>
      <c r="G274" s="66">
        <f>MAX(F274,0)/nDebtService</f>
        <v/>
      </c>
      <c r="H274" s="71">
        <f>Anthropic!$J$18*Anthropic!$J$27+Anthropic!$J$19*Anthropic!$J$28+Anthropic!$J$20*Anthropic!$J$29+Anthropic!$J$21*E274*(1+nPowerCagr)^4*(1+nResidualBasisMarkup+nScarcityAlpha*POWER(Anthropic!$J$21,nScarcityGamma))</f>
        <v/>
      </c>
      <c r="I274" s="113">
        <f>Assumptions!$F$10+RAND()*(Assumptions!$D$10-Assumptions!$F$10)</f>
        <v/>
      </c>
      <c r="J274" s="113">
        <f>RAND()*nCodSlipMaxMo</f>
        <v/>
      </c>
      <c r="K274" s="114">
        <f>nAvailDrawMin+RAND()*(nAvailDrawMax-nAvailDrawMin)</f>
        <v/>
      </c>
      <c r="L274" s="45">
        <f>IF(2034&lt;sNsmrCodU1+J274/12,0,(nNsmrCap+nNsmrOpx*(1+sNsmrOpxEsc)^8+nNsmrFuel*FuelEsc*(1+nFuelCagr)^8-nNsmrItc)*IF(2034&lt;sNsmrCodU1+J274/12+nStepFirst,1,IF(nStepGated="Yes",(1+nStepPct)^(INT((2034-sNsmrCodU1-J274/12-nStepFirst)/nStepEvery)+1),1))+nExclPrem*(1-nFlexRelief)-nProdCredit)</f>
        <v/>
      </c>
      <c r="M274" s="63">
        <f>MIN(nShortfallCapM,MAX(0,sNsmrAvailY2-K274)*sNsmrUnitMw*sNsmrUnits*8760*NsmrPrice2033/1000000)</f>
        <v/>
      </c>
      <c r="N274" s="82">
        <f>IF(RAND()&lt;0.5,nUsefulLifeDrawBase-(nUsefulLifeDrawBase-nUsefulLifeDrawMin)*BETA.INV(RAND(),1.15,1.15),nUsefulLifeDrawBase+(nUsefulLifeDrawMax-nUsefulLifeDrawBase)*BETA.INV(RAND(),1.15,1.15))</f>
        <v/>
      </c>
      <c r="O274" s="45">
        <f>((nInference*nGpuIdx+nAmort)*nUtilCal/D274)*(nUsefulLifeDrawBase/N274-1)</f>
        <v/>
      </c>
      <c r="P274" s="1" t="n"/>
      <c r="Q274" s="1" t="n"/>
      <c r="R274" s="1" t="n"/>
      <c r="S274" s="1" t="n"/>
      <c r="T274" s="1" t="n"/>
      <c r="U274" s="1" t="n"/>
    </row>
    <row r="275" ht="12" customHeight="1">
      <c r="A275" s="1" t="n"/>
      <c r="B275" s="38" t="n">
        <v>255</v>
      </c>
      <c r="C275" s="114">
        <f>Assumptions!$F$8+RAND()*(Assumptions!$D$8-Assumptions!$F$8)</f>
        <v/>
      </c>
      <c r="D275" s="114">
        <f>Assumptions!$D$9+RAND()*(Assumptions!$F$9-Assumptions!$D$9)</f>
        <v/>
      </c>
      <c r="E275" s="71">
        <f>Assumptions!$F$11+RAND()*(Assumptions!$D$11-Assumptions!$F$11)</f>
        <v/>
      </c>
      <c r="F275" s="45">
        <f>nListPrice*(1-C275)-(nInference*nGpuIdx+nAmort)*nUtilCal/D275-nNetworking-nOverheadBase*(E275/nPowerCal)-nCodBase*(1+I275/12)-O275</f>
        <v/>
      </c>
      <c r="G275" s="66">
        <f>MAX(F275,0)/nDebtService</f>
        <v/>
      </c>
      <c r="H275" s="71">
        <f>Anthropic!$J$18*Anthropic!$J$27+Anthropic!$J$19*Anthropic!$J$28+Anthropic!$J$20*Anthropic!$J$29+Anthropic!$J$21*E275*(1+nPowerCagr)^4*(1+nResidualBasisMarkup+nScarcityAlpha*POWER(Anthropic!$J$21,nScarcityGamma))</f>
        <v/>
      </c>
      <c r="I275" s="113">
        <f>Assumptions!$F$10+RAND()*(Assumptions!$D$10-Assumptions!$F$10)</f>
        <v/>
      </c>
      <c r="J275" s="113">
        <f>RAND()*nCodSlipMaxMo</f>
        <v/>
      </c>
      <c r="K275" s="114">
        <f>nAvailDrawMin+RAND()*(nAvailDrawMax-nAvailDrawMin)</f>
        <v/>
      </c>
      <c r="L275" s="45">
        <f>IF(2034&lt;sNsmrCodU1+J275/12,0,(nNsmrCap+nNsmrOpx*(1+sNsmrOpxEsc)^8+nNsmrFuel*FuelEsc*(1+nFuelCagr)^8-nNsmrItc)*IF(2034&lt;sNsmrCodU1+J275/12+nStepFirst,1,IF(nStepGated="Yes",(1+nStepPct)^(INT((2034-sNsmrCodU1-J275/12-nStepFirst)/nStepEvery)+1),1))+nExclPrem*(1-nFlexRelief)-nProdCredit)</f>
        <v/>
      </c>
      <c r="M275" s="63">
        <f>MIN(nShortfallCapM,MAX(0,sNsmrAvailY2-K275)*sNsmrUnitMw*sNsmrUnits*8760*NsmrPrice2033/1000000)</f>
        <v/>
      </c>
      <c r="N275" s="82">
        <f>IF(RAND()&lt;0.5,nUsefulLifeDrawBase-(nUsefulLifeDrawBase-nUsefulLifeDrawMin)*BETA.INV(RAND(),1.15,1.15),nUsefulLifeDrawBase+(nUsefulLifeDrawMax-nUsefulLifeDrawBase)*BETA.INV(RAND(),1.15,1.15))</f>
        <v/>
      </c>
      <c r="O275" s="45">
        <f>((nInference*nGpuIdx+nAmort)*nUtilCal/D275)*(nUsefulLifeDrawBase/N275-1)</f>
        <v/>
      </c>
      <c r="P275" s="1" t="n"/>
      <c r="Q275" s="1" t="n"/>
      <c r="R275" s="1" t="n"/>
      <c r="S275" s="1" t="n"/>
      <c r="T275" s="1" t="n"/>
      <c r="U275" s="1" t="n"/>
    </row>
    <row r="276" ht="12" customHeight="1">
      <c r="A276" s="1" t="n"/>
      <c r="B276" s="38" t="n">
        <v>256</v>
      </c>
      <c r="C276" s="114">
        <f>Assumptions!$F$8+RAND()*(Assumptions!$D$8-Assumptions!$F$8)</f>
        <v/>
      </c>
      <c r="D276" s="114">
        <f>Assumptions!$D$9+RAND()*(Assumptions!$F$9-Assumptions!$D$9)</f>
        <v/>
      </c>
      <c r="E276" s="71">
        <f>Assumptions!$F$11+RAND()*(Assumptions!$D$11-Assumptions!$F$11)</f>
        <v/>
      </c>
      <c r="F276" s="45">
        <f>nListPrice*(1-C276)-(nInference*nGpuIdx+nAmort)*nUtilCal/D276-nNetworking-nOverheadBase*(E276/nPowerCal)-nCodBase*(1+I276/12)-O276</f>
        <v/>
      </c>
      <c r="G276" s="66">
        <f>MAX(F276,0)/nDebtService</f>
        <v/>
      </c>
      <c r="H276" s="71">
        <f>Anthropic!$J$18*Anthropic!$J$27+Anthropic!$J$19*Anthropic!$J$28+Anthropic!$J$20*Anthropic!$J$29+Anthropic!$J$21*E276*(1+nPowerCagr)^4*(1+nResidualBasisMarkup+nScarcityAlpha*POWER(Anthropic!$J$21,nScarcityGamma))</f>
        <v/>
      </c>
      <c r="I276" s="113">
        <f>Assumptions!$F$10+RAND()*(Assumptions!$D$10-Assumptions!$F$10)</f>
        <v/>
      </c>
      <c r="J276" s="113">
        <f>RAND()*nCodSlipMaxMo</f>
        <v/>
      </c>
      <c r="K276" s="114">
        <f>nAvailDrawMin+RAND()*(nAvailDrawMax-nAvailDrawMin)</f>
        <v/>
      </c>
      <c r="L276" s="45">
        <f>IF(2034&lt;sNsmrCodU1+J276/12,0,(nNsmrCap+nNsmrOpx*(1+sNsmrOpxEsc)^8+nNsmrFuel*FuelEsc*(1+nFuelCagr)^8-nNsmrItc)*IF(2034&lt;sNsmrCodU1+J276/12+nStepFirst,1,IF(nStepGated="Yes",(1+nStepPct)^(INT((2034-sNsmrCodU1-J276/12-nStepFirst)/nStepEvery)+1),1))+nExclPrem*(1-nFlexRelief)-nProdCredit)</f>
        <v/>
      </c>
      <c r="M276" s="63">
        <f>MIN(nShortfallCapM,MAX(0,sNsmrAvailY2-K276)*sNsmrUnitMw*sNsmrUnits*8760*NsmrPrice2033/1000000)</f>
        <v/>
      </c>
      <c r="N276" s="82">
        <f>IF(RAND()&lt;0.5,nUsefulLifeDrawBase-(nUsefulLifeDrawBase-nUsefulLifeDrawMin)*BETA.INV(RAND(),1.15,1.15),nUsefulLifeDrawBase+(nUsefulLifeDrawMax-nUsefulLifeDrawBase)*BETA.INV(RAND(),1.15,1.15))</f>
        <v/>
      </c>
      <c r="O276" s="45">
        <f>((nInference*nGpuIdx+nAmort)*nUtilCal/D276)*(nUsefulLifeDrawBase/N276-1)</f>
        <v/>
      </c>
      <c r="P276" s="1" t="n"/>
      <c r="Q276" s="1" t="n"/>
      <c r="R276" s="1" t="n"/>
      <c r="S276" s="1" t="n"/>
      <c r="T276" s="1" t="n"/>
      <c r="U276" s="1" t="n"/>
    </row>
    <row r="277" ht="12" customHeight="1">
      <c r="A277" s="1" t="n"/>
      <c r="B277" s="38" t="n">
        <v>257</v>
      </c>
      <c r="C277" s="114">
        <f>Assumptions!$F$8+RAND()*(Assumptions!$D$8-Assumptions!$F$8)</f>
        <v/>
      </c>
      <c r="D277" s="114">
        <f>Assumptions!$D$9+RAND()*(Assumptions!$F$9-Assumptions!$D$9)</f>
        <v/>
      </c>
      <c r="E277" s="71">
        <f>Assumptions!$F$11+RAND()*(Assumptions!$D$11-Assumptions!$F$11)</f>
        <v/>
      </c>
      <c r="F277" s="45">
        <f>nListPrice*(1-C277)-(nInference*nGpuIdx+nAmort)*nUtilCal/D277-nNetworking-nOverheadBase*(E277/nPowerCal)-nCodBase*(1+I277/12)-O277</f>
        <v/>
      </c>
      <c r="G277" s="66">
        <f>MAX(F277,0)/nDebtService</f>
        <v/>
      </c>
      <c r="H277" s="71">
        <f>Anthropic!$J$18*Anthropic!$J$27+Anthropic!$J$19*Anthropic!$J$28+Anthropic!$J$20*Anthropic!$J$29+Anthropic!$J$21*E277*(1+nPowerCagr)^4*(1+nResidualBasisMarkup+nScarcityAlpha*POWER(Anthropic!$J$21,nScarcityGamma))</f>
        <v/>
      </c>
      <c r="I277" s="113">
        <f>Assumptions!$F$10+RAND()*(Assumptions!$D$10-Assumptions!$F$10)</f>
        <v/>
      </c>
      <c r="J277" s="113">
        <f>RAND()*nCodSlipMaxMo</f>
        <v/>
      </c>
      <c r="K277" s="114">
        <f>nAvailDrawMin+RAND()*(nAvailDrawMax-nAvailDrawMin)</f>
        <v/>
      </c>
      <c r="L277" s="45">
        <f>IF(2034&lt;sNsmrCodU1+J277/12,0,(nNsmrCap+nNsmrOpx*(1+sNsmrOpxEsc)^8+nNsmrFuel*FuelEsc*(1+nFuelCagr)^8-nNsmrItc)*IF(2034&lt;sNsmrCodU1+J277/12+nStepFirst,1,IF(nStepGated="Yes",(1+nStepPct)^(INT((2034-sNsmrCodU1-J277/12-nStepFirst)/nStepEvery)+1),1))+nExclPrem*(1-nFlexRelief)-nProdCredit)</f>
        <v/>
      </c>
      <c r="M277" s="63">
        <f>MIN(nShortfallCapM,MAX(0,sNsmrAvailY2-K277)*sNsmrUnitMw*sNsmrUnits*8760*NsmrPrice2033/1000000)</f>
        <v/>
      </c>
      <c r="N277" s="82">
        <f>IF(RAND()&lt;0.5,nUsefulLifeDrawBase-(nUsefulLifeDrawBase-nUsefulLifeDrawMin)*BETA.INV(RAND(),1.15,1.15),nUsefulLifeDrawBase+(nUsefulLifeDrawMax-nUsefulLifeDrawBase)*BETA.INV(RAND(),1.15,1.15))</f>
        <v/>
      </c>
      <c r="O277" s="45">
        <f>((nInference*nGpuIdx+nAmort)*nUtilCal/D277)*(nUsefulLifeDrawBase/N277-1)</f>
        <v/>
      </c>
      <c r="P277" s="1" t="n"/>
      <c r="Q277" s="1" t="n"/>
      <c r="R277" s="1" t="n"/>
      <c r="S277" s="1" t="n"/>
      <c r="T277" s="1" t="n"/>
      <c r="U277" s="1" t="n"/>
    </row>
    <row r="278" ht="12" customHeight="1">
      <c r="A278" s="1" t="n"/>
      <c r="B278" s="38" t="n">
        <v>258</v>
      </c>
      <c r="C278" s="114">
        <f>Assumptions!$F$8+RAND()*(Assumptions!$D$8-Assumptions!$F$8)</f>
        <v/>
      </c>
      <c r="D278" s="114">
        <f>Assumptions!$D$9+RAND()*(Assumptions!$F$9-Assumptions!$D$9)</f>
        <v/>
      </c>
      <c r="E278" s="71">
        <f>Assumptions!$F$11+RAND()*(Assumptions!$D$11-Assumptions!$F$11)</f>
        <v/>
      </c>
      <c r="F278" s="45">
        <f>nListPrice*(1-C278)-(nInference*nGpuIdx+nAmort)*nUtilCal/D278-nNetworking-nOverheadBase*(E278/nPowerCal)-nCodBase*(1+I278/12)-O278</f>
        <v/>
      </c>
      <c r="G278" s="66">
        <f>MAX(F278,0)/nDebtService</f>
        <v/>
      </c>
      <c r="H278" s="71">
        <f>Anthropic!$J$18*Anthropic!$J$27+Anthropic!$J$19*Anthropic!$J$28+Anthropic!$J$20*Anthropic!$J$29+Anthropic!$J$21*E278*(1+nPowerCagr)^4*(1+nResidualBasisMarkup+nScarcityAlpha*POWER(Anthropic!$J$21,nScarcityGamma))</f>
        <v/>
      </c>
      <c r="I278" s="113">
        <f>Assumptions!$F$10+RAND()*(Assumptions!$D$10-Assumptions!$F$10)</f>
        <v/>
      </c>
      <c r="J278" s="113">
        <f>RAND()*nCodSlipMaxMo</f>
        <v/>
      </c>
      <c r="K278" s="114">
        <f>nAvailDrawMin+RAND()*(nAvailDrawMax-nAvailDrawMin)</f>
        <v/>
      </c>
      <c r="L278" s="45">
        <f>IF(2034&lt;sNsmrCodU1+J278/12,0,(nNsmrCap+nNsmrOpx*(1+sNsmrOpxEsc)^8+nNsmrFuel*FuelEsc*(1+nFuelCagr)^8-nNsmrItc)*IF(2034&lt;sNsmrCodU1+J278/12+nStepFirst,1,IF(nStepGated="Yes",(1+nStepPct)^(INT((2034-sNsmrCodU1-J278/12-nStepFirst)/nStepEvery)+1),1))+nExclPrem*(1-nFlexRelief)-nProdCredit)</f>
        <v/>
      </c>
      <c r="M278" s="63">
        <f>MIN(nShortfallCapM,MAX(0,sNsmrAvailY2-K278)*sNsmrUnitMw*sNsmrUnits*8760*NsmrPrice2033/1000000)</f>
        <v/>
      </c>
      <c r="N278" s="82">
        <f>IF(RAND()&lt;0.5,nUsefulLifeDrawBase-(nUsefulLifeDrawBase-nUsefulLifeDrawMin)*BETA.INV(RAND(),1.15,1.15),nUsefulLifeDrawBase+(nUsefulLifeDrawMax-nUsefulLifeDrawBase)*BETA.INV(RAND(),1.15,1.15))</f>
        <v/>
      </c>
      <c r="O278" s="45">
        <f>((nInference*nGpuIdx+nAmort)*nUtilCal/D278)*(nUsefulLifeDrawBase/N278-1)</f>
        <v/>
      </c>
      <c r="P278" s="1" t="n"/>
      <c r="Q278" s="1" t="n"/>
      <c r="R278" s="1" t="n"/>
      <c r="S278" s="1" t="n"/>
      <c r="T278" s="1" t="n"/>
      <c r="U278" s="1" t="n"/>
    </row>
    <row r="279" ht="12" customHeight="1">
      <c r="A279" s="1" t="n"/>
      <c r="B279" s="38" t="n">
        <v>259</v>
      </c>
      <c r="C279" s="114">
        <f>Assumptions!$F$8+RAND()*(Assumptions!$D$8-Assumptions!$F$8)</f>
        <v/>
      </c>
      <c r="D279" s="114">
        <f>Assumptions!$D$9+RAND()*(Assumptions!$F$9-Assumptions!$D$9)</f>
        <v/>
      </c>
      <c r="E279" s="71">
        <f>Assumptions!$F$11+RAND()*(Assumptions!$D$11-Assumptions!$F$11)</f>
        <v/>
      </c>
      <c r="F279" s="45">
        <f>nListPrice*(1-C279)-(nInference*nGpuIdx+nAmort)*nUtilCal/D279-nNetworking-nOverheadBase*(E279/nPowerCal)-nCodBase*(1+I279/12)-O279</f>
        <v/>
      </c>
      <c r="G279" s="66">
        <f>MAX(F279,0)/nDebtService</f>
        <v/>
      </c>
      <c r="H279" s="71">
        <f>Anthropic!$J$18*Anthropic!$J$27+Anthropic!$J$19*Anthropic!$J$28+Anthropic!$J$20*Anthropic!$J$29+Anthropic!$J$21*E279*(1+nPowerCagr)^4*(1+nResidualBasisMarkup+nScarcityAlpha*POWER(Anthropic!$J$21,nScarcityGamma))</f>
        <v/>
      </c>
      <c r="I279" s="113">
        <f>Assumptions!$F$10+RAND()*(Assumptions!$D$10-Assumptions!$F$10)</f>
        <v/>
      </c>
      <c r="J279" s="113">
        <f>RAND()*nCodSlipMaxMo</f>
        <v/>
      </c>
      <c r="K279" s="114">
        <f>nAvailDrawMin+RAND()*(nAvailDrawMax-nAvailDrawMin)</f>
        <v/>
      </c>
      <c r="L279" s="45">
        <f>IF(2034&lt;sNsmrCodU1+J279/12,0,(nNsmrCap+nNsmrOpx*(1+sNsmrOpxEsc)^8+nNsmrFuel*FuelEsc*(1+nFuelCagr)^8-nNsmrItc)*IF(2034&lt;sNsmrCodU1+J279/12+nStepFirst,1,IF(nStepGated="Yes",(1+nStepPct)^(INT((2034-sNsmrCodU1-J279/12-nStepFirst)/nStepEvery)+1),1))+nExclPrem*(1-nFlexRelief)-nProdCredit)</f>
        <v/>
      </c>
      <c r="M279" s="63">
        <f>MIN(nShortfallCapM,MAX(0,sNsmrAvailY2-K279)*sNsmrUnitMw*sNsmrUnits*8760*NsmrPrice2033/1000000)</f>
        <v/>
      </c>
      <c r="N279" s="82">
        <f>IF(RAND()&lt;0.5,nUsefulLifeDrawBase-(nUsefulLifeDrawBase-nUsefulLifeDrawMin)*BETA.INV(RAND(),1.15,1.15),nUsefulLifeDrawBase+(nUsefulLifeDrawMax-nUsefulLifeDrawBase)*BETA.INV(RAND(),1.15,1.15))</f>
        <v/>
      </c>
      <c r="O279" s="45">
        <f>((nInference*nGpuIdx+nAmort)*nUtilCal/D279)*(nUsefulLifeDrawBase/N279-1)</f>
        <v/>
      </c>
      <c r="P279" s="1" t="n"/>
      <c r="Q279" s="1" t="n"/>
      <c r="R279" s="1" t="n"/>
      <c r="S279" s="1" t="n"/>
      <c r="T279" s="1" t="n"/>
      <c r="U279" s="1" t="n"/>
    </row>
    <row r="280" ht="12" customHeight="1">
      <c r="A280" s="1" t="n"/>
      <c r="B280" s="38" t="n">
        <v>260</v>
      </c>
      <c r="C280" s="114">
        <f>Assumptions!$F$8+RAND()*(Assumptions!$D$8-Assumptions!$F$8)</f>
        <v/>
      </c>
      <c r="D280" s="114">
        <f>Assumptions!$D$9+RAND()*(Assumptions!$F$9-Assumptions!$D$9)</f>
        <v/>
      </c>
      <c r="E280" s="71">
        <f>Assumptions!$F$11+RAND()*(Assumptions!$D$11-Assumptions!$F$11)</f>
        <v/>
      </c>
      <c r="F280" s="45">
        <f>nListPrice*(1-C280)-(nInference*nGpuIdx+nAmort)*nUtilCal/D280-nNetworking-nOverheadBase*(E280/nPowerCal)-nCodBase*(1+I280/12)-O280</f>
        <v/>
      </c>
      <c r="G280" s="66">
        <f>MAX(F280,0)/nDebtService</f>
        <v/>
      </c>
      <c r="H280" s="71">
        <f>Anthropic!$J$18*Anthropic!$J$27+Anthropic!$J$19*Anthropic!$J$28+Anthropic!$J$20*Anthropic!$J$29+Anthropic!$J$21*E280*(1+nPowerCagr)^4*(1+nResidualBasisMarkup+nScarcityAlpha*POWER(Anthropic!$J$21,nScarcityGamma))</f>
        <v/>
      </c>
      <c r="I280" s="113">
        <f>Assumptions!$F$10+RAND()*(Assumptions!$D$10-Assumptions!$F$10)</f>
        <v/>
      </c>
      <c r="J280" s="113">
        <f>RAND()*nCodSlipMaxMo</f>
        <v/>
      </c>
      <c r="K280" s="114">
        <f>nAvailDrawMin+RAND()*(nAvailDrawMax-nAvailDrawMin)</f>
        <v/>
      </c>
      <c r="L280" s="45">
        <f>IF(2034&lt;sNsmrCodU1+J280/12,0,(nNsmrCap+nNsmrOpx*(1+sNsmrOpxEsc)^8+nNsmrFuel*FuelEsc*(1+nFuelCagr)^8-nNsmrItc)*IF(2034&lt;sNsmrCodU1+J280/12+nStepFirst,1,IF(nStepGated="Yes",(1+nStepPct)^(INT((2034-sNsmrCodU1-J280/12-nStepFirst)/nStepEvery)+1),1))+nExclPrem*(1-nFlexRelief)-nProdCredit)</f>
        <v/>
      </c>
      <c r="M280" s="63">
        <f>MIN(nShortfallCapM,MAX(0,sNsmrAvailY2-K280)*sNsmrUnitMw*sNsmrUnits*8760*NsmrPrice2033/1000000)</f>
        <v/>
      </c>
      <c r="N280" s="82">
        <f>IF(RAND()&lt;0.5,nUsefulLifeDrawBase-(nUsefulLifeDrawBase-nUsefulLifeDrawMin)*BETA.INV(RAND(),1.15,1.15),nUsefulLifeDrawBase+(nUsefulLifeDrawMax-nUsefulLifeDrawBase)*BETA.INV(RAND(),1.15,1.15))</f>
        <v/>
      </c>
      <c r="O280" s="45">
        <f>((nInference*nGpuIdx+nAmort)*nUtilCal/D280)*(nUsefulLifeDrawBase/N280-1)</f>
        <v/>
      </c>
      <c r="P280" s="1" t="n"/>
      <c r="Q280" s="1" t="n"/>
      <c r="R280" s="1" t="n"/>
      <c r="S280" s="1" t="n"/>
      <c r="T280" s="1" t="n"/>
      <c r="U280" s="1" t="n"/>
    </row>
    <row r="281" ht="12" customHeight="1">
      <c r="A281" s="1" t="n"/>
      <c r="B281" s="38" t="n">
        <v>261</v>
      </c>
      <c r="C281" s="114">
        <f>Assumptions!$F$8+RAND()*(Assumptions!$D$8-Assumptions!$F$8)</f>
        <v/>
      </c>
      <c r="D281" s="114">
        <f>Assumptions!$D$9+RAND()*(Assumptions!$F$9-Assumptions!$D$9)</f>
        <v/>
      </c>
      <c r="E281" s="71">
        <f>Assumptions!$F$11+RAND()*(Assumptions!$D$11-Assumptions!$F$11)</f>
        <v/>
      </c>
      <c r="F281" s="45">
        <f>nListPrice*(1-C281)-(nInference*nGpuIdx+nAmort)*nUtilCal/D281-nNetworking-nOverheadBase*(E281/nPowerCal)-nCodBase*(1+I281/12)-O281</f>
        <v/>
      </c>
      <c r="G281" s="66">
        <f>MAX(F281,0)/nDebtService</f>
        <v/>
      </c>
      <c r="H281" s="71">
        <f>Anthropic!$J$18*Anthropic!$J$27+Anthropic!$J$19*Anthropic!$J$28+Anthropic!$J$20*Anthropic!$J$29+Anthropic!$J$21*E281*(1+nPowerCagr)^4*(1+nResidualBasisMarkup+nScarcityAlpha*POWER(Anthropic!$J$21,nScarcityGamma))</f>
        <v/>
      </c>
      <c r="I281" s="113">
        <f>Assumptions!$F$10+RAND()*(Assumptions!$D$10-Assumptions!$F$10)</f>
        <v/>
      </c>
      <c r="J281" s="113">
        <f>RAND()*nCodSlipMaxMo</f>
        <v/>
      </c>
      <c r="K281" s="114">
        <f>nAvailDrawMin+RAND()*(nAvailDrawMax-nAvailDrawMin)</f>
        <v/>
      </c>
      <c r="L281" s="45">
        <f>IF(2034&lt;sNsmrCodU1+J281/12,0,(nNsmrCap+nNsmrOpx*(1+sNsmrOpxEsc)^8+nNsmrFuel*FuelEsc*(1+nFuelCagr)^8-nNsmrItc)*IF(2034&lt;sNsmrCodU1+J281/12+nStepFirst,1,IF(nStepGated="Yes",(1+nStepPct)^(INT((2034-sNsmrCodU1-J281/12-nStepFirst)/nStepEvery)+1),1))+nExclPrem*(1-nFlexRelief)-nProdCredit)</f>
        <v/>
      </c>
      <c r="M281" s="63">
        <f>MIN(nShortfallCapM,MAX(0,sNsmrAvailY2-K281)*sNsmrUnitMw*sNsmrUnits*8760*NsmrPrice2033/1000000)</f>
        <v/>
      </c>
      <c r="N281" s="82">
        <f>IF(RAND()&lt;0.5,nUsefulLifeDrawBase-(nUsefulLifeDrawBase-nUsefulLifeDrawMin)*BETA.INV(RAND(),1.15,1.15),nUsefulLifeDrawBase+(nUsefulLifeDrawMax-nUsefulLifeDrawBase)*BETA.INV(RAND(),1.15,1.15))</f>
        <v/>
      </c>
      <c r="O281" s="45">
        <f>((nInference*nGpuIdx+nAmort)*nUtilCal/D281)*(nUsefulLifeDrawBase/N281-1)</f>
        <v/>
      </c>
      <c r="P281" s="1" t="n"/>
      <c r="Q281" s="1" t="n"/>
      <c r="R281" s="1" t="n"/>
      <c r="S281" s="1" t="n"/>
      <c r="T281" s="1" t="n"/>
      <c r="U281" s="1" t="n"/>
    </row>
    <row r="282" ht="12" customHeight="1">
      <c r="A282" s="1" t="n"/>
      <c r="B282" s="38" t="n">
        <v>262</v>
      </c>
      <c r="C282" s="114">
        <f>Assumptions!$F$8+RAND()*(Assumptions!$D$8-Assumptions!$F$8)</f>
        <v/>
      </c>
      <c r="D282" s="114">
        <f>Assumptions!$D$9+RAND()*(Assumptions!$F$9-Assumptions!$D$9)</f>
        <v/>
      </c>
      <c r="E282" s="71">
        <f>Assumptions!$F$11+RAND()*(Assumptions!$D$11-Assumptions!$F$11)</f>
        <v/>
      </c>
      <c r="F282" s="45">
        <f>nListPrice*(1-C282)-(nInference*nGpuIdx+nAmort)*nUtilCal/D282-nNetworking-nOverheadBase*(E282/nPowerCal)-nCodBase*(1+I282/12)-O282</f>
        <v/>
      </c>
      <c r="G282" s="66">
        <f>MAX(F282,0)/nDebtService</f>
        <v/>
      </c>
      <c r="H282" s="71">
        <f>Anthropic!$J$18*Anthropic!$J$27+Anthropic!$J$19*Anthropic!$J$28+Anthropic!$J$20*Anthropic!$J$29+Anthropic!$J$21*E282*(1+nPowerCagr)^4*(1+nResidualBasisMarkup+nScarcityAlpha*POWER(Anthropic!$J$21,nScarcityGamma))</f>
        <v/>
      </c>
      <c r="I282" s="113">
        <f>Assumptions!$F$10+RAND()*(Assumptions!$D$10-Assumptions!$F$10)</f>
        <v/>
      </c>
      <c r="J282" s="113">
        <f>RAND()*nCodSlipMaxMo</f>
        <v/>
      </c>
      <c r="K282" s="114">
        <f>nAvailDrawMin+RAND()*(nAvailDrawMax-nAvailDrawMin)</f>
        <v/>
      </c>
      <c r="L282" s="45">
        <f>IF(2034&lt;sNsmrCodU1+J282/12,0,(nNsmrCap+nNsmrOpx*(1+sNsmrOpxEsc)^8+nNsmrFuel*FuelEsc*(1+nFuelCagr)^8-nNsmrItc)*IF(2034&lt;sNsmrCodU1+J282/12+nStepFirst,1,IF(nStepGated="Yes",(1+nStepPct)^(INT((2034-sNsmrCodU1-J282/12-nStepFirst)/nStepEvery)+1),1))+nExclPrem*(1-nFlexRelief)-nProdCredit)</f>
        <v/>
      </c>
      <c r="M282" s="63">
        <f>MIN(nShortfallCapM,MAX(0,sNsmrAvailY2-K282)*sNsmrUnitMw*sNsmrUnits*8760*NsmrPrice2033/1000000)</f>
        <v/>
      </c>
      <c r="N282" s="82">
        <f>IF(RAND()&lt;0.5,nUsefulLifeDrawBase-(nUsefulLifeDrawBase-nUsefulLifeDrawMin)*BETA.INV(RAND(),1.15,1.15),nUsefulLifeDrawBase+(nUsefulLifeDrawMax-nUsefulLifeDrawBase)*BETA.INV(RAND(),1.15,1.15))</f>
        <v/>
      </c>
      <c r="O282" s="45">
        <f>((nInference*nGpuIdx+nAmort)*nUtilCal/D282)*(nUsefulLifeDrawBase/N282-1)</f>
        <v/>
      </c>
      <c r="P282" s="1" t="n"/>
      <c r="Q282" s="1" t="n"/>
      <c r="R282" s="1" t="n"/>
      <c r="S282" s="1" t="n"/>
      <c r="T282" s="1" t="n"/>
      <c r="U282" s="1" t="n"/>
    </row>
    <row r="283" ht="12" customHeight="1">
      <c r="A283" s="1" t="n"/>
      <c r="B283" s="38" t="n">
        <v>263</v>
      </c>
      <c r="C283" s="114">
        <f>Assumptions!$F$8+RAND()*(Assumptions!$D$8-Assumptions!$F$8)</f>
        <v/>
      </c>
      <c r="D283" s="114">
        <f>Assumptions!$D$9+RAND()*(Assumptions!$F$9-Assumptions!$D$9)</f>
        <v/>
      </c>
      <c r="E283" s="71">
        <f>Assumptions!$F$11+RAND()*(Assumptions!$D$11-Assumptions!$F$11)</f>
        <v/>
      </c>
      <c r="F283" s="45">
        <f>nListPrice*(1-C283)-(nInference*nGpuIdx+nAmort)*nUtilCal/D283-nNetworking-nOverheadBase*(E283/nPowerCal)-nCodBase*(1+I283/12)-O283</f>
        <v/>
      </c>
      <c r="G283" s="66">
        <f>MAX(F283,0)/nDebtService</f>
        <v/>
      </c>
      <c r="H283" s="71">
        <f>Anthropic!$J$18*Anthropic!$J$27+Anthropic!$J$19*Anthropic!$J$28+Anthropic!$J$20*Anthropic!$J$29+Anthropic!$J$21*E283*(1+nPowerCagr)^4*(1+nResidualBasisMarkup+nScarcityAlpha*POWER(Anthropic!$J$21,nScarcityGamma))</f>
        <v/>
      </c>
      <c r="I283" s="113">
        <f>Assumptions!$F$10+RAND()*(Assumptions!$D$10-Assumptions!$F$10)</f>
        <v/>
      </c>
      <c r="J283" s="113">
        <f>RAND()*nCodSlipMaxMo</f>
        <v/>
      </c>
      <c r="K283" s="114">
        <f>nAvailDrawMin+RAND()*(nAvailDrawMax-nAvailDrawMin)</f>
        <v/>
      </c>
      <c r="L283" s="45">
        <f>IF(2034&lt;sNsmrCodU1+J283/12,0,(nNsmrCap+nNsmrOpx*(1+sNsmrOpxEsc)^8+nNsmrFuel*FuelEsc*(1+nFuelCagr)^8-nNsmrItc)*IF(2034&lt;sNsmrCodU1+J283/12+nStepFirst,1,IF(nStepGated="Yes",(1+nStepPct)^(INT((2034-sNsmrCodU1-J283/12-nStepFirst)/nStepEvery)+1),1))+nExclPrem*(1-nFlexRelief)-nProdCredit)</f>
        <v/>
      </c>
      <c r="M283" s="63">
        <f>MIN(nShortfallCapM,MAX(0,sNsmrAvailY2-K283)*sNsmrUnitMw*sNsmrUnits*8760*NsmrPrice2033/1000000)</f>
        <v/>
      </c>
      <c r="N283" s="82">
        <f>IF(RAND()&lt;0.5,nUsefulLifeDrawBase-(nUsefulLifeDrawBase-nUsefulLifeDrawMin)*BETA.INV(RAND(),1.15,1.15),nUsefulLifeDrawBase+(nUsefulLifeDrawMax-nUsefulLifeDrawBase)*BETA.INV(RAND(),1.15,1.15))</f>
        <v/>
      </c>
      <c r="O283" s="45">
        <f>((nInference*nGpuIdx+nAmort)*nUtilCal/D283)*(nUsefulLifeDrawBase/N283-1)</f>
        <v/>
      </c>
      <c r="P283" s="1" t="n"/>
      <c r="Q283" s="1" t="n"/>
      <c r="R283" s="1" t="n"/>
      <c r="S283" s="1" t="n"/>
      <c r="T283" s="1" t="n"/>
      <c r="U283" s="1" t="n"/>
    </row>
    <row r="284" ht="12" customHeight="1">
      <c r="A284" s="1" t="n"/>
      <c r="B284" s="38" t="n">
        <v>264</v>
      </c>
      <c r="C284" s="114">
        <f>Assumptions!$F$8+RAND()*(Assumptions!$D$8-Assumptions!$F$8)</f>
        <v/>
      </c>
      <c r="D284" s="114">
        <f>Assumptions!$D$9+RAND()*(Assumptions!$F$9-Assumptions!$D$9)</f>
        <v/>
      </c>
      <c r="E284" s="71">
        <f>Assumptions!$F$11+RAND()*(Assumptions!$D$11-Assumptions!$F$11)</f>
        <v/>
      </c>
      <c r="F284" s="45">
        <f>nListPrice*(1-C284)-(nInference*nGpuIdx+nAmort)*nUtilCal/D284-nNetworking-nOverheadBase*(E284/nPowerCal)-nCodBase*(1+I284/12)-O284</f>
        <v/>
      </c>
      <c r="G284" s="66">
        <f>MAX(F284,0)/nDebtService</f>
        <v/>
      </c>
      <c r="H284" s="71">
        <f>Anthropic!$J$18*Anthropic!$J$27+Anthropic!$J$19*Anthropic!$J$28+Anthropic!$J$20*Anthropic!$J$29+Anthropic!$J$21*E284*(1+nPowerCagr)^4*(1+nResidualBasisMarkup+nScarcityAlpha*POWER(Anthropic!$J$21,nScarcityGamma))</f>
        <v/>
      </c>
      <c r="I284" s="113">
        <f>Assumptions!$F$10+RAND()*(Assumptions!$D$10-Assumptions!$F$10)</f>
        <v/>
      </c>
      <c r="J284" s="113">
        <f>RAND()*nCodSlipMaxMo</f>
        <v/>
      </c>
      <c r="K284" s="114">
        <f>nAvailDrawMin+RAND()*(nAvailDrawMax-nAvailDrawMin)</f>
        <v/>
      </c>
      <c r="L284" s="45">
        <f>IF(2034&lt;sNsmrCodU1+J284/12,0,(nNsmrCap+nNsmrOpx*(1+sNsmrOpxEsc)^8+nNsmrFuel*FuelEsc*(1+nFuelCagr)^8-nNsmrItc)*IF(2034&lt;sNsmrCodU1+J284/12+nStepFirst,1,IF(nStepGated="Yes",(1+nStepPct)^(INT((2034-sNsmrCodU1-J284/12-nStepFirst)/nStepEvery)+1),1))+nExclPrem*(1-nFlexRelief)-nProdCredit)</f>
        <v/>
      </c>
      <c r="M284" s="63">
        <f>MIN(nShortfallCapM,MAX(0,sNsmrAvailY2-K284)*sNsmrUnitMw*sNsmrUnits*8760*NsmrPrice2033/1000000)</f>
        <v/>
      </c>
      <c r="N284" s="82">
        <f>IF(RAND()&lt;0.5,nUsefulLifeDrawBase-(nUsefulLifeDrawBase-nUsefulLifeDrawMin)*BETA.INV(RAND(),1.15,1.15),nUsefulLifeDrawBase+(nUsefulLifeDrawMax-nUsefulLifeDrawBase)*BETA.INV(RAND(),1.15,1.15))</f>
        <v/>
      </c>
      <c r="O284" s="45">
        <f>((nInference*nGpuIdx+nAmort)*nUtilCal/D284)*(nUsefulLifeDrawBase/N284-1)</f>
        <v/>
      </c>
      <c r="P284" s="1" t="n"/>
      <c r="Q284" s="1" t="n"/>
      <c r="R284" s="1" t="n"/>
      <c r="S284" s="1" t="n"/>
      <c r="T284" s="1" t="n"/>
      <c r="U284" s="1" t="n"/>
    </row>
    <row r="285" ht="12" customHeight="1">
      <c r="A285" s="1" t="n"/>
      <c r="B285" s="38" t="n">
        <v>265</v>
      </c>
      <c r="C285" s="114">
        <f>Assumptions!$F$8+RAND()*(Assumptions!$D$8-Assumptions!$F$8)</f>
        <v/>
      </c>
      <c r="D285" s="114">
        <f>Assumptions!$D$9+RAND()*(Assumptions!$F$9-Assumptions!$D$9)</f>
        <v/>
      </c>
      <c r="E285" s="71">
        <f>Assumptions!$F$11+RAND()*(Assumptions!$D$11-Assumptions!$F$11)</f>
        <v/>
      </c>
      <c r="F285" s="45">
        <f>nListPrice*(1-C285)-(nInference*nGpuIdx+nAmort)*nUtilCal/D285-nNetworking-nOverheadBase*(E285/nPowerCal)-nCodBase*(1+I285/12)-O285</f>
        <v/>
      </c>
      <c r="G285" s="66">
        <f>MAX(F285,0)/nDebtService</f>
        <v/>
      </c>
      <c r="H285" s="71">
        <f>Anthropic!$J$18*Anthropic!$J$27+Anthropic!$J$19*Anthropic!$J$28+Anthropic!$J$20*Anthropic!$J$29+Anthropic!$J$21*E285*(1+nPowerCagr)^4*(1+nResidualBasisMarkup+nScarcityAlpha*POWER(Anthropic!$J$21,nScarcityGamma))</f>
        <v/>
      </c>
      <c r="I285" s="113">
        <f>Assumptions!$F$10+RAND()*(Assumptions!$D$10-Assumptions!$F$10)</f>
        <v/>
      </c>
      <c r="J285" s="113">
        <f>RAND()*nCodSlipMaxMo</f>
        <v/>
      </c>
      <c r="K285" s="114">
        <f>nAvailDrawMin+RAND()*(nAvailDrawMax-nAvailDrawMin)</f>
        <v/>
      </c>
      <c r="L285" s="45">
        <f>IF(2034&lt;sNsmrCodU1+J285/12,0,(nNsmrCap+nNsmrOpx*(1+sNsmrOpxEsc)^8+nNsmrFuel*FuelEsc*(1+nFuelCagr)^8-nNsmrItc)*IF(2034&lt;sNsmrCodU1+J285/12+nStepFirst,1,IF(nStepGated="Yes",(1+nStepPct)^(INT((2034-sNsmrCodU1-J285/12-nStepFirst)/nStepEvery)+1),1))+nExclPrem*(1-nFlexRelief)-nProdCredit)</f>
        <v/>
      </c>
      <c r="M285" s="63">
        <f>MIN(nShortfallCapM,MAX(0,sNsmrAvailY2-K285)*sNsmrUnitMw*sNsmrUnits*8760*NsmrPrice2033/1000000)</f>
        <v/>
      </c>
      <c r="N285" s="82">
        <f>IF(RAND()&lt;0.5,nUsefulLifeDrawBase-(nUsefulLifeDrawBase-nUsefulLifeDrawMin)*BETA.INV(RAND(),1.15,1.15),nUsefulLifeDrawBase+(nUsefulLifeDrawMax-nUsefulLifeDrawBase)*BETA.INV(RAND(),1.15,1.15))</f>
        <v/>
      </c>
      <c r="O285" s="45">
        <f>((nInference*nGpuIdx+nAmort)*nUtilCal/D285)*(nUsefulLifeDrawBase/N285-1)</f>
        <v/>
      </c>
      <c r="P285" s="1" t="n"/>
      <c r="Q285" s="1" t="n"/>
      <c r="R285" s="1" t="n"/>
      <c r="S285" s="1" t="n"/>
      <c r="T285" s="1" t="n"/>
      <c r="U285" s="1" t="n"/>
    </row>
    <row r="286" ht="12" customHeight="1">
      <c r="A286" s="1" t="n"/>
      <c r="B286" s="38" t="n">
        <v>266</v>
      </c>
      <c r="C286" s="114">
        <f>Assumptions!$F$8+RAND()*(Assumptions!$D$8-Assumptions!$F$8)</f>
        <v/>
      </c>
      <c r="D286" s="114">
        <f>Assumptions!$D$9+RAND()*(Assumptions!$F$9-Assumptions!$D$9)</f>
        <v/>
      </c>
      <c r="E286" s="71">
        <f>Assumptions!$F$11+RAND()*(Assumptions!$D$11-Assumptions!$F$11)</f>
        <v/>
      </c>
      <c r="F286" s="45">
        <f>nListPrice*(1-C286)-(nInference*nGpuIdx+nAmort)*nUtilCal/D286-nNetworking-nOverheadBase*(E286/nPowerCal)-nCodBase*(1+I286/12)-O286</f>
        <v/>
      </c>
      <c r="G286" s="66">
        <f>MAX(F286,0)/nDebtService</f>
        <v/>
      </c>
      <c r="H286" s="71">
        <f>Anthropic!$J$18*Anthropic!$J$27+Anthropic!$J$19*Anthropic!$J$28+Anthropic!$J$20*Anthropic!$J$29+Anthropic!$J$21*E286*(1+nPowerCagr)^4*(1+nResidualBasisMarkup+nScarcityAlpha*POWER(Anthropic!$J$21,nScarcityGamma))</f>
        <v/>
      </c>
      <c r="I286" s="113">
        <f>Assumptions!$F$10+RAND()*(Assumptions!$D$10-Assumptions!$F$10)</f>
        <v/>
      </c>
      <c r="J286" s="113">
        <f>RAND()*nCodSlipMaxMo</f>
        <v/>
      </c>
      <c r="K286" s="114">
        <f>nAvailDrawMin+RAND()*(nAvailDrawMax-nAvailDrawMin)</f>
        <v/>
      </c>
      <c r="L286" s="45">
        <f>IF(2034&lt;sNsmrCodU1+J286/12,0,(nNsmrCap+nNsmrOpx*(1+sNsmrOpxEsc)^8+nNsmrFuel*FuelEsc*(1+nFuelCagr)^8-nNsmrItc)*IF(2034&lt;sNsmrCodU1+J286/12+nStepFirst,1,IF(nStepGated="Yes",(1+nStepPct)^(INT((2034-sNsmrCodU1-J286/12-nStepFirst)/nStepEvery)+1),1))+nExclPrem*(1-nFlexRelief)-nProdCredit)</f>
        <v/>
      </c>
      <c r="M286" s="63">
        <f>MIN(nShortfallCapM,MAX(0,sNsmrAvailY2-K286)*sNsmrUnitMw*sNsmrUnits*8760*NsmrPrice2033/1000000)</f>
        <v/>
      </c>
      <c r="N286" s="82">
        <f>IF(RAND()&lt;0.5,nUsefulLifeDrawBase-(nUsefulLifeDrawBase-nUsefulLifeDrawMin)*BETA.INV(RAND(),1.15,1.15),nUsefulLifeDrawBase+(nUsefulLifeDrawMax-nUsefulLifeDrawBase)*BETA.INV(RAND(),1.15,1.15))</f>
        <v/>
      </c>
      <c r="O286" s="45">
        <f>((nInference*nGpuIdx+nAmort)*nUtilCal/D286)*(nUsefulLifeDrawBase/N286-1)</f>
        <v/>
      </c>
      <c r="P286" s="1" t="n"/>
      <c r="Q286" s="1" t="n"/>
      <c r="R286" s="1" t="n"/>
      <c r="S286" s="1" t="n"/>
      <c r="T286" s="1" t="n"/>
      <c r="U286" s="1" t="n"/>
    </row>
    <row r="287" ht="12" customHeight="1">
      <c r="A287" s="1" t="n"/>
      <c r="B287" s="38" t="n">
        <v>267</v>
      </c>
      <c r="C287" s="114">
        <f>Assumptions!$F$8+RAND()*(Assumptions!$D$8-Assumptions!$F$8)</f>
        <v/>
      </c>
      <c r="D287" s="114">
        <f>Assumptions!$D$9+RAND()*(Assumptions!$F$9-Assumptions!$D$9)</f>
        <v/>
      </c>
      <c r="E287" s="71">
        <f>Assumptions!$F$11+RAND()*(Assumptions!$D$11-Assumptions!$F$11)</f>
        <v/>
      </c>
      <c r="F287" s="45">
        <f>nListPrice*(1-C287)-(nInference*nGpuIdx+nAmort)*nUtilCal/D287-nNetworking-nOverheadBase*(E287/nPowerCal)-nCodBase*(1+I287/12)-O287</f>
        <v/>
      </c>
      <c r="G287" s="66">
        <f>MAX(F287,0)/nDebtService</f>
        <v/>
      </c>
      <c r="H287" s="71">
        <f>Anthropic!$J$18*Anthropic!$J$27+Anthropic!$J$19*Anthropic!$J$28+Anthropic!$J$20*Anthropic!$J$29+Anthropic!$J$21*E287*(1+nPowerCagr)^4*(1+nResidualBasisMarkup+nScarcityAlpha*POWER(Anthropic!$J$21,nScarcityGamma))</f>
        <v/>
      </c>
      <c r="I287" s="113">
        <f>Assumptions!$F$10+RAND()*(Assumptions!$D$10-Assumptions!$F$10)</f>
        <v/>
      </c>
      <c r="J287" s="113">
        <f>RAND()*nCodSlipMaxMo</f>
        <v/>
      </c>
      <c r="K287" s="114">
        <f>nAvailDrawMin+RAND()*(nAvailDrawMax-nAvailDrawMin)</f>
        <v/>
      </c>
      <c r="L287" s="45">
        <f>IF(2034&lt;sNsmrCodU1+J287/12,0,(nNsmrCap+nNsmrOpx*(1+sNsmrOpxEsc)^8+nNsmrFuel*FuelEsc*(1+nFuelCagr)^8-nNsmrItc)*IF(2034&lt;sNsmrCodU1+J287/12+nStepFirst,1,IF(nStepGated="Yes",(1+nStepPct)^(INT((2034-sNsmrCodU1-J287/12-nStepFirst)/nStepEvery)+1),1))+nExclPrem*(1-nFlexRelief)-nProdCredit)</f>
        <v/>
      </c>
      <c r="M287" s="63">
        <f>MIN(nShortfallCapM,MAX(0,sNsmrAvailY2-K287)*sNsmrUnitMw*sNsmrUnits*8760*NsmrPrice2033/1000000)</f>
        <v/>
      </c>
      <c r="N287" s="82">
        <f>IF(RAND()&lt;0.5,nUsefulLifeDrawBase-(nUsefulLifeDrawBase-nUsefulLifeDrawMin)*BETA.INV(RAND(),1.15,1.15),nUsefulLifeDrawBase+(nUsefulLifeDrawMax-nUsefulLifeDrawBase)*BETA.INV(RAND(),1.15,1.15))</f>
        <v/>
      </c>
      <c r="O287" s="45">
        <f>((nInference*nGpuIdx+nAmort)*nUtilCal/D287)*(nUsefulLifeDrawBase/N287-1)</f>
        <v/>
      </c>
      <c r="P287" s="1" t="n"/>
      <c r="Q287" s="1" t="n"/>
      <c r="R287" s="1" t="n"/>
      <c r="S287" s="1" t="n"/>
      <c r="T287" s="1" t="n"/>
      <c r="U287" s="1" t="n"/>
    </row>
    <row r="288" ht="12" customHeight="1">
      <c r="A288" s="1" t="n"/>
      <c r="B288" s="38" t="n">
        <v>268</v>
      </c>
      <c r="C288" s="114">
        <f>Assumptions!$F$8+RAND()*(Assumptions!$D$8-Assumptions!$F$8)</f>
        <v/>
      </c>
      <c r="D288" s="114">
        <f>Assumptions!$D$9+RAND()*(Assumptions!$F$9-Assumptions!$D$9)</f>
        <v/>
      </c>
      <c r="E288" s="71">
        <f>Assumptions!$F$11+RAND()*(Assumptions!$D$11-Assumptions!$F$11)</f>
        <v/>
      </c>
      <c r="F288" s="45">
        <f>nListPrice*(1-C288)-(nInference*nGpuIdx+nAmort)*nUtilCal/D288-nNetworking-nOverheadBase*(E288/nPowerCal)-nCodBase*(1+I288/12)-O288</f>
        <v/>
      </c>
      <c r="G288" s="66">
        <f>MAX(F288,0)/nDebtService</f>
        <v/>
      </c>
      <c r="H288" s="71">
        <f>Anthropic!$J$18*Anthropic!$J$27+Anthropic!$J$19*Anthropic!$J$28+Anthropic!$J$20*Anthropic!$J$29+Anthropic!$J$21*E288*(1+nPowerCagr)^4*(1+nResidualBasisMarkup+nScarcityAlpha*POWER(Anthropic!$J$21,nScarcityGamma))</f>
        <v/>
      </c>
      <c r="I288" s="113">
        <f>Assumptions!$F$10+RAND()*(Assumptions!$D$10-Assumptions!$F$10)</f>
        <v/>
      </c>
      <c r="J288" s="113">
        <f>RAND()*nCodSlipMaxMo</f>
        <v/>
      </c>
      <c r="K288" s="114">
        <f>nAvailDrawMin+RAND()*(nAvailDrawMax-nAvailDrawMin)</f>
        <v/>
      </c>
      <c r="L288" s="45">
        <f>IF(2034&lt;sNsmrCodU1+J288/12,0,(nNsmrCap+nNsmrOpx*(1+sNsmrOpxEsc)^8+nNsmrFuel*FuelEsc*(1+nFuelCagr)^8-nNsmrItc)*IF(2034&lt;sNsmrCodU1+J288/12+nStepFirst,1,IF(nStepGated="Yes",(1+nStepPct)^(INT((2034-sNsmrCodU1-J288/12-nStepFirst)/nStepEvery)+1),1))+nExclPrem*(1-nFlexRelief)-nProdCredit)</f>
        <v/>
      </c>
      <c r="M288" s="63">
        <f>MIN(nShortfallCapM,MAX(0,sNsmrAvailY2-K288)*sNsmrUnitMw*sNsmrUnits*8760*NsmrPrice2033/1000000)</f>
        <v/>
      </c>
      <c r="N288" s="82">
        <f>IF(RAND()&lt;0.5,nUsefulLifeDrawBase-(nUsefulLifeDrawBase-nUsefulLifeDrawMin)*BETA.INV(RAND(),1.15,1.15),nUsefulLifeDrawBase+(nUsefulLifeDrawMax-nUsefulLifeDrawBase)*BETA.INV(RAND(),1.15,1.15))</f>
        <v/>
      </c>
      <c r="O288" s="45">
        <f>((nInference*nGpuIdx+nAmort)*nUtilCal/D288)*(nUsefulLifeDrawBase/N288-1)</f>
        <v/>
      </c>
      <c r="P288" s="1" t="n"/>
      <c r="Q288" s="1" t="n"/>
      <c r="R288" s="1" t="n"/>
      <c r="S288" s="1" t="n"/>
      <c r="T288" s="1" t="n"/>
      <c r="U288" s="1" t="n"/>
    </row>
    <row r="289" ht="12" customHeight="1">
      <c r="A289" s="1" t="n"/>
      <c r="B289" s="38" t="n">
        <v>269</v>
      </c>
      <c r="C289" s="114">
        <f>Assumptions!$F$8+RAND()*(Assumptions!$D$8-Assumptions!$F$8)</f>
        <v/>
      </c>
      <c r="D289" s="114">
        <f>Assumptions!$D$9+RAND()*(Assumptions!$F$9-Assumptions!$D$9)</f>
        <v/>
      </c>
      <c r="E289" s="71">
        <f>Assumptions!$F$11+RAND()*(Assumptions!$D$11-Assumptions!$F$11)</f>
        <v/>
      </c>
      <c r="F289" s="45">
        <f>nListPrice*(1-C289)-(nInference*nGpuIdx+nAmort)*nUtilCal/D289-nNetworking-nOverheadBase*(E289/nPowerCal)-nCodBase*(1+I289/12)-O289</f>
        <v/>
      </c>
      <c r="G289" s="66">
        <f>MAX(F289,0)/nDebtService</f>
        <v/>
      </c>
      <c r="H289" s="71">
        <f>Anthropic!$J$18*Anthropic!$J$27+Anthropic!$J$19*Anthropic!$J$28+Anthropic!$J$20*Anthropic!$J$29+Anthropic!$J$21*E289*(1+nPowerCagr)^4*(1+nResidualBasisMarkup+nScarcityAlpha*POWER(Anthropic!$J$21,nScarcityGamma))</f>
        <v/>
      </c>
      <c r="I289" s="113">
        <f>Assumptions!$F$10+RAND()*(Assumptions!$D$10-Assumptions!$F$10)</f>
        <v/>
      </c>
      <c r="J289" s="113">
        <f>RAND()*nCodSlipMaxMo</f>
        <v/>
      </c>
      <c r="K289" s="114">
        <f>nAvailDrawMin+RAND()*(nAvailDrawMax-nAvailDrawMin)</f>
        <v/>
      </c>
      <c r="L289" s="45">
        <f>IF(2034&lt;sNsmrCodU1+J289/12,0,(nNsmrCap+nNsmrOpx*(1+sNsmrOpxEsc)^8+nNsmrFuel*FuelEsc*(1+nFuelCagr)^8-nNsmrItc)*IF(2034&lt;sNsmrCodU1+J289/12+nStepFirst,1,IF(nStepGated="Yes",(1+nStepPct)^(INT((2034-sNsmrCodU1-J289/12-nStepFirst)/nStepEvery)+1),1))+nExclPrem*(1-nFlexRelief)-nProdCredit)</f>
        <v/>
      </c>
      <c r="M289" s="63">
        <f>MIN(nShortfallCapM,MAX(0,sNsmrAvailY2-K289)*sNsmrUnitMw*sNsmrUnits*8760*NsmrPrice2033/1000000)</f>
        <v/>
      </c>
      <c r="N289" s="82">
        <f>IF(RAND()&lt;0.5,nUsefulLifeDrawBase-(nUsefulLifeDrawBase-nUsefulLifeDrawMin)*BETA.INV(RAND(),1.15,1.15),nUsefulLifeDrawBase+(nUsefulLifeDrawMax-nUsefulLifeDrawBase)*BETA.INV(RAND(),1.15,1.15))</f>
        <v/>
      </c>
      <c r="O289" s="45">
        <f>((nInference*nGpuIdx+nAmort)*nUtilCal/D289)*(nUsefulLifeDrawBase/N289-1)</f>
        <v/>
      </c>
      <c r="P289" s="1" t="n"/>
      <c r="Q289" s="1" t="n"/>
      <c r="R289" s="1" t="n"/>
      <c r="S289" s="1" t="n"/>
      <c r="T289" s="1" t="n"/>
      <c r="U289" s="1" t="n"/>
    </row>
    <row r="290" ht="12" customHeight="1">
      <c r="A290" s="1" t="n"/>
      <c r="B290" s="38" t="n">
        <v>270</v>
      </c>
      <c r="C290" s="114">
        <f>Assumptions!$F$8+RAND()*(Assumptions!$D$8-Assumptions!$F$8)</f>
        <v/>
      </c>
      <c r="D290" s="114">
        <f>Assumptions!$D$9+RAND()*(Assumptions!$F$9-Assumptions!$D$9)</f>
        <v/>
      </c>
      <c r="E290" s="71">
        <f>Assumptions!$F$11+RAND()*(Assumptions!$D$11-Assumptions!$F$11)</f>
        <v/>
      </c>
      <c r="F290" s="45">
        <f>nListPrice*(1-C290)-(nInference*nGpuIdx+nAmort)*nUtilCal/D290-nNetworking-nOverheadBase*(E290/nPowerCal)-nCodBase*(1+I290/12)-O290</f>
        <v/>
      </c>
      <c r="G290" s="66">
        <f>MAX(F290,0)/nDebtService</f>
        <v/>
      </c>
      <c r="H290" s="71">
        <f>Anthropic!$J$18*Anthropic!$J$27+Anthropic!$J$19*Anthropic!$J$28+Anthropic!$J$20*Anthropic!$J$29+Anthropic!$J$21*E290*(1+nPowerCagr)^4*(1+nResidualBasisMarkup+nScarcityAlpha*POWER(Anthropic!$J$21,nScarcityGamma))</f>
        <v/>
      </c>
      <c r="I290" s="113">
        <f>Assumptions!$F$10+RAND()*(Assumptions!$D$10-Assumptions!$F$10)</f>
        <v/>
      </c>
      <c r="J290" s="113">
        <f>RAND()*nCodSlipMaxMo</f>
        <v/>
      </c>
      <c r="K290" s="114">
        <f>nAvailDrawMin+RAND()*(nAvailDrawMax-nAvailDrawMin)</f>
        <v/>
      </c>
      <c r="L290" s="45">
        <f>IF(2034&lt;sNsmrCodU1+J290/12,0,(nNsmrCap+nNsmrOpx*(1+sNsmrOpxEsc)^8+nNsmrFuel*FuelEsc*(1+nFuelCagr)^8-nNsmrItc)*IF(2034&lt;sNsmrCodU1+J290/12+nStepFirst,1,IF(nStepGated="Yes",(1+nStepPct)^(INT((2034-sNsmrCodU1-J290/12-nStepFirst)/nStepEvery)+1),1))+nExclPrem*(1-nFlexRelief)-nProdCredit)</f>
        <v/>
      </c>
      <c r="M290" s="63">
        <f>MIN(nShortfallCapM,MAX(0,sNsmrAvailY2-K290)*sNsmrUnitMw*sNsmrUnits*8760*NsmrPrice2033/1000000)</f>
        <v/>
      </c>
      <c r="N290" s="82">
        <f>IF(RAND()&lt;0.5,nUsefulLifeDrawBase-(nUsefulLifeDrawBase-nUsefulLifeDrawMin)*BETA.INV(RAND(),1.15,1.15),nUsefulLifeDrawBase+(nUsefulLifeDrawMax-nUsefulLifeDrawBase)*BETA.INV(RAND(),1.15,1.15))</f>
        <v/>
      </c>
      <c r="O290" s="45">
        <f>((nInference*nGpuIdx+nAmort)*nUtilCal/D290)*(nUsefulLifeDrawBase/N290-1)</f>
        <v/>
      </c>
      <c r="P290" s="1" t="n"/>
      <c r="Q290" s="1" t="n"/>
      <c r="R290" s="1" t="n"/>
      <c r="S290" s="1" t="n"/>
      <c r="T290" s="1" t="n"/>
      <c r="U290" s="1" t="n"/>
    </row>
    <row r="291" ht="12" customHeight="1">
      <c r="A291" s="1" t="n"/>
      <c r="B291" s="38" t="n">
        <v>271</v>
      </c>
      <c r="C291" s="114">
        <f>Assumptions!$F$8+RAND()*(Assumptions!$D$8-Assumptions!$F$8)</f>
        <v/>
      </c>
      <c r="D291" s="114">
        <f>Assumptions!$D$9+RAND()*(Assumptions!$F$9-Assumptions!$D$9)</f>
        <v/>
      </c>
      <c r="E291" s="71">
        <f>Assumptions!$F$11+RAND()*(Assumptions!$D$11-Assumptions!$F$11)</f>
        <v/>
      </c>
      <c r="F291" s="45">
        <f>nListPrice*(1-C291)-(nInference*nGpuIdx+nAmort)*nUtilCal/D291-nNetworking-nOverheadBase*(E291/nPowerCal)-nCodBase*(1+I291/12)-O291</f>
        <v/>
      </c>
      <c r="G291" s="66">
        <f>MAX(F291,0)/nDebtService</f>
        <v/>
      </c>
      <c r="H291" s="71">
        <f>Anthropic!$J$18*Anthropic!$J$27+Anthropic!$J$19*Anthropic!$J$28+Anthropic!$J$20*Anthropic!$J$29+Anthropic!$J$21*E291*(1+nPowerCagr)^4*(1+nResidualBasisMarkup+nScarcityAlpha*POWER(Anthropic!$J$21,nScarcityGamma))</f>
        <v/>
      </c>
      <c r="I291" s="113">
        <f>Assumptions!$F$10+RAND()*(Assumptions!$D$10-Assumptions!$F$10)</f>
        <v/>
      </c>
      <c r="J291" s="113">
        <f>RAND()*nCodSlipMaxMo</f>
        <v/>
      </c>
      <c r="K291" s="114">
        <f>nAvailDrawMin+RAND()*(nAvailDrawMax-nAvailDrawMin)</f>
        <v/>
      </c>
      <c r="L291" s="45">
        <f>IF(2034&lt;sNsmrCodU1+J291/12,0,(nNsmrCap+nNsmrOpx*(1+sNsmrOpxEsc)^8+nNsmrFuel*FuelEsc*(1+nFuelCagr)^8-nNsmrItc)*IF(2034&lt;sNsmrCodU1+J291/12+nStepFirst,1,IF(nStepGated="Yes",(1+nStepPct)^(INT((2034-sNsmrCodU1-J291/12-nStepFirst)/nStepEvery)+1),1))+nExclPrem*(1-nFlexRelief)-nProdCredit)</f>
        <v/>
      </c>
      <c r="M291" s="63">
        <f>MIN(nShortfallCapM,MAX(0,sNsmrAvailY2-K291)*sNsmrUnitMw*sNsmrUnits*8760*NsmrPrice2033/1000000)</f>
        <v/>
      </c>
      <c r="N291" s="82">
        <f>IF(RAND()&lt;0.5,nUsefulLifeDrawBase-(nUsefulLifeDrawBase-nUsefulLifeDrawMin)*BETA.INV(RAND(),1.15,1.15),nUsefulLifeDrawBase+(nUsefulLifeDrawMax-nUsefulLifeDrawBase)*BETA.INV(RAND(),1.15,1.15))</f>
        <v/>
      </c>
      <c r="O291" s="45">
        <f>((nInference*nGpuIdx+nAmort)*nUtilCal/D291)*(nUsefulLifeDrawBase/N291-1)</f>
        <v/>
      </c>
      <c r="P291" s="1" t="n"/>
      <c r="Q291" s="1" t="n"/>
      <c r="R291" s="1" t="n"/>
      <c r="S291" s="1" t="n"/>
      <c r="T291" s="1" t="n"/>
      <c r="U291" s="1" t="n"/>
    </row>
    <row r="292" ht="12" customHeight="1">
      <c r="A292" s="1" t="n"/>
      <c r="B292" s="38" t="n">
        <v>272</v>
      </c>
      <c r="C292" s="114">
        <f>Assumptions!$F$8+RAND()*(Assumptions!$D$8-Assumptions!$F$8)</f>
        <v/>
      </c>
      <c r="D292" s="114">
        <f>Assumptions!$D$9+RAND()*(Assumptions!$F$9-Assumptions!$D$9)</f>
        <v/>
      </c>
      <c r="E292" s="71">
        <f>Assumptions!$F$11+RAND()*(Assumptions!$D$11-Assumptions!$F$11)</f>
        <v/>
      </c>
      <c r="F292" s="45">
        <f>nListPrice*(1-C292)-(nInference*nGpuIdx+nAmort)*nUtilCal/D292-nNetworking-nOverheadBase*(E292/nPowerCal)-nCodBase*(1+I292/12)-O292</f>
        <v/>
      </c>
      <c r="G292" s="66">
        <f>MAX(F292,0)/nDebtService</f>
        <v/>
      </c>
      <c r="H292" s="71">
        <f>Anthropic!$J$18*Anthropic!$J$27+Anthropic!$J$19*Anthropic!$J$28+Anthropic!$J$20*Anthropic!$J$29+Anthropic!$J$21*E292*(1+nPowerCagr)^4*(1+nResidualBasisMarkup+nScarcityAlpha*POWER(Anthropic!$J$21,nScarcityGamma))</f>
        <v/>
      </c>
      <c r="I292" s="113">
        <f>Assumptions!$F$10+RAND()*(Assumptions!$D$10-Assumptions!$F$10)</f>
        <v/>
      </c>
      <c r="J292" s="113">
        <f>RAND()*nCodSlipMaxMo</f>
        <v/>
      </c>
      <c r="K292" s="114">
        <f>nAvailDrawMin+RAND()*(nAvailDrawMax-nAvailDrawMin)</f>
        <v/>
      </c>
      <c r="L292" s="45">
        <f>IF(2034&lt;sNsmrCodU1+J292/12,0,(nNsmrCap+nNsmrOpx*(1+sNsmrOpxEsc)^8+nNsmrFuel*FuelEsc*(1+nFuelCagr)^8-nNsmrItc)*IF(2034&lt;sNsmrCodU1+J292/12+nStepFirst,1,IF(nStepGated="Yes",(1+nStepPct)^(INT((2034-sNsmrCodU1-J292/12-nStepFirst)/nStepEvery)+1),1))+nExclPrem*(1-nFlexRelief)-nProdCredit)</f>
        <v/>
      </c>
      <c r="M292" s="63">
        <f>MIN(nShortfallCapM,MAX(0,sNsmrAvailY2-K292)*sNsmrUnitMw*sNsmrUnits*8760*NsmrPrice2033/1000000)</f>
        <v/>
      </c>
      <c r="N292" s="82">
        <f>IF(RAND()&lt;0.5,nUsefulLifeDrawBase-(nUsefulLifeDrawBase-nUsefulLifeDrawMin)*BETA.INV(RAND(),1.15,1.15),nUsefulLifeDrawBase+(nUsefulLifeDrawMax-nUsefulLifeDrawBase)*BETA.INV(RAND(),1.15,1.15))</f>
        <v/>
      </c>
      <c r="O292" s="45">
        <f>((nInference*nGpuIdx+nAmort)*nUtilCal/D292)*(nUsefulLifeDrawBase/N292-1)</f>
        <v/>
      </c>
      <c r="P292" s="1" t="n"/>
      <c r="Q292" s="1" t="n"/>
      <c r="R292" s="1" t="n"/>
      <c r="S292" s="1" t="n"/>
      <c r="T292" s="1" t="n"/>
      <c r="U292" s="1" t="n"/>
    </row>
    <row r="293" ht="12" customHeight="1">
      <c r="A293" s="1" t="n"/>
      <c r="B293" s="38" t="n">
        <v>273</v>
      </c>
      <c r="C293" s="114">
        <f>Assumptions!$F$8+RAND()*(Assumptions!$D$8-Assumptions!$F$8)</f>
        <v/>
      </c>
      <c r="D293" s="114">
        <f>Assumptions!$D$9+RAND()*(Assumptions!$F$9-Assumptions!$D$9)</f>
        <v/>
      </c>
      <c r="E293" s="71">
        <f>Assumptions!$F$11+RAND()*(Assumptions!$D$11-Assumptions!$F$11)</f>
        <v/>
      </c>
      <c r="F293" s="45">
        <f>nListPrice*(1-C293)-(nInference*nGpuIdx+nAmort)*nUtilCal/D293-nNetworking-nOverheadBase*(E293/nPowerCal)-nCodBase*(1+I293/12)-O293</f>
        <v/>
      </c>
      <c r="G293" s="66">
        <f>MAX(F293,0)/nDebtService</f>
        <v/>
      </c>
      <c r="H293" s="71">
        <f>Anthropic!$J$18*Anthropic!$J$27+Anthropic!$J$19*Anthropic!$J$28+Anthropic!$J$20*Anthropic!$J$29+Anthropic!$J$21*E293*(1+nPowerCagr)^4*(1+nResidualBasisMarkup+nScarcityAlpha*POWER(Anthropic!$J$21,nScarcityGamma))</f>
        <v/>
      </c>
      <c r="I293" s="113">
        <f>Assumptions!$F$10+RAND()*(Assumptions!$D$10-Assumptions!$F$10)</f>
        <v/>
      </c>
      <c r="J293" s="113">
        <f>RAND()*nCodSlipMaxMo</f>
        <v/>
      </c>
      <c r="K293" s="114">
        <f>nAvailDrawMin+RAND()*(nAvailDrawMax-nAvailDrawMin)</f>
        <v/>
      </c>
      <c r="L293" s="45">
        <f>IF(2034&lt;sNsmrCodU1+J293/12,0,(nNsmrCap+nNsmrOpx*(1+sNsmrOpxEsc)^8+nNsmrFuel*FuelEsc*(1+nFuelCagr)^8-nNsmrItc)*IF(2034&lt;sNsmrCodU1+J293/12+nStepFirst,1,IF(nStepGated="Yes",(1+nStepPct)^(INT((2034-sNsmrCodU1-J293/12-nStepFirst)/nStepEvery)+1),1))+nExclPrem*(1-nFlexRelief)-nProdCredit)</f>
        <v/>
      </c>
      <c r="M293" s="63">
        <f>MIN(nShortfallCapM,MAX(0,sNsmrAvailY2-K293)*sNsmrUnitMw*sNsmrUnits*8760*NsmrPrice2033/1000000)</f>
        <v/>
      </c>
      <c r="N293" s="82">
        <f>IF(RAND()&lt;0.5,nUsefulLifeDrawBase-(nUsefulLifeDrawBase-nUsefulLifeDrawMin)*BETA.INV(RAND(),1.15,1.15),nUsefulLifeDrawBase+(nUsefulLifeDrawMax-nUsefulLifeDrawBase)*BETA.INV(RAND(),1.15,1.15))</f>
        <v/>
      </c>
      <c r="O293" s="45">
        <f>((nInference*nGpuIdx+nAmort)*nUtilCal/D293)*(nUsefulLifeDrawBase/N293-1)</f>
        <v/>
      </c>
      <c r="P293" s="1" t="n"/>
      <c r="Q293" s="1" t="n"/>
      <c r="R293" s="1" t="n"/>
      <c r="S293" s="1" t="n"/>
      <c r="T293" s="1" t="n"/>
      <c r="U293" s="1" t="n"/>
    </row>
    <row r="294" ht="12" customHeight="1">
      <c r="A294" s="1" t="n"/>
      <c r="B294" s="38" t="n">
        <v>274</v>
      </c>
      <c r="C294" s="114">
        <f>Assumptions!$F$8+RAND()*(Assumptions!$D$8-Assumptions!$F$8)</f>
        <v/>
      </c>
      <c r="D294" s="114">
        <f>Assumptions!$D$9+RAND()*(Assumptions!$F$9-Assumptions!$D$9)</f>
        <v/>
      </c>
      <c r="E294" s="71">
        <f>Assumptions!$F$11+RAND()*(Assumptions!$D$11-Assumptions!$F$11)</f>
        <v/>
      </c>
      <c r="F294" s="45">
        <f>nListPrice*(1-C294)-(nInference*nGpuIdx+nAmort)*nUtilCal/D294-nNetworking-nOverheadBase*(E294/nPowerCal)-nCodBase*(1+I294/12)-O294</f>
        <v/>
      </c>
      <c r="G294" s="66">
        <f>MAX(F294,0)/nDebtService</f>
        <v/>
      </c>
      <c r="H294" s="71">
        <f>Anthropic!$J$18*Anthropic!$J$27+Anthropic!$J$19*Anthropic!$J$28+Anthropic!$J$20*Anthropic!$J$29+Anthropic!$J$21*E294*(1+nPowerCagr)^4*(1+nResidualBasisMarkup+nScarcityAlpha*POWER(Anthropic!$J$21,nScarcityGamma))</f>
        <v/>
      </c>
      <c r="I294" s="113">
        <f>Assumptions!$F$10+RAND()*(Assumptions!$D$10-Assumptions!$F$10)</f>
        <v/>
      </c>
      <c r="J294" s="113">
        <f>RAND()*nCodSlipMaxMo</f>
        <v/>
      </c>
      <c r="K294" s="114">
        <f>nAvailDrawMin+RAND()*(nAvailDrawMax-nAvailDrawMin)</f>
        <v/>
      </c>
      <c r="L294" s="45">
        <f>IF(2034&lt;sNsmrCodU1+J294/12,0,(nNsmrCap+nNsmrOpx*(1+sNsmrOpxEsc)^8+nNsmrFuel*FuelEsc*(1+nFuelCagr)^8-nNsmrItc)*IF(2034&lt;sNsmrCodU1+J294/12+nStepFirst,1,IF(nStepGated="Yes",(1+nStepPct)^(INT((2034-sNsmrCodU1-J294/12-nStepFirst)/nStepEvery)+1),1))+nExclPrem*(1-nFlexRelief)-nProdCredit)</f>
        <v/>
      </c>
      <c r="M294" s="63">
        <f>MIN(nShortfallCapM,MAX(0,sNsmrAvailY2-K294)*sNsmrUnitMw*sNsmrUnits*8760*NsmrPrice2033/1000000)</f>
        <v/>
      </c>
      <c r="N294" s="82">
        <f>IF(RAND()&lt;0.5,nUsefulLifeDrawBase-(nUsefulLifeDrawBase-nUsefulLifeDrawMin)*BETA.INV(RAND(),1.15,1.15),nUsefulLifeDrawBase+(nUsefulLifeDrawMax-nUsefulLifeDrawBase)*BETA.INV(RAND(),1.15,1.15))</f>
        <v/>
      </c>
      <c r="O294" s="45">
        <f>((nInference*nGpuIdx+nAmort)*nUtilCal/D294)*(nUsefulLifeDrawBase/N294-1)</f>
        <v/>
      </c>
      <c r="P294" s="1" t="n"/>
      <c r="Q294" s="1" t="n"/>
      <c r="R294" s="1" t="n"/>
      <c r="S294" s="1" t="n"/>
      <c r="T294" s="1" t="n"/>
      <c r="U294" s="1" t="n"/>
    </row>
    <row r="295" ht="12" customHeight="1">
      <c r="A295" s="1" t="n"/>
      <c r="B295" s="38" t="n">
        <v>275</v>
      </c>
      <c r="C295" s="114">
        <f>Assumptions!$F$8+RAND()*(Assumptions!$D$8-Assumptions!$F$8)</f>
        <v/>
      </c>
      <c r="D295" s="114">
        <f>Assumptions!$D$9+RAND()*(Assumptions!$F$9-Assumptions!$D$9)</f>
        <v/>
      </c>
      <c r="E295" s="71">
        <f>Assumptions!$F$11+RAND()*(Assumptions!$D$11-Assumptions!$F$11)</f>
        <v/>
      </c>
      <c r="F295" s="45">
        <f>nListPrice*(1-C295)-(nInference*nGpuIdx+nAmort)*nUtilCal/D295-nNetworking-nOverheadBase*(E295/nPowerCal)-nCodBase*(1+I295/12)-O295</f>
        <v/>
      </c>
      <c r="G295" s="66">
        <f>MAX(F295,0)/nDebtService</f>
        <v/>
      </c>
      <c r="H295" s="71">
        <f>Anthropic!$J$18*Anthropic!$J$27+Anthropic!$J$19*Anthropic!$J$28+Anthropic!$J$20*Anthropic!$J$29+Anthropic!$J$21*E295*(1+nPowerCagr)^4*(1+nResidualBasisMarkup+nScarcityAlpha*POWER(Anthropic!$J$21,nScarcityGamma))</f>
        <v/>
      </c>
      <c r="I295" s="113">
        <f>Assumptions!$F$10+RAND()*(Assumptions!$D$10-Assumptions!$F$10)</f>
        <v/>
      </c>
      <c r="J295" s="113">
        <f>RAND()*nCodSlipMaxMo</f>
        <v/>
      </c>
      <c r="K295" s="114">
        <f>nAvailDrawMin+RAND()*(nAvailDrawMax-nAvailDrawMin)</f>
        <v/>
      </c>
      <c r="L295" s="45">
        <f>IF(2034&lt;sNsmrCodU1+J295/12,0,(nNsmrCap+nNsmrOpx*(1+sNsmrOpxEsc)^8+nNsmrFuel*FuelEsc*(1+nFuelCagr)^8-nNsmrItc)*IF(2034&lt;sNsmrCodU1+J295/12+nStepFirst,1,IF(nStepGated="Yes",(1+nStepPct)^(INT((2034-sNsmrCodU1-J295/12-nStepFirst)/nStepEvery)+1),1))+nExclPrem*(1-nFlexRelief)-nProdCredit)</f>
        <v/>
      </c>
      <c r="M295" s="63">
        <f>MIN(nShortfallCapM,MAX(0,sNsmrAvailY2-K295)*sNsmrUnitMw*sNsmrUnits*8760*NsmrPrice2033/1000000)</f>
        <v/>
      </c>
      <c r="N295" s="82">
        <f>IF(RAND()&lt;0.5,nUsefulLifeDrawBase-(nUsefulLifeDrawBase-nUsefulLifeDrawMin)*BETA.INV(RAND(),1.15,1.15),nUsefulLifeDrawBase+(nUsefulLifeDrawMax-nUsefulLifeDrawBase)*BETA.INV(RAND(),1.15,1.15))</f>
        <v/>
      </c>
      <c r="O295" s="45">
        <f>((nInference*nGpuIdx+nAmort)*nUtilCal/D295)*(nUsefulLifeDrawBase/N295-1)</f>
        <v/>
      </c>
      <c r="P295" s="1" t="n"/>
      <c r="Q295" s="1" t="n"/>
      <c r="R295" s="1" t="n"/>
      <c r="S295" s="1" t="n"/>
      <c r="T295" s="1" t="n"/>
      <c r="U295" s="1" t="n"/>
    </row>
    <row r="296" ht="12" customHeight="1">
      <c r="A296" s="1" t="n"/>
      <c r="B296" s="38" t="n">
        <v>276</v>
      </c>
      <c r="C296" s="114">
        <f>Assumptions!$F$8+RAND()*(Assumptions!$D$8-Assumptions!$F$8)</f>
        <v/>
      </c>
      <c r="D296" s="114">
        <f>Assumptions!$D$9+RAND()*(Assumptions!$F$9-Assumptions!$D$9)</f>
        <v/>
      </c>
      <c r="E296" s="71">
        <f>Assumptions!$F$11+RAND()*(Assumptions!$D$11-Assumptions!$F$11)</f>
        <v/>
      </c>
      <c r="F296" s="45">
        <f>nListPrice*(1-C296)-(nInference*nGpuIdx+nAmort)*nUtilCal/D296-nNetworking-nOverheadBase*(E296/nPowerCal)-nCodBase*(1+I296/12)-O296</f>
        <v/>
      </c>
      <c r="G296" s="66">
        <f>MAX(F296,0)/nDebtService</f>
        <v/>
      </c>
      <c r="H296" s="71">
        <f>Anthropic!$J$18*Anthropic!$J$27+Anthropic!$J$19*Anthropic!$J$28+Anthropic!$J$20*Anthropic!$J$29+Anthropic!$J$21*E296*(1+nPowerCagr)^4*(1+nResidualBasisMarkup+nScarcityAlpha*POWER(Anthropic!$J$21,nScarcityGamma))</f>
        <v/>
      </c>
      <c r="I296" s="113">
        <f>Assumptions!$F$10+RAND()*(Assumptions!$D$10-Assumptions!$F$10)</f>
        <v/>
      </c>
      <c r="J296" s="113">
        <f>RAND()*nCodSlipMaxMo</f>
        <v/>
      </c>
      <c r="K296" s="114">
        <f>nAvailDrawMin+RAND()*(nAvailDrawMax-nAvailDrawMin)</f>
        <v/>
      </c>
      <c r="L296" s="45">
        <f>IF(2034&lt;sNsmrCodU1+J296/12,0,(nNsmrCap+nNsmrOpx*(1+sNsmrOpxEsc)^8+nNsmrFuel*FuelEsc*(1+nFuelCagr)^8-nNsmrItc)*IF(2034&lt;sNsmrCodU1+J296/12+nStepFirst,1,IF(nStepGated="Yes",(1+nStepPct)^(INT((2034-sNsmrCodU1-J296/12-nStepFirst)/nStepEvery)+1),1))+nExclPrem*(1-nFlexRelief)-nProdCredit)</f>
        <v/>
      </c>
      <c r="M296" s="63">
        <f>MIN(nShortfallCapM,MAX(0,sNsmrAvailY2-K296)*sNsmrUnitMw*sNsmrUnits*8760*NsmrPrice2033/1000000)</f>
        <v/>
      </c>
      <c r="N296" s="82">
        <f>IF(RAND()&lt;0.5,nUsefulLifeDrawBase-(nUsefulLifeDrawBase-nUsefulLifeDrawMin)*BETA.INV(RAND(),1.15,1.15),nUsefulLifeDrawBase+(nUsefulLifeDrawMax-nUsefulLifeDrawBase)*BETA.INV(RAND(),1.15,1.15))</f>
        <v/>
      </c>
      <c r="O296" s="45">
        <f>((nInference*nGpuIdx+nAmort)*nUtilCal/D296)*(nUsefulLifeDrawBase/N296-1)</f>
        <v/>
      </c>
      <c r="P296" s="1" t="n"/>
      <c r="Q296" s="1" t="n"/>
      <c r="R296" s="1" t="n"/>
      <c r="S296" s="1" t="n"/>
      <c r="T296" s="1" t="n"/>
      <c r="U296" s="1" t="n"/>
    </row>
    <row r="297" ht="12" customHeight="1">
      <c r="A297" s="1" t="n"/>
      <c r="B297" s="38" t="n">
        <v>277</v>
      </c>
      <c r="C297" s="114">
        <f>Assumptions!$F$8+RAND()*(Assumptions!$D$8-Assumptions!$F$8)</f>
        <v/>
      </c>
      <c r="D297" s="114">
        <f>Assumptions!$D$9+RAND()*(Assumptions!$F$9-Assumptions!$D$9)</f>
        <v/>
      </c>
      <c r="E297" s="71">
        <f>Assumptions!$F$11+RAND()*(Assumptions!$D$11-Assumptions!$F$11)</f>
        <v/>
      </c>
      <c r="F297" s="45">
        <f>nListPrice*(1-C297)-(nInference*nGpuIdx+nAmort)*nUtilCal/D297-nNetworking-nOverheadBase*(E297/nPowerCal)-nCodBase*(1+I297/12)-O297</f>
        <v/>
      </c>
      <c r="G297" s="66">
        <f>MAX(F297,0)/nDebtService</f>
        <v/>
      </c>
      <c r="H297" s="71">
        <f>Anthropic!$J$18*Anthropic!$J$27+Anthropic!$J$19*Anthropic!$J$28+Anthropic!$J$20*Anthropic!$J$29+Anthropic!$J$21*E297*(1+nPowerCagr)^4*(1+nResidualBasisMarkup+nScarcityAlpha*POWER(Anthropic!$J$21,nScarcityGamma))</f>
        <v/>
      </c>
      <c r="I297" s="113">
        <f>Assumptions!$F$10+RAND()*(Assumptions!$D$10-Assumptions!$F$10)</f>
        <v/>
      </c>
      <c r="J297" s="113">
        <f>RAND()*nCodSlipMaxMo</f>
        <v/>
      </c>
      <c r="K297" s="114">
        <f>nAvailDrawMin+RAND()*(nAvailDrawMax-nAvailDrawMin)</f>
        <v/>
      </c>
      <c r="L297" s="45">
        <f>IF(2034&lt;sNsmrCodU1+J297/12,0,(nNsmrCap+nNsmrOpx*(1+sNsmrOpxEsc)^8+nNsmrFuel*FuelEsc*(1+nFuelCagr)^8-nNsmrItc)*IF(2034&lt;sNsmrCodU1+J297/12+nStepFirst,1,IF(nStepGated="Yes",(1+nStepPct)^(INT((2034-sNsmrCodU1-J297/12-nStepFirst)/nStepEvery)+1),1))+nExclPrem*(1-nFlexRelief)-nProdCredit)</f>
        <v/>
      </c>
      <c r="M297" s="63">
        <f>MIN(nShortfallCapM,MAX(0,sNsmrAvailY2-K297)*sNsmrUnitMw*sNsmrUnits*8760*NsmrPrice2033/1000000)</f>
        <v/>
      </c>
      <c r="N297" s="82">
        <f>IF(RAND()&lt;0.5,nUsefulLifeDrawBase-(nUsefulLifeDrawBase-nUsefulLifeDrawMin)*BETA.INV(RAND(),1.15,1.15),nUsefulLifeDrawBase+(nUsefulLifeDrawMax-nUsefulLifeDrawBase)*BETA.INV(RAND(),1.15,1.15))</f>
        <v/>
      </c>
      <c r="O297" s="45">
        <f>((nInference*nGpuIdx+nAmort)*nUtilCal/D297)*(nUsefulLifeDrawBase/N297-1)</f>
        <v/>
      </c>
      <c r="P297" s="1" t="n"/>
      <c r="Q297" s="1" t="n"/>
      <c r="R297" s="1" t="n"/>
      <c r="S297" s="1" t="n"/>
      <c r="T297" s="1" t="n"/>
      <c r="U297" s="1" t="n"/>
    </row>
    <row r="298" ht="12" customHeight="1">
      <c r="A298" s="1" t="n"/>
      <c r="B298" s="38" t="n">
        <v>278</v>
      </c>
      <c r="C298" s="114">
        <f>Assumptions!$F$8+RAND()*(Assumptions!$D$8-Assumptions!$F$8)</f>
        <v/>
      </c>
      <c r="D298" s="114">
        <f>Assumptions!$D$9+RAND()*(Assumptions!$F$9-Assumptions!$D$9)</f>
        <v/>
      </c>
      <c r="E298" s="71">
        <f>Assumptions!$F$11+RAND()*(Assumptions!$D$11-Assumptions!$F$11)</f>
        <v/>
      </c>
      <c r="F298" s="45">
        <f>nListPrice*(1-C298)-(nInference*nGpuIdx+nAmort)*nUtilCal/D298-nNetworking-nOverheadBase*(E298/nPowerCal)-nCodBase*(1+I298/12)-O298</f>
        <v/>
      </c>
      <c r="G298" s="66">
        <f>MAX(F298,0)/nDebtService</f>
        <v/>
      </c>
      <c r="H298" s="71">
        <f>Anthropic!$J$18*Anthropic!$J$27+Anthropic!$J$19*Anthropic!$J$28+Anthropic!$J$20*Anthropic!$J$29+Anthropic!$J$21*E298*(1+nPowerCagr)^4*(1+nResidualBasisMarkup+nScarcityAlpha*POWER(Anthropic!$J$21,nScarcityGamma))</f>
        <v/>
      </c>
      <c r="I298" s="113">
        <f>Assumptions!$F$10+RAND()*(Assumptions!$D$10-Assumptions!$F$10)</f>
        <v/>
      </c>
      <c r="J298" s="113">
        <f>RAND()*nCodSlipMaxMo</f>
        <v/>
      </c>
      <c r="K298" s="114">
        <f>nAvailDrawMin+RAND()*(nAvailDrawMax-nAvailDrawMin)</f>
        <v/>
      </c>
      <c r="L298" s="45">
        <f>IF(2034&lt;sNsmrCodU1+J298/12,0,(nNsmrCap+nNsmrOpx*(1+sNsmrOpxEsc)^8+nNsmrFuel*FuelEsc*(1+nFuelCagr)^8-nNsmrItc)*IF(2034&lt;sNsmrCodU1+J298/12+nStepFirst,1,IF(nStepGated="Yes",(1+nStepPct)^(INT((2034-sNsmrCodU1-J298/12-nStepFirst)/nStepEvery)+1),1))+nExclPrem*(1-nFlexRelief)-nProdCredit)</f>
        <v/>
      </c>
      <c r="M298" s="63">
        <f>MIN(nShortfallCapM,MAX(0,sNsmrAvailY2-K298)*sNsmrUnitMw*sNsmrUnits*8760*NsmrPrice2033/1000000)</f>
        <v/>
      </c>
      <c r="N298" s="82">
        <f>IF(RAND()&lt;0.5,nUsefulLifeDrawBase-(nUsefulLifeDrawBase-nUsefulLifeDrawMin)*BETA.INV(RAND(),1.15,1.15),nUsefulLifeDrawBase+(nUsefulLifeDrawMax-nUsefulLifeDrawBase)*BETA.INV(RAND(),1.15,1.15))</f>
        <v/>
      </c>
      <c r="O298" s="45">
        <f>((nInference*nGpuIdx+nAmort)*nUtilCal/D298)*(nUsefulLifeDrawBase/N298-1)</f>
        <v/>
      </c>
      <c r="P298" s="1" t="n"/>
      <c r="Q298" s="1" t="n"/>
      <c r="R298" s="1" t="n"/>
      <c r="S298" s="1" t="n"/>
      <c r="T298" s="1" t="n"/>
      <c r="U298" s="1" t="n"/>
    </row>
    <row r="299" ht="12" customHeight="1">
      <c r="A299" s="1" t="n"/>
      <c r="B299" s="38" t="n">
        <v>279</v>
      </c>
      <c r="C299" s="114">
        <f>Assumptions!$F$8+RAND()*(Assumptions!$D$8-Assumptions!$F$8)</f>
        <v/>
      </c>
      <c r="D299" s="114">
        <f>Assumptions!$D$9+RAND()*(Assumptions!$F$9-Assumptions!$D$9)</f>
        <v/>
      </c>
      <c r="E299" s="71">
        <f>Assumptions!$F$11+RAND()*(Assumptions!$D$11-Assumptions!$F$11)</f>
        <v/>
      </c>
      <c r="F299" s="45">
        <f>nListPrice*(1-C299)-(nInference*nGpuIdx+nAmort)*nUtilCal/D299-nNetworking-nOverheadBase*(E299/nPowerCal)-nCodBase*(1+I299/12)-O299</f>
        <v/>
      </c>
      <c r="G299" s="66">
        <f>MAX(F299,0)/nDebtService</f>
        <v/>
      </c>
      <c r="H299" s="71">
        <f>Anthropic!$J$18*Anthropic!$J$27+Anthropic!$J$19*Anthropic!$J$28+Anthropic!$J$20*Anthropic!$J$29+Anthropic!$J$21*E299*(1+nPowerCagr)^4*(1+nResidualBasisMarkup+nScarcityAlpha*POWER(Anthropic!$J$21,nScarcityGamma))</f>
        <v/>
      </c>
      <c r="I299" s="113">
        <f>Assumptions!$F$10+RAND()*(Assumptions!$D$10-Assumptions!$F$10)</f>
        <v/>
      </c>
      <c r="J299" s="113">
        <f>RAND()*nCodSlipMaxMo</f>
        <v/>
      </c>
      <c r="K299" s="114">
        <f>nAvailDrawMin+RAND()*(nAvailDrawMax-nAvailDrawMin)</f>
        <v/>
      </c>
      <c r="L299" s="45">
        <f>IF(2034&lt;sNsmrCodU1+J299/12,0,(nNsmrCap+nNsmrOpx*(1+sNsmrOpxEsc)^8+nNsmrFuel*FuelEsc*(1+nFuelCagr)^8-nNsmrItc)*IF(2034&lt;sNsmrCodU1+J299/12+nStepFirst,1,IF(nStepGated="Yes",(1+nStepPct)^(INT((2034-sNsmrCodU1-J299/12-nStepFirst)/nStepEvery)+1),1))+nExclPrem*(1-nFlexRelief)-nProdCredit)</f>
        <v/>
      </c>
      <c r="M299" s="63">
        <f>MIN(nShortfallCapM,MAX(0,sNsmrAvailY2-K299)*sNsmrUnitMw*sNsmrUnits*8760*NsmrPrice2033/1000000)</f>
        <v/>
      </c>
      <c r="N299" s="82">
        <f>IF(RAND()&lt;0.5,nUsefulLifeDrawBase-(nUsefulLifeDrawBase-nUsefulLifeDrawMin)*BETA.INV(RAND(),1.15,1.15),nUsefulLifeDrawBase+(nUsefulLifeDrawMax-nUsefulLifeDrawBase)*BETA.INV(RAND(),1.15,1.15))</f>
        <v/>
      </c>
      <c r="O299" s="45">
        <f>((nInference*nGpuIdx+nAmort)*nUtilCal/D299)*(nUsefulLifeDrawBase/N299-1)</f>
        <v/>
      </c>
      <c r="P299" s="1" t="n"/>
      <c r="Q299" s="1" t="n"/>
      <c r="R299" s="1" t="n"/>
      <c r="S299" s="1" t="n"/>
      <c r="T299" s="1" t="n"/>
      <c r="U299" s="1" t="n"/>
    </row>
    <row r="300" ht="12" customHeight="1">
      <c r="A300" s="1" t="n"/>
      <c r="B300" s="38" t="n">
        <v>280</v>
      </c>
      <c r="C300" s="114">
        <f>Assumptions!$F$8+RAND()*(Assumptions!$D$8-Assumptions!$F$8)</f>
        <v/>
      </c>
      <c r="D300" s="114">
        <f>Assumptions!$D$9+RAND()*(Assumptions!$F$9-Assumptions!$D$9)</f>
        <v/>
      </c>
      <c r="E300" s="71">
        <f>Assumptions!$F$11+RAND()*(Assumptions!$D$11-Assumptions!$F$11)</f>
        <v/>
      </c>
      <c r="F300" s="45">
        <f>nListPrice*(1-C300)-(nInference*nGpuIdx+nAmort)*nUtilCal/D300-nNetworking-nOverheadBase*(E300/nPowerCal)-nCodBase*(1+I300/12)-O300</f>
        <v/>
      </c>
      <c r="G300" s="66">
        <f>MAX(F300,0)/nDebtService</f>
        <v/>
      </c>
      <c r="H300" s="71">
        <f>Anthropic!$J$18*Anthropic!$J$27+Anthropic!$J$19*Anthropic!$J$28+Anthropic!$J$20*Anthropic!$J$29+Anthropic!$J$21*E300*(1+nPowerCagr)^4*(1+nResidualBasisMarkup+nScarcityAlpha*POWER(Anthropic!$J$21,nScarcityGamma))</f>
        <v/>
      </c>
      <c r="I300" s="113">
        <f>Assumptions!$F$10+RAND()*(Assumptions!$D$10-Assumptions!$F$10)</f>
        <v/>
      </c>
      <c r="J300" s="113">
        <f>RAND()*nCodSlipMaxMo</f>
        <v/>
      </c>
      <c r="K300" s="114">
        <f>nAvailDrawMin+RAND()*(nAvailDrawMax-nAvailDrawMin)</f>
        <v/>
      </c>
      <c r="L300" s="45">
        <f>IF(2034&lt;sNsmrCodU1+J300/12,0,(nNsmrCap+nNsmrOpx*(1+sNsmrOpxEsc)^8+nNsmrFuel*FuelEsc*(1+nFuelCagr)^8-nNsmrItc)*IF(2034&lt;sNsmrCodU1+J300/12+nStepFirst,1,IF(nStepGated="Yes",(1+nStepPct)^(INT((2034-sNsmrCodU1-J300/12-nStepFirst)/nStepEvery)+1),1))+nExclPrem*(1-nFlexRelief)-nProdCredit)</f>
        <v/>
      </c>
      <c r="M300" s="63">
        <f>MIN(nShortfallCapM,MAX(0,sNsmrAvailY2-K300)*sNsmrUnitMw*sNsmrUnits*8760*NsmrPrice2033/1000000)</f>
        <v/>
      </c>
      <c r="N300" s="82">
        <f>IF(RAND()&lt;0.5,nUsefulLifeDrawBase-(nUsefulLifeDrawBase-nUsefulLifeDrawMin)*BETA.INV(RAND(),1.15,1.15),nUsefulLifeDrawBase+(nUsefulLifeDrawMax-nUsefulLifeDrawBase)*BETA.INV(RAND(),1.15,1.15))</f>
        <v/>
      </c>
      <c r="O300" s="45">
        <f>((nInference*nGpuIdx+nAmort)*nUtilCal/D300)*(nUsefulLifeDrawBase/N300-1)</f>
        <v/>
      </c>
      <c r="P300" s="1" t="n"/>
      <c r="Q300" s="1" t="n"/>
      <c r="R300" s="1" t="n"/>
      <c r="S300" s="1" t="n"/>
      <c r="T300" s="1" t="n"/>
      <c r="U300" s="1" t="n"/>
    </row>
    <row r="301" ht="12" customHeight="1">
      <c r="A301" s="1" t="n"/>
      <c r="B301" s="38" t="n">
        <v>281</v>
      </c>
      <c r="C301" s="114">
        <f>Assumptions!$F$8+RAND()*(Assumptions!$D$8-Assumptions!$F$8)</f>
        <v/>
      </c>
      <c r="D301" s="114">
        <f>Assumptions!$D$9+RAND()*(Assumptions!$F$9-Assumptions!$D$9)</f>
        <v/>
      </c>
      <c r="E301" s="71">
        <f>Assumptions!$F$11+RAND()*(Assumptions!$D$11-Assumptions!$F$11)</f>
        <v/>
      </c>
      <c r="F301" s="45">
        <f>nListPrice*(1-C301)-(nInference*nGpuIdx+nAmort)*nUtilCal/D301-nNetworking-nOverheadBase*(E301/nPowerCal)-nCodBase*(1+I301/12)-O301</f>
        <v/>
      </c>
      <c r="G301" s="66">
        <f>MAX(F301,0)/nDebtService</f>
        <v/>
      </c>
      <c r="H301" s="71">
        <f>Anthropic!$J$18*Anthropic!$J$27+Anthropic!$J$19*Anthropic!$J$28+Anthropic!$J$20*Anthropic!$J$29+Anthropic!$J$21*E301*(1+nPowerCagr)^4*(1+nResidualBasisMarkup+nScarcityAlpha*POWER(Anthropic!$J$21,nScarcityGamma))</f>
        <v/>
      </c>
      <c r="I301" s="113">
        <f>Assumptions!$F$10+RAND()*(Assumptions!$D$10-Assumptions!$F$10)</f>
        <v/>
      </c>
      <c r="J301" s="113">
        <f>RAND()*nCodSlipMaxMo</f>
        <v/>
      </c>
      <c r="K301" s="114">
        <f>nAvailDrawMin+RAND()*(nAvailDrawMax-nAvailDrawMin)</f>
        <v/>
      </c>
      <c r="L301" s="45">
        <f>IF(2034&lt;sNsmrCodU1+J301/12,0,(nNsmrCap+nNsmrOpx*(1+sNsmrOpxEsc)^8+nNsmrFuel*FuelEsc*(1+nFuelCagr)^8-nNsmrItc)*IF(2034&lt;sNsmrCodU1+J301/12+nStepFirst,1,IF(nStepGated="Yes",(1+nStepPct)^(INT((2034-sNsmrCodU1-J301/12-nStepFirst)/nStepEvery)+1),1))+nExclPrem*(1-nFlexRelief)-nProdCredit)</f>
        <v/>
      </c>
      <c r="M301" s="63">
        <f>MIN(nShortfallCapM,MAX(0,sNsmrAvailY2-K301)*sNsmrUnitMw*sNsmrUnits*8760*NsmrPrice2033/1000000)</f>
        <v/>
      </c>
      <c r="N301" s="82">
        <f>IF(RAND()&lt;0.5,nUsefulLifeDrawBase-(nUsefulLifeDrawBase-nUsefulLifeDrawMin)*BETA.INV(RAND(),1.15,1.15),nUsefulLifeDrawBase+(nUsefulLifeDrawMax-nUsefulLifeDrawBase)*BETA.INV(RAND(),1.15,1.15))</f>
        <v/>
      </c>
      <c r="O301" s="45">
        <f>((nInference*nGpuIdx+nAmort)*nUtilCal/D301)*(nUsefulLifeDrawBase/N301-1)</f>
        <v/>
      </c>
      <c r="P301" s="1" t="n"/>
      <c r="Q301" s="1" t="n"/>
      <c r="R301" s="1" t="n"/>
      <c r="S301" s="1" t="n"/>
      <c r="T301" s="1" t="n"/>
      <c r="U301" s="1" t="n"/>
    </row>
    <row r="302" ht="12" customHeight="1">
      <c r="A302" s="1" t="n"/>
      <c r="B302" s="38" t="n">
        <v>282</v>
      </c>
      <c r="C302" s="114">
        <f>Assumptions!$F$8+RAND()*(Assumptions!$D$8-Assumptions!$F$8)</f>
        <v/>
      </c>
      <c r="D302" s="114">
        <f>Assumptions!$D$9+RAND()*(Assumptions!$F$9-Assumptions!$D$9)</f>
        <v/>
      </c>
      <c r="E302" s="71">
        <f>Assumptions!$F$11+RAND()*(Assumptions!$D$11-Assumptions!$F$11)</f>
        <v/>
      </c>
      <c r="F302" s="45">
        <f>nListPrice*(1-C302)-(nInference*nGpuIdx+nAmort)*nUtilCal/D302-nNetworking-nOverheadBase*(E302/nPowerCal)-nCodBase*(1+I302/12)-O302</f>
        <v/>
      </c>
      <c r="G302" s="66">
        <f>MAX(F302,0)/nDebtService</f>
        <v/>
      </c>
      <c r="H302" s="71">
        <f>Anthropic!$J$18*Anthropic!$J$27+Anthropic!$J$19*Anthropic!$J$28+Anthropic!$J$20*Anthropic!$J$29+Anthropic!$J$21*E302*(1+nPowerCagr)^4*(1+nResidualBasisMarkup+nScarcityAlpha*POWER(Anthropic!$J$21,nScarcityGamma))</f>
        <v/>
      </c>
      <c r="I302" s="113">
        <f>Assumptions!$F$10+RAND()*(Assumptions!$D$10-Assumptions!$F$10)</f>
        <v/>
      </c>
      <c r="J302" s="113">
        <f>RAND()*nCodSlipMaxMo</f>
        <v/>
      </c>
      <c r="K302" s="114">
        <f>nAvailDrawMin+RAND()*(nAvailDrawMax-nAvailDrawMin)</f>
        <v/>
      </c>
      <c r="L302" s="45">
        <f>IF(2034&lt;sNsmrCodU1+J302/12,0,(nNsmrCap+nNsmrOpx*(1+sNsmrOpxEsc)^8+nNsmrFuel*FuelEsc*(1+nFuelCagr)^8-nNsmrItc)*IF(2034&lt;sNsmrCodU1+J302/12+nStepFirst,1,IF(nStepGated="Yes",(1+nStepPct)^(INT((2034-sNsmrCodU1-J302/12-nStepFirst)/nStepEvery)+1),1))+nExclPrem*(1-nFlexRelief)-nProdCredit)</f>
        <v/>
      </c>
      <c r="M302" s="63">
        <f>MIN(nShortfallCapM,MAX(0,sNsmrAvailY2-K302)*sNsmrUnitMw*sNsmrUnits*8760*NsmrPrice2033/1000000)</f>
        <v/>
      </c>
      <c r="N302" s="82">
        <f>IF(RAND()&lt;0.5,nUsefulLifeDrawBase-(nUsefulLifeDrawBase-nUsefulLifeDrawMin)*BETA.INV(RAND(),1.15,1.15),nUsefulLifeDrawBase+(nUsefulLifeDrawMax-nUsefulLifeDrawBase)*BETA.INV(RAND(),1.15,1.15))</f>
        <v/>
      </c>
      <c r="O302" s="45">
        <f>((nInference*nGpuIdx+nAmort)*nUtilCal/D302)*(nUsefulLifeDrawBase/N302-1)</f>
        <v/>
      </c>
      <c r="P302" s="1" t="n"/>
      <c r="Q302" s="1" t="n"/>
      <c r="R302" s="1" t="n"/>
      <c r="S302" s="1" t="n"/>
      <c r="T302" s="1" t="n"/>
      <c r="U302" s="1" t="n"/>
    </row>
    <row r="303" ht="12" customHeight="1">
      <c r="A303" s="1" t="n"/>
      <c r="B303" s="38" t="n">
        <v>283</v>
      </c>
      <c r="C303" s="114">
        <f>Assumptions!$F$8+RAND()*(Assumptions!$D$8-Assumptions!$F$8)</f>
        <v/>
      </c>
      <c r="D303" s="114">
        <f>Assumptions!$D$9+RAND()*(Assumptions!$F$9-Assumptions!$D$9)</f>
        <v/>
      </c>
      <c r="E303" s="71">
        <f>Assumptions!$F$11+RAND()*(Assumptions!$D$11-Assumptions!$F$11)</f>
        <v/>
      </c>
      <c r="F303" s="45">
        <f>nListPrice*(1-C303)-(nInference*nGpuIdx+nAmort)*nUtilCal/D303-nNetworking-nOverheadBase*(E303/nPowerCal)-nCodBase*(1+I303/12)-O303</f>
        <v/>
      </c>
      <c r="G303" s="66">
        <f>MAX(F303,0)/nDebtService</f>
        <v/>
      </c>
      <c r="H303" s="71">
        <f>Anthropic!$J$18*Anthropic!$J$27+Anthropic!$J$19*Anthropic!$J$28+Anthropic!$J$20*Anthropic!$J$29+Anthropic!$J$21*E303*(1+nPowerCagr)^4*(1+nResidualBasisMarkup+nScarcityAlpha*POWER(Anthropic!$J$21,nScarcityGamma))</f>
        <v/>
      </c>
      <c r="I303" s="113">
        <f>Assumptions!$F$10+RAND()*(Assumptions!$D$10-Assumptions!$F$10)</f>
        <v/>
      </c>
      <c r="J303" s="113">
        <f>RAND()*nCodSlipMaxMo</f>
        <v/>
      </c>
      <c r="K303" s="114">
        <f>nAvailDrawMin+RAND()*(nAvailDrawMax-nAvailDrawMin)</f>
        <v/>
      </c>
      <c r="L303" s="45">
        <f>IF(2034&lt;sNsmrCodU1+J303/12,0,(nNsmrCap+nNsmrOpx*(1+sNsmrOpxEsc)^8+nNsmrFuel*FuelEsc*(1+nFuelCagr)^8-nNsmrItc)*IF(2034&lt;sNsmrCodU1+J303/12+nStepFirst,1,IF(nStepGated="Yes",(1+nStepPct)^(INT((2034-sNsmrCodU1-J303/12-nStepFirst)/nStepEvery)+1),1))+nExclPrem*(1-nFlexRelief)-nProdCredit)</f>
        <v/>
      </c>
      <c r="M303" s="63">
        <f>MIN(nShortfallCapM,MAX(0,sNsmrAvailY2-K303)*sNsmrUnitMw*sNsmrUnits*8760*NsmrPrice2033/1000000)</f>
        <v/>
      </c>
      <c r="N303" s="82">
        <f>IF(RAND()&lt;0.5,nUsefulLifeDrawBase-(nUsefulLifeDrawBase-nUsefulLifeDrawMin)*BETA.INV(RAND(),1.15,1.15),nUsefulLifeDrawBase+(nUsefulLifeDrawMax-nUsefulLifeDrawBase)*BETA.INV(RAND(),1.15,1.15))</f>
        <v/>
      </c>
      <c r="O303" s="45">
        <f>((nInference*nGpuIdx+nAmort)*nUtilCal/D303)*(nUsefulLifeDrawBase/N303-1)</f>
        <v/>
      </c>
      <c r="P303" s="1" t="n"/>
      <c r="Q303" s="1" t="n"/>
      <c r="R303" s="1" t="n"/>
      <c r="S303" s="1" t="n"/>
      <c r="T303" s="1" t="n"/>
      <c r="U303" s="1" t="n"/>
    </row>
    <row r="304" ht="12" customHeight="1">
      <c r="A304" s="1" t="n"/>
      <c r="B304" s="38" t="n">
        <v>284</v>
      </c>
      <c r="C304" s="114">
        <f>Assumptions!$F$8+RAND()*(Assumptions!$D$8-Assumptions!$F$8)</f>
        <v/>
      </c>
      <c r="D304" s="114">
        <f>Assumptions!$D$9+RAND()*(Assumptions!$F$9-Assumptions!$D$9)</f>
        <v/>
      </c>
      <c r="E304" s="71">
        <f>Assumptions!$F$11+RAND()*(Assumptions!$D$11-Assumptions!$F$11)</f>
        <v/>
      </c>
      <c r="F304" s="45">
        <f>nListPrice*(1-C304)-(nInference*nGpuIdx+nAmort)*nUtilCal/D304-nNetworking-nOverheadBase*(E304/nPowerCal)-nCodBase*(1+I304/12)-O304</f>
        <v/>
      </c>
      <c r="G304" s="66">
        <f>MAX(F304,0)/nDebtService</f>
        <v/>
      </c>
      <c r="H304" s="71">
        <f>Anthropic!$J$18*Anthropic!$J$27+Anthropic!$J$19*Anthropic!$J$28+Anthropic!$J$20*Anthropic!$J$29+Anthropic!$J$21*E304*(1+nPowerCagr)^4*(1+nResidualBasisMarkup+nScarcityAlpha*POWER(Anthropic!$J$21,nScarcityGamma))</f>
        <v/>
      </c>
      <c r="I304" s="113">
        <f>Assumptions!$F$10+RAND()*(Assumptions!$D$10-Assumptions!$F$10)</f>
        <v/>
      </c>
      <c r="J304" s="113">
        <f>RAND()*nCodSlipMaxMo</f>
        <v/>
      </c>
      <c r="K304" s="114">
        <f>nAvailDrawMin+RAND()*(nAvailDrawMax-nAvailDrawMin)</f>
        <v/>
      </c>
      <c r="L304" s="45">
        <f>IF(2034&lt;sNsmrCodU1+J304/12,0,(nNsmrCap+nNsmrOpx*(1+sNsmrOpxEsc)^8+nNsmrFuel*FuelEsc*(1+nFuelCagr)^8-nNsmrItc)*IF(2034&lt;sNsmrCodU1+J304/12+nStepFirst,1,IF(nStepGated="Yes",(1+nStepPct)^(INT((2034-sNsmrCodU1-J304/12-nStepFirst)/nStepEvery)+1),1))+nExclPrem*(1-nFlexRelief)-nProdCredit)</f>
        <v/>
      </c>
      <c r="M304" s="63">
        <f>MIN(nShortfallCapM,MAX(0,sNsmrAvailY2-K304)*sNsmrUnitMw*sNsmrUnits*8760*NsmrPrice2033/1000000)</f>
        <v/>
      </c>
      <c r="N304" s="82">
        <f>IF(RAND()&lt;0.5,nUsefulLifeDrawBase-(nUsefulLifeDrawBase-nUsefulLifeDrawMin)*BETA.INV(RAND(),1.15,1.15),nUsefulLifeDrawBase+(nUsefulLifeDrawMax-nUsefulLifeDrawBase)*BETA.INV(RAND(),1.15,1.15))</f>
        <v/>
      </c>
      <c r="O304" s="45">
        <f>((nInference*nGpuIdx+nAmort)*nUtilCal/D304)*(nUsefulLifeDrawBase/N304-1)</f>
        <v/>
      </c>
      <c r="P304" s="1" t="n"/>
      <c r="Q304" s="1" t="n"/>
      <c r="R304" s="1" t="n"/>
      <c r="S304" s="1" t="n"/>
      <c r="T304" s="1" t="n"/>
      <c r="U304" s="1" t="n"/>
    </row>
    <row r="305" ht="12" customHeight="1">
      <c r="A305" s="1" t="n"/>
      <c r="B305" s="38" t="n">
        <v>285</v>
      </c>
      <c r="C305" s="114">
        <f>Assumptions!$F$8+RAND()*(Assumptions!$D$8-Assumptions!$F$8)</f>
        <v/>
      </c>
      <c r="D305" s="114">
        <f>Assumptions!$D$9+RAND()*(Assumptions!$F$9-Assumptions!$D$9)</f>
        <v/>
      </c>
      <c r="E305" s="71">
        <f>Assumptions!$F$11+RAND()*(Assumptions!$D$11-Assumptions!$F$11)</f>
        <v/>
      </c>
      <c r="F305" s="45">
        <f>nListPrice*(1-C305)-(nInference*nGpuIdx+nAmort)*nUtilCal/D305-nNetworking-nOverheadBase*(E305/nPowerCal)-nCodBase*(1+I305/12)-O305</f>
        <v/>
      </c>
      <c r="G305" s="66">
        <f>MAX(F305,0)/nDebtService</f>
        <v/>
      </c>
      <c r="H305" s="71">
        <f>Anthropic!$J$18*Anthropic!$J$27+Anthropic!$J$19*Anthropic!$J$28+Anthropic!$J$20*Anthropic!$J$29+Anthropic!$J$21*E305*(1+nPowerCagr)^4*(1+nResidualBasisMarkup+nScarcityAlpha*POWER(Anthropic!$J$21,nScarcityGamma))</f>
        <v/>
      </c>
      <c r="I305" s="113">
        <f>Assumptions!$F$10+RAND()*(Assumptions!$D$10-Assumptions!$F$10)</f>
        <v/>
      </c>
      <c r="J305" s="113">
        <f>RAND()*nCodSlipMaxMo</f>
        <v/>
      </c>
      <c r="K305" s="114">
        <f>nAvailDrawMin+RAND()*(nAvailDrawMax-nAvailDrawMin)</f>
        <v/>
      </c>
      <c r="L305" s="45">
        <f>IF(2034&lt;sNsmrCodU1+J305/12,0,(nNsmrCap+nNsmrOpx*(1+sNsmrOpxEsc)^8+nNsmrFuel*FuelEsc*(1+nFuelCagr)^8-nNsmrItc)*IF(2034&lt;sNsmrCodU1+J305/12+nStepFirst,1,IF(nStepGated="Yes",(1+nStepPct)^(INT((2034-sNsmrCodU1-J305/12-nStepFirst)/nStepEvery)+1),1))+nExclPrem*(1-nFlexRelief)-nProdCredit)</f>
        <v/>
      </c>
      <c r="M305" s="63">
        <f>MIN(nShortfallCapM,MAX(0,sNsmrAvailY2-K305)*sNsmrUnitMw*sNsmrUnits*8760*NsmrPrice2033/1000000)</f>
        <v/>
      </c>
      <c r="N305" s="82">
        <f>IF(RAND()&lt;0.5,nUsefulLifeDrawBase-(nUsefulLifeDrawBase-nUsefulLifeDrawMin)*BETA.INV(RAND(),1.15,1.15),nUsefulLifeDrawBase+(nUsefulLifeDrawMax-nUsefulLifeDrawBase)*BETA.INV(RAND(),1.15,1.15))</f>
        <v/>
      </c>
      <c r="O305" s="45">
        <f>((nInference*nGpuIdx+nAmort)*nUtilCal/D305)*(nUsefulLifeDrawBase/N305-1)</f>
        <v/>
      </c>
      <c r="P305" s="1" t="n"/>
      <c r="Q305" s="1" t="n"/>
      <c r="R305" s="1" t="n"/>
      <c r="S305" s="1" t="n"/>
      <c r="T305" s="1" t="n"/>
      <c r="U305" s="1" t="n"/>
    </row>
    <row r="306" ht="12" customHeight="1">
      <c r="A306" s="1" t="n"/>
      <c r="B306" s="38" t="n">
        <v>286</v>
      </c>
      <c r="C306" s="114">
        <f>Assumptions!$F$8+RAND()*(Assumptions!$D$8-Assumptions!$F$8)</f>
        <v/>
      </c>
      <c r="D306" s="114">
        <f>Assumptions!$D$9+RAND()*(Assumptions!$F$9-Assumptions!$D$9)</f>
        <v/>
      </c>
      <c r="E306" s="71">
        <f>Assumptions!$F$11+RAND()*(Assumptions!$D$11-Assumptions!$F$11)</f>
        <v/>
      </c>
      <c r="F306" s="45">
        <f>nListPrice*(1-C306)-(nInference*nGpuIdx+nAmort)*nUtilCal/D306-nNetworking-nOverheadBase*(E306/nPowerCal)-nCodBase*(1+I306/12)-O306</f>
        <v/>
      </c>
      <c r="G306" s="66">
        <f>MAX(F306,0)/nDebtService</f>
        <v/>
      </c>
      <c r="H306" s="71">
        <f>Anthropic!$J$18*Anthropic!$J$27+Anthropic!$J$19*Anthropic!$J$28+Anthropic!$J$20*Anthropic!$J$29+Anthropic!$J$21*E306*(1+nPowerCagr)^4*(1+nResidualBasisMarkup+nScarcityAlpha*POWER(Anthropic!$J$21,nScarcityGamma))</f>
        <v/>
      </c>
      <c r="I306" s="113">
        <f>Assumptions!$F$10+RAND()*(Assumptions!$D$10-Assumptions!$F$10)</f>
        <v/>
      </c>
      <c r="J306" s="113">
        <f>RAND()*nCodSlipMaxMo</f>
        <v/>
      </c>
      <c r="K306" s="114">
        <f>nAvailDrawMin+RAND()*(nAvailDrawMax-nAvailDrawMin)</f>
        <v/>
      </c>
      <c r="L306" s="45">
        <f>IF(2034&lt;sNsmrCodU1+J306/12,0,(nNsmrCap+nNsmrOpx*(1+sNsmrOpxEsc)^8+nNsmrFuel*FuelEsc*(1+nFuelCagr)^8-nNsmrItc)*IF(2034&lt;sNsmrCodU1+J306/12+nStepFirst,1,IF(nStepGated="Yes",(1+nStepPct)^(INT((2034-sNsmrCodU1-J306/12-nStepFirst)/nStepEvery)+1),1))+nExclPrem*(1-nFlexRelief)-nProdCredit)</f>
        <v/>
      </c>
      <c r="M306" s="63">
        <f>MIN(nShortfallCapM,MAX(0,sNsmrAvailY2-K306)*sNsmrUnitMw*sNsmrUnits*8760*NsmrPrice2033/1000000)</f>
        <v/>
      </c>
      <c r="N306" s="82">
        <f>IF(RAND()&lt;0.5,nUsefulLifeDrawBase-(nUsefulLifeDrawBase-nUsefulLifeDrawMin)*BETA.INV(RAND(),1.15,1.15),nUsefulLifeDrawBase+(nUsefulLifeDrawMax-nUsefulLifeDrawBase)*BETA.INV(RAND(),1.15,1.15))</f>
        <v/>
      </c>
      <c r="O306" s="45">
        <f>((nInference*nGpuIdx+nAmort)*nUtilCal/D306)*(nUsefulLifeDrawBase/N306-1)</f>
        <v/>
      </c>
      <c r="P306" s="1" t="n"/>
      <c r="Q306" s="1" t="n"/>
      <c r="R306" s="1" t="n"/>
      <c r="S306" s="1" t="n"/>
      <c r="T306" s="1" t="n"/>
      <c r="U306" s="1" t="n"/>
    </row>
    <row r="307" ht="12" customHeight="1">
      <c r="A307" s="1" t="n"/>
      <c r="B307" s="38" t="n">
        <v>287</v>
      </c>
      <c r="C307" s="114">
        <f>Assumptions!$F$8+RAND()*(Assumptions!$D$8-Assumptions!$F$8)</f>
        <v/>
      </c>
      <c r="D307" s="114">
        <f>Assumptions!$D$9+RAND()*(Assumptions!$F$9-Assumptions!$D$9)</f>
        <v/>
      </c>
      <c r="E307" s="71">
        <f>Assumptions!$F$11+RAND()*(Assumptions!$D$11-Assumptions!$F$11)</f>
        <v/>
      </c>
      <c r="F307" s="45">
        <f>nListPrice*(1-C307)-(nInference*nGpuIdx+nAmort)*nUtilCal/D307-nNetworking-nOverheadBase*(E307/nPowerCal)-nCodBase*(1+I307/12)-O307</f>
        <v/>
      </c>
      <c r="G307" s="66">
        <f>MAX(F307,0)/nDebtService</f>
        <v/>
      </c>
      <c r="H307" s="71">
        <f>Anthropic!$J$18*Anthropic!$J$27+Anthropic!$J$19*Anthropic!$J$28+Anthropic!$J$20*Anthropic!$J$29+Anthropic!$J$21*E307*(1+nPowerCagr)^4*(1+nResidualBasisMarkup+nScarcityAlpha*POWER(Anthropic!$J$21,nScarcityGamma))</f>
        <v/>
      </c>
      <c r="I307" s="113">
        <f>Assumptions!$F$10+RAND()*(Assumptions!$D$10-Assumptions!$F$10)</f>
        <v/>
      </c>
      <c r="J307" s="113">
        <f>RAND()*nCodSlipMaxMo</f>
        <v/>
      </c>
      <c r="K307" s="114">
        <f>nAvailDrawMin+RAND()*(nAvailDrawMax-nAvailDrawMin)</f>
        <v/>
      </c>
      <c r="L307" s="45">
        <f>IF(2034&lt;sNsmrCodU1+J307/12,0,(nNsmrCap+nNsmrOpx*(1+sNsmrOpxEsc)^8+nNsmrFuel*FuelEsc*(1+nFuelCagr)^8-nNsmrItc)*IF(2034&lt;sNsmrCodU1+J307/12+nStepFirst,1,IF(nStepGated="Yes",(1+nStepPct)^(INT((2034-sNsmrCodU1-J307/12-nStepFirst)/nStepEvery)+1),1))+nExclPrem*(1-nFlexRelief)-nProdCredit)</f>
        <v/>
      </c>
      <c r="M307" s="63">
        <f>MIN(nShortfallCapM,MAX(0,sNsmrAvailY2-K307)*sNsmrUnitMw*sNsmrUnits*8760*NsmrPrice2033/1000000)</f>
        <v/>
      </c>
      <c r="N307" s="82">
        <f>IF(RAND()&lt;0.5,nUsefulLifeDrawBase-(nUsefulLifeDrawBase-nUsefulLifeDrawMin)*BETA.INV(RAND(),1.15,1.15),nUsefulLifeDrawBase+(nUsefulLifeDrawMax-nUsefulLifeDrawBase)*BETA.INV(RAND(),1.15,1.15))</f>
        <v/>
      </c>
      <c r="O307" s="45">
        <f>((nInference*nGpuIdx+nAmort)*nUtilCal/D307)*(nUsefulLifeDrawBase/N307-1)</f>
        <v/>
      </c>
      <c r="P307" s="1" t="n"/>
      <c r="Q307" s="1" t="n"/>
      <c r="R307" s="1" t="n"/>
      <c r="S307" s="1" t="n"/>
      <c r="T307" s="1" t="n"/>
      <c r="U307" s="1" t="n"/>
    </row>
    <row r="308" ht="12" customHeight="1">
      <c r="A308" s="1" t="n"/>
      <c r="B308" s="38" t="n">
        <v>288</v>
      </c>
      <c r="C308" s="114">
        <f>Assumptions!$F$8+RAND()*(Assumptions!$D$8-Assumptions!$F$8)</f>
        <v/>
      </c>
      <c r="D308" s="114">
        <f>Assumptions!$D$9+RAND()*(Assumptions!$F$9-Assumptions!$D$9)</f>
        <v/>
      </c>
      <c r="E308" s="71">
        <f>Assumptions!$F$11+RAND()*(Assumptions!$D$11-Assumptions!$F$11)</f>
        <v/>
      </c>
      <c r="F308" s="45">
        <f>nListPrice*(1-C308)-(nInference*nGpuIdx+nAmort)*nUtilCal/D308-nNetworking-nOverheadBase*(E308/nPowerCal)-nCodBase*(1+I308/12)-O308</f>
        <v/>
      </c>
      <c r="G308" s="66">
        <f>MAX(F308,0)/nDebtService</f>
        <v/>
      </c>
      <c r="H308" s="71">
        <f>Anthropic!$J$18*Anthropic!$J$27+Anthropic!$J$19*Anthropic!$J$28+Anthropic!$J$20*Anthropic!$J$29+Anthropic!$J$21*E308*(1+nPowerCagr)^4*(1+nResidualBasisMarkup+nScarcityAlpha*POWER(Anthropic!$J$21,nScarcityGamma))</f>
        <v/>
      </c>
      <c r="I308" s="113">
        <f>Assumptions!$F$10+RAND()*(Assumptions!$D$10-Assumptions!$F$10)</f>
        <v/>
      </c>
      <c r="J308" s="113">
        <f>RAND()*nCodSlipMaxMo</f>
        <v/>
      </c>
      <c r="K308" s="114">
        <f>nAvailDrawMin+RAND()*(nAvailDrawMax-nAvailDrawMin)</f>
        <v/>
      </c>
      <c r="L308" s="45">
        <f>IF(2034&lt;sNsmrCodU1+J308/12,0,(nNsmrCap+nNsmrOpx*(1+sNsmrOpxEsc)^8+nNsmrFuel*FuelEsc*(1+nFuelCagr)^8-nNsmrItc)*IF(2034&lt;sNsmrCodU1+J308/12+nStepFirst,1,IF(nStepGated="Yes",(1+nStepPct)^(INT((2034-sNsmrCodU1-J308/12-nStepFirst)/nStepEvery)+1),1))+nExclPrem*(1-nFlexRelief)-nProdCredit)</f>
        <v/>
      </c>
      <c r="M308" s="63">
        <f>MIN(nShortfallCapM,MAX(0,sNsmrAvailY2-K308)*sNsmrUnitMw*sNsmrUnits*8760*NsmrPrice2033/1000000)</f>
        <v/>
      </c>
      <c r="N308" s="82">
        <f>IF(RAND()&lt;0.5,nUsefulLifeDrawBase-(nUsefulLifeDrawBase-nUsefulLifeDrawMin)*BETA.INV(RAND(),1.15,1.15),nUsefulLifeDrawBase+(nUsefulLifeDrawMax-nUsefulLifeDrawBase)*BETA.INV(RAND(),1.15,1.15))</f>
        <v/>
      </c>
      <c r="O308" s="45">
        <f>((nInference*nGpuIdx+nAmort)*nUtilCal/D308)*(nUsefulLifeDrawBase/N308-1)</f>
        <v/>
      </c>
      <c r="P308" s="1" t="n"/>
      <c r="Q308" s="1" t="n"/>
      <c r="R308" s="1" t="n"/>
      <c r="S308" s="1" t="n"/>
      <c r="T308" s="1" t="n"/>
      <c r="U308" s="1" t="n"/>
    </row>
    <row r="309" ht="12" customHeight="1">
      <c r="A309" s="1" t="n"/>
      <c r="B309" s="38" t="n">
        <v>289</v>
      </c>
      <c r="C309" s="114">
        <f>Assumptions!$F$8+RAND()*(Assumptions!$D$8-Assumptions!$F$8)</f>
        <v/>
      </c>
      <c r="D309" s="114">
        <f>Assumptions!$D$9+RAND()*(Assumptions!$F$9-Assumptions!$D$9)</f>
        <v/>
      </c>
      <c r="E309" s="71">
        <f>Assumptions!$F$11+RAND()*(Assumptions!$D$11-Assumptions!$F$11)</f>
        <v/>
      </c>
      <c r="F309" s="45">
        <f>nListPrice*(1-C309)-(nInference*nGpuIdx+nAmort)*nUtilCal/D309-nNetworking-nOverheadBase*(E309/nPowerCal)-nCodBase*(1+I309/12)-O309</f>
        <v/>
      </c>
      <c r="G309" s="66">
        <f>MAX(F309,0)/nDebtService</f>
        <v/>
      </c>
      <c r="H309" s="71">
        <f>Anthropic!$J$18*Anthropic!$J$27+Anthropic!$J$19*Anthropic!$J$28+Anthropic!$J$20*Anthropic!$J$29+Anthropic!$J$21*E309*(1+nPowerCagr)^4*(1+nResidualBasisMarkup+nScarcityAlpha*POWER(Anthropic!$J$21,nScarcityGamma))</f>
        <v/>
      </c>
      <c r="I309" s="113">
        <f>Assumptions!$F$10+RAND()*(Assumptions!$D$10-Assumptions!$F$10)</f>
        <v/>
      </c>
      <c r="J309" s="113">
        <f>RAND()*nCodSlipMaxMo</f>
        <v/>
      </c>
      <c r="K309" s="114">
        <f>nAvailDrawMin+RAND()*(nAvailDrawMax-nAvailDrawMin)</f>
        <v/>
      </c>
      <c r="L309" s="45">
        <f>IF(2034&lt;sNsmrCodU1+J309/12,0,(nNsmrCap+nNsmrOpx*(1+sNsmrOpxEsc)^8+nNsmrFuel*FuelEsc*(1+nFuelCagr)^8-nNsmrItc)*IF(2034&lt;sNsmrCodU1+J309/12+nStepFirst,1,IF(nStepGated="Yes",(1+nStepPct)^(INT((2034-sNsmrCodU1-J309/12-nStepFirst)/nStepEvery)+1),1))+nExclPrem*(1-nFlexRelief)-nProdCredit)</f>
        <v/>
      </c>
      <c r="M309" s="63">
        <f>MIN(nShortfallCapM,MAX(0,sNsmrAvailY2-K309)*sNsmrUnitMw*sNsmrUnits*8760*NsmrPrice2033/1000000)</f>
        <v/>
      </c>
      <c r="N309" s="82">
        <f>IF(RAND()&lt;0.5,nUsefulLifeDrawBase-(nUsefulLifeDrawBase-nUsefulLifeDrawMin)*BETA.INV(RAND(),1.15,1.15),nUsefulLifeDrawBase+(nUsefulLifeDrawMax-nUsefulLifeDrawBase)*BETA.INV(RAND(),1.15,1.15))</f>
        <v/>
      </c>
      <c r="O309" s="45">
        <f>((nInference*nGpuIdx+nAmort)*nUtilCal/D309)*(nUsefulLifeDrawBase/N309-1)</f>
        <v/>
      </c>
      <c r="P309" s="1" t="n"/>
      <c r="Q309" s="1" t="n"/>
      <c r="R309" s="1" t="n"/>
      <c r="S309" s="1" t="n"/>
      <c r="T309" s="1" t="n"/>
      <c r="U309" s="1" t="n"/>
    </row>
    <row r="310" ht="12" customHeight="1">
      <c r="A310" s="1" t="n"/>
      <c r="B310" s="38" t="n">
        <v>290</v>
      </c>
      <c r="C310" s="114">
        <f>Assumptions!$F$8+RAND()*(Assumptions!$D$8-Assumptions!$F$8)</f>
        <v/>
      </c>
      <c r="D310" s="114">
        <f>Assumptions!$D$9+RAND()*(Assumptions!$F$9-Assumptions!$D$9)</f>
        <v/>
      </c>
      <c r="E310" s="71">
        <f>Assumptions!$F$11+RAND()*(Assumptions!$D$11-Assumptions!$F$11)</f>
        <v/>
      </c>
      <c r="F310" s="45">
        <f>nListPrice*(1-C310)-(nInference*nGpuIdx+nAmort)*nUtilCal/D310-nNetworking-nOverheadBase*(E310/nPowerCal)-nCodBase*(1+I310/12)-O310</f>
        <v/>
      </c>
      <c r="G310" s="66">
        <f>MAX(F310,0)/nDebtService</f>
        <v/>
      </c>
      <c r="H310" s="71">
        <f>Anthropic!$J$18*Anthropic!$J$27+Anthropic!$J$19*Anthropic!$J$28+Anthropic!$J$20*Anthropic!$J$29+Anthropic!$J$21*E310*(1+nPowerCagr)^4*(1+nResidualBasisMarkup+nScarcityAlpha*POWER(Anthropic!$J$21,nScarcityGamma))</f>
        <v/>
      </c>
      <c r="I310" s="113">
        <f>Assumptions!$F$10+RAND()*(Assumptions!$D$10-Assumptions!$F$10)</f>
        <v/>
      </c>
      <c r="J310" s="113">
        <f>RAND()*nCodSlipMaxMo</f>
        <v/>
      </c>
      <c r="K310" s="114">
        <f>nAvailDrawMin+RAND()*(nAvailDrawMax-nAvailDrawMin)</f>
        <v/>
      </c>
      <c r="L310" s="45">
        <f>IF(2034&lt;sNsmrCodU1+J310/12,0,(nNsmrCap+nNsmrOpx*(1+sNsmrOpxEsc)^8+nNsmrFuel*FuelEsc*(1+nFuelCagr)^8-nNsmrItc)*IF(2034&lt;sNsmrCodU1+J310/12+nStepFirst,1,IF(nStepGated="Yes",(1+nStepPct)^(INT((2034-sNsmrCodU1-J310/12-nStepFirst)/nStepEvery)+1),1))+nExclPrem*(1-nFlexRelief)-nProdCredit)</f>
        <v/>
      </c>
      <c r="M310" s="63">
        <f>MIN(nShortfallCapM,MAX(0,sNsmrAvailY2-K310)*sNsmrUnitMw*sNsmrUnits*8760*NsmrPrice2033/1000000)</f>
        <v/>
      </c>
      <c r="N310" s="82">
        <f>IF(RAND()&lt;0.5,nUsefulLifeDrawBase-(nUsefulLifeDrawBase-nUsefulLifeDrawMin)*BETA.INV(RAND(),1.15,1.15),nUsefulLifeDrawBase+(nUsefulLifeDrawMax-nUsefulLifeDrawBase)*BETA.INV(RAND(),1.15,1.15))</f>
        <v/>
      </c>
      <c r="O310" s="45">
        <f>((nInference*nGpuIdx+nAmort)*nUtilCal/D310)*(nUsefulLifeDrawBase/N310-1)</f>
        <v/>
      </c>
      <c r="P310" s="1" t="n"/>
      <c r="Q310" s="1" t="n"/>
      <c r="R310" s="1" t="n"/>
      <c r="S310" s="1" t="n"/>
      <c r="T310" s="1" t="n"/>
      <c r="U310" s="1" t="n"/>
    </row>
    <row r="311" ht="12" customHeight="1">
      <c r="A311" s="1" t="n"/>
      <c r="B311" s="38" t="n">
        <v>291</v>
      </c>
      <c r="C311" s="114">
        <f>Assumptions!$F$8+RAND()*(Assumptions!$D$8-Assumptions!$F$8)</f>
        <v/>
      </c>
      <c r="D311" s="114">
        <f>Assumptions!$D$9+RAND()*(Assumptions!$F$9-Assumptions!$D$9)</f>
        <v/>
      </c>
      <c r="E311" s="71">
        <f>Assumptions!$F$11+RAND()*(Assumptions!$D$11-Assumptions!$F$11)</f>
        <v/>
      </c>
      <c r="F311" s="45">
        <f>nListPrice*(1-C311)-(nInference*nGpuIdx+nAmort)*nUtilCal/D311-nNetworking-nOverheadBase*(E311/nPowerCal)-nCodBase*(1+I311/12)-O311</f>
        <v/>
      </c>
      <c r="G311" s="66">
        <f>MAX(F311,0)/nDebtService</f>
        <v/>
      </c>
      <c r="H311" s="71">
        <f>Anthropic!$J$18*Anthropic!$J$27+Anthropic!$J$19*Anthropic!$J$28+Anthropic!$J$20*Anthropic!$J$29+Anthropic!$J$21*E311*(1+nPowerCagr)^4*(1+nResidualBasisMarkup+nScarcityAlpha*POWER(Anthropic!$J$21,nScarcityGamma))</f>
        <v/>
      </c>
      <c r="I311" s="113">
        <f>Assumptions!$F$10+RAND()*(Assumptions!$D$10-Assumptions!$F$10)</f>
        <v/>
      </c>
      <c r="J311" s="113">
        <f>RAND()*nCodSlipMaxMo</f>
        <v/>
      </c>
      <c r="K311" s="114">
        <f>nAvailDrawMin+RAND()*(nAvailDrawMax-nAvailDrawMin)</f>
        <v/>
      </c>
      <c r="L311" s="45">
        <f>IF(2034&lt;sNsmrCodU1+J311/12,0,(nNsmrCap+nNsmrOpx*(1+sNsmrOpxEsc)^8+nNsmrFuel*FuelEsc*(1+nFuelCagr)^8-nNsmrItc)*IF(2034&lt;sNsmrCodU1+J311/12+nStepFirst,1,IF(nStepGated="Yes",(1+nStepPct)^(INT((2034-sNsmrCodU1-J311/12-nStepFirst)/nStepEvery)+1),1))+nExclPrem*(1-nFlexRelief)-nProdCredit)</f>
        <v/>
      </c>
      <c r="M311" s="63">
        <f>MIN(nShortfallCapM,MAX(0,sNsmrAvailY2-K311)*sNsmrUnitMw*sNsmrUnits*8760*NsmrPrice2033/1000000)</f>
        <v/>
      </c>
      <c r="N311" s="82">
        <f>IF(RAND()&lt;0.5,nUsefulLifeDrawBase-(nUsefulLifeDrawBase-nUsefulLifeDrawMin)*BETA.INV(RAND(),1.15,1.15),nUsefulLifeDrawBase+(nUsefulLifeDrawMax-nUsefulLifeDrawBase)*BETA.INV(RAND(),1.15,1.15))</f>
        <v/>
      </c>
      <c r="O311" s="45">
        <f>((nInference*nGpuIdx+nAmort)*nUtilCal/D311)*(nUsefulLifeDrawBase/N311-1)</f>
        <v/>
      </c>
      <c r="P311" s="1" t="n"/>
      <c r="Q311" s="1" t="n"/>
      <c r="R311" s="1" t="n"/>
      <c r="S311" s="1" t="n"/>
      <c r="T311" s="1" t="n"/>
      <c r="U311" s="1" t="n"/>
    </row>
    <row r="312" ht="12" customHeight="1">
      <c r="A312" s="1" t="n"/>
      <c r="B312" s="38" t="n">
        <v>292</v>
      </c>
      <c r="C312" s="114">
        <f>Assumptions!$F$8+RAND()*(Assumptions!$D$8-Assumptions!$F$8)</f>
        <v/>
      </c>
      <c r="D312" s="114">
        <f>Assumptions!$D$9+RAND()*(Assumptions!$F$9-Assumptions!$D$9)</f>
        <v/>
      </c>
      <c r="E312" s="71">
        <f>Assumptions!$F$11+RAND()*(Assumptions!$D$11-Assumptions!$F$11)</f>
        <v/>
      </c>
      <c r="F312" s="45">
        <f>nListPrice*(1-C312)-(nInference*nGpuIdx+nAmort)*nUtilCal/D312-nNetworking-nOverheadBase*(E312/nPowerCal)-nCodBase*(1+I312/12)-O312</f>
        <v/>
      </c>
      <c r="G312" s="66">
        <f>MAX(F312,0)/nDebtService</f>
        <v/>
      </c>
      <c r="H312" s="71">
        <f>Anthropic!$J$18*Anthropic!$J$27+Anthropic!$J$19*Anthropic!$J$28+Anthropic!$J$20*Anthropic!$J$29+Anthropic!$J$21*E312*(1+nPowerCagr)^4*(1+nResidualBasisMarkup+nScarcityAlpha*POWER(Anthropic!$J$21,nScarcityGamma))</f>
        <v/>
      </c>
      <c r="I312" s="113">
        <f>Assumptions!$F$10+RAND()*(Assumptions!$D$10-Assumptions!$F$10)</f>
        <v/>
      </c>
      <c r="J312" s="113">
        <f>RAND()*nCodSlipMaxMo</f>
        <v/>
      </c>
      <c r="K312" s="114">
        <f>nAvailDrawMin+RAND()*(nAvailDrawMax-nAvailDrawMin)</f>
        <v/>
      </c>
      <c r="L312" s="45">
        <f>IF(2034&lt;sNsmrCodU1+J312/12,0,(nNsmrCap+nNsmrOpx*(1+sNsmrOpxEsc)^8+nNsmrFuel*FuelEsc*(1+nFuelCagr)^8-nNsmrItc)*IF(2034&lt;sNsmrCodU1+J312/12+nStepFirst,1,IF(nStepGated="Yes",(1+nStepPct)^(INT((2034-sNsmrCodU1-J312/12-nStepFirst)/nStepEvery)+1),1))+nExclPrem*(1-nFlexRelief)-nProdCredit)</f>
        <v/>
      </c>
      <c r="M312" s="63">
        <f>MIN(nShortfallCapM,MAX(0,sNsmrAvailY2-K312)*sNsmrUnitMw*sNsmrUnits*8760*NsmrPrice2033/1000000)</f>
        <v/>
      </c>
      <c r="N312" s="82">
        <f>IF(RAND()&lt;0.5,nUsefulLifeDrawBase-(nUsefulLifeDrawBase-nUsefulLifeDrawMin)*BETA.INV(RAND(),1.15,1.15),nUsefulLifeDrawBase+(nUsefulLifeDrawMax-nUsefulLifeDrawBase)*BETA.INV(RAND(),1.15,1.15))</f>
        <v/>
      </c>
      <c r="O312" s="45">
        <f>((nInference*nGpuIdx+nAmort)*nUtilCal/D312)*(nUsefulLifeDrawBase/N312-1)</f>
        <v/>
      </c>
      <c r="P312" s="1" t="n"/>
      <c r="Q312" s="1" t="n"/>
      <c r="R312" s="1" t="n"/>
      <c r="S312" s="1" t="n"/>
      <c r="T312" s="1" t="n"/>
      <c r="U312" s="1" t="n"/>
    </row>
    <row r="313" ht="12" customHeight="1">
      <c r="A313" s="1" t="n"/>
      <c r="B313" s="38" t="n">
        <v>293</v>
      </c>
      <c r="C313" s="114">
        <f>Assumptions!$F$8+RAND()*(Assumptions!$D$8-Assumptions!$F$8)</f>
        <v/>
      </c>
      <c r="D313" s="114">
        <f>Assumptions!$D$9+RAND()*(Assumptions!$F$9-Assumptions!$D$9)</f>
        <v/>
      </c>
      <c r="E313" s="71">
        <f>Assumptions!$F$11+RAND()*(Assumptions!$D$11-Assumptions!$F$11)</f>
        <v/>
      </c>
      <c r="F313" s="45">
        <f>nListPrice*(1-C313)-(nInference*nGpuIdx+nAmort)*nUtilCal/D313-nNetworking-nOverheadBase*(E313/nPowerCal)-nCodBase*(1+I313/12)-O313</f>
        <v/>
      </c>
      <c r="G313" s="66">
        <f>MAX(F313,0)/nDebtService</f>
        <v/>
      </c>
      <c r="H313" s="71">
        <f>Anthropic!$J$18*Anthropic!$J$27+Anthropic!$J$19*Anthropic!$J$28+Anthropic!$J$20*Anthropic!$J$29+Anthropic!$J$21*E313*(1+nPowerCagr)^4*(1+nResidualBasisMarkup+nScarcityAlpha*POWER(Anthropic!$J$21,nScarcityGamma))</f>
        <v/>
      </c>
      <c r="I313" s="113">
        <f>Assumptions!$F$10+RAND()*(Assumptions!$D$10-Assumptions!$F$10)</f>
        <v/>
      </c>
      <c r="J313" s="113">
        <f>RAND()*nCodSlipMaxMo</f>
        <v/>
      </c>
      <c r="K313" s="114">
        <f>nAvailDrawMin+RAND()*(nAvailDrawMax-nAvailDrawMin)</f>
        <v/>
      </c>
      <c r="L313" s="45">
        <f>IF(2034&lt;sNsmrCodU1+J313/12,0,(nNsmrCap+nNsmrOpx*(1+sNsmrOpxEsc)^8+nNsmrFuel*FuelEsc*(1+nFuelCagr)^8-nNsmrItc)*IF(2034&lt;sNsmrCodU1+J313/12+nStepFirst,1,IF(nStepGated="Yes",(1+nStepPct)^(INT((2034-sNsmrCodU1-J313/12-nStepFirst)/nStepEvery)+1),1))+nExclPrem*(1-nFlexRelief)-nProdCredit)</f>
        <v/>
      </c>
      <c r="M313" s="63">
        <f>MIN(nShortfallCapM,MAX(0,sNsmrAvailY2-K313)*sNsmrUnitMw*sNsmrUnits*8760*NsmrPrice2033/1000000)</f>
        <v/>
      </c>
      <c r="N313" s="82">
        <f>IF(RAND()&lt;0.5,nUsefulLifeDrawBase-(nUsefulLifeDrawBase-nUsefulLifeDrawMin)*BETA.INV(RAND(),1.15,1.15),nUsefulLifeDrawBase+(nUsefulLifeDrawMax-nUsefulLifeDrawBase)*BETA.INV(RAND(),1.15,1.15))</f>
        <v/>
      </c>
      <c r="O313" s="45">
        <f>((nInference*nGpuIdx+nAmort)*nUtilCal/D313)*(nUsefulLifeDrawBase/N313-1)</f>
        <v/>
      </c>
      <c r="P313" s="1" t="n"/>
      <c r="Q313" s="1" t="n"/>
      <c r="R313" s="1" t="n"/>
      <c r="S313" s="1" t="n"/>
      <c r="T313" s="1" t="n"/>
      <c r="U313" s="1" t="n"/>
    </row>
    <row r="314" ht="12" customHeight="1">
      <c r="A314" s="1" t="n"/>
      <c r="B314" s="38" t="n">
        <v>294</v>
      </c>
      <c r="C314" s="114">
        <f>Assumptions!$F$8+RAND()*(Assumptions!$D$8-Assumptions!$F$8)</f>
        <v/>
      </c>
      <c r="D314" s="114">
        <f>Assumptions!$D$9+RAND()*(Assumptions!$F$9-Assumptions!$D$9)</f>
        <v/>
      </c>
      <c r="E314" s="71">
        <f>Assumptions!$F$11+RAND()*(Assumptions!$D$11-Assumptions!$F$11)</f>
        <v/>
      </c>
      <c r="F314" s="45">
        <f>nListPrice*(1-C314)-(nInference*nGpuIdx+nAmort)*nUtilCal/D314-nNetworking-nOverheadBase*(E314/nPowerCal)-nCodBase*(1+I314/12)-O314</f>
        <v/>
      </c>
      <c r="G314" s="66">
        <f>MAX(F314,0)/nDebtService</f>
        <v/>
      </c>
      <c r="H314" s="71">
        <f>Anthropic!$J$18*Anthropic!$J$27+Anthropic!$J$19*Anthropic!$J$28+Anthropic!$J$20*Anthropic!$J$29+Anthropic!$J$21*E314*(1+nPowerCagr)^4*(1+nResidualBasisMarkup+nScarcityAlpha*POWER(Anthropic!$J$21,nScarcityGamma))</f>
        <v/>
      </c>
      <c r="I314" s="113">
        <f>Assumptions!$F$10+RAND()*(Assumptions!$D$10-Assumptions!$F$10)</f>
        <v/>
      </c>
      <c r="J314" s="113">
        <f>RAND()*nCodSlipMaxMo</f>
        <v/>
      </c>
      <c r="K314" s="114">
        <f>nAvailDrawMin+RAND()*(nAvailDrawMax-nAvailDrawMin)</f>
        <v/>
      </c>
      <c r="L314" s="45">
        <f>IF(2034&lt;sNsmrCodU1+J314/12,0,(nNsmrCap+nNsmrOpx*(1+sNsmrOpxEsc)^8+nNsmrFuel*FuelEsc*(1+nFuelCagr)^8-nNsmrItc)*IF(2034&lt;sNsmrCodU1+J314/12+nStepFirst,1,IF(nStepGated="Yes",(1+nStepPct)^(INT((2034-sNsmrCodU1-J314/12-nStepFirst)/nStepEvery)+1),1))+nExclPrem*(1-nFlexRelief)-nProdCredit)</f>
        <v/>
      </c>
      <c r="M314" s="63">
        <f>MIN(nShortfallCapM,MAX(0,sNsmrAvailY2-K314)*sNsmrUnitMw*sNsmrUnits*8760*NsmrPrice2033/1000000)</f>
        <v/>
      </c>
      <c r="N314" s="82">
        <f>IF(RAND()&lt;0.5,nUsefulLifeDrawBase-(nUsefulLifeDrawBase-nUsefulLifeDrawMin)*BETA.INV(RAND(),1.15,1.15),nUsefulLifeDrawBase+(nUsefulLifeDrawMax-nUsefulLifeDrawBase)*BETA.INV(RAND(),1.15,1.15))</f>
        <v/>
      </c>
      <c r="O314" s="45">
        <f>((nInference*nGpuIdx+nAmort)*nUtilCal/D314)*(nUsefulLifeDrawBase/N314-1)</f>
        <v/>
      </c>
      <c r="P314" s="1" t="n"/>
      <c r="Q314" s="1" t="n"/>
      <c r="R314" s="1" t="n"/>
      <c r="S314" s="1" t="n"/>
      <c r="T314" s="1" t="n"/>
      <c r="U314" s="1" t="n"/>
    </row>
    <row r="315" ht="12" customHeight="1">
      <c r="A315" s="1" t="n"/>
      <c r="B315" s="38" t="n">
        <v>295</v>
      </c>
      <c r="C315" s="114">
        <f>Assumptions!$F$8+RAND()*(Assumptions!$D$8-Assumptions!$F$8)</f>
        <v/>
      </c>
      <c r="D315" s="114">
        <f>Assumptions!$D$9+RAND()*(Assumptions!$F$9-Assumptions!$D$9)</f>
        <v/>
      </c>
      <c r="E315" s="71">
        <f>Assumptions!$F$11+RAND()*(Assumptions!$D$11-Assumptions!$F$11)</f>
        <v/>
      </c>
      <c r="F315" s="45">
        <f>nListPrice*(1-C315)-(nInference*nGpuIdx+nAmort)*nUtilCal/D315-nNetworking-nOverheadBase*(E315/nPowerCal)-nCodBase*(1+I315/12)-O315</f>
        <v/>
      </c>
      <c r="G315" s="66">
        <f>MAX(F315,0)/nDebtService</f>
        <v/>
      </c>
      <c r="H315" s="71">
        <f>Anthropic!$J$18*Anthropic!$J$27+Anthropic!$J$19*Anthropic!$J$28+Anthropic!$J$20*Anthropic!$J$29+Anthropic!$J$21*E315*(1+nPowerCagr)^4*(1+nResidualBasisMarkup+nScarcityAlpha*POWER(Anthropic!$J$21,nScarcityGamma))</f>
        <v/>
      </c>
      <c r="I315" s="113">
        <f>Assumptions!$F$10+RAND()*(Assumptions!$D$10-Assumptions!$F$10)</f>
        <v/>
      </c>
      <c r="J315" s="113">
        <f>RAND()*nCodSlipMaxMo</f>
        <v/>
      </c>
      <c r="K315" s="114">
        <f>nAvailDrawMin+RAND()*(nAvailDrawMax-nAvailDrawMin)</f>
        <v/>
      </c>
      <c r="L315" s="45">
        <f>IF(2034&lt;sNsmrCodU1+J315/12,0,(nNsmrCap+nNsmrOpx*(1+sNsmrOpxEsc)^8+nNsmrFuel*FuelEsc*(1+nFuelCagr)^8-nNsmrItc)*IF(2034&lt;sNsmrCodU1+J315/12+nStepFirst,1,IF(nStepGated="Yes",(1+nStepPct)^(INT((2034-sNsmrCodU1-J315/12-nStepFirst)/nStepEvery)+1),1))+nExclPrem*(1-nFlexRelief)-nProdCredit)</f>
        <v/>
      </c>
      <c r="M315" s="63">
        <f>MIN(nShortfallCapM,MAX(0,sNsmrAvailY2-K315)*sNsmrUnitMw*sNsmrUnits*8760*NsmrPrice2033/1000000)</f>
        <v/>
      </c>
      <c r="N315" s="82">
        <f>IF(RAND()&lt;0.5,nUsefulLifeDrawBase-(nUsefulLifeDrawBase-nUsefulLifeDrawMin)*BETA.INV(RAND(),1.15,1.15),nUsefulLifeDrawBase+(nUsefulLifeDrawMax-nUsefulLifeDrawBase)*BETA.INV(RAND(),1.15,1.15))</f>
        <v/>
      </c>
      <c r="O315" s="45">
        <f>((nInference*nGpuIdx+nAmort)*nUtilCal/D315)*(nUsefulLifeDrawBase/N315-1)</f>
        <v/>
      </c>
      <c r="P315" s="1" t="n"/>
      <c r="Q315" s="1" t="n"/>
      <c r="R315" s="1" t="n"/>
      <c r="S315" s="1" t="n"/>
      <c r="T315" s="1" t="n"/>
      <c r="U315" s="1" t="n"/>
    </row>
    <row r="316" ht="12" customHeight="1">
      <c r="A316" s="1" t="n"/>
      <c r="B316" s="38" t="n">
        <v>296</v>
      </c>
      <c r="C316" s="114">
        <f>Assumptions!$F$8+RAND()*(Assumptions!$D$8-Assumptions!$F$8)</f>
        <v/>
      </c>
      <c r="D316" s="114">
        <f>Assumptions!$D$9+RAND()*(Assumptions!$F$9-Assumptions!$D$9)</f>
        <v/>
      </c>
      <c r="E316" s="71">
        <f>Assumptions!$F$11+RAND()*(Assumptions!$D$11-Assumptions!$F$11)</f>
        <v/>
      </c>
      <c r="F316" s="45">
        <f>nListPrice*(1-C316)-(nInference*nGpuIdx+nAmort)*nUtilCal/D316-nNetworking-nOverheadBase*(E316/nPowerCal)-nCodBase*(1+I316/12)-O316</f>
        <v/>
      </c>
      <c r="G316" s="66">
        <f>MAX(F316,0)/nDebtService</f>
        <v/>
      </c>
      <c r="H316" s="71">
        <f>Anthropic!$J$18*Anthropic!$J$27+Anthropic!$J$19*Anthropic!$J$28+Anthropic!$J$20*Anthropic!$J$29+Anthropic!$J$21*E316*(1+nPowerCagr)^4*(1+nResidualBasisMarkup+nScarcityAlpha*POWER(Anthropic!$J$21,nScarcityGamma))</f>
        <v/>
      </c>
      <c r="I316" s="113">
        <f>Assumptions!$F$10+RAND()*(Assumptions!$D$10-Assumptions!$F$10)</f>
        <v/>
      </c>
      <c r="J316" s="113">
        <f>RAND()*nCodSlipMaxMo</f>
        <v/>
      </c>
      <c r="K316" s="114">
        <f>nAvailDrawMin+RAND()*(nAvailDrawMax-nAvailDrawMin)</f>
        <v/>
      </c>
      <c r="L316" s="45">
        <f>IF(2034&lt;sNsmrCodU1+J316/12,0,(nNsmrCap+nNsmrOpx*(1+sNsmrOpxEsc)^8+nNsmrFuel*FuelEsc*(1+nFuelCagr)^8-nNsmrItc)*IF(2034&lt;sNsmrCodU1+J316/12+nStepFirst,1,IF(nStepGated="Yes",(1+nStepPct)^(INT((2034-sNsmrCodU1-J316/12-nStepFirst)/nStepEvery)+1),1))+nExclPrem*(1-nFlexRelief)-nProdCredit)</f>
        <v/>
      </c>
      <c r="M316" s="63">
        <f>MIN(nShortfallCapM,MAX(0,sNsmrAvailY2-K316)*sNsmrUnitMw*sNsmrUnits*8760*NsmrPrice2033/1000000)</f>
        <v/>
      </c>
      <c r="N316" s="82">
        <f>IF(RAND()&lt;0.5,nUsefulLifeDrawBase-(nUsefulLifeDrawBase-nUsefulLifeDrawMin)*BETA.INV(RAND(),1.15,1.15),nUsefulLifeDrawBase+(nUsefulLifeDrawMax-nUsefulLifeDrawBase)*BETA.INV(RAND(),1.15,1.15))</f>
        <v/>
      </c>
      <c r="O316" s="45">
        <f>((nInference*nGpuIdx+nAmort)*nUtilCal/D316)*(nUsefulLifeDrawBase/N316-1)</f>
        <v/>
      </c>
      <c r="P316" s="1" t="n"/>
      <c r="Q316" s="1" t="n"/>
      <c r="R316" s="1" t="n"/>
      <c r="S316" s="1" t="n"/>
      <c r="T316" s="1" t="n"/>
      <c r="U316" s="1" t="n"/>
    </row>
    <row r="317" ht="12" customHeight="1">
      <c r="A317" s="1" t="n"/>
      <c r="B317" s="38" t="n">
        <v>297</v>
      </c>
      <c r="C317" s="114">
        <f>Assumptions!$F$8+RAND()*(Assumptions!$D$8-Assumptions!$F$8)</f>
        <v/>
      </c>
      <c r="D317" s="114">
        <f>Assumptions!$D$9+RAND()*(Assumptions!$F$9-Assumptions!$D$9)</f>
        <v/>
      </c>
      <c r="E317" s="71">
        <f>Assumptions!$F$11+RAND()*(Assumptions!$D$11-Assumptions!$F$11)</f>
        <v/>
      </c>
      <c r="F317" s="45">
        <f>nListPrice*(1-C317)-(nInference*nGpuIdx+nAmort)*nUtilCal/D317-nNetworking-nOverheadBase*(E317/nPowerCal)-nCodBase*(1+I317/12)-O317</f>
        <v/>
      </c>
      <c r="G317" s="66">
        <f>MAX(F317,0)/nDebtService</f>
        <v/>
      </c>
      <c r="H317" s="71">
        <f>Anthropic!$J$18*Anthropic!$J$27+Anthropic!$J$19*Anthropic!$J$28+Anthropic!$J$20*Anthropic!$J$29+Anthropic!$J$21*E317*(1+nPowerCagr)^4*(1+nResidualBasisMarkup+nScarcityAlpha*POWER(Anthropic!$J$21,nScarcityGamma))</f>
        <v/>
      </c>
      <c r="I317" s="113">
        <f>Assumptions!$F$10+RAND()*(Assumptions!$D$10-Assumptions!$F$10)</f>
        <v/>
      </c>
      <c r="J317" s="113">
        <f>RAND()*nCodSlipMaxMo</f>
        <v/>
      </c>
      <c r="K317" s="114">
        <f>nAvailDrawMin+RAND()*(nAvailDrawMax-nAvailDrawMin)</f>
        <v/>
      </c>
      <c r="L317" s="45">
        <f>IF(2034&lt;sNsmrCodU1+J317/12,0,(nNsmrCap+nNsmrOpx*(1+sNsmrOpxEsc)^8+nNsmrFuel*FuelEsc*(1+nFuelCagr)^8-nNsmrItc)*IF(2034&lt;sNsmrCodU1+J317/12+nStepFirst,1,IF(nStepGated="Yes",(1+nStepPct)^(INT((2034-sNsmrCodU1-J317/12-nStepFirst)/nStepEvery)+1),1))+nExclPrem*(1-nFlexRelief)-nProdCredit)</f>
        <v/>
      </c>
      <c r="M317" s="63">
        <f>MIN(nShortfallCapM,MAX(0,sNsmrAvailY2-K317)*sNsmrUnitMw*sNsmrUnits*8760*NsmrPrice2033/1000000)</f>
        <v/>
      </c>
      <c r="N317" s="82">
        <f>IF(RAND()&lt;0.5,nUsefulLifeDrawBase-(nUsefulLifeDrawBase-nUsefulLifeDrawMin)*BETA.INV(RAND(),1.15,1.15),nUsefulLifeDrawBase+(nUsefulLifeDrawMax-nUsefulLifeDrawBase)*BETA.INV(RAND(),1.15,1.15))</f>
        <v/>
      </c>
      <c r="O317" s="45">
        <f>((nInference*nGpuIdx+nAmort)*nUtilCal/D317)*(nUsefulLifeDrawBase/N317-1)</f>
        <v/>
      </c>
      <c r="P317" s="1" t="n"/>
      <c r="Q317" s="1" t="n"/>
      <c r="R317" s="1" t="n"/>
      <c r="S317" s="1" t="n"/>
      <c r="T317" s="1" t="n"/>
      <c r="U317" s="1" t="n"/>
    </row>
    <row r="318" ht="12" customHeight="1">
      <c r="A318" s="1" t="n"/>
      <c r="B318" s="38" t="n">
        <v>298</v>
      </c>
      <c r="C318" s="114">
        <f>Assumptions!$F$8+RAND()*(Assumptions!$D$8-Assumptions!$F$8)</f>
        <v/>
      </c>
      <c r="D318" s="114">
        <f>Assumptions!$D$9+RAND()*(Assumptions!$F$9-Assumptions!$D$9)</f>
        <v/>
      </c>
      <c r="E318" s="71">
        <f>Assumptions!$F$11+RAND()*(Assumptions!$D$11-Assumptions!$F$11)</f>
        <v/>
      </c>
      <c r="F318" s="45">
        <f>nListPrice*(1-C318)-(nInference*nGpuIdx+nAmort)*nUtilCal/D318-nNetworking-nOverheadBase*(E318/nPowerCal)-nCodBase*(1+I318/12)-O318</f>
        <v/>
      </c>
      <c r="G318" s="66">
        <f>MAX(F318,0)/nDebtService</f>
        <v/>
      </c>
      <c r="H318" s="71">
        <f>Anthropic!$J$18*Anthropic!$J$27+Anthropic!$J$19*Anthropic!$J$28+Anthropic!$J$20*Anthropic!$J$29+Anthropic!$J$21*E318*(1+nPowerCagr)^4*(1+nResidualBasisMarkup+nScarcityAlpha*POWER(Anthropic!$J$21,nScarcityGamma))</f>
        <v/>
      </c>
      <c r="I318" s="113">
        <f>Assumptions!$F$10+RAND()*(Assumptions!$D$10-Assumptions!$F$10)</f>
        <v/>
      </c>
      <c r="J318" s="113">
        <f>RAND()*nCodSlipMaxMo</f>
        <v/>
      </c>
      <c r="K318" s="114">
        <f>nAvailDrawMin+RAND()*(nAvailDrawMax-nAvailDrawMin)</f>
        <v/>
      </c>
      <c r="L318" s="45">
        <f>IF(2034&lt;sNsmrCodU1+J318/12,0,(nNsmrCap+nNsmrOpx*(1+sNsmrOpxEsc)^8+nNsmrFuel*FuelEsc*(1+nFuelCagr)^8-nNsmrItc)*IF(2034&lt;sNsmrCodU1+J318/12+nStepFirst,1,IF(nStepGated="Yes",(1+nStepPct)^(INT((2034-sNsmrCodU1-J318/12-nStepFirst)/nStepEvery)+1),1))+nExclPrem*(1-nFlexRelief)-nProdCredit)</f>
        <v/>
      </c>
      <c r="M318" s="63">
        <f>MIN(nShortfallCapM,MAX(0,sNsmrAvailY2-K318)*sNsmrUnitMw*sNsmrUnits*8760*NsmrPrice2033/1000000)</f>
        <v/>
      </c>
      <c r="N318" s="82">
        <f>IF(RAND()&lt;0.5,nUsefulLifeDrawBase-(nUsefulLifeDrawBase-nUsefulLifeDrawMin)*BETA.INV(RAND(),1.15,1.15),nUsefulLifeDrawBase+(nUsefulLifeDrawMax-nUsefulLifeDrawBase)*BETA.INV(RAND(),1.15,1.15))</f>
        <v/>
      </c>
      <c r="O318" s="45">
        <f>((nInference*nGpuIdx+nAmort)*nUtilCal/D318)*(nUsefulLifeDrawBase/N318-1)</f>
        <v/>
      </c>
      <c r="P318" s="1" t="n"/>
      <c r="Q318" s="1" t="n"/>
      <c r="R318" s="1" t="n"/>
      <c r="S318" s="1" t="n"/>
      <c r="T318" s="1" t="n"/>
      <c r="U318" s="1" t="n"/>
    </row>
    <row r="319" ht="12" customHeight="1">
      <c r="A319" s="1" t="n"/>
      <c r="B319" s="38" t="n">
        <v>299</v>
      </c>
      <c r="C319" s="114">
        <f>Assumptions!$F$8+RAND()*(Assumptions!$D$8-Assumptions!$F$8)</f>
        <v/>
      </c>
      <c r="D319" s="114">
        <f>Assumptions!$D$9+RAND()*(Assumptions!$F$9-Assumptions!$D$9)</f>
        <v/>
      </c>
      <c r="E319" s="71">
        <f>Assumptions!$F$11+RAND()*(Assumptions!$D$11-Assumptions!$F$11)</f>
        <v/>
      </c>
      <c r="F319" s="45">
        <f>nListPrice*(1-C319)-(nInference*nGpuIdx+nAmort)*nUtilCal/D319-nNetworking-nOverheadBase*(E319/nPowerCal)-nCodBase*(1+I319/12)-O319</f>
        <v/>
      </c>
      <c r="G319" s="66">
        <f>MAX(F319,0)/nDebtService</f>
        <v/>
      </c>
      <c r="H319" s="71">
        <f>Anthropic!$J$18*Anthropic!$J$27+Anthropic!$J$19*Anthropic!$J$28+Anthropic!$J$20*Anthropic!$J$29+Anthropic!$J$21*E319*(1+nPowerCagr)^4*(1+nResidualBasisMarkup+nScarcityAlpha*POWER(Anthropic!$J$21,nScarcityGamma))</f>
        <v/>
      </c>
      <c r="I319" s="113">
        <f>Assumptions!$F$10+RAND()*(Assumptions!$D$10-Assumptions!$F$10)</f>
        <v/>
      </c>
      <c r="J319" s="113">
        <f>RAND()*nCodSlipMaxMo</f>
        <v/>
      </c>
      <c r="K319" s="114">
        <f>nAvailDrawMin+RAND()*(nAvailDrawMax-nAvailDrawMin)</f>
        <v/>
      </c>
      <c r="L319" s="45">
        <f>IF(2034&lt;sNsmrCodU1+J319/12,0,(nNsmrCap+nNsmrOpx*(1+sNsmrOpxEsc)^8+nNsmrFuel*FuelEsc*(1+nFuelCagr)^8-nNsmrItc)*IF(2034&lt;sNsmrCodU1+J319/12+nStepFirst,1,IF(nStepGated="Yes",(1+nStepPct)^(INT((2034-sNsmrCodU1-J319/12-nStepFirst)/nStepEvery)+1),1))+nExclPrem*(1-nFlexRelief)-nProdCredit)</f>
        <v/>
      </c>
      <c r="M319" s="63">
        <f>MIN(nShortfallCapM,MAX(0,sNsmrAvailY2-K319)*sNsmrUnitMw*sNsmrUnits*8760*NsmrPrice2033/1000000)</f>
        <v/>
      </c>
      <c r="N319" s="82">
        <f>IF(RAND()&lt;0.5,nUsefulLifeDrawBase-(nUsefulLifeDrawBase-nUsefulLifeDrawMin)*BETA.INV(RAND(),1.15,1.15),nUsefulLifeDrawBase+(nUsefulLifeDrawMax-nUsefulLifeDrawBase)*BETA.INV(RAND(),1.15,1.15))</f>
        <v/>
      </c>
      <c r="O319" s="45">
        <f>((nInference*nGpuIdx+nAmort)*nUtilCal/D319)*(nUsefulLifeDrawBase/N319-1)</f>
        <v/>
      </c>
      <c r="P319" s="1" t="n"/>
      <c r="Q319" s="1" t="n"/>
      <c r="R319" s="1" t="n"/>
      <c r="S319" s="1" t="n"/>
      <c r="T319" s="1" t="n"/>
      <c r="U319" s="1" t="n"/>
    </row>
    <row r="320" ht="12" customHeight="1">
      <c r="A320" s="1" t="n"/>
      <c r="B320" s="38" t="n">
        <v>300</v>
      </c>
      <c r="C320" s="114">
        <f>Assumptions!$F$8+RAND()*(Assumptions!$D$8-Assumptions!$F$8)</f>
        <v/>
      </c>
      <c r="D320" s="114">
        <f>Assumptions!$D$9+RAND()*(Assumptions!$F$9-Assumptions!$D$9)</f>
        <v/>
      </c>
      <c r="E320" s="71">
        <f>Assumptions!$F$11+RAND()*(Assumptions!$D$11-Assumptions!$F$11)</f>
        <v/>
      </c>
      <c r="F320" s="45">
        <f>nListPrice*(1-C320)-(nInference*nGpuIdx+nAmort)*nUtilCal/D320-nNetworking-nOverheadBase*(E320/nPowerCal)-nCodBase*(1+I320/12)-O320</f>
        <v/>
      </c>
      <c r="G320" s="66">
        <f>MAX(F320,0)/nDebtService</f>
        <v/>
      </c>
      <c r="H320" s="71">
        <f>Anthropic!$J$18*Anthropic!$J$27+Anthropic!$J$19*Anthropic!$J$28+Anthropic!$J$20*Anthropic!$J$29+Anthropic!$J$21*E320*(1+nPowerCagr)^4*(1+nResidualBasisMarkup+nScarcityAlpha*POWER(Anthropic!$J$21,nScarcityGamma))</f>
        <v/>
      </c>
      <c r="I320" s="113">
        <f>Assumptions!$F$10+RAND()*(Assumptions!$D$10-Assumptions!$F$10)</f>
        <v/>
      </c>
      <c r="J320" s="113">
        <f>RAND()*nCodSlipMaxMo</f>
        <v/>
      </c>
      <c r="K320" s="114">
        <f>nAvailDrawMin+RAND()*(nAvailDrawMax-nAvailDrawMin)</f>
        <v/>
      </c>
      <c r="L320" s="45">
        <f>IF(2034&lt;sNsmrCodU1+J320/12,0,(nNsmrCap+nNsmrOpx*(1+sNsmrOpxEsc)^8+nNsmrFuel*FuelEsc*(1+nFuelCagr)^8-nNsmrItc)*IF(2034&lt;sNsmrCodU1+J320/12+nStepFirst,1,IF(nStepGated="Yes",(1+nStepPct)^(INT((2034-sNsmrCodU1-J320/12-nStepFirst)/nStepEvery)+1),1))+nExclPrem*(1-nFlexRelief)-nProdCredit)</f>
        <v/>
      </c>
      <c r="M320" s="63">
        <f>MIN(nShortfallCapM,MAX(0,sNsmrAvailY2-K320)*sNsmrUnitMw*sNsmrUnits*8760*NsmrPrice2033/1000000)</f>
        <v/>
      </c>
      <c r="N320" s="82">
        <f>IF(RAND()&lt;0.5,nUsefulLifeDrawBase-(nUsefulLifeDrawBase-nUsefulLifeDrawMin)*BETA.INV(RAND(),1.15,1.15),nUsefulLifeDrawBase+(nUsefulLifeDrawMax-nUsefulLifeDrawBase)*BETA.INV(RAND(),1.15,1.15))</f>
        <v/>
      </c>
      <c r="O320" s="45">
        <f>((nInference*nGpuIdx+nAmort)*nUtilCal/D320)*(nUsefulLifeDrawBase/N320-1)</f>
        <v/>
      </c>
      <c r="P320" s="1" t="n"/>
      <c r="Q320" s="1" t="n"/>
      <c r="R320" s="1" t="n"/>
      <c r="S320" s="1" t="n"/>
      <c r="T320" s="1" t="n"/>
      <c r="U320" s="1" t="n"/>
    </row>
    <row r="321" ht="12" customHeight="1">
      <c r="A321" s="1" t="n"/>
      <c r="B321" s="38" t="n">
        <v>301</v>
      </c>
      <c r="C321" s="114">
        <f>Assumptions!$F$8+RAND()*(Assumptions!$D$8-Assumptions!$F$8)</f>
        <v/>
      </c>
      <c r="D321" s="114">
        <f>Assumptions!$D$9+RAND()*(Assumptions!$F$9-Assumptions!$D$9)</f>
        <v/>
      </c>
      <c r="E321" s="71">
        <f>Assumptions!$F$11+RAND()*(Assumptions!$D$11-Assumptions!$F$11)</f>
        <v/>
      </c>
      <c r="F321" s="45">
        <f>nListPrice*(1-C321)-(nInference*nGpuIdx+nAmort)*nUtilCal/D321-nNetworking-nOverheadBase*(E321/nPowerCal)-nCodBase*(1+I321/12)-O321</f>
        <v/>
      </c>
      <c r="G321" s="66">
        <f>MAX(F321,0)/nDebtService</f>
        <v/>
      </c>
      <c r="H321" s="71">
        <f>Anthropic!$J$18*Anthropic!$J$27+Anthropic!$J$19*Anthropic!$J$28+Anthropic!$J$20*Anthropic!$J$29+Anthropic!$J$21*E321*(1+nPowerCagr)^4*(1+nResidualBasisMarkup+nScarcityAlpha*POWER(Anthropic!$J$21,nScarcityGamma))</f>
        <v/>
      </c>
      <c r="I321" s="113">
        <f>Assumptions!$F$10+RAND()*(Assumptions!$D$10-Assumptions!$F$10)</f>
        <v/>
      </c>
      <c r="J321" s="113">
        <f>RAND()*nCodSlipMaxMo</f>
        <v/>
      </c>
      <c r="K321" s="114">
        <f>nAvailDrawMin+RAND()*(nAvailDrawMax-nAvailDrawMin)</f>
        <v/>
      </c>
      <c r="L321" s="45">
        <f>IF(2034&lt;sNsmrCodU1+J321/12,0,(nNsmrCap+nNsmrOpx*(1+sNsmrOpxEsc)^8+nNsmrFuel*FuelEsc*(1+nFuelCagr)^8-nNsmrItc)*IF(2034&lt;sNsmrCodU1+J321/12+nStepFirst,1,IF(nStepGated="Yes",(1+nStepPct)^(INT((2034-sNsmrCodU1-J321/12-nStepFirst)/nStepEvery)+1),1))+nExclPrem*(1-nFlexRelief)-nProdCredit)</f>
        <v/>
      </c>
      <c r="M321" s="63">
        <f>MIN(nShortfallCapM,MAX(0,sNsmrAvailY2-K321)*sNsmrUnitMw*sNsmrUnits*8760*NsmrPrice2033/1000000)</f>
        <v/>
      </c>
      <c r="N321" s="82">
        <f>IF(RAND()&lt;0.5,nUsefulLifeDrawBase-(nUsefulLifeDrawBase-nUsefulLifeDrawMin)*BETA.INV(RAND(),1.15,1.15),nUsefulLifeDrawBase+(nUsefulLifeDrawMax-nUsefulLifeDrawBase)*BETA.INV(RAND(),1.15,1.15))</f>
        <v/>
      </c>
      <c r="O321" s="45">
        <f>((nInference*nGpuIdx+nAmort)*nUtilCal/D321)*(nUsefulLifeDrawBase/N321-1)</f>
        <v/>
      </c>
      <c r="P321" s="1" t="n"/>
      <c r="Q321" s="1" t="n"/>
      <c r="R321" s="1" t="n"/>
      <c r="S321" s="1" t="n"/>
      <c r="T321" s="1" t="n"/>
      <c r="U321" s="1" t="n"/>
    </row>
    <row r="322" ht="12" customHeight="1">
      <c r="A322" s="1" t="n"/>
      <c r="B322" s="38" t="n">
        <v>302</v>
      </c>
      <c r="C322" s="114">
        <f>Assumptions!$F$8+RAND()*(Assumptions!$D$8-Assumptions!$F$8)</f>
        <v/>
      </c>
      <c r="D322" s="114">
        <f>Assumptions!$D$9+RAND()*(Assumptions!$F$9-Assumptions!$D$9)</f>
        <v/>
      </c>
      <c r="E322" s="71">
        <f>Assumptions!$F$11+RAND()*(Assumptions!$D$11-Assumptions!$F$11)</f>
        <v/>
      </c>
      <c r="F322" s="45">
        <f>nListPrice*(1-C322)-(nInference*nGpuIdx+nAmort)*nUtilCal/D322-nNetworking-nOverheadBase*(E322/nPowerCal)-nCodBase*(1+I322/12)-O322</f>
        <v/>
      </c>
      <c r="G322" s="66">
        <f>MAX(F322,0)/nDebtService</f>
        <v/>
      </c>
      <c r="H322" s="71">
        <f>Anthropic!$J$18*Anthropic!$J$27+Anthropic!$J$19*Anthropic!$J$28+Anthropic!$J$20*Anthropic!$J$29+Anthropic!$J$21*E322*(1+nPowerCagr)^4*(1+nResidualBasisMarkup+nScarcityAlpha*POWER(Anthropic!$J$21,nScarcityGamma))</f>
        <v/>
      </c>
      <c r="I322" s="113">
        <f>Assumptions!$F$10+RAND()*(Assumptions!$D$10-Assumptions!$F$10)</f>
        <v/>
      </c>
      <c r="J322" s="113">
        <f>RAND()*nCodSlipMaxMo</f>
        <v/>
      </c>
      <c r="K322" s="114">
        <f>nAvailDrawMin+RAND()*(nAvailDrawMax-nAvailDrawMin)</f>
        <v/>
      </c>
      <c r="L322" s="45">
        <f>IF(2034&lt;sNsmrCodU1+J322/12,0,(nNsmrCap+nNsmrOpx*(1+sNsmrOpxEsc)^8+nNsmrFuel*FuelEsc*(1+nFuelCagr)^8-nNsmrItc)*IF(2034&lt;sNsmrCodU1+J322/12+nStepFirst,1,IF(nStepGated="Yes",(1+nStepPct)^(INT((2034-sNsmrCodU1-J322/12-nStepFirst)/nStepEvery)+1),1))+nExclPrem*(1-nFlexRelief)-nProdCredit)</f>
        <v/>
      </c>
      <c r="M322" s="63">
        <f>MIN(nShortfallCapM,MAX(0,sNsmrAvailY2-K322)*sNsmrUnitMw*sNsmrUnits*8760*NsmrPrice2033/1000000)</f>
        <v/>
      </c>
      <c r="N322" s="82">
        <f>IF(RAND()&lt;0.5,nUsefulLifeDrawBase-(nUsefulLifeDrawBase-nUsefulLifeDrawMin)*BETA.INV(RAND(),1.15,1.15),nUsefulLifeDrawBase+(nUsefulLifeDrawMax-nUsefulLifeDrawBase)*BETA.INV(RAND(),1.15,1.15))</f>
        <v/>
      </c>
      <c r="O322" s="45">
        <f>((nInference*nGpuIdx+nAmort)*nUtilCal/D322)*(nUsefulLifeDrawBase/N322-1)</f>
        <v/>
      </c>
      <c r="P322" s="1" t="n"/>
      <c r="Q322" s="1" t="n"/>
      <c r="R322" s="1" t="n"/>
      <c r="S322" s="1" t="n"/>
      <c r="T322" s="1" t="n"/>
      <c r="U322" s="1" t="n"/>
    </row>
    <row r="323" ht="12" customHeight="1">
      <c r="A323" s="1" t="n"/>
      <c r="B323" s="38" t="n">
        <v>303</v>
      </c>
      <c r="C323" s="114">
        <f>Assumptions!$F$8+RAND()*(Assumptions!$D$8-Assumptions!$F$8)</f>
        <v/>
      </c>
      <c r="D323" s="114">
        <f>Assumptions!$D$9+RAND()*(Assumptions!$F$9-Assumptions!$D$9)</f>
        <v/>
      </c>
      <c r="E323" s="71">
        <f>Assumptions!$F$11+RAND()*(Assumptions!$D$11-Assumptions!$F$11)</f>
        <v/>
      </c>
      <c r="F323" s="45">
        <f>nListPrice*(1-C323)-(nInference*nGpuIdx+nAmort)*nUtilCal/D323-nNetworking-nOverheadBase*(E323/nPowerCal)-nCodBase*(1+I323/12)-O323</f>
        <v/>
      </c>
      <c r="G323" s="66">
        <f>MAX(F323,0)/nDebtService</f>
        <v/>
      </c>
      <c r="H323" s="71">
        <f>Anthropic!$J$18*Anthropic!$J$27+Anthropic!$J$19*Anthropic!$J$28+Anthropic!$J$20*Anthropic!$J$29+Anthropic!$J$21*E323*(1+nPowerCagr)^4*(1+nResidualBasisMarkup+nScarcityAlpha*POWER(Anthropic!$J$21,nScarcityGamma))</f>
        <v/>
      </c>
      <c r="I323" s="113">
        <f>Assumptions!$F$10+RAND()*(Assumptions!$D$10-Assumptions!$F$10)</f>
        <v/>
      </c>
      <c r="J323" s="113">
        <f>RAND()*nCodSlipMaxMo</f>
        <v/>
      </c>
      <c r="K323" s="114">
        <f>nAvailDrawMin+RAND()*(nAvailDrawMax-nAvailDrawMin)</f>
        <v/>
      </c>
      <c r="L323" s="45">
        <f>IF(2034&lt;sNsmrCodU1+J323/12,0,(nNsmrCap+nNsmrOpx*(1+sNsmrOpxEsc)^8+nNsmrFuel*FuelEsc*(1+nFuelCagr)^8-nNsmrItc)*IF(2034&lt;sNsmrCodU1+J323/12+nStepFirst,1,IF(nStepGated="Yes",(1+nStepPct)^(INT((2034-sNsmrCodU1-J323/12-nStepFirst)/nStepEvery)+1),1))+nExclPrem*(1-nFlexRelief)-nProdCredit)</f>
        <v/>
      </c>
      <c r="M323" s="63">
        <f>MIN(nShortfallCapM,MAX(0,sNsmrAvailY2-K323)*sNsmrUnitMw*sNsmrUnits*8760*NsmrPrice2033/1000000)</f>
        <v/>
      </c>
      <c r="N323" s="82">
        <f>IF(RAND()&lt;0.5,nUsefulLifeDrawBase-(nUsefulLifeDrawBase-nUsefulLifeDrawMin)*BETA.INV(RAND(),1.15,1.15),nUsefulLifeDrawBase+(nUsefulLifeDrawMax-nUsefulLifeDrawBase)*BETA.INV(RAND(),1.15,1.15))</f>
        <v/>
      </c>
      <c r="O323" s="45">
        <f>((nInference*nGpuIdx+nAmort)*nUtilCal/D323)*(nUsefulLifeDrawBase/N323-1)</f>
        <v/>
      </c>
      <c r="P323" s="1" t="n"/>
      <c r="Q323" s="1" t="n"/>
      <c r="R323" s="1" t="n"/>
      <c r="S323" s="1" t="n"/>
      <c r="T323" s="1" t="n"/>
      <c r="U323" s="1" t="n"/>
    </row>
    <row r="324" ht="12" customHeight="1">
      <c r="A324" s="1" t="n"/>
      <c r="B324" s="38" t="n">
        <v>304</v>
      </c>
      <c r="C324" s="114">
        <f>Assumptions!$F$8+RAND()*(Assumptions!$D$8-Assumptions!$F$8)</f>
        <v/>
      </c>
      <c r="D324" s="114">
        <f>Assumptions!$D$9+RAND()*(Assumptions!$F$9-Assumptions!$D$9)</f>
        <v/>
      </c>
      <c r="E324" s="71">
        <f>Assumptions!$F$11+RAND()*(Assumptions!$D$11-Assumptions!$F$11)</f>
        <v/>
      </c>
      <c r="F324" s="45">
        <f>nListPrice*(1-C324)-(nInference*nGpuIdx+nAmort)*nUtilCal/D324-nNetworking-nOverheadBase*(E324/nPowerCal)-nCodBase*(1+I324/12)-O324</f>
        <v/>
      </c>
      <c r="G324" s="66">
        <f>MAX(F324,0)/nDebtService</f>
        <v/>
      </c>
      <c r="H324" s="71">
        <f>Anthropic!$J$18*Anthropic!$J$27+Anthropic!$J$19*Anthropic!$J$28+Anthropic!$J$20*Anthropic!$J$29+Anthropic!$J$21*E324*(1+nPowerCagr)^4*(1+nResidualBasisMarkup+nScarcityAlpha*POWER(Anthropic!$J$21,nScarcityGamma))</f>
        <v/>
      </c>
      <c r="I324" s="113">
        <f>Assumptions!$F$10+RAND()*(Assumptions!$D$10-Assumptions!$F$10)</f>
        <v/>
      </c>
      <c r="J324" s="113">
        <f>RAND()*nCodSlipMaxMo</f>
        <v/>
      </c>
      <c r="K324" s="114">
        <f>nAvailDrawMin+RAND()*(nAvailDrawMax-nAvailDrawMin)</f>
        <v/>
      </c>
      <c r="L324" s="45">
        <f>IF(2034&lt;sNsmrCodU1+J324/12,0,(nNsmrCap+nNsmrOpx*(1+sNsmrOpxEsc)^8+nNsmrFuel*FuelEsc*(1+nFuelCagr)^8-nNsmrItc)*IF(2034&lt;sNsmrCodU1+J324/12+nStepFirst,1,IF(nStepGated="Yes",(1+nStepPct)^(INT((2034-sNsmrCodU1-J324/12-nStepFirst)/nStepEvery)+1),1))+nExclPrem*(1-nFlexRelief)-nProdCredit)</f>
        <v/>
      </c>
      <c r="M324" s="63">
        <f>MIN(nShortfallCapM,MAX(0,sNsmrAvailY2-K324)*sNsmrUnitMw*sNsmrUnits*8760*NsmrPrice2033/1000000)</f>
        <v/>
      </c>
      <c r="N324" s="82">
        <f>IF(RAND()&lt;0.5,nUsefulLifeDrawBase-(nUsefulLifeDrawBase-nUsefulLifeDrawMin)*BETA.INV(RAND(),1.15,1.15),nUsefulLifeDrawBase+(nUsefulLifeDrawMax-nUsefulLifeDrawBase)*BETA.INV(RAND(),1.15,1.15))</f>
        <v/>
      </c>
      <c r="O324" s="45">
        <f>((nInference*nGpuIdx+nAmort)*nUtilCal/D324)*(nUsefulLifeDrawBase/N324-1)</f>
        <v/>
      </c>
      <c r="P324" s="1" t="n"/>
      <c r="Q324" s="1" t="n"/>
      <c r="R324" s="1" t="n"/>
      <c r="S324" s="1" t="n"/>
      <c r="T324" s="1" t="n"/>
      <c r="U324" s="1" t="n"/>
    </row>
    <row r="325" ht="12" customHeight="1">
      <c r="A325" s="1" t="n"/>
      <c r="B325" s="38" t="n">
        <v>305</v>
      </c>
      <c r="C325" s="114">
        <f>Assumptions!$F$8+RAND()*(Assumptions!$D$8-Assumptions!$F$8)</f>
        <v/>
      </c>
      <c r="D325" s="114">
        <f>Assumptions!$D$9+RAND()*(Assumptions!$F$9-Assumptions!$D$9)</f>
        <v/>
      </c>
      <c r="E325" s="71">
        <f>Assumptions!$F$11+RAND()*(Assumptions!$D$11-Assumptions!$F$11)</f>
        <v/>
      </c>
      <c r="F325" s="45">
        <f>nListPrice*(1-C325)-(nInference*nGpuIdx+nAmort)*nUtilCal/D325-nNetworking-nOverheadBase*(E325/nPowerCal)-nCodBase*(1+I325/12)-O325</f>
        <v/>
      </c>
      <c r="G325" s="66">
        <f>MAX(F325,0)/nDebtService</f>
        <v/>
      </c>
      <c r="H325" s="71">
        <f>Anthropic!$J$18*Anthropic!$J$27+Anthropic!$J$19*Anthropic!$J$28+Anthropic!$J$20*Anthropic!$J$29+Anthropic!$J$21*E325*(1+nPowerCagr)^4*(1+nResidualBasisMarkup+nScarcityAlpha*POWER(Anthropic!$J$21,nScarcityGamma))</f>
        <v/>
      </c>
      <c r="I325" s="113">
        <f>Assumptions!$F$10+RAND()*(Assumptions!$D$10-Assumptions!$F$10)</f>
        <v/>
      </c>
      <c r="J325" s="113">
        <f>RAND()*nCodSlipMaxMo</f>
        <v/>
      </c>
      <c r="K325" s="114">
        <f>nAvailDrawMin+RAND()*(nAvailDrawMax-nAvailDrawMin)</f>
        <v/>
      </c>
      <c r="L325" s="45">
        <f>IF(2034&lt;sNsmrCodU1+J325/12,0,(nNsmrCap+nNsmrOpx*(1+sNsmrOpxEsc)^8+nNsmrFuel*FuelEsc*(1+nFuelCagr)^8-nNsmrItc)*IF(2034&lt;sNsmrCodU1+J325/12+nStepFirst,1,IF(nStepGated="Yes",(1+nStepPct)^(INT((2034-sNsmrCodU1-J325/12-nStepFirst)/nStepEvery)+1),1))+nExclPrem*(1-nFlexRelief)-nProdCredit)</f>
        <v/>
      </c>
      <c r="M325" s="63">
        <f>MIN(nShortfallCapM,MAX(0,sNsmrAvailY2-K325)*sNsmrUnitMw*sNsmrUnits*8760*NsmrPrice2033/1000000)</f>
        <v/>
      </c>
      <c r="N325" s="82">
        <f>IF(RAND()&lt;0.5,nUsefulLifeDrawBase-(nUsefulLifeDrawBase-nUsefulLifeDrawMin)*BETA.INV(RAND(),1.15,1.15),nUsefulLifeDrawBase+(nUsefulLifeDrawMax-nUsefulLifeDrawBase)*BETA.INV(RAND(),1.15,1.15))</f>
        <v/>
      </c>
      <c r="O325" s="45">
        <f>((nInference*nGpuIdx+nAmort)*nUtilCal/D325)*(nUsefulLifeDrawBase/N325-1)</f>
        <v/>
      </c>
      <c r="P325" s="1" t="n"/>
      <c r="Q325" s="1" t="n"/>
      <c r="R325" s="1" t="n"/>
      <c r="S325" s="1" t="n"/>
      <c r="T325" s="1" t="n"/>
      <c r="U325" s="1" t="n"/>
    </row>
    <row r="326" ht="12" customHeight="1">
      <c r="A326" s="1" t="n"/>
      <c r="B326" s="38" t="n">
        <v>306</v>
      </c>
      <c r="C326" s="114">
        <f>Assumptions!$F$8+RAND()*(Assumptions!$D$8-Assumptions!$F$8)</f>
        <v/>
      </c>
      <c r="D326" s="114">
        <f>Assumptions!$D$9+RAND()*(Assumptions!$F$9-Assumptions!$D$9)</f>
        <v/>
      </c>
      <c r="E326" s="71">
        <f>Assumptions!$F$11+RAND()*(Assumptions!$D$11-Assumptions!$F$11)</f>
        <v/>
      </c>
      <c r="F326" s="45">
        <f>nListPrice*(1-C326)-(nInference*nGpuIdx+nAmort)*nUtilCal/D326-nNetworking-nOverheadBase*(E326/nPowerCal)-nCodBase*(1+I326/12)-O326</f>
        <v/>
      </c>
      <c r="G326" s="66">
        <f>MAX(F326,0)/nDebtService</f>
        <v/>
      </c>
      <c r="H326" s="71">
        <f>Anthropic!$J$18*Anthropic!$J$27+Anthropic!$J$19*Anthropic!$J$28+Anthropic!$J$20*Anthropic!$J$29+Anthropic!$J$21*E326*(1+nPowerCagr)^4*(1+nResidualBasisMarkup+nScarcityAlpha*POWER(Anthropic!$J$21,nScarcityGamma))</f>
        <v/>
      </c>
      <c r="I326" s="113">
        <f>Assumptions!$F$10+RAND()*(Assumptions!$D$10-Assumptions!$F$10)</f>
        <v/>
      </c>
      <c r="J326" s="113">
        <f>RAND()*nCodSlipMaxMo</f>
        <v/>
      </c>
      <c r="K326" s="114">
        <f>nAvailDrawMin+RAND()*(nAvailDrawMax-nAvailDrawMin)</f>
        <v/>
      </c>
      <c r="L326" s="45">
        <f>IF(2034&lt;sNsmrCodU1+J326/12,0,(nNsmrCap+nNsmrOpx*(1+sNsmrOpxEsc)^8+nNsmrFuel*FuelEsc*(1+nFuelCagr)^8-nNsmrItc)*IF(2034&lt;sNsmrCodU1+J326/12+nStepFirst,1,IF(nStepGated="Yes",(1+nStepPct)^(INT((2034-sNsmrCodU1-J326/12-nStepFirst)/nStepEvery)+1),1))+nExclPrem*(1-nFlexRelief)-nProdCredit)</f>
        <v/>
      </c>
      <c r="M326" s="63">
        <f>MIN(nShortfallCapM,MAX(0,sNsmrAvailY2-K326)*sNsmrUnitMw*sNsmrUnits*8760*NsmrPrice2033/1000000)</f>
        <v/>
      </c>
      <c r="N326" s="82">
        <f>IF(RAND()&lt;0.5,nUsefulLifeDrawBase-(nUsefulLifeDrawBase-nUsefulLifeDrawMin)*BETA.INV(RAND(),1.15,1.15),nUsefulLifeDrawBase+(nUsefulLifeDrawMax-nUsefulLifeDrawBase)*BETA.INV(RAND(),1.15,1.15))</f>
        <v/>
      </c>
      <c r="O326" s="45">
        <f>((nInference*nGpuIdx+nAmort)*nUtilCal/D326)*(nUsefulLifeDrawBase/N326-1)</f>
        <v/>
      </c>
      <c r="P326" s="1" t="n"/>
      <c r="Q326" s="1" t="n"/>
      <c r="R326" s="1" t="n"/>
      <c r="S326" s="1" t="n"/>
      <c r="T326" s="1" t="n"/>
      <c r="U326" s="1" t="n"/>
    </row>
    <row r="327" ht="12" customHeight="1">
      <c r="A327" s="1" t="n"/>
      <c r="B327" s="38" t="n">
        <v>307</v>
      </c>
      <c r="C327" s="114">
        <f>Assumptions!$F$8+RAND()*(Assumptions!$D$8-Assumptions!$F$8)</f>
        <v/>
      </c>
      <c r="D327" s="114">
        <f>Assumptions!$D$9+RAND()*(Assumptions!$F$9-Assumptions!$D$9)</f>
        <v/>
      </c>
      <c r="E327" s="71">
        <f>Assumptions!$F$11+RAND()*(Assumptions!$D$11-Assumptions!$F$11)</f>
        <v/>
      </c>
      <c r="F327" s="45">
        <f>nListPrice*(1-C327)-(nInference*nGpuIdx+nAmort)*nUtilCal/D327-nNetworking-nOverheadBase*(E327/nPowerCal)-nCodBase*(1+I327/12)-O327</f>
        <v/>
      </c>
      <c r="G327" s="66">
        <f>MAX(F327,0)/nDebtService</f>
        <v/>
      </c>
      <c r="H327" s="71">
        <f>Anthropic!$J$18*Anthropic!$J$27+Anthropic!$J$19*Anthropic!$J$28+Anthropic!$J$20*Anthropic!$J$29+Anthropic!$J$21*E327*(1+nPowerCagr)^4*(1+nResidualBasisMarkup+nScarcityAlpha*POWER(Anthropic!$J$21,nScarcityGamma))</f>
        <v/>
      </c>
      <c r="I327" s="113">
        <f>Assumptions!$F$10+RAND()*(Assumptions!$D$10-Assumptions!$F$10)</f>
        <v/>
      </c>
      <c r="J327" s="113">
        <f>RAND()*nCodSlipMaxMo</f>
        <v/>
      </c>
      <c r="K327" s="114">
        <f>nAvailDrawMin+RAND()*(nAvailDrawMax-nAvailDrawMin)</f>
        <v/>
      </c>
      <c r="L327" s="45">
        <f>IF(2034&lt;sNsmrCodU1+J327/12,0,(nNsmrCap+nNsmrOpx*(1+sNsmrOpxEsc)^8+nNsmrFuel*FuelEsc*(1+nFuelCagr)^8-nNsmrItc)*IF(2034&lt;sNsmrCodU1+J327/12+nStepFirst,1,IF(nStepGated="Yes",(1+nStepPct)^(INT((2034-sNsmrCodU1-J327/12-nStepFirst)/nStepEvery)+1),1))+nExclPrem*(1-nFlexRelief)-nProdCredit)</f>
        <v/>
      </c>
      <c r="M327" s="63">
        <f>MIN(nShortfallCapM,MAX(0,sNsmrAvailY2-K327)*sNsmrUnitMw*sNsmrUnits*8760*NsmrPrice2033/1000000)</f>
        <v/>
      </c>
      <c r="N327" s="82">
        <f>IF(RAND()&lt;0.5,nUsefulLifeDrawBase-(nUsefulLifeDrawBase-nUsefulLifeDrawMin)*BETA.INV(RAND(),1.15,1.15),nUsefulLifeDrawBase+(nUsefulLifeDrawMax-nUsefulLifeDrawBase)*BETA.INV(RAND(),1.15,1.15))</f>
        <v/>
      </c>
      <c r="O327" s="45">
        <f>((nInference*nGpuIdx+nAmort)*nUtilCal/D327)*(nUsefulLifeDrawBase/N327-1)</f>
        <v/>
      </c>
      <c r="P327" s="1" t="n"/>
      <c r="Q327" s="1" t="n"/>
      <c r="R327" s="1" t="n"/>
      <c r="S327" s="1" t="n"/>
      <c r="T327" s="1" t="n"/>
      <c r="U327" s="1" t="n"/>
    </row>
    <row r="328" ht="12" customHeight="1">
      <c r="A328" s="1" t="n"/>
      <c r="B328" s="38" t="n">
        <v>308</v>
      </c>
      <c r="C328" s="114">
        <f>Assumptions!$F$8+RAND()*(Assumptions!$D$8-Assumptions!$F$8)</f>
        <v/>
      </c>
      <c r="D328" s="114">
        <f>Assumptions!$D$9+RAND()*(Assumptions!$F$9-Assumptions!$D$9)</f>
        <v/>
      </c>
      <c r="E328" s="71">
        <f>Assumptions!$F$11+RAND()*(Assumptions!$D$11-Assumptions!$F$11)</f>
        <v/>
      </c>
      <c r="F328" s="45">
        <f>nListPrice*(1-C328)-(nInference*nGpuIdx+nAmort)*nUtilCal/D328-nNetworking-nOverheadBase*(E328/nPowerCal)-nCodBase*(1+I328/12)-O328</f>
        <v/>
      </c>
      <c r="G328" s="66">
        <f>MAX(F328,0)/nDebtService</f>
        <v/>
      </c>
      <c r="H328" s="71">
        <f>Anthropic!$J$18*Anthropic!$J$27+Anthropic!$J$19*Anthropic!$J$28+Anthropic!$J$20*Anthropic!$J$29+Anthropic!$J$21*E328*(1+nPowerCagr)^4*(1+nResidualBasisMarkup+nScarcityAlpha*POWER(Anthropic!$J$21,nScarcityGamma))</f>
        <v/>
      </c>
      <c r="I328" s="113">
        <f>Assumptions!$F$10+RAND()*(Assumptions!$D$10-Assumptions!$F$10)</f>
        <v/>
      </c>
      <c r="J328" s="113">
        <f>RAND()*nCodSlipMaxMo</f>
        <v/>
      </c>
      <c r="K328" s="114">
        <f>nAvailDrawMin+RAND()*(nAvailDrawMax-nAvailDrawMin)</f>
        <v/>
      </c>
      <c r="L328" s="45">
        <f>IF(2034&lt;sNsmrCodU1+J328/12,0,(nNsmrCap+nNsmrOpx*(1+sNsmrOpxEsc)^8+nNsmrFuel*FuelEsc*(1+nFuelCagr)^8-nNsmrItc)*IF(2034&lt;sNsmrCodU1+J328/12+nStepFirst,1,IF(nStepGated="Yes",(1+nStepPct)^(INT((2034-sNsmrCodU1-J328/12-nStepFirst)/nStepEvery)+1),1))+nExclPrem*(1-nFlexRelief)-nProdCredit)</f>
        <v/>
      </c>
      <c r="M328" s="63">
        <f>MIN(nShortfallCapM,MAX(0,sNsmrAvailY2-K328)*sNsmrUnitMw*sNsmrUnits*8760*NsmrPrice2033/1000000)</f>
        <v/>
      </c>
      <c r="N328" s="82">
        <f>IF(RAND()&lt;0.5,nUsefulLifeDrawBase-(nUsefulLifeDrawBase-nUsefulLifeDrawMin)*BETA.INV(RAND(),1.15,1.15),nUsefulLifeDrawBase+(nUsefulLifeDrawMax-nUsefulLifeDrawBase)*BETA.INV(RAND(),1.15,1.15))</f>
        <v/>
      </c>
      <c r="O328" s="45">
        <f>((nInference*nGpuIdx+nAmort)*nUtilCal/D328)*(nUsefulLifeDrawBase/N328-1)</f>
        <v/>
      </c>
      <c r="P328" s="1" t="n"/>
      <c r="Q328" s="1" t="n"/>
      <c r="R328" s="1" t="n"/>
      <c r="S328" s="1" t="n"/>
      <c r="T328" s="1" t="n"/>
      <c r="U328" s="1" t="n"/>
    </row>
    <row r="329" ht="12" customHeight="1">
      <c r="A329" s="1" t="n"/>
      <c r="B329" s="38" t="n">
        <v>309</v>
      </c>
      <c r="C329" s="114">
        <f>Assumptions!$F$8+RAND()*(Assumptions!$D$8-Assumptions!$F$8)</f>
        <v/>
      </c>
      <c r="D329" s="114">
        <f>Assumptions!$D$9+RAND()*(Assumptions!$F$9-Assumptions!$D$9)</f>
        <v/>
      </c>
      <c r="E329" s="71">
        <f>Assumptions!$F$11+RAND()*(Assumptions!$D$11-Assumptions!$F$11)</f>
        <v/>
      </c>
      <c r="F329" s="45">
        <f>nListPrice*(1-C329)-(nInference*nGpuIdx+nAmort)*nUtilCal/D329-nNetworking-nOverheadBase*(E329/nPowerCal)-nCodBase*(1+I329/12)-O329</f>
        <v/>
      </c>
      <c r="G329" s="66">
        <f>MAX(F329,0)/nDebtService</f>
        <v/>
      </c>
      <c r="H329" s="71">
        <f>Anthropic!$J$18*Anthropic!$J$27+Anthropic!$J$19*Anthropic!$J$28+Anthropic!$J$20*Anthropic!$J$29+Anthropic!$J$21*E329*(1+nPowerCagr)^4*(1+nResidualBasisMarkup+nScarcityAlpha*POWER(Anthropic!$J$21,nScarcityGamma))</f>
        <v/>
      </c>
      <c r="I329" s="113">
        <f>Assumptions!$F$10+RAND()*(Assumptions!$D$10-Assumptions!$F$10)</f>
        <v/>
      </c>
      <c r="J329" s="113">
        <f>RAND()*nCodSlipMaxMo</f>
        <v/>
      </c>
      <c r="K329" s="114">
        <f>nAvailDrawMin+RAND()*(nAvailDrawMax-nAvailDrawMin)</f>
        <v/>
      </c>
      <c r="L329" s="45">
        <f>IF(2034&lt;sNsmrCodU1+J329/12,0,(nNsmrCap+nNsmrOpx*(1+sNsmrOpxEsc)^8+nNsmrFuel*FuelEsc*(1+nFuelCagr)^8-nNsmrItc)*IF(2034&lt;sNsmrCodU1+J329/12+nStepFirst,1,IF(nStepGated="Yes",(1+nStepPct)^(INT((2034-sNsmrCodU1-J329/12-nStepFirst)/nStepEvery)+1),1))+nExclPrem*(1-nFlexRelief)-nProdCredit)</f>
        <v/>
      </c>
      <c r="M329" s="63">
        <f>MIN(nShortfallCapM,MAX(0,sNsmrAvailY2-K329)*sNsmrUnitMw*sNsmrUnits*8760*NsmrPrice2033/1000000)</f>
        <v/>
      </c>
      <c r="N329" s="82">
        <f>IF(RAND()&lt;0.5,nUsefulLifeDrawBase-(nUsefulLifeDrawBase-nUsefulLifeDrawMin)*BETA.INV(RAND(),1.15,1.15),nUsefulLifeDrawBase+(nUsefulLifeDrawMax-nUsefulLifeDrawBase)*BETA.INV(RAND(),1.15,1.15))</f>
        <v/>
      </c>
      <c r="O329" s="45">
        <f>((nInference*nGpuIdx+nAmort)*nUtilCal/D329)*(nUsefulLifeDrawBase/N329-1)</f>
        <v/>
      </c>
      <c r="P329" s="1" t="n"/>
      <c r="Q329" s="1" t="n"/>
      <c r="R329" s="1" t="n"/>
      <c r="S329" s="1" t="n"/>
      <c r="T329" s="1" t="n"/>
      <c r="U329" s="1" t="n"/>
    </row>
    <row r="330" ht="12" customHeight="1">
      <c r="A330" s="1" t="n"/>
      <c r="B330" s="38" t="n">
        <v>310</v>
      </c>
      <c r="C330" s="114">
        <f>Assumptions!$F$8+RAND()*(Assumptions!$D$8-Assumptions!$F$8)</f>
        <v/>
      </c>
      <c r="D330" s="114">
        <f>Assumptions!$D$9+RAND()*(Assumptions!$F$9-Assumptions!$D$9)</f>
        <v/>
      </c>
      <c r="E330" s="71">
        <f>Assumptions!$F$11+RAND()*(Assumptions!$D$11-Assumptions!$F$11)</f>
        <v/>
      </c>
      <c r="F330" s="45">
        <f>nListPrice*(1-C330)-(nInference*nGpuIdx+nAmort)*nUtilCal/D330-nNetworking-nOverheadBase*(E330/nPowerCal)-nCodBase*(1+I330/12)-O330</f>
        <v/>
      </c>
      <c r="G330" s="66">
        <f>MAX(F330,0)/nDebtService</f>
        <v/>
      </c>
      <c r="H330" s="71">
        <f>Anthropic!$J$18*Anthropic!$J$27+Anthropic!$J$19*Anthropic!$J$28+Anthropic!$J$20*Anthropic!$J$29+Anthropic!$J$21*E330*(1+nPowerCagr)^4*(1+nResidualBasisMarkup+nScarcityAlpha*POWER(Anthropic!$J$21,nScarcityGamma))</f>
        <v/>
      </c>
      <c r="I330" s="113">
        <f>Assumptions!$F$10+RAND()*(Assumptions!$D$10-Assumptions!$F$10)</f>
        <v/>
      </c>
      <c r="J330" s="113">
        <f>RAND()*nCodSlipMaxMo</f>
        <v/>
      </c>
      <c r="K330" s="114">
        <f>nAvailDrawMin+RAND()*(nAvailDrawMax-nAvailDrawMin)</f>
        <v/>
      </c>
      <c r="L330" s="45">
        <f>IF(2034&lt;sNsmrCodU1+J330/12,0,(nNsmrCap+nNsmrOpx*(1+sNsmrOpxEsc)^8+nNsmrFuel*FuelEsc*(1+nFuelCagr)^8-nNsmrItc)*IF(2034&lt;sNsmrCodU1+J330/12+nStepFirst,1,IF(nStepGated="Yes",(1+nStepPct)^(INT((2034-sNsmrCodU1-J330/12-nStepFirst)/nStepEvery)+1),1))+nExclPrem*(1-nFlexRelief)-nProdCredit)</f>
        <v/>
      </c>
      <c r="M330" s="63">
        <f>MIN(nShortfallCapM,MAX(0,sNsmrAvailY2-K330)*sNsmrUnitMw*sNsmrUnits*8760*NsmrPrice2033/1000000)</f>
        <v/>
      </c>
      <c r="N330" s="82">
        <f>IF(RAND()&lt;0.5,nUsefulLifeDrawBase-(nUsefulLifeDrawBase-nUsefulLifeDrawMin)*BETA.INV(RAND(),1.15,1.15),nUsefulLifeDrawBase+(nUsefulLifeDrawMax-nUsefulLifeDrawBase)*BETA.INV(RAND(),1.15,1.15))</f>
        <v/>
      </c>
      <c r="O330" s="45">
        <f>((nInference*nGpuIdx+nAmort)*nUtilCal/D330)*(nUsefulLifeDrawBase/N330-1)</f>
        <v/>
      </c>
      <c r="P330" s="1" t="n"/>
      <c r="Q330" s="1" t="n"/>
      <c r="R330" s="1" t="n"/>
      <c r="S330" s="1" t="n"/>
      <c r="T330" s="1" t="n"/>
      <c r="U330" s="1" t="n"/>
    </row>
    <row r="331" ht="12" customHeight="1">
      <c r="A331" s="1" t="n"/>
      <c r="B331" s="38" t="n">
        <v>311</v>
      </c>
      <c r="C331" s="114">
        <f>Assumptions!$F$8+RAND()*(Assumptions!$D$8-Assumptions!$F$8)</f>
        <v/>
      </c>
      <c r="D331" s="114">
        <f>Assumptions!$D$9+RAND()*(Assumptions!$F$9-Assumptions!$D$9)</f>
        <v/>
      </c>
      <c r="E331" s="71">
        <f>Assumptions!$F$11+RAND()*(Assumptions!$D$11-Assumptions!$F$11)</f>
        <v/>
      </c>
      <c r="F331" s="45">
        <f>nListPrice*(1-C331)-(nInference*nGpuIdx+nAmort)*nUtilCal/D331-nNetworking-nOverheadBase*(E331/nPowerCal)-nCodBase*(1+I331/12)-O331</f>
        <v/>
      </c>
      <c r="G331" s="66">
        <f>MAX(F331,0)/nDebtService</f>
        <v/>
      </c>
      <c r="H331" s="71">
        <f>Anthropic!$J$18*Anthropic!$J$27+Anthropic!$J$19*Anthropic!$J$28+Anthropic!$J$20*Anthropic!$J$29+Anthropic!$J$21*E331*(1+nPowerCagr)^4*(1+nResidualBasisMarkup+nScarcityAlpha*POWER(Anthropic!$J$21,nScarcityGamma))</f>
        <v/>
      </c>
      <c r="I331" s="113">
        <f>Assumptions!$F$10+RAND()*(Assumptions!$D$10-Assumptions!$F$10)</f>
        <v/>
      </c>
      <c r="J331" s="113">
        <f>RAND()*nCodSlipMaxMo</f>
        <v/>
      </c>
      <c r="K331" s="114">
        <f>nAvailDrawMin+RAND()*(nAvailDrawMax-nAvailDrawMin)</f>
        <v/>
      </c>
      <c r="L331" s="45">
        <f>IF(2034&lt;sNsmrCodU1+J331/12,0,(nNsmrCap+nNsmrOpx*(1+sNsmrOpxEsc)^8+nNsmrFuel*FuelEsc*(1+nFuelCagr)^8-nNsmrItc)*IF(2034&lt;sNsmrCodU1+J331/12+nStepFirst,1,IF(nStepGated="Yes",(1+nStepPct)^(INT((2034-sNsmrCodU1-J331/12-nStepFirst)/nStepEvery)+1),1))+nExclPrem*(1-nFlexRelief)-nProdCredit)</f>
        <v/>
      </c>
      <c r="M331" s="63">
        <f>MIN(nShortfallCapM,MAX(0,sNsmrAvailY2-K331)*sNsmrUnitMw*sNsmrUnits*8760*NsmrPrice2033/1000000)</f>
        <v/>
      </c>
      <c r="N331" s="82">
        <f>IF(RAND()&lt;0.5,nUsefulLifeDrawBase-(nUsefulLifeDrawBase-nUsefulLifeDrawMin)*BETA.INV(RAND(),1.15,1.15),nUsefulLifeDrawBase+(nUsefulLifeDrawMax-nUsefulLifeDrawBase)*BETA.INV(RAND(),1.15,1.15))</f>
        <v/>
      </c>
      <c r="O331" s="45">
        <f>((nInference*nGpuIdx+nAmort)*nUtilCal/D331)*(nUsefulLifeDrawBase/N331-1)</f>
        <v/>
      </c>
      <c r="P331" s="1" t="n"/>
      <c r="Q331" s="1" t="n"/>
      <c r="R331" s="1" t="n"/>
      <c r="S331" s="1" t="n"/>
      <c r="T331" s="1" t="n"/>
      <c r="U331" s="1" t="n"/>
    </row>
    <row r="332" ht="12" customHeight="1">
      <c r="A332" s="1" t="n"/>
      <c r="B332" s="38" t="n">
        <v>312</v>
      </c>
      <c r="C332" s="114">
        <f>Assumptions!$F$8+RAND()*(Assumptions!$D$8-Assumptions!$F$8)</f>
        <v/>
      </c>
      <c r="D332" s="114">
        <f>Assumptions!$D$9+RAND()*(Assumptions!$F$9-Assumptions!$D$9)</f>
        <v/>
      </c>
      <c r="E332" s="71">
        <f>Assumptions!$F$11+RAND()*(Assumptions!$D$11-Assumptions!$F$11)</f>
        <v/>
      </c>
      <c r="F332" s="45">
        <f>nListPrice*(1-C332)-(nInference*nGpuIdx+nAmort)*nUtilCal/D332-nNetworking-nOverheadBase*(E332/nPowerCal)-nCodBase*(1+I332/12)-O332</f>
        <v/>
      </c>
      <c r="G332" s="66">
        <f>MAX(F332,0)/nDebtService</f>
        <v/>
      </c>
      <c r="H332" s="71">
        <f>Anthropic!$J$18*Anthropic!$J$27+Anthropic!$J$19*Anthropic!$J$28+Anthropic!$J$20*Anthropic!$J$29+Anthropic!$J$21*E332*(1+nPowerCagr)^4*(1+nResidualBasisMarkup+nScarcityAlpha*POWER(Anthropic!$J$21,nScarcityGamma))</f>
        <v/>
      </c>
      <c r="I332" s="113">
        <f>Assumptions!$F$10+RAND()*(Assumptions!$D$10-Assumptions!$F$10)</f>
        <v/>
      </c>
      <c r="J332" s="113">
        <f>RAND()*nCodSlipMaxMo</f>
        <v/>
      </c>
      <c r="K332" s="114">
        <f>nAvailDrawMin+RAND()*(nAvailDrawMax-nAvailDrawMin)</f>
        <v/>
      </c>
      <c r="L332" s="45">
        <f>IF(2034&lt;sNsmrCodU1+J332/12,0,(nNsmrCap+nNsmrOpx*(1+sNsmrOpxEsc)^8+nNsmrFuel*FuelEsc*(1+nFuelCagr)^8-nNsmrItc)*IF(2034&lt;sNsmrCodU1+J332/12+nStepFirst,1,IF(nStepGated="Yes",(1+nStepPct)^(INT((2034-sNsmrCodU1-J332/12-nStepFirst)/nStepEvery)+1),1))+nExclPrem*(1-nFlexRelief)-nProdCredit)</f>
        <v/>
      </c>
      <c r="M332" s="63">
        <f>MIN(nShortfallCapM,MAX(0,sNsmrAvailY2-K332)*sNsmrUnitMw*sNsmrUnits*8760*NsmrPrice2033/1000000)</f>
        <v/>
      </c>
      <c r="N332" s="82">
        <f>IF(RAND()&lt;0.5,nUsefulLifeDrawBase-(nUsefulLifeDrawBase-nUsefulLifeDrawMin)*BETA.INV(RAND(),1.15,1.15),nUsefulLifeDrawBase+(nUsefulLifeDrawMax-nUsefulLifeDrawBase)*BETA.INV(RAND(),1.15,1.15))</f>
        <v/>
      </c>
      <c r="O332" s="45">
        <f>((nInference*nGpuIdx+nAmort)*nUtilCal/D332)*(nUsefulLifeDrawBase/N332-1)</f>
        <v/>
      </c>
      <c r="P332" s="1" t="n"/>
      <c r="Q332" s="1" t="n"/>
      <c r="R332" s="1" t="n"/>
      <c r="S332" s="1" t="n"/>
      <c r="T332" s="1" t="n"/>
      <c r="U332" s="1" t="n"/>
    </row>
    <row r="333" ht="12" customHeight="1">
      <c r="A333" s="1" t="n"/>
      <c r="B333" s="38" t="n">
        <v>313</v>
      </c>
      <c r="C333" s="114">
        <f>Assumptions!$F$8+RAND()*(Assumptions!$D$8-Assumptions!$F$8)</f>
        <v/>
      </c>
      <c r="D333" s="114">
        <f>Assumptions!$D$9+RAND()*(Assumptions!$F$9-Assumptions!$D$9)</f>
        <v/>
      </c>
      <c r="E333" s="71">
        <f>Assumptions!$F$11+RAND()*(Assumptions!$D$11-Assumptions!$F$11)</f>
        <v/>
      </c>
      <c r="F333" s="45">
        <f>nListPrice*(1-C333)-(nInference*nGpuIdx+nAmort)*nUtilCal/D333-nNetworking-nOverheadBase*(E333/nPowerCal)-nCodBase*(1+I333/12)-O333</f>
        <v/>
      </c>
      <c r="G333" s="66">
        <f>MAX(F333,0)/nDebtService</f>
        <v/>
      </c>
      <c r="H333" s="71">
        <f>Anthropic!$J$18*Anthropic!$J$27+Anthropic!$J$19*Anthropic!$J$28+Anthropic!$J$20*Anthropic!$J$29+Anthropic!$J$21*E333*(1+nPowerCagr)^4*(1+nResidualBasisMarkup+nScarcityAlpha*POWER(Anthropic!$J$21,nScarcityGamma))</f>
        <v/>
      </c>
      <c r="I333" s="113">
        <f>Assumptions!$F$10+RAND()*(Assumptions!$D$10-Assumptions!$F$10)</f>
        <v/>
      </c>
      <c r="J333" s="113">
        <f>RAND()*nCodSlipMaxMo</f>
        <v/>
      </c>
      <c r="K333" s="114">
        <f>nAvailDrawMin+RAND()*(nAvailDrawMax-nAvailDrawMin)</f>
        <v/>
      </c>
      <c r="L333" s="45">
        <f>IF(2034&lt;sNsmrCodU1+J333/12,0,(nNsmrCap+nNsmrOpx*(1+sNsmrOpxEsc)^8+nNsmrFuel*FuelEsc*(1+nFuelCagr)^8-nNsmrItc)*IF(2034&lt;sNsmrCodU1+J333/12+nStepFirst,1,IF(nStepGated="Yes",(1+nStepPct)^(INT((2034-sNsmrCodU1-J333/12-nStepFirst)/nStepEvery)+1),1))+nExclPrem*(1-nFlexRelief)-nProdCredit)</f>
        <v/>
      </c>
      <c r="M333" s="63">
        <f>MIN(nShortfallCapM,MAX(0,sNsmrAvailY2-K333)*sNsmrUnitMw*sNsmrUnits*8760*NsmrPrice2033/1000000)</f>
        <v/>
      </c>
      <c r="N333" s="82">
        <f>IF(RAND()&lt;0.5,nUsefulLifeDrawBase-(nUsefulLifeDrawBase-nUsefulLifeDrawMin)*BETA.INV(RAND(),1.15,1.15),nUsefulLifeDrawBase+(nUsefulLifeDrawMax-nUsefulLifeDrawBase)*BETA.INV(RAND(),1.15,1.15))</f>
        <v/>
      </c>
      <c r="O333" s="45">
        <f>((nInference*nGpuIdx+nAmort)*nUtilCal/D333)*(nUsefulLifeDrawBase/N333-1)</f>
        <v/>
      </c>
      <c r="P333" s="1" t="n"/>
      <c r="Q333" s="1" t="n"/>
      <c r="R333" s="1" t="n"/>
      <c r="S333" s="1" t="n"/>
      <c r="T333" s="1" t="n"/>
      <c r="U333" s="1" t="n"/>
    </row>
    <row r="334" ht="12" customHeight="1">
      <c r="A334" s="1" t="n"/>
      <c r="B334" s="38" t="n">
        <v>314</v>
      </c>
      <c r="C334" s="114">
        <f>Assumptions!$F$8+RAND()*(Assumptions!$D$8-Assumptions!$F$8)</f>
        <v/>
      </c>
      <c r="D334" s="114">
        <f>Assumptions!$D$9+RAND()*(Assumptions!$F$9-Assumptions!$D$9)</f>
        <v/>
      </c>
      <c r="E334" s="71">
        <f>Assumptions!$F$11+RAND()*(Assumptions!$D$11-Assumptions!$F$11)</f>
        <v/>
      </c>
      <c r="F334" s="45">
        <f>nListPrice*(1-C334)-(nInference*nGpuIdx+nAmort)*nUtilCal/D334-nNetworking-nOverheadBase*(E334/nPowerCal)-nCodBase*(1+I334/12)-O334</f>
        <v/>
      </c>
      <c r="G334" s="66">
        <f>MAX(F334,0)/nDebtService</f>
        <v/>
      </c>
      <c r="H334" s="71">
        <f>Anthropic!$J$18*Anthropic!$J$27+Anthropic!$J$19*Anthropic!$J$28+Anthropic!$J$20*Anthropic!$J$29+Anthropic!$J$21*E334*(1+nPowerCagr)^4*(1+nResidualBasisMarkup+nScarcityAlpha*POWER(Anthropic!$J$21,nScarcityGamma))</f>
        <v/>
      </c>
      <c r="I334" s="113">
        <f>Assumptions!$F$10+RAND()*(Assumptions!$D$10-Assumptions!$F$10)</f>
        <v/>
      </c>
      <c r="J334" s="113">
        <f>RAND()*nCodSlipMaxMo</f>
        <v/>
      </c>
      <c r="K334" s="114">
        <f>nAvailDrawMin+RAND()*(nAvailDrawMax-nAvailDrawMin)</f>
        <v/>
      </c>
      <c r="L334" s="45">
        <f>IF(2034&lt;sNsmrCodU1+J334/12,0,(nNsmrCap+nNsmrOpx*(1+sNsmrOpxEsc)^8+nNsmrFuel*FuelEsc*(1+nFuelCagr)^8-nNsmrItc)*IF(2034&lt;sNsmrCodU1+J334/12+nStepFirst,1,IF(nStepGated="Yes",(1+nStepPct)^(INT((2034-sNsmrCodU1-J334/12-nStepFirst)/nStepEvery)+1),1))+nExclPrem*(1-nFlexRelief)-nProdCredit)</f>
        <v/>
      </c>
      <c r="M334" s="63">
        <f>MIN(nShortfallCapM,MAX(0,sNsmrAvailY2-K334)*sNsmrUnitMw*sNsmrUnits*8760*NsmrPrice2033/1000000)</f>
        <v/>
      </c>
      <c r="N334" s="82">
        <f>IF(RAND()&lt;0.5,nUsefulLifeDrawBase-(nUsefulLifeDrawBase-nUsefulLifeDrawMin)*BETA.INV(RAND(),1.15,1.15),nUsefulLifeDrawBase+(nUsefulLifeDrawMax-nUsefulLifeDrawBase)*BETA.INV(RAND(),1.15,1.15))</f>
        <v/>
      </c>
      <c r="O334" s="45">
        <f>((nInference*nGpuIdx+nAmort)*nUtilCal/D334)*(nUsefulLifeDrawBase/N334-1)</f>
        <v/>
      </c>
      <c r="P334" s="1" t="n"/>
      <c r="Q334" s="1" t="n"/>
      <c r="R334" s="1" t="n"/>
      <c r="S334" s="1" t="n"/>
      <c r="T334" s="1" t="n"/>
      <c r="U334" s="1" t="n"/>
    </row>
    <row r="335" ht="12" customHeight="1">
      <c r="A335" s="1" t="n"/>
      <c r="B335" s="38" t="n">
        <v>315</v>
      </c>
      <c r="C335" s="114">
        <f>Assumptions!$F$8+RAND()*(Assumptions!$D$8-Assumptions!$F$8)</f>
        <v/>
      </c>
      <c r="D335" s="114">
        <f>Assumptions!$D$9+RAND()*(Assumptions!$F$9-Assumptions!$D$9)</f>
        <v/>
      </c>
      <c r="E335" s="71">
        <f>Assumptions!$F$11+RAND()*(Assumptions!$D$11-Assumptions!$F$11)</f>
        <v/>
      </c>
      <c r="F335" s="45">
        <f>nListPrice*(1-C335)-(nInference*nGpuIdx+nAmort)*nUtilCal/D335-nNetworking-nOverheadBase*(E335/nPowerCal)-nCodBase*(1+I335/12)-O335</f>
        <v/>
      </c>
      <c r="G335" s="66">
        <f>MAX(F335,0)/nDebtService</f>
        <v/>
      </c>
      <c r="H335" s="71">
        <f>Anthropic!$J$18*Anthropic!$J$27+Anthropic!$J$19*Anthropic!$J$28+Anthropic!$J$20*Anthropic!$J$29+Anthropic!$J$21*E335*(1+nPowerCagr)^4*(1+nResidualBasisMarkup+nScarcityAlpha*POWER(Anthropic!$J$21,nScarcityGamma))</f>
        <v/>
      </c>
      <c r="I335" s="113">
        <f>Assumptions!$F$10+RAND()*(Assumptions!$D$10-Assumptions!$F$10)</f>
        <v/>
      </c>
      <c r="J335" s="113">
        <f>RAND()*nCodSlipMaxMo</f>
        <v/>
      </c>
      <c r="K335" s="114">
        <f>nAvailDrawMin+RAND()*(nAvailDrawMax-nAvailDrawMin)</f>
        <v/>
      </c>
      <c r="L335" s="45">
        <f>IF(2034&lt;sNsmrCodU1+J335/12,0,(nNsmrCap+nNsmrOpx*(1+sNsmrOpxEsc)^8+nNsmrFuel*FuelEsc*(1+nFuelCagr)^8-nNsmrItc)*IF(2034&lt;sNsmrCodU1+J335/12+nStepFirst,1,IF(nStepGated="Yes",(1+nStepPct)^(INT((2034-sNsmrCodU1-J335/12-nStepFirst)/nStepEvery)+1),1))+nExclPrem*(1-nFlexRelief)-nProdCredit)</f>
        <v/>
      </c>
      <c r="M335" s="63">
        <f>MIN(nShortfallCapM,MAX(0,sNsmrAvailY2-K335)*sNsmrUnitMw*sNsmrUnits*8760*NsmrPrice2033/1000000)</f>
        <v/>
      </c>
      <c r="N335" s="82">
        <f>IF(RAND()&lt;0.5,nUsefulLifeDrawBase-(nUsefulLifeDrawBase-nUsefulLifeDrawMin)*BETA.INV(RAND(),1.15,1.15),nUsefulLifeDrawBase+(nUsefulLifeDrawMax-nUsefulLifeDrawBase)*BETA.INV(RAND(),1.15,1.15))</f>
        <v/>
      </c>
      <c r="O335" s="45">
        <f>((nInference*nGpuIdx+nAmort)*nUtilCal/D335)*(nUsefulLifeDrawBase/N335-1)</f>
        <v/>
      </c>
      <c r="P335" s="1" t="n"/>
      <c r="Q335" s="1" t="n"/>
      <c r="R335" s="1" t="n"/>
      <c r="S335" s="1" t="n"/>
      <c r="T335" s="1" t="n"/>
      <c r="U335" s="1" t="n"/>
    </row>
    <row r="336" ht="12" customHeight="1">
      <c r="A336" s="1" t="n"/>
      <c r="B336" s="38" t="n">
        <v>316</v>
      </c>
      <c r="C336" s="114">
        <f>Assumptions!$F$8+RAND()*(Assumptions!$D$8-Assumptions!$F$8)</f>
        <v/>
      </c>
      <c r="D336" s="114">
        <f>Assumptions!$D$9+RAND()*(Assumptions!$F$9-Assumptions!$D$9)</f>
        <v/>
      </c>
      <c r="E336" s="71">
        <f>Assumptions!$F$11+RAND()*(Assumptions!$D$11-Assumptions!$F$11)</f>
        <v/>
      </c>
      <c r="F336" s="45">
        <f>nListPrice*(1-C336)-(nInference*nGpuIdx+nAmort)*nUtilCal/D336-nNetworking-nOverheadBase*(E336/nPowerCal)-nCodBase*(1+I336/12)-O336</f>
        <v/>
      </c>
      <c r="G336" s="66">
        <f>MAX(F336,0)/nDebtService</f>
        <v/>
      </c>
      <c r="H336" s="71">
        <f>Anthropic!$J$18*Anthropic!$J$27+Anthropic!$J$19*Anthropic!$J$28+Anthropic!$J$20*Anthropic!$J$29+Anthropic!$J$21*E336*(1+nPowerCagr)^4*(1+nResidualBasisMarkup+nScarcityAlpha*POWER(Anthropic!$J$21,nScarcityGamma))</f>
        <v/>
      </c>
      <c r="I336" s="113">
        <f>Assumptions!$F$10+RAND()*(Assumptions!$D$10-Assumptions!$F$10)</f>
        <v/>
      </c>
      <c r="J336" s="113">
        <f>RAND()*nCodSlipMaxMo</f>
        <v/>
      </c>
      <c r="K336" s="114">
        <f>nAvailDrawMin+RAND()*(nAvailDrawMax-nAvailDrawMin)</f>
        <v/>
      </c>
      <c r="L336" s="45">
        <f>IF(2034&lt;sNsmrCodU1+J336/12,0,(nNsmrCap+nNsmrOpx*(1+sNsmrOpxEsc)^8+nNsmrFuel*FuelEsc*(1+nFuelCagr)^8-nNsmrItc)*IF(2034&lt;sNsmrCodU1+J336/12+nStepFirst,1,IF(nStepGated="Yes",(1+nStepPct)^(INT((2034-sNsmrCodU1-J336/12-nStepFirst)/nStepEvery)+1),1))+nExclPrem*(1-nFlexRelief)-nProdCredit)</f>
        <v/>
      </c>
      <c r="M336" s="63">
        <f>MIN(nShortfallCapM,MAX(0,sNsmrAvailY2-K336)*sNsmrUnitMw*sNsmrUnits*8760*NsmrPrice2033/1000000)</f>
        <v/>
      </c>
      <c r="N336" s="82">
        <f>IF(RAND()&lt;0.5,nUsefulLifeDrawBase-(nUsefulLifeDrawBase-nUsefulLifeDrawMin)*BETA.INV(RAND(),1.15,1.15),nUsefulLifeDrawBase+(nUsefulLifeDrawMax-nUsefulLifeDrawBase)*BETA.INV(RAND(),1.15,1.15))</f>
        <v/>
      </c>
      <c r="O336" s="45">
        <f>((nInference*nGpuIdx+nAmort)*nUtilCal/D336)*(nUsefulLifeDrawBase/N336-1)</f>
        <v/>
      </c>
      <c r="P336" s="1" t="n"/>
      <c r="Q336" s="1" t="n"/>
      <c r="R336" s="1" t="n"/>
      <c r="S336" s="1" t="n"/>
      <c r="T336" s="1" t="n"/>
      <c r="U336" s="1" t="n"/>
    </row>
    <row r="337" ht="12" customHeight="1">
      <c r="A337" s="1" t="n"/>
      <c r="B337" s="38" t="n">
        <v>317</v>
      </c>
      <c r="C337" s="114">
        <f>Assumptions!$F$8+RAND()*(Assumptions!$D$8-Assumptions!$F$8)</f>
        <v/>
      </c>
      <c r="D337" s="114">
        <f>Assumptions!$D$9+RAND()*(Assumptions!$F$9-Assumptions!$D$9)</f>
        <v/>
      </c>
      <c r="E337" s="71">
        <f>Assumptions!$F$11+RAND()*(Assumptions!$D$11-Assumptions!$F$11)</f>
        <v/>
      </c>
      <c r="F337" s="45">
        <f>nListPrice*(1-C337)-(nInference*nGpuIdx+nAmort)*nUtilCal/D337-nNetworking-nOverheadBase*(E337/nPowerCal)-nCodBase*(1+I337/12)-O337</f>
        <v/>
      </c>
      <c r="G337" s="66">
        <f>MAX(F337,0)/nDebtService</f>
        <v/>
      </c>
      <c r="H337" s="71">
        <f>Anthropic!$J$18*Anthropic!$J$27+Anthropic!$J$19*Anthropic!$J$28+Anthropic!$J$20*Anthropic!$J$29+Anthropic!$J$21*E337*(1+nPowerCagr)^4*(1+nResidualBasisMarkup+nScarcityAlpha*POWER(Anthropic!$J$21,nScarcityGamma))</f>
        <v/>
      </c>
      <c r="I337" s="113">
        <f>Assumptions!$F$10+RAND()*(Assumptions!$D$10-Assumptions!$F$10)</f>
        <v/>
      </c>
      <c r="J337" s="113">
        <f>RAND()*nCodSlipMaxMo</f>
        <v/>
      </c>
      <c r="K337" s="114">
        <f>nAvailDrawMin+RAND()*(nAvailDrawMax-nAvailDrawMin)</f>
        <v/>
      </c>
      <c r="L337" s="45">
        <f>IF(2034&lt;sNsmrCodU1+J337/12,0,(nNsmrCap+nNsmrOpx*(1+sNsmrOpxEsc)^8+nNsmrFuel*FuelEsc*(1+nFuelCagr)^8-nNsmrItc)*IF(2034&lt;sNsmrCodU1+J337/12+nStepFirst,1,IF(nStepGated="Yes",(1+nStepPct)^(INT((2034-sNsmrCodU1-J337/12-nStepFirst)/nStepEvery)+1),1))+nExclPrem*(1-nFlexRelief)-nProdCredit)</f>
        <v/>
      </c>
      <c r="M337" s="63">
        <f>MIN(nShortfallCapM,MAX(0,sNsmrAvailY2-K337)*sNsmrUnitMw*sNsmrUnits*8760*NsmrPrice2033/1000000)</f>
        <v/>
      </c>
      <c r="N337" s="82">
        <f>IF(RAND()&lt;0.5,nUsefulLifeDrawBase-(nUsefulLifeDrawBase-nUsefulLifeDrawMin)*BETA.INV(RAND(),1.15,1.15),nUsefulLifeDrawBase+(nUsefulLifeDrawMax-nUsefulLifeDrawBase)*BETA.INV(RAND(),1.15,1.15))</f>
        <v/>
      </c>
      <c r="O337" s="45">
        <f>((nInference*nGpuIdx+nAmort)*nUtilCal/D337)*(nUsefulLifeDrawBase/N337-1)</f>
        <v/>
      </c>
      <c r="P337" s="1" t="n"/>
      <c r="Q337" s="1" t="n"/>
      <c r="R337" s="1" t="n"/>
      <c r="S337" s="1" t="n"/>
      <c r="T337" s="1" t="n"/>
      <c r="U337" s="1" t="n"/>
    </row>
    <row r="338" ht="12" customHeight="1">
      <c r="A338" s="1" t="n"/>
      <c r="B338" s="38" t="n">
        <v>318</v>
      </c>
      <c r="C338" s="114">
        <f>Assumptions!$F$8+RAND()*(Assumptions!$D$8-Assumptions!$F$8)</f>
        <v/>
      </c>
      <c r="D338" s="114">
        <f>Assumptions!$D$9+RAND()*(Assumptions!$F$9-Assumptions!$D$9)</f>
        <v/>
      </c>
      <c r="E338" s="71">
        <f>Assumptions!$F$11+RAND()*(Assumptions!$D$11-Assumptions!$F$11)</f>
        <v/>
      </c>
      <c r="F338" s="45">
        <f>nListPrice*(1-C338)-(nInference*nGpuIdx+nAmort)*nUtilCal/D338-nNetworking-nOverheadBase*(E338/nPowerCal)-nCodBase*(1+I338/12)-O338</f>
        <v/>
      </c>
      <c r="G338" s="66">
        <f>MAX(F338,0)/nDebtService</f>
        <v/>
      </c>
      <c r="H338" s="71">
        <f>Anthropic!$J$18*Anthropic!$J$27+Anthropic!$J$19*Anthropic!$J$28+Anthropic!$J$20*Anthropic!$J$29+Anthropic!$J$21*E338*(1+nPowerCagr)^4*(1+nResidualBasisMarkup+nScarcityAlpha*POWER(Anthropic!$J$21,nScarcityGamma))</f>
        <v/>
      </c>
      <c r="I338" s="113">
        <f>Assumptions!$F$10+RAND()*(Assumptions!$D$10-Assumptions!$F$10)</f>
        <v/>
      </c>
      <c r="J338" s="113">
        <f>RAND()*nCodSlipMaxMo</f>
        <v/>
      </c>
      <c r="K338" s="114">
        <f>nAvailDrawMin+RAND()*(nAvailDrawMax-nAvailDrawMin)</f>
        <v/>
      </c>
      <c r="L338" s="45">
        <f>IF(2034&lt;sNsmrCodU1+J338/12,0,(nNsmrCap+nNsmrOpx*(1+sNsmrOpxEsc)^8+nNsmrFuel*FuelEsc*(1+nFuelCagr)^8-nNsmrItc)*IF(2034&lt;sNsmrCodU1+J338/12+nStepFirst,1,IF(nStepGated="Yes",(1+nStepPct)^(INT((2034-sNsmrCodU1-J338/12-nStepFirst)/nStepEvery)+1),1))+nExclPrem*(1-nFlexRelief)-nProdCredit)</f>
        <v/>
      </c>
      <c r="M338" s="63">
        <f>MIN(nShortfallCapM,MAX(0,sNsmrAvailY2-K338)*sNsmrUnitMw*sNsmrUnits*8760*NsmrPrice2033/1000000)</f>
        <v/>
      </c>
      <c r="N338" s="82">
        <f>IF(RAND()&lt;0.5,nUsefulLifeDrawBase-(nUsefulLifeDrawBase-nUsefulLifeDrawMin)*BETA.INV(RAND(),1.15,1.15),nUsefulLifeDrawBase+(nUsefulLifeDrawMax-nUsefulLifeDrawBase)*BETA.INV(RAND(),1.15,1.15))</f>
        <v/>
      </c>
      <c r="O338" s="45">
        <f>((nInference*nGpuIdx+nAmort)*nUtilCal/D338)*(nUsefulLifeDrawBase/N338-1)</f>
        <v/>
      </c>
      <c r="P338" s="1" t="n"/>
      <c r="Q338" s="1" t="n"/>
      <c r="R338" s="1" t="n"/>
      <c r="S338" s="1" t="n"/>
      <c r="T338" s="1" t="n"/>
      <c r="U338" s="1" t="n"/>
    </row>
    <row r="339" ht="12" customHeight="1">
      <c r="A339" s="1" t="n"/>
      <c r="B339" s="38" t="n">
        <v>319</v>
      </c>
      <c r="C339" s="114">
        <f>Assumptions!$F$8+RAND()*(Assumptions!$D$8-Assumptions!$F$8)</f>
        <v/>
      </c>
      <c r="D339" s="114">
        <f>Assumptions!$D$9+RAND()*(Assumptions!$F$9-Assumptions!$D$9)</f>
        <v/>
      </c>
      <c r="E339" s="71">
        <f>Assumptions!$F$11+RAND()*(Assumptions!$D$11-Assumptions!$F$11)</f>
        <v/>
      </c>
      <c r="F339" s="45">
        <f>nListPrice*(1-C339)-(nInference*nGpuIdx+nAmort)*nUtilCal/D339-nNetworking-nOverheadBase*(E339/nPowerCal)-nCodBase*(1+I339/12)-O339</f>
        <v/>
      </c>
      <c r="G339" s="66">
        <f>MAX(F339,0)/nDebtService</f>
        <v/>
      </c>
      <c r="H339" s="71">
        <f>Anthropic!$J$18*Anthropic!$J$27+Anthropic!$J$19*Anthropic!$J$28+Anthropic!$J$20*Anthropic!$J$29+Anthropic!$J$21*E339*(1+nPowerCagr)^4*(1+nResidualBasisMarkup+nScarcityAlpha*POWER(Anthropic!$J$21,nScarcityGamma))</f>
        <v/>
      </c>
      <c r="I339" s="113">
        <f>Assumptions!$F$10+RAND()*(Assumptions!$D$10-Assumptions!$F$10)</f>
        <v/>
      </c>
      <c r="J339" s="113">
        <f>RAND()*nCodSlipMaxMo</f>
        <v/>
      </c>
      <c r="K339" s="114">
        <f>nAvailDrawMin+RAND()*(nAvailDrawMax-nAvailDrawMin)</f>
        <v/>
      </c>
      <c r="L339" s="45">
        <f>IF(2034&lt;sNsmrCodU1+J339/12,0,(nNsmrCap+nNsmrOpx*(1+sNsmrOpxEsc)^8+nNsmrFuel*FuelEsc*(1+nFuelCagr)^8-nNsmrItc)*IF(2034&lt;sNsmrCodU1+J339/12+nStepFirst,1,IF(nStepGated="Yes",(1+nStepPct)^(INT((2034-sNsmrCodU1-J339/12-nStepFirst)/nStepEvery)+1),1))+nExclPrem*(1-nFlexRelief)-nProdCredit)</f>
        <v/>
      </c>
      <c r="M339" s="63">
        <f>MIN(nShortfallCapM,MAX(0,sNsmrAvailY2-K339)*sNsmrUnitMw*sNsmrUnits*8760*NsmrPrice2033/1000000)</f>
        <v/>
      </c>
      <c r="N339" s="82">
        <f>IF(RAND()&lt;0.5,nUsefulLifeDrawBase-(nUsefulLifeDrawBase-nUsefulLifeDrawMin)*BETA.INV(RAND(),1.15,1.15),nUsefulLifeDrawBase+(nUsefulLifeDrawMax-nUsefulLifeDrawBase)*BETA.INV(RAND(),1.15,1.15))</f>
        <v/>
      </c>
      <c r="O339" s="45">
        <f>((nInference*nGpuIdx+nAmort)*nUtilCal/D339)*(nUsefulLifeDrawBase/N339-1)</f>
        <v/>
      </c>
      <c r="P339" s="1" t="n"/>
      <c r="Q339" s="1" t="n"/>
      <c r="R339" s="1" t="n"/>
      <c r="S339" s="1" t="n"/>
      <c r="T339" s="1" t="n"/>
      <c r="U339" s="1" t="n"/>
    </row>
    <row r="340" ht="12" customHeight="1">
      <c r="A340" s="1" t="n"/>
      <c r="B340" s="38" t="n">
        <v>320</v>
      </c>
      <c r="C340" s="114">
        <f>Assumptions!$F$8+RAND()*(Assumptions!$D$8-Assumptions!$F$8)</f>
        <v/>
      </c>
      <c r="D340" s="114">
        <f>Assumptions!$D$9+RAND()*(Assumptions!$F$9-Assumptions!$D$9)</f>
        <v/>
      </c>
      <c r="E340" s="71">
        <f>Assumptions!$F$11+RAND()*(Assumptions!$D$11-Assumptions!$F$11)</f>
        <v/>
      </c>
      <c r="F340" s="45">
        <f>nListPrice*(1-C340)-(nInference*nGpuIdx+nAmort)*nUtilCal/D340-nNetworking-nOverheadBase*(E340/nPowerCal)-nCodBase*(1+I340/12)-O340</f>
        <v/>
      </c>
      <c r="G340" s="66">
        <f>MAX(F340,0)/nDebtService</f>
        <v/>
      </c>
      <c r="H340" s="71">
        <f>Anthropic!$J$18*Anthropic!$J$27+Anthropic!$J$19*Anthropic!$J$28+Anthropic!$J$20*Anthropic!$J$29+Anthropic!$J$21*E340*(1+nPowerCagr)^4*(1+nResidualBasisMarkup+nScarcityAlpha*POWER(Anthropic!$J$21,nScarcityGamma))</f>
        <v/>
      </c>
      <c r="I340" s="113">
        <f>Assumptions!$F$10+RAND()*(Assumptions!$D$10-Assumptions!$F$10)</f>
        <v/>
      </c>
      <c r="J340" s="113">
        <f>RAND()*nCodSlipMaxMo</f>
        <v/>
      </c>
      <c r="K340" s="114">
        <f>nAvailDrawMin+RAND()*(nAvailDrawMax-nAvailDrawMin)</f>
        <v/>
      </c>
      <c r="L340" s="45">
        <f>IF(2034&lt;sNsmrCodU1+J340/12,0,(nNsmrCap+nNsmrOpx*(1+sNsmrOpxEsc)^8+nNsmrFuel*FuelEsc*(1+nFuelCagr)^8-nNsmrItc)*IF(2034&lt;sNsmrCodU1+J340/12+nStepFirst,1,IF(nStepGated="Yes",(1+nStepPct)^(INT((2034-sNsmrCodU1-J340/12-nStepFirst)/nStepEvery)+1),1))+nExclPrem*(1-nFlexRelief)-nProdCredit)</f>
        <v/>
      </c>
      <c r="M340" s="63">
        <f>MIN(nShortfallCapM,MAX(0,sNsmrAvailY2-K340)*sNsmrUnitMw*sNsmrUnits*8760*NsmrPrice2033/1000000)</f>
        <v/>
      </c>
      <c r="N340" s="82">
        <f>IF(RAND()&lt;0.5,nUsefulLifeDrawBase-(nUsefulLifeDrawBase-nUsefulLifeDrawMin)*BETA.INV(RAND(),1.15,1.15),nUsefulLifeDrawBase+(nUsefulLifeDrawMax-nUsefulLifeDrawBase)*BETA.INV(RAND(),1.15,1.15))</f>
        <v/>
      </c>
      <c r="O340" s="45">
        <f>((nInference*nGpuIdx+nAmort)*nUtilCal/D340)*(nUsefulLifeDrawBase/N340-1)</f>
        <v/>
      </c>
      <c r="P340" s="1" t="n"/>
      <c r="Q340" s="1" t="n"/>
      <c r="R340" s="1" t="n"/>
      <c r="S340" s="1" t="n"/>
      <c r="T340" s="1" t="n"/>
      <c r="U340" s="1" t="n"/>
    </row>
    <row r="341" ht="12" customHeight="1">
      <c r="A341" s="1" t="n"/>
      <c r="B341" s="38" t="n">
        <v>321</v>
      </c>
      <c r="C341" s="114">
        <f>Assumptions!$F$8+RAND()*(Assumptions!$D$8-Assumptions!$F$8)</f>
        <v/>
      </c>
      <c r="D341" s="114">
        <f>Assumptions!$D$9+RAND()*(Assumptions!$F$9-Assumptions!$D$9)</f>
        <v/>
      </c>
      <c r="E341" s="71">
        <f>Assumptions!$F$11+RAND()*(Assumptions!$D$11-Assumptions!$F$11)</f>
        <v/>
      </c>
      <c r="F341" s="45">
        <f>nListPrice*(1-C341)-(nInference*nGpuIdx+nAmort)*nUtilCal/D341-nNetworking-nOverheadBase*(E341/nPowerCal)-nCodBase*(1+I341/12)-O341</f>
        <v/>
      </c>
      <c r="G341" s="66">
        <f>MAX(F341,0)/nDebtService</f>
        <v/>
      </c>
      <c r="H341" s="71">
        <f>Anthropic!$J$18*Anthropic!$J$27+Anthropic!$J$19*Anthropic!$J$28+Anthropic!$J$20*Anthropic!$J$29+Anthropic!$J$21*E341*(1+nPowerCagr)^4*(1+nResidualBasisMarkup+nScarcityAlpha*POWER(Anthropic!$J$21,nScarcityGamma))</f>
        <v/>
      </c>
      <c r="I341" s="113">
        <f>Assumptions!$F$10+RAND()*(Assumptions!$D$10-Assumptions!$F$10)</f>
        <v/>
      </c>
      <c r="J341" s="113">
        <f>RAND()*nCodSlipMaxMo</f>
        <v/>
      </c>
      <c r="K341" s="114">
        <f>nAvailDrawMin+RAND()*(nAvailDrawMax-nAvailDrawMin)</f>
        <v/>
      </c>
      <c r="L341" s="45">
        <f>IF(2034&lt;sNsmrCodU1+J341/12,0,(nNsmrCap+nNsmrOpx*(1+sNsmrOpxEsc)^8+nNsmrFuel*FuelEsc*(1+nFuelCagr)^8-nNsmrItc)*IF(2034&lt;sNsmrCodU1+J341/12+nStepFirst,1,IF(nStepGated="Yes",(1+nStepPct)^(INT((2034-sNsmrCodU1-J341/12-nStepFirst)/nStepEvery)+1),1))+nExclPrem*(1-nFlexRelief)-nProdCredit)</f>
        <v/>
      </c>
      <c r="M341" s="63">
        <f>MIN(nShortfallCapM,MAX(0,sNsmrAvailY2-K341)*sNsmrUnitMw*sNsmrUnits*8760*NsmrPrice2033/1000000)</f>
        <v/>
      </c>
      <c r="N341" s="82">
        <f>IF(RAND()&lt;0.5,nUsefulLifeDrawBase-(nUsefulLifeDrawBase-nUsefulLifeDrawMin)*BETA.INV(RAND(),1.15,1.15),nUsefulLifeDrawBase+(nUsefulLifeDrawMax-nUsefulLifeDrawBase)*BETA.INV(RAND(),1.15,1.15))</f>
        <v/>
      </c>
      <c r="O341" s="45">
        <f>((nInference*nGpuIdx+nAmort)*nUtilCal/D341)*(nUsefulLifeDrawBase/N341-1)</f>
        <v/>
      </c>
      <c r="P341" s="1" t="n"/>
      <c r="Q341" s="1" t="n"/>
      <c r="R341" s="1" t="n"/>
      <c r="S341" s="1" t="n"/>
      <c r="T341" s="1" t="n"/>
      <c r="U341" s="1" t="n"/>
    </row>
    <row r="342" ht="12" customHeight="1">
      <c r="A342" s="1" t="n"/>
      <c r="B342" s="38" t="n">
        <v>322</v>
      </c>
      <c r="C342" s="114">
        <f>Assumptions!$F$8+RAND()*(Assumptions!$D$8-Assumptions!$F$8)</f>
        <v/>
      </c>
      <c r="D342" s="114">
        <f>Assumptions!$D$9+RAND()*(Assumptions!$F$9-Assumptions!$D$9)</f>
        <v/>
      </c>
      <c r="E342" s="71">
        <f>Assumptions!$F$11+RAND()*(Assumptions!$D$11-Assumptions!$F$11)</f>
        <v/>
      </c>
      <c r="F342" s="45">
        <f>nListPrice*(1-C342)-(nInference*nGpuIdx+nAmort)*nUtilCal/D342-nNetworking-nOverheadBase*(E342/nPowerCal)-nCodBase*(1+I342/12)-O342</f>
        <v/>
      </c>
      <c r="G342" s="66">
        <f>MAX(F342,0)/nDebtService</f>
        <v/>
      </c>
      <c r="H342" s="71">
        <f>Anthropic!$J$18*Anthropic!$J$27+Anthropic!$J$19*Anthropic!$J$28+Anthropic!$J$20*Anthropic!$J$29+Anthropic!$J$21*E342*(1+nPowerCagr)^4*(1+nResidualBasisMarkup+nScarcityAlpha*POWER(Anthropic!$J$21,nScarcityGamma))</f>
        <v/>
      </c>
      <c r="I342" s="113">
        <f>Assumptions!$F$10+RAND()*(Assumptions!$D$10-Assumptions!$F$10)</f>
        <v/>
      </c>
      <c r="J342" s="113">
        <f>RAND()*nCodSlipMaxMo</f>
        <v/>
      </c>
      <c r="K342" s="114">
        <f>nAvailDrawMin+RAND()*(nAvailDrawMax-nAvailDrawMin)</f>
        <v/>
      </c>
      <c r="L342" s="45">
        <f>IF(2034&lt;sNsmrCodU1+J342/12,0,(nNsmrCap+nNsmrOpx*(1+sNsmrOpxEsc)^8+nNsmrFuel*FuelEsc*(1+nFuelCagr)^8-nNsmrItc)*IF(2034&lt;sNsmrCodU1+J342/12+nStepFirst,1,IF(nStepGated="Yes",(1+nStepPct)^(INT((2034-sNsmrCodU1-J342/12-nStepFirst)/nStepEvery)+1),1))+nExclPrem*(1-nFlexRelief)-nProdCredit)</f>
        <v/>
      </c>
      <c r="M342" s="63">
        <f>MIN(nShortfallCapM,MAX(0,sNsmrAvailY2-K342)*sNsmrUnitMw*sNsmrUnits*8760*NsmrPrice2033/1000000)</f>
        <v/>
      </c>
      <c r="N342" s="82">
        <f>IF(RAND()&lt;0.5,nUsefulLifeDrawBase-(nUsefulLifeDrawBase-nUsefulLifeDrawMin)*BETA.INV(RAND(),1.15,1.15),nUsefulLifeDrawBase+(nUsefulLifeDrawMax-nUsefulLifeDrawBase)*BETA.INV(RAND(),1.15,1.15))</f>
        <v/>
      </c>
      <c r="O342" s="45">
        <f>((nInference*nGpuIdx+nAmort)*nUtilCal/D342)*(nUsefulLifeDrawBase/N342-1)</f>
        <v/>
      </c>
      <c r="P342" s="1" t="n"/>
      <c r="Q342" s="1" t="n"/>
      <c r="R342" s="1" t="n"/>
      <c r="S342" s="1" t="n"/>
      <c r="T342" s="1" t="n"/>
      <c r="U342" s="1" t="n"/>
    </row>
    <row r="343" ht="12" customHeight="1">
      <c r="A343" s="1" t="n"/>
      <c r="B343" s="38" t="n">
        <v>323</v>
      </c>
      <c r="C343" s="114">
        <f>Assumptions!$F$8+RAND()*(Assumptions!$D$8-Assumptions!$F$8)</f>
        <v/>
      </c>
      <c r="D343" s="114">
        <f>Assumptions!$D$9+RAND()*(Assumptions!$F$9-Assumptions!$D$9)</f>
        <v/>
      </c>
      <c r="E343" s="71">
        <f>Assumptions!$F$11+RAND()*(Assumptions!$D$11-Assumptions!$F$11)</f>
        <v/>
      </c>
      <c r="F343" s="45">
        <f>nListPrice*(1-C343)-(nInference*nGpuIdx+nAmort)*nUtilCal/D343-nNetworking-nOverheadBase*(E343/nPowerCal)-nCodBase*(1+I343/12)-O343</f>
        <v/>
      </c>
      <c r="G343" s="66">
        <f>MAX(F343,0)/nDebtService</f>
        <v/>
      </c>
      <c r="H343" s="71">
        <f>Anthropic!$J$18*Anthropic!$J$27+Anthropic!$J$19*Anthropic!$J$28+Anthropic!$J$20*Anthropic!$J$29+Anthropic!$J$21*E343*(1+nPowerCagr)^4*(1+nResidualBasisMarkup+nScarcityAlpha*POWER(Anthropic!$J$21,nScarcityGamma))</f>
        <v/>
      </c>
      <c r="I343" s="113">
        <f>Assumptions!$F$10+RAND()*(Assumptions!$D$10-Assumptions!$F$10)</f>
        <v/>
      </c>
      <c r="J343" s="113">
        <f>RAND()*nCodSlipMaxMo</f>
        <v/>
      </c>
      <c r="K343" s="114">
        <f>nAvailDrawMin+RAND()*(nAvailDrawMax-nAvailDrawMin)</f>
        <v/>
      </c>
      <c r="L343" s="45">
        <f>IF(2034&lt;sNsmrCodU1+J343/12,0,(nNsmrCap+nNsmrOpx*(1+sNsmrOpxEsc)^8+nNsmrFuel*FuelEsc*(1+nFuelCagr)^8-nNsmrItc)*IF(2034&lt;sNsmrCodU1+J343/12+nStepFirst,1,IF(nStepGated="Yes",(1+nStepPct)^(INT((2034-sNsmrCodU1-J343/12-nStepFirst)/nStepEvery)+1),1))+nExclPrem*(1-nFlexRelief)-nProdCredit)</f>
        <v/>
      </c>
      <c r="M343" s="63">
        <f>MIN(nShortfallCapM,MAX(0,sNsmrAvailY2-K343)*sNsmrUnitMw*sNsmrUnits*8760*NsmrPrice2033/1000000)</f>
        <v/>
      </c>
      <c r="N343" s="82">
        <f>IF(RAND()&lt;0.5,nUsefulLifeDrawBase-(nUsefulLifeDrawBase-nUsefulLifeDrawMin)*BETA.INV(RAND(),1.15,1.15),nUsefulLifeDrawBase+(nUsefulLifeDrawMax-nUsefulLifeDrawBase)*BETA.INV(RAND(),1.15,1.15))</f>
        <v/>
      </c>
      <c r="O343" s="45">
        <f>((nInference*nGpuIdx+nAmort)*nUtilCal/D343)*(nUsefulLifeDrawBase/N343-1)</f>
        <v/>
      </c>
      <c r="P343" s="1" t="n"/>
      <c r="Q343" s="1" t="n"/>
      <c r="R343" s="1" t="n"/>
      <c r="S343" s="1" t="n"/>
      <c r="T343" s="1" t="n"/>
      <c r="U343" s="1" t="n"/>
    </row>
    <row r="344" ht="12" customHeight="1">
      <c r="A344" s="1" t="n"/>
      <c r="B344" s="38" t="n">
        <v>324</v>
      </c>
      <c r="C344" s="114">
        <f>Assumptions!$F$8+RAND()*(Assumptions!$D$8-Assumptions!$F$8)</f>
        <v/>
      </c>
      <c r="D344" s="114">
        <f>Assumptions!$D$9+RAND()*(Assumptions!$F$9-Assumptions!$D$9)</f>
        <v/>
      </c>
      <c r="E344" s="71">
        <f>Assumptions!$F$11+RAND()*(Assumptions!$D$11-Assumptions!$F$11)</f>
        <v/>
      </c>
      <c r="F344" s="45">
        <f>nListPrice*(1-C344)-(nInference*nGpuIdx+nAmort)*nUtilCal/D344-nNetworking-nOverheadBase*(E344/nPowerCal)-nCodBase*(1+I344/12)-O344</f>
        <v/>
      </c>
      <c r="G344" s="66">
        <f>MAX(F344,0)/nDebtService</f>
        <v/>
      </c>
      <c r="H344" s="71">
        <f>Anthropic!$J$18*Anthropic!$J$27+Anthropic!$J$19*Anthropic!$J$28+Anthropic!$J$20*Anthropic!$J$29+Anthropic!$J$21*E344*(1+nPowerCagr)^4*(1+nResidualBasisMarkup+nScarcityAlpha*POWER(Anthropic!$J$21,nScarcityGamma))</f>
        <v/>
      </c>
      <c r="I344" s="113">
        <f>Assumptions!$F$10+RAND()*(Assumptions!$D$10-Assumptions!$F$10)</f>
        <v/>
      </c>
      <c r="J344" s="113">
        <f>RAND()*nCodSlipMaxMo</f>
        <v/>
      </c>
      <c r="K344" s="114">
        <f>nAvailDrawMin+RAND()*(nAvailDrawMax-nAvailDrawMin)</f>
        <v/>
      </c>
      <c r="L344" s="45">
        <f>IF(2034&lt;sNsmrCodU1+J344/12,0,(nNsmrCap+nNsmrOpx*(1+sNsmrOpxEsc)^8+nNsmrFuel*FuelEsc*(1+nFuelCagr)^8-nNsmrItc)*IF(2034&lt;sNsmrCodU1+J344/12+nStepFirst,1,IF(nStepGated="Yes",(1+nStepPct)^(INT((2034-sNsmrCodU1-J344/12-nStepFirst)/nStepEvery)+1),1))+nExclPrem*(1-nFlexRelief)-nProdCredit)</f>
        <v/>
      </c>
      <c r="M344" s="63">
        <f>MIN(nShortfallCapM,MAX(0,sNsmrAvailY2-K344)*sNsmrUnitMw*sNsmrUnits*8760*NsmrPrice2033/1000000)</f>
        <v/>
      </c>
      <c r="N344" s="82">
        <f>IF(RAND()&lt;0.5,nUsefulLifeDrawBase-(nUsefulLifeDrawBase-nUsefulLifeDrawMin)*BETA.INV(RAND(),1.15,1.15),nUsefulLifeDrawBase+(nUsefulLifeDrawMax-nUsefulLifeDrawBase)*BETA.INV(RAND(),1.15,1.15))</f>
        <v/>
      </c>
      <c r="O344" s="45">
        <f>((nInference*nGpuIdx+nAmort)*nUtilCal/D344)*(nUsefulLifeDrawBase/N344-1)</f>
        <v/>
      </c>
      <c r="P344" s="1" t="n"/>
      <c r="Q344" s="1" t="n"/>
      <c r="R344" s="1" t="n"/>
      <c r="S344" s="1" t="n"/>
      <c r="T344" s="1" t="n"/>
      <c r="U344" s="1" t="n"/>
    </row>
    <row r="345" ht="12" customHeight="1">
      <c r="A345" s="1" t="n"/>
      <c r="B345" s="38" t="n">
        <v>325</v>
      </c>
      <c r="C345" s="114">
        <f>Assumptions!$F$8+RAND()*(Assumptions!$D$8-Assumptions!$F$8)</f>
        <v/>
      </c>
      <c r="D345" s="114">
        <f>Assumptions!$D$9+RAND()*(Assumptions!$F$9-Assumptions!$D$9)</f>
        <v/>
      </c>
      <c r="E345" s="71">
        <f>Assumptions!$F$11+RAND()*(Assumptions!$D$11-Assumptions!$F$11)</f>
        <v/>
      </c>
      <c r="F345" s="45">
        <f>nListPrice*(1-C345)-(nInference*nGpuIdx+nAmort)*nUtilCal/D345-nNetworking-nOverheadBase*(E345/nPowerCal)-nCodBase*(1+I345/12)-O345</f>
        <v/>
      </c>
      <c r="G345" s="66">
        <f>MAX(F345,0)/nDebtService</f>
        <v/>
      </c>
      <c r="H345" s="71">
        <f>Anthropic!$J$18*Anthropic!$J$27+Anthropic!$J$19*Anthropic!$J$28+Anthropic!$J$20*Anthropic!$J$29+Anthropic!$J$21*E345*(1+nPowerCagr)^4*(1+nResidualBasisMarkup+nScarcityAlpha*POWER(Anthropic!$J$21,nScarcityGamma))</f>
        <v/>
      </c>
      <c r="I345" s="113">
        <f>Assumptions!$F$10+RAND()*(Assumptions!$D$10-Assumptions!$F$10)</f>
        <v/>
      </c>
      <c r="J345" s="113">
        <f>RAND()*nCodSlipMaxMo</f>
        <v/>
      </c>
      <c r="K345" s="114">
        <f>nAvailDrawMin+RAND()*(nAvailDrawMax-nAvailDrawMin)</f>
        <v/>
      </c>
      <c r="L345" s="45">
        <f>IF(2034&lt;sNsmrCodU1+J345/12,0,(nNsmrCap+nNsmrOpx*(1+sNsmrOpxEsc)^8+nNsmrFuel*FuelEsc*(1+nFuelCagr)^8-nNsmrItc)*IF(2034&lt;sNsmrCodU1+J345/12+nStepFirst,1,IF(nStepGated="Yes",(1+nStepPct)^(INT((2034-sNsmrCodU1-J345/12-nStepFirst)/nStepEvery)+1),1))+nExclPrem*(1-nFlexRelief)-nProdCredit)</f>
        <v/>
      </c>
      <c r="M345" s="63">
        <f>MIN(nShortfallCapM,MAX(0,sNsmrAvailY2-K345)*sNsmrUnitMw*sNsmrUnits*8760*NsmrPrice2033/1000000)</f>
        <v/>
      </c>
      <c r="N345" s="82">
        <f>IF(RAND()&lt;0.5,nUsefulLifeDrawBase-(nUsefulLifeDrawBase-nUsefulLifeDrawMin)*BETA.INV(RAND(),1.15,1.15),nUsefulLifeDrawBase+(nUsefulLifeDrawMax-nUsefulLifeDrawBase)*BETA.INV(RAND(),1.15,1.15))</f>
        <v/>
      </c>
      <c r="O345" s="45">
        <f>((nInference*nGpuIdx+nAmort)*nUtilCal/D345)*(nUsefulLifeDrawBase/N345-1)</f>
        <v/>
      </c>
      <c r="P345" s="1" t="n"/>
      <c r="Q345" s="1" t="n"/>
      <c r="R345" s="1" t="n"/>
      <c r="S345" s="1" t="n"/>
      <c r="T345" s="1" t="n"/>
      <c r="U345" s="1" t="n"/>
    </row>
    <row r="346" ht="12" customHeight="1">
      <c r="A346" s="1" t="n"/>
      <c r="B346" s="38" t="n">
        <v>326</v>
      </c>
      <c r="C346" s="114">
        <f>Assumptions!$F$8+RAND()*(Assumptions!$D$8-Assumptions!$F$8)</f>
        <v/>
      </c>
      <c r="D346" s="114">
        <f>Assumptions!$D$9+RAND()*(Assumptions!$F$9-Assumptions!$D$9)</f>
        <v/>
      </c>
      <c r="E346" s="71">
        <f>Assumptions!$F$11+RAND()*(Assumptions!$D$11-Assumptions!$F$11)</f>
        <v/>
      </c>
      <c r="F346" s="45">
        <f>nListPrice*(1-C346)-(nInference*nGpuIdx+nAmort)*nUtilCal/D346-nNetworking-nOverheadBase*(E346/nPowerCal)-nCodBase*(1+I346/12)-O346</f>
        <v/>
      </c>
      <c r="G346" s="66">
        <f>MAX(F346,0)/nDebtService</f>
        <v/>
      </c>
      <c r="H346" s="71">
        <f>Anthropic!$J$18*Anthropic!$J$27+Anthropic!$J$19*Anthropic!$J$28+Anthropic!$J$20*Anthropic!$J$29+Anthropic!$J$21*E346*(1+nPowerCagr)^4*(1+nResidualBasisMarkup+nScarcityAlpha*POWER(Anthropic!$J$21,nScarcityGamma))</f>
        <v/>
      </c>
      <c r="I346" s="113">
        <f>Assumptions!$F$10+RAND()*(Assumptions!$D$10-Assumptions!$F$10)</f>
        <v/>
      </c>
      <c r="J346" s="113">
        <f>RAND()*nCodSlipMaxMo</f>
        <v/>
      </c>
      <c r="K346" s="114">
        <f>nAvailDrawMin+RAND()*(nAvailDrawMax-nAvailDrawMin)</f>
        <v/>
      </c>
      <c r="L346" s="45">
        <f>IF(2034&lt;sNsmrCodU1+J346/12,0,(nNsmrCap+nNsmrOpx*(1+sNsmrOpxEsc)^8+nNsmrFuel*FuelEsc*(1+nFuelCagr)^8-nNsmrItc)*IF(2034&lt;sNsmrCodU1+J346/12+nStepFirst,1,IF(nStepGated="Yes",(1+nStepPct)^(INT((2034-sNsmrCodU1-J346/12-nStepFirst)/nStepEvery)+1),1))+nExclPrem*(1-nFlexRelief)-nProdCredit)</f>
        <v/>
      </c>
      <c r="M346" s="63">
        <f>MIN(nShortfallCapM,MAX(0,sNsmrAvailY2-K346)*sNsmrUnitMw*sNsmrUnits*8760*NsmrPrice2033/1000000)</f>
        <v/>
      </c>
      <c r="N346" s="82">
        <f>IF(RAND()&lt;0.5,nUsefulLifeDrawBase-(nUsefulLifeDrawBase-nUsefulLifeDrawMin)*BETA.INV(RAND(),1.15,1.15),nUsefulLifeDrawBase+(nUsefulLifeDrawMax-nUsefulLifeDrawBase)*BETA.INV(RAND(),1.15,1.15))</f>
        <v/>
      </c>
      <c r="O346" s="45">
        <f>((nInference*nGpuIdx+nAmort)*nUtilCal/D346)*(nUsefulLifeDrawBase/N346-1)</f>
        <v/>
      </c>
      <c r="P346" s="1" t="n"/>
      <c r="Q346" s="1" t="n"/>
      <c r="R346" s="1" t="n"/>
      <c r="S346" s="1" t="n"/>
      <c r="T346" s="1" t="n"/>
      <c r="U346" s="1" t="n"/>
    </row>
    <row r="347" ht="12" customHeight="1">
      <c r="A347" s="1" t="n"/>
      <c r="B347" s="38" t="n">
        <v>327</v>
      </c>
      <c r="C347" s="114">
        <f>Assumptions!$F$8+RAND()*(Assumptions!$D$8-Assumptions!$F$8)</f>
        <v/>
      </c>
      <c r="D347" s="114">
        <f>Assumptions!$D$9+RAND()*(Assumptions!$F$9-Assumptions!$D$9)</f>
        <v/>
      </c>
      <c r="E347" s="71">
        <f>Assumptions!$F$11+RAND()*(Assumptions!$D$11-Assumptions!$F$11)</f>
        <v/>
      </c>
      <c r="F347" s="45">
        <f>nListPrice*(1-C347)-(nInference*nGpuIdx+nAmort)*nUtilCal/D347-nNetworking-nOverheadBase*(E347/nPowerCal)-nCodBase*(1+I347/12)-O347</f>
        <v/>
      </c>
      <c r="G347" s="66">
        <f>MAX(F347,0)/nDebtService</f>
        <v/>
      </c>
      <c r="H347" s="71">
        <f>Anthropic!$J$18*Anthropic!$J$27+Anthropic!$J$19*Anthropic!$J$28+Anthropic!$J$20*Anthropic!$J$29+Anthropic!$J$21*E347*(1+nPowerCagr)^4*(1+nResidualBasisMarkup+nScarcityAlpha*POWER(Anthropic!$J$21,nScarcityGamma))</f>
        <v/>
      </c>
      <c r="I347" s="113">
        <f>Assumptions!$F$10+RAND()*(Assumptions!$D$10-Assumptions!$F$10)</f>
        <v/>
      </c>
      <c r="J347" s="113">
        <f>RAND()*nCodSlipMaxMo</f>
        <v/>
      </c>
      <c r="K347" s="114">
        <f>nAvailDrawMin+RAND()*(nAvailDrawMax-nAvailDrawMin)</f>
        <v/>
      </c>
      <c r="L347" s="45">
        <f>IF(2034&lt;sNsmrCodU1+J347/12,0,(nNsmrCap+nNsmrOpx*(1+sNsmrOpxEsc)^8+nNsmrFuel*FuelEsc*(1+nFuelCagr)^8-nNsmrItc)*IF(2034&lt;sNsmrCodU1+J347/12+nStepFirst,1,IF(nStepGated="Yes",(1+nStepPct)^(INT((2034-sNsmrCodU1-J347/12-nStepFirst)/nStepEvery)+1),1))+nExclPrem*(1-nFlexRelief)-nProdCredit)</f>
        <v/>
      </c>
      <c r="M347" s="63">
        <f>MIN(nShortfallCapM,MAX(0,sNsmrAvailY2-K347)*sNsmrUnitMw*sNsmrUnits*8760*NsmrPrice2033/1000000)</f>
        <v/>
      </c>
      <c r="N347" s="82">
        <f>IF(RAND()&lt;0.5,nUsefulLifeDrawBase-(nUsefulLifeDrawBase-nUsefulLifeDrawMin)*BETA.INV(RAND(),1.15,1.15),nUsefulLifeDrawBase+(nUsefulLifeDrawMax-nUsefulLifeDrawBase)*BETA.INV(RAND(),1.15,1.15))</f>
        <v/>
      </c>
      <c r="O347" s="45">
        <f>((nInference*nGpuIdx+nAmort)*nUtilCal/D347)*(nUsefulLifeDrawBase/N347-1)</f>
        <v/>
      </c>
      <c r="P347" s="1" t="n"/>
      <c r="Q347" s="1" t="n"/>
      <c r="R347" s="1" t="n"/>
      <c r="S347" s="1" t="n"/>
      <c r="T347" s="1" t="n"/>
      <c r="U347" s="1" t="n"/>
    </row>
    <row r="348" ht="12" customHeight="1">
      <c r="A348" s="1" t="n"/>
      <c r="B348" s="38" t="n">
        <v>328</v>
      </c>
      <c r="C348" s="114">
        <f>Assumptions!$F$8+RAND()*(Assumptions!$D$8-Assumptions!$F$8)</f>
        <v/>
      </c>
      <c r="D348" s="114">
        <f>Assumptions!$D$9+RAND()*(Assumptions!$F$9-Assumptions!$D$9)</f>
        <v/>
      </c>
      <c r="E348" s="71">
        <f>Assumptions!$F$11+RAND()*(Assumptions!$D$11-Assumptions!$F$11)</f>
        <v/>
      </c>
      <c r="F348" s="45">
        <f>nListPrice*(1-C348)-(nInference*nGpuIdx+nAmort)*nUtilCal/D348-nNetworking-nOverheadBase*(E348/nPowerCal)-nCodBase*(1+I348/12)-O348</f>
        <v/>
      </c>
      <c r="G348" s="66">
        <f>MAX(F348,0)/nDebtService</f>
        <v/>
      </c>
      <c r="H348" s="71">
        <f>Anthropic!$J$18*Anthropic!$J$27+Anthropic!$J$19*Anthropic!$J$28+Anthropic!$J$20*Anthropic!$J$29+Anthropic!$J$21*E348*(1+nPowerCagr)^4*(1+nResidualBasisMarkup+nScarcityAlpha*POWER(Anthropic!$J$21,nScarcityGamma))</f>
        <v/>
      </c>
      <c r="I348" s="113">
        <f>Assumptions!$F$10+RAND()*(Assumptions!$D$10-Assumptions!$F$10)</f>
        <v/>
      </c>
      <c r="J348" s="113">
        <f>RAND()*nCodSlipMaxMo</f>
        <v/>
      </c>
      <c r="K348" s="114">
        <f>nAvailDrawMin+RAND()*(nAvailDrawMax-nAvailDrawMin)</f>
        <v/>
      </c>
      <c r="L348" s="45">
        <f>IF(2034&lt;sNsmrCodU1+J348/12,0,(nNsmrCap+nNsmrOpx*(1+sNsmrOpxEsc)^8+nNsmrFuel*FuelEsc*(1+nFuelCagr)^8-nNsmrItc)*IF(2034&lt;sNsmrCodU1+J348/12+nStepFirst,1,IF(nStepGated="Yes",(1+nStepPct)^(INT((2034-sNsmrCodU1-J348/12-nStepFirst)/nStepEvery)+1),1))+nExclPrem*(1-nFlexRelief)-nProdCredit)</f>
        <v/>
      </c>
      <c r="M348" s="63">
        <f>MIN(nShortfallCapM,MAX(0,sNsmrAvailY2-K348)*sNsmrUnitMw*sNsmrUnits*8760*NsmrPrice2033/1000000)</f>
        <v/>
      </c>
      <c r="N348" s="82">
        <f>IF(RAND()&lt;0.5,nUsefulLifeDrawBase-(nUsefulLifeDrawBase-nUsefulLifeDrawMin)*BETA.INV(RAND(),1.15,1.15),nUsefulLifeDrawBase+(nUsefulLifeDrawMax-nUsefulLifeDrawBase)*BETA.INV(RAND(),1.15,1.15))</f>
        <v/>
      </c>
      <c r="O348" s="45">
        <f>((nInference*nGpuIdx+nAmort)*nUtilCal/D348)*(nUsefulLifeDrawBase/N348-1)</f>
        <v/>
      </c>
      <c r="P348" s="1" t="n"/>
      <c r="Q348" s="1" t="n"/>
      <c r="R348" s="1" t="n"/>
      <c r="S348" s="1" t="n"/>
      <c r="T348" s="1" t="n"/>
      <c r="U348" s="1" t="n"/>
    </row>
    <row r="349" ht="12" customHeight="1">
      <c r="A349" s="1" t="n"/>
      <c r="B349" s="38" t="n">
        <v>329</v>
      </c>
      <c r="C349" s="114">
        <f>Assumptions!$F$8+RAND()*(Assumptions!$D$8-Assumptions!$F$8)</f>
        <v/>
      </c>
      <c r="D349" s="114">
        <f>Assumptions!$D$9+RAND()*(Assumptions!$F$9-Assumptions!$D$9)</f>
        <v/>
      </c>
      <c r="E349" s="71">
        <f>Assumptions!$F$11+RAND()*(Assumptions!$D$11-Assumptions!$F$11)</f>
        <v/>
      </c>
      <c r="F349" s="45">
        <f>nListPrice*(1-C349)-(nInference*nGpuIdx+nAmort)*nUtilCal/D349-nNetworking-nOverheadBase*(E349/nPowerCal)-nCodBase*(1+I349/12)-O349</f>
        <v/>
      </c>
      <c r="G349" s="66">
        <f>MAX(F349,0)/nDebtService</f>
        <v/>
      </c>
      <c r="H349" s="71">
        <f>Anthropic!$J$18*Anthropic!$J$27+Anthropic!$J$19*Anthropic!$J$28+Anthropic!$J$20*Anthropic!$J$29+Anthropic!$J$21*E349*(1+nPowerCagr)^4*(1+nResidualBasisMarkup+nScarcityAlpha*POWER(Anthropic!$J$21,nScarcityGamma))</f>
        <v/>
      </c>
      <c r="I349" s="113">
        <f>Assumptions!$F$10+RAND()*(Assumptions!$D$10-Assumptions!$F$10)</f>
        <v/>
      </c>
      <c r="J349" s="113">
        <f>RAND()*nCodSlipMaxMo</f>
        <v/>
      </c>
      <c r="K349" s="114">
        <f>nAvailDrawMin+RAND()*(nAvailDrawMax-nAvailDrawMin)</f>
        <v/>
      </c>
      <c r="L349" s="45">
        <f>IF(2034&lt;sNsmrCodU1+J349/12,0,(nNsmrCap+nNsmrOpx*(1+sNsmrOpxEsc)^8+nNsmrFuel*FuelEsc*(1+nFuelCagr)^8-nNsmrItc)*IF(2034&lt;sNsmrCodU1+J349/12+nStepFirst,1,IF(nStepGated="Yes",(1+nStepPct)^(INT((2034-sNsmrCodU1-J349/12-nStepFirst)/nStepEvery)+1),1))+nExclPrem*(1-nFlexRelief)-nProdCredit)</f>
        <v/>
      </c>
      <c r="M349" s="63">
        <f>MIN(nShortfallCapM,MAX(0,sNsmrAvailY2-K349)*sNsmrUnitMw*sNsmrUnits*8760*NsmrPrice2033/1000000)</f>
        <v/>
      </c>
      <c r="N349" s="82">
        <f>IF(RAND()&lt;0.5,nUsefulLifeDrawBase-(nUsefulLifeDrawBase-nUsefulLifeDrawMin)*BETA.INV(RAND(),1.15,1.15),nUsefulLifeDrawBase+(nUsefulLifeDrawMax-nUsefulLifeDrawBase)*BETA.INV(RAND(),1.15,1.15))</f>
        <v/>
      </c>
      <c r="O349" s="45">
        <f>((nInference*nGpuIdx+nAmort)*nUtilCal/D349)*(nUsefulLifeDrawBase/N349-1)</f>
        <v/>
      </c>
      <c r="P349" s="1" t="n"/>
      <c r="Q349" s="1" t="n"/>
      <c r="R349" s="1" t="n"/>
      <c r="S349" s="1" t="n"/>
      <c r="T349" s="1" t="n"/>
      <c r="U349" s="1" t="n"/>
    </row>
    <row r="350" ht="12" customHeight="1">
      <c r="A350" s="1" t="n"/>
      <c r="B350" s="38" t="n">
        <v>330</v>
      </c>
      <c r="C350" s="114">
        <f>Assumptions!$F$8+RAND()*(Assumptions!$D$8-Assumptions!$F$8)</f>
        <v/>
      </c>
      <c r="D350" s="114">
        <f>Assumptions!$D$9+RAND()*(Assumptions!$F$9-Assumptions!$D$9)</f>
        <v/>
      </c>
      <c r="E350" s="71">
        <f>Assumptions!$F$11+RAND()*(Assumptions!$D$11-Assumptions!$F$11)</f>
        <v/>
      </c>
      <c r="F350" s="45">
        <f>nListPrice*(1-C350)-(nInference*nGpuIdx+nAmort)*nUtilCal/D350-nNetworking-nOverheadBase*(E350/nPowerCal)-nCodBase*(1+I350/12)-O350</f>
        <v/>
      </c>
      <c r="G350" s="66">
        <f>MAX(F350,0)/nDebtService</f>
        <v/>
      </c>
      <c r="H350" s="71">
        <f>Anthropic!$J$18*Anthropic!$J$27+Anthropic!$J$19*Anthropic!$J$28+Anthropic!$J$20*Anthropic!$J$29+Anthropic!$J$21*E350*(1+nPowerCagr)^4*(1+nResidualBasisMarkup+nScarcityAlpha*POWER(Anthropic!$J$21,nScarcityGamma))</f>
        <v/>
      </c>
      <c r="I350" s="113">
        <f>Assumptions!$F$10+RAND()*(Assumptions!$D$10-Assumptions!$F$10)</f>
        <v/>
      </c>
      <c r="J350" s="113">
        <f>RAND()*nCodSlipMaxMo</f>
        <v/>
      </c>
      <c r="K350" s="114">
        <f>nAvailDrawMin+RAND()*(nAvailDrawMax-nAvailDrawMin)</f>
        <v/>
      </c>
      <c r="L350" s="45">
        <f>IF(2034&lt;sNsmrCodU1+J350/12,0,(nNsmrCap+nNsmrOpx*(1+sNsmrOpxEsc)^8+nNsmrFuel*FuelEsc*(1+nFuelCagr)^8-nNsmrItc)*IF(2034&lt;sNsmrCodU1+J350/12+nStepFirst,1,IF(nStepGated="Yes",(1+nStepPct)^(INT((2034-sNsmrCodU1-J350/12-nStepFirst)/nStepEvery)+1),1))+nExclPrem*(1-nFlexRelief)-nProdCredit)</f>
        <v/>
      </c>
      <c r="M350" s="63">
        <f>MIN(nShortfallCapM,MAX(0,sNsmrAvailY2-K350)*sNsmrUnitMw*sNsmrUnits*8760*NsmrPrice2033/1000000)</f>
        <v/>
      </c>
      <c r="N350" s="82">
        <f>IF(RAND()&lt;0.5,nUsefulLifeDrawBase-(nUsefulLifeDrawBase-nUsefulLifeDrawMin)*BETA.INV(RAND(),1.15,1.15),nUsefulLifeDrawBase+(nUsefulLifeDrawMax-nUsefulLifeDrawBase)*BETA.INV(RAND(),1.15,1.15))</f>
        <v/>
      </c>
      <c r="O350" s="45">
        <f>((nInference*nGpuIdx+nAmort)*nUtilCal/D350)*(nUsefulLifeDrawBase/N350-1)</f>
        <v/>
      </c>
      <c r="P350" s="1" t="n"/>
      <c r="Q350" s="1" t="n"/>
      <c r="R350" s="1" t="n"/>
      <c r="S350" s="1" t="n"/>
      <c r="T350" s="1" t="n"/>
      <c r="U350" s="1" t="n"/>
    </row>
    <row r="351" ht="12" customHeight="1">
      <c r="A351" s="1" t="n"/>
      <c r="B351" s="38" t="n">
        <v>331</v>
      </c>
      <c r="C351" s="114">
        <f>Assumptions!$F$8+RAND()*(Assumptions!$D$8-Assumptions!$F$8)</f>
        <v/>
      </c>
      <c r="D351" s="114">
        <f>Assumptions!$D$9+RAND()*(Assumptions!$F$9-Assumptions!$D$9)</f>
        <v/>
      </c>
      <c r="E351" s="71">
        <f>Assumptions!$F$11+RAND()*(Assumptions!$D$11-Assumptions!$F$11)</f>
        <v/>
      </c>
      <c r="F351" s="45">
        <f>nListPrice*(1-C351)-(nInference*nGpuIdx+nAmort)*nUtilCal/D351-nNetworking-nOverheadBase*(E351/nPowerCal)-nCodBase*(1+I351/12)-O351</f>
        <v/>
      </c>
      <c r="G351" s="66">
        <f>MAX(F351,0)/nDebtService</f>
        <v/>
      </c>
      <c r="H351" s="71">
        <f>Anthropic!$J$18*Anthropic!$J$27+Anthropic!$J$19*Anthropic!$J$28+Anthropic!$J$20*Anthropic!$J$29+Anthropic!$J$21*E351*(1+nPowerCagr)^4*(1+nResidualBasisMarkup+nScarcityAlpha*POWER(Anthropic!$J$21,nScarcityGamma))</f>
        <v/>
      </c>
      <c r="I351" s="113">
        <f>Assumptions!$F$10+RAND()*(Assumptions!$D$10-Assumptions!$F$10)</f>
        <v/>
      </c>
      <c r="J351" s="113">
        <f>RAND()*nCodSlipMaxMo</f>
        <v/>
      </c>
      <c r="K351" s="114">
        <f>nAvailDrawMin+RAND()*(nAvailDrawMax-nAvailDrawMin)</f>
        <v/>
      </c>
      <c r="L351" s="45">
        <f>IF(2034&lt;sNsmrCodU1+J351/12,0,(nNsmrCap+nNsmrOpx*(1+sNsmrOpxEsc)^8+nNsmrFuel*FuelEsc*(1+nFuelCagr)^8-nNsmrItc)*IF(2034&lt;sNsmrCodU1+J351/12+nStepFirst,1,IF(nStepGated="Yes",(1+nStepPct)^(INT((2034-sNsmrCodU1-J351/12-nStepFirst)/nStepEvery)+1),1))+nExclPrem*(1-nFlexRelief)-nProdCredit)</f>
        <v/>
      </c>
      <c r="M351" s="63">
        <f>MIN(nShortfallCapM,MAX(0,sNsmrAvailY2-K351)*sNsmrUnitMw*sNsmrUnits*8760*NsmrPrice2033/1000000)</f>
        <v/>
      </c>
      <c r="N351" s="82">
        <f>IF(RAND()&lt;0.5,nUsefulLifeDrawBase-(nUsefulLifeDrawBase-nUsefulLifeDrawMin)*BETA.INV(RAND(),1.15,1.15),nUsefulLifeDrawBase+(nUsefulLifeDrawMax-nUsefulLifeDrawBase)*BETA.INV(RAND(),1.15,1.15))</f>
        <v/>
      </c>
      <c r="O351" s="45">
        <f>((nInference*nGpuIdx+nAmort)*nUtilCal/D351)*(nUsefulLifeDrawBase/N351-1)</f>
        <v/>
      </c>
      <c r="P351" s="1" t="n"/>
      <c r="Q351" s="1" t="n"/>
      <c r="R351" s="1" t="n"/>
      <c r="S351" s="1" t="n"/>
      <c r="T351" s="1" t="n"/>
      <c r="U351" s="1" t="n"/>
    </row>
    <row r="352" ht="12" customHeight="1">
      <c r="A352" s="1" t="n"/>
      <c r="B352" s="38" t="n">
        <v>332</v>
      </c>
      <c r="C352" s="114">
        <f>Assumptions!$F$8+RAND()*(Assumptions!$D$8-Assumptions!$F$8)</f>
        <v/>
      </c>
      <c r="D352" s="114">
        <f>Assumptions!$D$9+RAND()*(Assumptions!$F$9-Assumptions!$D$9)</f>
        <v/>
      </c>
      <c r="E352" s="71">
        <f>Assumptions!$F$11+RAND()*(Assumptions!$D$11-Assumptions!$F$11)</f>
        <v/>
      </c>
      <c r="F352" s="45">
        <f>nListPrice*(1-C352)-(nInference*nGpuIdx+nAmort)*nUtilCal/D352-nNetworking-nOverheadBase*(E352/nPowerCal)-nCodBase*(1+I352/12)-O352</f>
        <v/>
      </c>
      <c r="G352" s="66">
        <f>MAX(F352,0)/nDebtService</f>
        <v/>
      </c>
      <c r="H352" s="71">
        <f>Anthropic!$J$18*Anthropic!$J$27+Anthropic!$J$19*Anthropic!$J$28+Anthropic!$J$20*Anthropic!$J$29+Anthropic!$J$21*E352*(1+nPowerCagr)^4*(1+nResidualBasisMarkup+nScarcityAlpha*POWER(Anthropic!$J$21,nScarcityGamma))</f>
        <v/>
      </c>
      <c r="I352" s="113">
        <f>Assumptions!$F$10+RAND()*(Assumptions!$D$10-Assumptions!$F$10)</f>
        <v/>
      </c>
      <c r="J352" s="113">
        <f>RAND()*nCodSlipMaxMo</f>
        <v/>
      </c>
      <c r="K352" s="114">
        <f>nAvailDrawMin+RAND()*(nAvailDrawMax-nAvailDrawMin)</f>
        <v/>
      </c>
      <c r="L352" s="45">
        <f>IF(2034&lt;sNsmrCodU1+J352/12,0,(nNsmrCap+nNsmrOpx*(1+sNsmrOpxEsc)^8+nNsmrFuel*FuelEsc*(1+nFuelCagr)^8-nNsmrItc)*IF(2034&lt;sNsmrCodU1+J352/12+nStepFirst,1,IF(nStepGated="Yes",(1+nStepPct)^(INT((2034-sNsmrCodU1-J352/12-nStepFirst)/nStepEvery)+1),1))+nExclPrem*(1-nFlexRelief)-nProdCredit)</f>
        <v/>
      </c>
      <c r="M352" s="63">
        <f>MIN(nShortfallCapM,MAX(0,sNsmrAvailY2-K352)*sNsmrUnitMw*sNsmrUnits*8760*NsmrPrice2033/1000000)</f>
        <v/>
      </c>
      <c r="N352" s="82">
        <f>IF(RAND()&lt;0.5,nUsefulLifeDrawBase-(nUsefulLifeDrawBase-nUsefulLifeDrawMin)*BETA.INV(RAND(),1.15,1.15),nUsefulLifeDrawBase+(nUsefulLifeDrawMax-nUsefulLifeDrawBase)*BETA.INV(RAND(),1.15,1.15))</f>
        <v/>
      </c>
      <c r="O352" s="45">
        <f>((nInference*nGpuIdx+nAmort)*nUtilCal/D352)*(nUsefulLifeDrawBase/N352-1)</f>
        <v/>
      </c>
      <c r="P352" s="1" t="n"/>
      <c r="Q352" s="1" t="n"/>
      <c r="R352" s="1" t="n"/>
      <c r="S352" s="1" t="n"/>
      <c r="T352" s="1" t="n"/>
      <c r="U352" s="1" t="n"/>
    </row>
    <row r="353" ht="12" customHeight="1">
      <c r="A353" s="1" t="n"/>
      <c r="B353" s="38" t="n">
        <v>333</v>
      </c>
      <c r="C353" s="114">
        <f>Assumptions!$F$8+RAND()*(Assumptions!$D$8-Assumptions!$F$8)</f>
        <v/>
      </c>
      <c r="D353" s="114">
        <f>Assumptions!$D$9+RAND()*(Assumptions!$F$9-Assumptions!$D$9)</f>
        <v/>
      </c>
      <c r="E353" s="71">
        <f>Assumptions!$F$11+RAND()*(Assumptions!$D$11-Assumptions!$F$11)</f>
        <v/>
      </c>
      <c r="F353" s="45">
        <f>nListPrice*(1-C353)-(nInference*nGpuIdx+nAmort)*nUtilCal/D353-nNetworking-nOverheadBase*(E353/nPowerCal)-nCodBase*(1+I353/12)-O353</f>
        <v/>
      </c>
      <c r="G353" s="66">
        <f>MAX(F353,0)/nDebtService</f>
        <v/>
      </c>
      <c r="H353" s="71">
        <f>Anthropic!$J$18*Anthropic!$J$27+Anthropic!$J$19*Anthropic!$J$28+Anthropic!$J$20*Anthropic!$J$29+Anthropic!$J$21*E353*(1+nPowerCagr)^4*(1+nResidualBasisMarkup+nScarcityAlpha*POWER(Anthropic!$J$21,nScarcityGamma))</f>
        <v/>
      </c>
      <c r="I353" s="113">
        <f>Assumptions!$F$10+RAND()*(Assumptions!$D$10-Assumptions!$F$10)</f>
        <v/>
      </c>
      <c r="J353" s="113">
        <f>RAND()*nCodSlipMaxMo</f>
        <v/>
      </c>
      <c r="K353" s="114">
        <f>nAvailDrawMin+RAND()*(nAvailDrawMax-nAvailDrawMin)</f>
        <v/>
      </c>
      <c r="L353" s="45">
        <f>IF(2034&lt;sNsmrCodU1+J353/12,0,(nNsmrCap+nNsmrOpx*(1+sNsmrOpxEsc)^8+nNsmrFuel*FuelEsc*(1+nFuelCagr)^8-nNsmrItc)*IF(2034&lt;sNsmrCodU1+J353/12+nStepFirst,1,IF(nStepGated="Yes",(1+nStepPct)^(INT((2034-sNsmrCodU1-J353/12-nStepFirst)/nStepEvery)+1),1))+nExclPrem*(1-nFlexRelief)-nProdCredit)</f>
        <v/>
      </c>
      <c r="M353" s="63">
        <f>MIN(nShortfallCapM,MAX(0,sNsmrAvailY2-K353)*sNsmrUnitMw*sNsmrUnits*8760*NsmrPrice2033/1000000)</f>
        <v/>
      </c>
      <c r="N353" s="82">
        <f>IF(RAND()&lt;0.5,nUsefulLifeDrawBase-(nUsefulLifeDrawBase-nUsefulLifeDrawMin)*BETA.INV(RAND(),1.15,1.15),nUsefulLifeDrawBase+(nUsefulLifeDrawMax-nUsefulLifeDrawBase)*BETA.INV(RAND(),1.15,1.15))</f>
        <v/>
      </c>
      <c r="O353" s="45">
        <f>((nInference*nGpuIdx+nAmort)*nUtilCal/D353)*(nUsefulLifeDrawBase/N353-1)</f>
        <v/>
      </c>
      <c r="P353" s="1" t="n"/>
      <c r="Q353" s="1" t="n"/>
      <c r="R353" s="1" t="n"/>
      <c r="S353" s="1" t="n"/>
      <c r="T353" s="1" t="n"/>
      <c r="U353" s="1" t="n"/>
    </row>
    <row r="354" ht="12" customHeight="1">
      <c r="A354" s="1" t="n"/>
      <c r="B354" s="38" t="n">
        <v>334</v>
      </c>
      <c r="C354" s="114">
        <f>Assumptions!$F$8+RAND()*(Assumptions!$D$8-Assumptions!$F$8)</f>
        <v/>
      </c>
      <c r="D354" s="114">
        <f>Assumptions!$D$9+RAND()*(Assumptions!$F$9-Assumptions!$D$9)</f>
        <v/>
      </c>
      <c r="E354" s="71">
        <f>Assumptions!$F$11+RAND()*(Assumptions!$D$11-Assumptions!$F$11)</f>
        <v/>
      </c>
      <c r="F354" s="45">
        <f>nListPrice*(1-C354)-(nInference*nGpuIdx+nAmort)*nUtilCal/D354-nNetworking-nOverheadBase*(E354/nPowerCal)-nCodBase*(1+I354/12)-O354</f>
        <v/>
      </c>
      <c r="G354" s="66">
        <f>MAX(F354,0)/nDebtService</f>
        <v/>
      </c>
      <c r="H354" s="71">
        <f>Anthropic!$J$18*Anthropic!$J$27+Anthropic!$J$19*Anthropic!$J$28+Anthropic!$J$20*Anthropic!$J$29+Anthropic!$J$21*E354*(1+nPowerCagr)^4*(1+nResidualBasisMarkup+nScarcityAlpha*POWER(Anthropic!$J$21,nScarcityGamma))</f>
        <v/>
      </c>
      <c r="I354" s="113">
        <f>Assumptions!$F$10+RAND()*(Assumptions!$D$10-Assumptions!$F$10)</f>
        <v/>
      </c>
      <c r="J354" s="113">
        <f>RAND()*nCodSlipMaxMo</f>
        <v/>
      </c>
      <c r="K354" s="114">
        <f>nAvailDrawMin+RAND()*(nAvailDrawMax-nAvailDrawMin)</f>
        <v/>
      </c>
      <c r="L354" s="45">
        <f>IF(2034&lt;sNsmrCodU1+J354/12,0,(nNsmrCap+nNsmrOpx*(1+sNsmrOpxEsc)^8+nNsmrFuel*FuelEsc*(1+nFuelCagr)^8-nNsmrItc)*IF(2034&lt;sNsmrCodU1+J354/12+nStepFirst,1,IF(nStepGated="Yes",(1+nStepPct)^(INT((2034-sNsmrCodU1-J354/12-nStepFirst)/nStepEvery)+1),1))+nExclPrem*(1-nFlexRelief)-nProdCredit)</f>
        <v/>
      </c>
      <c r="M354" s="63">
        <f>MIN(nShortfallCapM,MAX(0,sNsmrAvailY2-K354)*sNsmrUnitMw*sNsmrUnits*8760*NsmrPrice2033/1000000)</f>
        <v/>
      </c>
      <c r="N354" s="82">
        <f>IF(RAND()&lt;0.5,nUsefulLifeDrawBase-(nUsefulLifeDrawBase-nUsefulLifeDrawMin)*BETA.INV(RAND(),1.15,1.15),nUsefulLifeDrawBase+(nUsefulLifeDrawMax-nUsefulLifeDrawBase)*BETA.INV(RAND(),1.15,1.15))</f>
        <v/>
      </c>
      <c r="O354" s="45">
        <f>((nInference*nGpuIdx+nAmort)*nUtilCal/D354)*(nUsefulLifeDrawBase/N354-1)</f>
        <v/>
      </c>
      <c r="P354" s="1" t="n"/>
      <c r="Q354" s="1" t="n"/>
      <c r="R354" s="1" t="n"/>
      <c r="S354" s="1" t="n"/>
      <c r="T354" s="1" t="n"/>
      <c r="U354" s="1" t="n"/>
    </row>
    <row r="355" ht="12" customHeight="1">
      <c r="A355" s="1" t="n"/>
      <c r="B355" s="38" t="n">
        <v>335</v>
      </c>
      <c r="C355" s="114">
        <f>Assumptions!$F$8+RAND()*(Assumptions!$D$8-Assumptions!$F$8)</f>
        <v/>
      </c>
      <c r="D355" s="114">
        <f>Assumptions!$D$9+RAND()*(Assumptions!$F$9-Assumptions!$D$9)</f>
        <v/>
      </c>
      <c r="E355" s="71">
        <f>Assumptions!$F$11+RAND()*(Assumptions!$D$11-Assumptions!$F$11)</f>
        <v/>
      </c>
      <c r="F355" s="45">
        <f>nListPrice*(1-C355)-(nInference*nGpuIdx+nAmort)*nUtilCal/D355-nNetworking-nOverheadBase*(E355/nPowerCal)-nCodBase*(1+I355/12)-O355</f>
        <v/>
      </c>
      <c r="G355" s="66">
        <f>MAX(F355,0)/nDebtService</f>
        <v/>
      </c>
      <c r="H355" s="71">
        <f>Anthropic!$J$18*Anthropic!$J$27+Anthropic!$J$19*Anthropic!$J$28+Anthropic!$J$20*Anthropic!$J$29+Anthropic!$J$21*E355*(1+nPowerCagr)^4*(1+nResidualBasisMarkup+nScarcityAlpha*POWER(Anthropic!$J$21,nScarcityGamma))</f>
        <v/>
      </c>
      <c r="I355" s="113">
        <f>Assumptions!$F$10+RAND()*(Assumptions!$D$10-Assumptions!$F$10)</f>
        <v/>
      </c>
      <c r="J355" s="113">
        <f>RAND()*nCodSlipMaxMo</f>
        <v/>
      </c>
      <c r="K355" s="114">
        <f>nAvailDrawMin+RAND()*(nAvailDrawMax-nAvailDrawMin)</f>
        <v/>
      </c>
      <c r="L355" s="45">
        <f>IF(2034&lt;sNsmrCodU1+J355/12,0,(nNsmrCap+nNsmrOpx*(1+sNsmrOpxEsc)^8+nNsmrFuel*FuelEsc*(1+nFuelCagr)^8-nNsmrItc)*IF(2034&lt;sNsmrCodU1+J355/12+nStepFirst,1,IF(nStepGated="Yes",(1+nStepPct)^(INT((2034-sNsmrCodU1-J355/12-nStepFirst)/nStepEvery)+1),1))+nExclPrem*(1-nFlexRelief)-nProdCredit)</f>
        <v/>
      </c>
      <c r="M355" s="63">
        <f>MIN(nShortfallCapM,MAX(0,sNsmrAvailY2-K355)*sNsmrUnitMw*sNsmrUnits*8760*NsmrPrice2033/1000000)</f>
        <v/>
      </c>
      <c r="N355" s="82">
        <f>IF(RAND()&lt;0.5,nUsefulLifeDrawBase-(nUsefulLifeDrawBase-nUsefulLifeDrawMin)*BETA.INV(RAND(),1.15,1.15),nUsefulLifeDrawBase+(nUsefulLifeDrawMax-nUsefulLifeDrawBase)*BETA.INV(RAND(),1.15,1.15))</f>
        <v/>
      </c>
      <c r="O355" s="45">
        <f>((nInference*nGpuIdx+nAmort)*nUtilCal/D355)*(nUsefulLifeDrawBase/N355-1)</f>
        <v/>
      </c>
      <c r="P355" s="1" t="n"/>
      <c r="Q355" s="1" t="n"/>
      <c r="R355" s="1" t="n"/>
      <c r="S355" s="1" t="n"/>
      <c r="T355" s="1" t="n"/>
      <c r="U355" s="1" t="n"/>
    </row>
    <row r="356" ht="12" customHeight="1">
      <c r="A356" s="1" t="n"/>
      <c r="B356" s="38" t="n">
        <v>336</v>
      </c>
      <c r="C356" s="114">
        <f>Assumptions!$F$8+RAND()*(Assumptions!$D$8-Assumptions!$F$8)</f>
        <v/>
      </c>
      <c r="D356" s="114">
        <f>Assumptions!$D$9+RAND()*(Assumptions!$F$9-Assumptions!$D$9)</f>
        <v/>
      </c>
      <c r="E356" s="71">
        <f>Assumptions!$F$11+RAND()*(Assumptions!$D$11-Assumptions!$F$11)</f>
        <v/>
      </c>
      <c r="F356" s="45">
        <f>nListPrice*(1-C356)-(nInference*nGpuIdx+nAmort)*nUtilCal/D356-nNetworking-nOverheadBase*(E356/nPowerCal)-nCodBase*(1+I356/12)-O356</f>
        <v/>
      </c>
      <c r="G356" s="66">
        <f>MAX(F356,0)/nDebtService</f>
        <v/>
      </c>
      <c r="H356" s="71">
        <f>Anthropic!$J$18*Anthropic!$J$27+Anthropic!$J$19*Anthropic!$J$28+Anthropic!$J$20*Anthropic!$J$29+Anthropic!$J$21*E356*(1+nPowerCagr)^4*(1+nResidualBasisMarkup+nScarcityAlpha*POWER(Anthropic!$J$21,nScarcityGamma))</f>
        <v/>
      </c>
      <c r="I356" s="113">
        <f>Assumptions!$F$10+RAND()*(Assumptions!$D$10-Assumptions!$F$10)</f>
        <v/>
      </c>
      <c r="J356" s="113">
        <f>RAND()*nCodSlipMaxMo</f>
        <v/>
      </c>
      <c r="K356" s="114">
        <f>nAvailDrawMin+RAND()*(nAvailDrawMax-nAvailDrawMin)</f>
        <v/>
      </c>
      <c r="L356" s="45">
        <f>IF(2034&lt;sNsmrCodU1+J356/12,0,(nNsmrCap+nNsmrOpx*(1+sNsmrOpxEsc)^8+nNsmrFuel*FuelEsc*(1+nFuelCagr)^8-nNsmrItc)*IF(2034&lt;sNsmrCodU1+J356/12+nStepFirst,1,IF(nStepGated="Yes",(1+nStepPct)^(INT((2034-sNsmrCodU1-J356/12-nStepFirst)/nStepEvery)+1),1))+nExclPrem*(1-nFlexRelief)-nProdCredit)</f>
        <v/>
      </c>
      <c r="M356" s="63">
        <f>MIN(nShortfallCapM,MAX(0,sNsmrAvailY2-K356)*sNsmrUnitMw*sNsmrUnits*8760*NsmrPrice2033/1000000)</f>
        <v/>
      </c>
      <c r="N356" s="82">
        <f>IF(RAND()&lt;0.5,nUsefulLifeDrawBase-(nUsefulLifeDrawBase-nUsefulLifeDrawMin)*BETA.INV(RAND(),1.15,1.15),nUsefulLifeDrawBase+(nUsefulLifeDrawMax-nUsefulLifeDrawBase)*BETA.INV(RAND(),1.15,1.15))</f>
        <v/>
      </c>
      <c r="O356" s="45">
        <f>((nInference*nGpuIdx+nAmort)*nUtilCal/D356)*(nUsefulLifeDrawBase/N356-1)</f>
        <v/>
      </c>
      <c r="P356" s="1" t="n"/>
      <c r="Q356" s="1" t="n"/>
      <c r="R356" s="1" t="n"/>
      <c r="S356" s="1" t="n"/>
      <c r="T356" s="1" t="n"/>
      <c r="U356" s="1" t="n"/>
    </row>
    <row r="357" ht="12" customHeight="1">
      <c r="A357" s="1" t="n"/>
      <c r="B357" s="38" t="n">
        <v>337</v>
      </c>
      <c r="C357" s="114">
        <f>Assumptions!$F$8+RAND()*(Assumptions!$D$8-Assumptions!$F$8)</f>
        <v/>
      </c>
      <c r="D357" s="114">
        <f>Assumptions!$D$9+RAND()*(Assumptions!$F$9-Assumptions!$D$9)</f>
        <v/>
      </c>
      <c r="E357" s="71">
        <f>Assumptions!$F$11+RAND()*(Assumptions!$D$11-Assumptions!$F$11)</f>
        <v/>
      </c>
      <c r="F357" s="45">
        <f>nListPrice*(1-C357)-(nInference*nGpuIdx+nAmort)*nUtilCal/D357-nNetworking-nOverheadBase*(E357/nPowerCal)-nCodBase*(1+I357/12)-O357</f>
        <v/>
      </c>
      <c r="G357" s="66">
        <f>MAX(F357,0)/nDebtService</f>
        <v/>
      </c>
      <c r="H357" s="71">
        <f>Anthropic!$J$18*Anthropic!$J$27+Anthropic!$J$19*Anthropic!$J$28+Anthropic!$J$20*Anthropic!$J$29+Anthropic!$J$21*E357*(1+nPowerCagr)^4*(1+nResidualBasisMarkup+nScarcityAlpha*POWER(Anthropic!$J$21,nScarcityGamma))</f>
        <v/>
      </c>
      <c r="I357" s="113">
        <f>Assumptions!$F$10+RAND()*(Assumptions!$D$10-Assumptions!$F$10)</f>
        <v/>
      </c>
      <c r="J357" s="113">
        <f>RAND()*nCodSlipMaxMo</f>
        <v/>
      </c>
      <c r="K357" s="114">
        <f>nAvailDrawMin+RAND()*(nAvailDrawMax-nAvailDrawMin)</f>
        <v/>
      </c>
      <c r="L357" s="45">
        <f>IF(2034&lt;sNsmrCodU1+J357/12,0,(nNsmrCap+nNsmrOpx*(1+sNsmrOpxEsc)^8+nNsmrFuel*FuelEsc*(1+nFuelCagr)^8-nNsmrItc)*IF(2034&lt;sNsmrCodU1+J357/12+nStepFirst,1,IF(nStepGated="Yes",(1+nStepPct)^(INT((2034-sNsmrCodU1-J357/12-nStepFirst)/nStepEvery)+1),1))+nExclPrem*(1-nFlexRelief)-nProdCredit)</f>
        <v/>
      </c>
      <c r="M357" s="63">
        <f>MIN(nShortfallCapM,MAX(0,sNsmrAvailY2-K357)*sNsmrUnitMw*sNsmrUnits*8760*NsmrPrice2033/1000000)</f>
        <v/>
      </c>
      <c r="N357" s="82">
        <f>IF(RAND()&lt;0.5,nUsefulLifeDrawBase-(nUsefulLifeDrawBase-nUsefulLifeDrawMin)*BETA.INV(RAND(),1.15,1.15),nUsefulLifeDrawBase+(nUsefulLifeDrawMax-nUsefulLifeDrawBase)*BETA.INV(RAND(),1.15,1.15))</f>
        <v/>
      </c>
      <c r="O357" s="45">
        <f>((nInference*nGpuIdx+nAmort)*nUtilCal/D357)*(nUsefulLifeDrawBase/N357-1)</f>
        <v/>
      </c>
      <c r="P357" s="1" t="n"/>
      <c r="Q357" s="1" t="n"/>
      <c r="R357" s="1" t="n"/>
      <c r="S357" s="1" t="n"/>
      <c r="T357" s="1" t="n"/>
      <c r="U357" s="1" t="n"/>
    </row>
    <row r="358" ht="12" customHeight="1">
      <c r="A358" s="1" t="n"/>
      <c r="B358" s="38" t="n">
        <v>338</v>
      </c>
      <c r="C358" s="114">
        <f>Assumptions!$F$8+RAND()*(Assumptions!$D$8-Assumptions!$F$8)</f>
        <v/>
      </c>
      <c r="D358" s="114">
        <f>Assumptions!$D$9+RAND()*(Assumptions!$F$9-Assumptions!$D$9)</f>
        <v/>
      </c>
      <c r="E358" s="71">
        <f>Assumptions!$F$11+RAND()*(Assumptions!$D$11-Assumptions!$F$11)</f>
        <v/>
      </c>
      <c r="F358" s="45">
        <f>nListPrice*(1-C358)-(nInference*nGpuIdx+nAmort)*nUtilCal/D358-nNetworking-nOverheadBase*(E358/nPowerCal)-nCodBase*(1+I358/12)-O358</f>
        <v/>
      </c>
      <c r="G358" s="66">
        <f>MAX(F358,0)/nDebtService</f>
        <v/>
      </c>
      <c r="H358" s="71">
        <f>Anthropic!$J$18*Anthropic!$J$27+Anthropic!$J$19*Anthropic!$J$28+Anthropic!$J$20*Anthropic!$J$29+Anthropic!$J$21*E358*(1+nPowerCagr)^4*(1+nResidualBasisMarkup+nScarcityAlpha*POWER(Anthropic!$J$21,nScarcityGamma))</f>
        <v/>
      </c>
      <c r="I358" s="113">
        <f>Assumptions!$F$10+RAND()*(Assumptions!$D$10-Assumptions!$F$10)</f>
        <v/>
      </c>
      <c r="J358" s="113">
        <f>RAND()*nCodSlipMaxMo</f>
        <v/>
      </c>
      <c r="K358" s="114">
        <f>nAvailDrawMin+RAND()*(nAvailDrawMax-nAvailDrawMin)</f>
        <v/>
      </c>
      <c r="L358" s="45">
        <f>IF(2034&lt;sNsmrCodU1+J358/12,0,(nNsmrCap+nNsmrOpx*(1+sNsmrOpxEsc)^8+nNsmrFuel*FuelEsc*(1+nFuelCagr)^8-nNsmrItc)*IF(2034&lt;sNsmrCodU1+J358/12+nStepFirst,1,IF(nStepGated="Yes",(1+nStepPct)^(INT((2034-sNsmrCodU1-J358/12-nStepFirst)/nStepEvery)+1),1))+nExclPrem*(1-nFlexRelief)-nProdCredit)</f>
        <v/>
      </c>
      <c r="M358" s="63">
        <f>MIN(nShortfallCapM,MAX(0,sNsmrAvailY2-K358)*sNsmrUnitMw*sNsmrUnits*8760*NsmrPrice2033/1000000)</f>
        <v/>
      </c>
      <c r="N358" s="82">
        <f>IF(RAND()&lt;0.5,nUsefulLifeDrawBase-(nUsefulLifeDrawBase-nUsefulLifeDrawMin)*BETA.INV(RAND(),1.15,1.15),nUsefulLifeDrawBase+(nUsefulLifeDrawMax-nUsefulLifeDrawBase)*BETA.INV(RAND(),1.15,1.15))</f>
        <v/>
      </c>
      <c r="O358" s="45">
        <f>((nInference*nGpuIdx+nAmort)*nUtilCal/D358)*(nUsefulLifeDrawBase/N358-1)</f>
        <v/>
      </c>
      <c r="P358" s="1" t="n"/>
      <c r="Q358" s="1" t="n"/>
      <c r="R358" s="1" t="n"/>
      <c r="S358" s="1" t="n"/>
      <c r="T358" s="1" t="n"/>
      <c r="U358" s="1" t="n"/>
    </row>
    <row r="359" ht="12" customHeight="1">
      <c r="A359" s="1" t="n"/>
      <c r="B359" s="38" t="n">
        <v>339</v>
      </c>
      <c r="C359" s="114">
        <f>Assumptions!$F$8+RAND()*(Assumptions!$D$8-Assumptions!$F$8)</f>
        <v/>
      </c>
      <c r="D359" s="114">
        <f>Assumptions!$D$9+RAND()*(Assumptions!$F$9-Assumptions!$D$9)</f>
        <v/>
      </c>
      <c r="E359" s="71">
        <f>Assumptions!$F$11+RAND()*(Assumptions!$D$11-Assumptions!$F$11)</f>
        <v/>
      </c>
      <c r="F359" s="45">
        <f>nListPrice*(1-C359)-(nInference*nGpuIdx+nAmort)*nUtilCal/D359-nNetworking-nOverheadBase*(E359/nPowerCal)-nCodBase*(1+I359/12)-O359</f>
        <v/>
      </c>
      <c r="G359" s="66">
        <f>MAX(F359,0)/nDebtService</f>
        <v/>
      </c>
      <c r="H359" s="71">
        <f>Anthropic!$J$18*Anthropic!$J$27+Anthropic!$J$19*Anthropic!$J$28+Anthropic!$J$20*Anthropic!$J$29+Anthropic!$J$21*E359*(1+nPowerCagr)^4*(1+nResidualBasisMarkup+nScarcityAlpha*POWER(Anthropic!$J$21,nScarcityGamma))</f>
        <v/>
      </c>
      <c r="I359" s="113">
        <f>Assumptions!$F$10+RAND()*(Assumptions!$D$10-Assumptions!$F$10)</f>
        <v/>
      </c>
      <c r="J359" s="113">
        <f>RAND()*nCodSlipMaxMo</f>
        <v/>
      </c>
      <c r="K359" s="114">
        <f>nAvailDrawMin+RAND()*(nAvailDrawMax-nAvailDrawMin)</f>
        <v/>
      </c>
      <c r="L359" s="45">
        <f>IF(2034&lt;sNsmrCodU1+J359/12,0,(nNsmrCap+nNsmrOpx*(1+sNsmrOpxEsc)^8+nNsmrFuel*FuelEsc*(1+nFuelCagr)^8-nNsmrItc)*IF(2034&lt;sNsmrCodU1+J359/12+nStepFirst,1,IF(nStepGated="Yes",(1+nStepPct)^(INT((2034-sNsmrCodU1-J359/12-nStepFirst)/nStepEvery)+1),1))+nExclPrem*(1-nFlexRelief)-nProdCredit)</f>
        <v/>
      </c>
      <c r="M359" s="63">
        <f>MIN(nShortfallCapM,MAX(0,sNsmrAvailY2-K359)*sNsmrUnitMw*sNsmrUnits*8760*NsmrPrice2033/1000000)</f>
        <v/>
      </c>
      <c r="N359" s="82">
        <f>IF(RAND()&lt;0.5,nUsefulLifeDrawBase-(nUsefulLifeDrawBase-nUsefulLifeDrawMin)*BETA.INV(RAND(),1.15,1.15),nUsefulLifeDrawBase+(nUsefulLifeDrawMax-nUsefulLifeDrawBase)*BETA.INV(RAND(),1.15,1.15))</f>
        <v/>
      </c>
      <c r="O359" s="45">
        <f>((nInference*nGpuIdx+nAmort)*nUtilCal/D359)*(nUsefulLifeDrawBase/N359-1)</f>
        <v/>
      </c>
      <c r="P359" s="1" t="n"/>
      <c r="Q359" s="1" t="n"/>
      <c r="R359" s="1" t="n"/>
      <c r="S359" s="1" t="n"/>
      <c r="T359" s="1" t="n"/>
      <c r="U359" s="1" t="n"/>
    </row>
    <row r="360" ht="12" customHeight="1">
      <c r="A360" s="1" t="n"/>
      <c r="B360" s="38" t="n">
        <v>340</v>
      </c>
      <c r="C360" s="114">
        <f>Assumptions!$F$8+RAND()*(Assumptions!$D$8-Assumptions!$F$8)</f>
        <v/>
      </c>
      <c r="D360" s="114">
        <f>Assumptions!$D$9+RAND()*(Assumptions!$F$9-Assumptions!$D$9)</f>
        <v/>
      </c>
      <c r="E360" s="71">
        <f>Assumptions!$F$11+RAND()*(Assumptions!$D$11-Assumptions!$F$11)</f>
        <v/>
      </c>
      <c r="F360" s="45">
        <f>nListPrice*(1-C360)-(nInference*nGpuIdx+nAmort)*nUtilCal/D360-nNetworking-nOverheadBase*(E360/nPowerCal)-nCodBase*(1+I360/12)-O360</f>
        <v/>
      </c>
      <c r="G360" s="66">
        <f>MAX(F360,0)/nDebtService</f>
        <v/>
      </c>
      <c r="H360" s="71">
        <f>Anthropic!$J$18*Anthropic!$J$27+Anthropic!$J$19*Anthropic!$J$28+Anthropic!$J$20*Anthropic!$J$29+Anthropic!$J$21*E360*(1+nPowerCagr)^4*(1+nResidualBasisMarkup+nScarcityAlpha*POWER(Anthropic!$J$21,nScarcityGamma))</f>
        <v/>
      </c>
      <c r="I360" s="113">
        <f>Assumptions!$F$10+RAND()*(Assumptions!$D$10-Assumptions!$F$10)</f>
        <v/>
      </c>
      <c r="J360" s="113">
        <f>RAND()*nCodSlipMaxMo</f>
        <v/>
      </c>
      <c r="K360" s="114">
        <f>nAvailDrawMin+RAND()*(nAvailDrawMax-nAvailDrawMin)</f>
        <v/>
      </c>
      <c r="L360" s="45">
        <f>IF(2034&lt;sNsmrCodU1+J360/12,0,(nNsmrCap+nNsmrOpx*(1+sNsmrOpxEsc)^8+nNsmrFuel*FuelEsc*(1+nFuelCagr)^8-nNsmrItc)*IF(2034&lt;sNsmrCodU1+J360/12+nStepFirst,1,IF(nStepGated="Yes",(1+nStepPct)^(INT((2034-sNsmrCodU1-J360/12-nStepFirst)/nStepEvery)+1),1))+nExclPrem*(1-nFlexRelief)-nProdCredit)</f>
        <v/>
      </c>
      <c r="M360" s="63">
        <f>MIN(nShortfallCapM,MAX(0,sNsmrAvailY2-K360)*sNsmrUnitMw*sNsmrUnits*8760*NsmrPrice2033/1000000)</f>
        <v/>
      </c>
      <c r="N360" s="82">
        <f>IF(RAND()&lt;0.5,nUsefulLifeDrawBase-(nUsefulLifeDrawBase-nUsefulLifeDrawMin)*BETA.INV(RAND(),1.15,1.15),nUsefulLifeDrawBase+(nUsefulLifeDrawMax-nUsefulLifeDrawBase)*BETA.INV(RAND(),1.15,1.15))</f>
        <v/>
      </c>
      <c r="O360" s="45">
        <f>((nInference*nGpuIdx+nAmort)*nUtilCal/D360)*(nUsefulLifeDrawBase/N360-1)</f>
        <v/>
      </c>
      <c r="P360" s="1" t="n"/>
      <c r="Q360" s="1" t="n"/>
      <c r="R360" s="1" t="n"/>
      <c r="S360" s="1" t="n"/>
      <c r="T360" s="1" t="n"/>
      <c r="U360" s="1" t="n"/>
    </row>
    <row r="361" ht="12" customHeight="1">
      <c r="A361" s="1" t="n"/>
      <c r="B361" s="38" t="n">
        <v>341</v>
      </c>
      <c r="C361" s="114">
        <f>Assumptions!$F$8+RAND()*(Assumptions!$D$8-Assumptions!$F$8)</f>
        <v/>
      </c>
      <c r="D361" s="114">
        <f>Assumptions!$D$9+RAND()*(Assumptions!$F$9-Assumptions!$D$9)</f>
        <v/>
      </c>
      <c r="E361" s="71">
        <f>Assumptions!$F$11+RAND()*(Assumptions!$D$11-Assumptions!$F$11)</f>
        <v/>
      </c>
      <c r="F361" s="45">
        <f>nListPrice*(1-C361)-(nInference*nGpuIdx+nAmort)*nUtilCal/D361-nNetworking-nOverheadBase*(E361/nPowerCal)-nCodBase*(1+I361/12)-O361</f>
        <v/>
      </c>
      <c r="G361" s="66">
        <f>MAX(F361,0)/nDebtService</f>
        <v/>
      </c>
      <c r="H361" s="71">
        <f>Anthropic!$J$18*Anthropic!$J$27+Anthropic!$J$19*Anthropic!$J$28+Anthropic!$J$20*Anthropic!$J$29+Anthropic!$J$21*E361*(1+nPowerCagr)^4*(1+nResidualBasisMarkup+nScarcityAlpha*POWER(Anthropic!$J$21,nScarcityGamma))</f>
        <v/>
      </c>
      <c r="I361" s="113">
        <f>Assumptions!$F$10+RAND()*(Assumptions!$D$10-Assumptions!$F$10)</f>
        <v/>
      </c>
      <c r="J361" s="113">
        <f>RAND()*nCodSlipMaxMo</f>
        <v/>
      </c>
      <c r="K361" s="114">
        <f>nAvailDrawMin+RAND()*(nAvailDrawMax-nAvailDrawMin)</f>
        <v/>
      </c>
      <c r="L361" s="45">
        <f>IF(2034&lt;sNsmrCodU1+J361/12,0,(nNsmrCap+nNsmrOpx*(1+sNsmrOpxEsc)^8+nNsmrFuel*FuelEsc*(1+nFuelCagr)^8-nNsmrItc)*IF(2034&lt;sNsmrCodU1+J361/12+nStepFirst,1,IF(nStepGated="Yes",(1+nStepPct)^(INT((2034-sNsmrCodU1-J361/12-nStepFirst)/nStepEvery)+1),1))+nExclPrem*(1-nFlexRelief)-nProdCredit)</f>
        <v/>
      </c>
      <c r="M361" s="63">
        <f>MIN(nShortfallCapM,MAX(0,sNsmrAvailY2-K361)*sNsmrUnitMw*sNsmrUnits*8760*NsmrPrice2033/1000000)</f>
        <v/>
      </c>
      <c r="N361" s="82">
        <f>IF(RAND()&lt;0.5,nUsefulLifeDrawBase-(nUsefulLifeDrawBase-nUsefulLifeDrawMin)*BETA.INV(RAND(),1.15,1.15),nUsefulLifeDrawBase+(nUsefulLifeDrawMax-nUsefulLifeDrawBase)*BETA.INV(RAND(),1.15,1.15))</f>
        <v/>
      </c>
      <c r="O361" s="45">
        <f>((nInference*nGpuIdx+nAmort)*nUtilCal/D361)*(nUsefulLifeDrawBase/N361-1)</f>
        <v/>
      </c>
      <c r="P361" s="1" t="n"/>
      <c r="Q361" s="1" t="n"/>
      <c r="R361" s="1" t="n"/>
      <c r="S361" s="1" t="n"/>
      <c r="T361" s="1" t="n"/>
      <c r="U361" s="1" t="n"/>
    </row>
    <row r="362" ht="12" customHeight="1">
      <c r="A362" s="1" t="n"/>
      <c r="B362" s="38" t="n">
        <v>342</v>
      </c>
      <c r="C362" s="114">
        <f>Assumptions!$F$8+RAND()*(Assumptions!$D$8-Assumptions!$F$8)</f>
        <v/>
      </c>
      <c r="D362" s="114">
        <f>Assumptions!$D$9+RAND()*(Assumptions!$F$9-Assumptions!$D$9)</f>
        <v/>
      </c>
      <c r="E362" s="71">
        <f>Assumptions!$F$11+RAND()*(Assumptions!$D$11-Assumptions!$F$11)</f>
        <v/>
      </c>
      <c r="F362" s="45">
        <f>nListPrice*(1-C362)-(nInference*nGpuIdx+nAmort)*nUtilCal/D362-nNetworking-nOverheadBase*(E362/nPowerCal)-nCodBase*(1+I362/12)-O362</f>
        <v/>
      </c>
      <c r="G362" s="66">
        <f>MAX(F362,0)/nDebtService</f>
        <v/>
      </c>
      <c r="H362" s="71">
        <f>Anthropic!$J$18*Anthropic!$J$27+Anthropic!$J$19*Anthropic!$J$28+Anthropic!$J$20*Anthropic!$J$29+Anthropic!$J$21*E362*(1+nPowerCagr)^4*(1+nResidualBasisMarkup+nScarcityAlpha*POWER(Anthropic!$J$21,nScarcityGamma))</f>
        <v/>
      </c>
      <c r="I362" s="113">
        <f>Assumptions!$F$10+RAND()*(Assumptions!$D$10-Assumptions!$F$10)</f>
        <v/>
      </c>
      <c r="J362" s="113">
        <f>RAND()*nCodSlipMaxMo</f>
        <v/>
      </c>
      <c r="K362" s="114">
        <f>nAvailDrawMin+RAND()*(nAvailDrawMax-nAvailDrawMin)</f>
        <v/>
      </c>
      <c r="L362" s="45">
        <f>IF(2034&lt;sNsmrCodU1+J362/12,0,(nNsmrCap+nNsmrOpx*(1+sNsmrOpxEsc)^8+nNsmrFuel*FuelEsc*(1+nFuelCagr)^8-nNsmrItc)*IF(2034&lt;sNsmrCodU1+J362/12+nStepFirst,1,IF(nStepGated="Yes",(1+nStepPct)^(INT((2034-sNsmrCodU1-J362/12-nStepFirst)/nStepEvery)+1),1))+nExclPrem*(1-nFlexRelief)-nProdCredit)</f>
        <v/>
      </c>
      <c r="M362" s="63">
        <f>MIN(nShortfallCapM,MAX(0,sNsmrAvailY2-K362)*sNsmrUnitMw*sNsmrUnits*8760*NsmrPrice2033/1000000)</f>
        <v/>
      </c>
      <c r="N362" s="82">
        <f>IF(RAND()&lt;0.5,nUsefulLifeDrawBase-(nUsefulLifeDrawBase-nUsefulLifeDrawMin)*BETA.INV(RAND(),1.15,1.15),nUsefulLifeDrawBase+(nUsefulLifeDrawMax-nUsefulLifeDrawBase)*BETA.INV(RAND(),1.15,1.15))</f>
        <v/>
      </c>
      <c r="O362" s="45">
        <f>((nInference*nGpuIdx+nAmort)*nUtilCal/D362)*(nUsefulLifeDrawBase/N362-1)</f>
        <v/>
      </c>
      <c r="P362" s="1" t="n"/>
      <c r="Q362" s="1" t="n"/>
      <c r="R362" s="1" t="n"/>
      <c r="S362" s="1" t="n"/>
      <c r="T362" s="1" t="n"/>
      <c r="U362" s="1" t="n"/>
    </row>
    <row r="363" ht="12" customHeight="1">
      <c r="A363" s="1" t="n"/>
      <c r="B363" s="38" t="n">
        <v>343</v>
      </c>
      <c r="C363" s="114">
        <f>Assumptions!$F$8+RAND()*(Assumptions!$D$8-Assumptions!$F$8)</f>
        <v/>
      </c>
      <c r="D363" s="114">
        <f>Assumptions!$D$9+RAND()*(Assumptions!$F$9-Assumptions!$D$9)</f>
        <v/>
      </c>
      <c r="E363" s="71">
        <f>Assumptions!$F$11+RAND()*(Assumptions!$D$11-Assumptions!$F$11)</f>
        <v/>
      </c>
      <c r="F363" s="45">
        <f>nListPrice*(1-C363)-(nInference*nGpuIdx+nAmort)*nUtilCal/D363-nNetworking-nOverheadBase*(E363/nPowerCal)-nCodBase*(1+I363/12)-O363</f>
        <v/>
      </c>
      <c r="G363" s="66">
        <f>MAX(F363,0)/nDebtService</f>
        <v/>
      </c>
      <c r="H363" s="71">
        <f>Anthropic!$J$18*Anthropic!$J$27+Anthropic!$J$19*Anthropic!$J$28+Anthropic!$J$20*Anthropic!$J$29+Anthropic!$J$21*E363*(1+nPowerCagr)^4*(1+nResidualBasisMarkup+nScarcityAlpha*POWER(Anthropic!$J$21,nScarcityGamma))</f>
        <v/>
      </c>
      <c r="I363" s="113">
        <f>Assumptions!$F$10+RAND()*(Assumptions!$D$10-Assumptions!$F$10)</f>
        <v/>
      </c>
      <c r="J363" s="113">
        <f>RAND()*nCodSlipMaxMo</f>
        <v/>
      </c>
      <c r="K363" s="114">
        <f>nAvailDrawMin+RAND()*(nAvailDrawMax-nAvailDrawMin)</f>
        <v/>
      </c>
      <c r="L363" s="45">
        <f>IF(2034&lt;sNsmrCodU1+J363/12,0,(nNsmrCap+nNsmrOpx*(1+sNsmrOpxEsc)^8+nNsmrFuel*FuelEsc*(1+nFuelCagr)^8-nNsmrItc)*IF(2034&lt;sNsmrCodU1+J363/12+nStepFirst,1,IF(nStepGated="Yes",(1+nStepPct)^(INT((2034-sNsmrCodU1-J363/12-nStepFirst)/nStepEvery)+1),1))+nExclPrem*(1-nFlexRelief)-nProdCredit)</f>
        <v/>
      </c>
      <c r="M363" s="63">
        <f>MIN(nShortfallCapM,MAX(0,sNsmrAvailY2-K363)*sNsmrUnitMw*sNsmrUnits*8760*NsmrPrice2033/1000000)</f>
        <v/>
      </c>
      <c r="N363" s="82">
        <f>IF(RAND()&lt;0.5,nUsefulLifeDrawBase-(nUsefulLifeDrawBase-nUsefulLifeDrawMin)*BETA.INV(RAND(),1.15,1.15),nUsefulLifeDrawBase+(nUsefulLifeDrawMax-nUsefulLifeDrawBase)*BETA.INV(RAND(),1.15,1.15))</f>
        <v/>
      </c>
      <c r="O363" s="45">
        <f>((nInference*nGpuIdx+nAmort)*nUtilCal/D363)*(nUsefulLifeDrawBase/N363-1)</f>
        <v/>
      </c>
      <c r="P363" s="1" t="n"/>
      <c r="Q363" s="1" t="n"/>
      <c r="R363" s="1" t="n"/>
      <c r="S363" s="1" t="n"/>
      <c r="T363" s="1" t="n"/>
      <c r="U363" s="1" t="n"/>
    </row>
    <row r="364" ht="12" customHeight="1">
      <c r="A364" s="1" t="n"/>
      <c r="B364" s="38" t="n">
        <v>344</v>
      </c>
      <c r="C364" s="114">
        <f>Assumptions!$F$8+RAND()*(Assumptions!$D$8-Assumptions!$F$8)</f>
        <v/>
      </c>
      <c r="D364" s="114">
        <f>Assumptions!$D$9+RAND()*(Assumptions!$F$9-Assumptions!$D$9)</f>
        <v/>
      </c>
      <c r="E364" s="71">
        <f>Assumptions!$F$11+RAND()*(Assumptions!$D$11-Assumptions!$F$11)</f>
        <v/>
      </c>
      <c r="F364" s="45">
        <f>nListPrice*(1-C364)-(nInference*nGpuIdx+nAmort)*nUtilCal/D364-nNetworking-nOverheadBase*(E364/nPowerCal)-nCodBase*(1+I364/12)-O364</f>
        <v/>
      </c>
      <c r="G364" s="66">
        <f>MAX(F364,0)/nDebtService</f>
        <v/>
      </c>
      <c r="H364" s="71">
        <f>Anthropic!$J$18*Anthropic!$J$27+Anthropic!$J$19*Anthropic!$J$28+Anthropic!$J$20*Anthropic!$J$29+Anthropic!$J$21*E364*(1+nPowerCagr)^4*(1+nResidualBasisMarkup+nScarcityAlpha*POWER(Anthropic!$J$21,nScarcityGamma))</f>
        <v/>
      </c>
      <c r="I364" s="113">
        <f>Assumptions!$F$10+RAND()*(Assumptions!$D$10-Assumptions!$F$10)</f>
        <v/>
      </c>
      <c r="J364" s="113">
        <f>RAND()*nCodSlipMaxMo</f>
        <v/>
      </c>
      <c r="K364" s="114">
        <f>nAvailDrawMin+RAND()*(nAvailDrawMax-nAvailDrawMin)</f>
        <v/>
      </c>
      <c r="L364" s="45">
        <f>IF(2034&lt;sNsmrCodU1+J364/12,0,(nNsmrCap+nNsmrOpx*(1+sNsmrOpxEsc)^8+nNsmrFuel*FuelEsc*(1+nFuelCagr)^8-nNsmrItc)*IF(2034&lt;sNsmrCodU1+J364/12+nStepFirst,1,IF(nStepGated="Yes",(1+nStepPct)^(INT((2034-sNsmrCodU1-J364/12-nStepFirst)/nStepEvery)+1),1))+nExclPrem*(1-nFlexRelief)-nProdCredit)</f>
        <v/>
      </c>
      <c r="M364" s="63">
        <f>MIN(nShortfallCapM,MAX(0,sNsmrAvailY2-K364)*sNsmrUnitMw*sNsmrUnits*8760*NsmrPrice2033/1000000)</f>
        <v/>
      </c>
      <c r="N364" s="82">
        <f>IF(RAND()&lt;0.5,nUsefulLifeDrawBase-(nUsefulLifeDrawBase-nUsefulLifeDrawMin)*BETA.INV(RAND(),1.15,1.15),nUsefulLifeDrawBase+(nUsefulLifeDrawMax-nUsefulLifeDrawBase)*BETA.INV(RAND(),1.15,1.15))</f>
        <v/>
      </c>
      <c r="O364" s="45">
        <f>((nInference*nGpuIdx+nAmort)*nUtilCal/D364)*(nUsefulLifeDrawBase/N364-1)</f>
        <v/>
      </c>
      <c r="P364" s="1" t="n"/>
      <c r="Q364" s="1" t="n"/>
      <c r="R364" s="1" t="n"/>
      <c r="S364" s="1" t="n"/>
      <c r="T364" s="1" t="n"/>
      <c r="U364" s="1" t="n"/>
    </row>
    <row r="365" ht="12" customHeight="1">
      <c r="A365" s="1" t="n"/>
      <c r="B365" s="38" t="n">
        <v>345</v>
      </c>
      <c r="C365" s="114">
        <f>Assumptions!$F$8+RAND()*(Assumptions!$D$8-Assumptions!$F$8)</f>
        <v/>
      </c>
      <c r="D365" s="114">
        <f>Assumptions!$D$9+RAND()*(Assumptions!$F$9-Assumptions!$D$9)</f>
        <v/>
      </c>
      <c r="E365" s="71">
        <f>Assumptions!$F$11+RAND()*(Assumptions!$D$11-Assumptions!$F$11)</f>
        <v/>
      </c>
      <c r="F365" s="45">
        <f>nListPrice*(1-C365)-(nInference*nGpuIdx+nAmort)*nUtilCal/D365-nNetworking-nOverheadBase*(E365/nPowerCal)-nCodBase*(1+I365/12)-O365</f>
        <v/>
      </c>
      <c r="G365" s="66">
        <f>MAX(F365,0)/nDebtService</f>
        <v/>
      </c>
      <c r="H365" s="71">
        <f>Anthropic!$J$18*Anthropic!$J$27+Anthropic!$J$19*Anthropic!$J$28+Anthropic!$J$20*Anthropic!$J$29+Anthropic!$J$21*E365*(1+nPowerCagr)^4*(1+nResidualBasisMarkup+nScarcityAlpha*POWER(Anthropic!$J$21,nScarcityGamma))</f>
        <v/>
      </c>
      <c r="I365" s="113">
        <f>Assumptions!$F$10+RAND()*(Assumptions!$D$10-Assumptions!$F$10)</f>
        <v/>
      </c>
      <c r="J365" s="113">
        <f>RAND()*nCodSlipMaxMo</f>
        <v/>
      </c>
      <c r="K365" s="114">
        <f>nAvailDrawMin+RAND()*(nAvailDrawMax-nAvailDrawMin)</f>
        <v/>
      </c>
      <c r="L365" s="45">
        <f>IF(2034&lt;sNsmrCodU1+J365/12,0,(nNsmrCap+nNsmrOpx*(1+sNsmrOpxEsc)^8+nNsmrFuel*FuelEsc*(1+nFuelCagr)^8-nNsmrItc)*IF(2034&lt;sNsmrCodU1+J365/12+nStepFirst,1,IF(nStepGated="Yes",(1+nStepPct)^(INT((2034-sNsmrCodU1-J365/12-nStepFirst)/nStepEvery)+1),1))+nExclPrem*(1-nFlexRelief)-nProdCredit)</f>
        <v/>
      </c>
      <c r="M365" s="63">
        <f>MIN(nShortfallCapM,MAX(0,sNsmrAvailY2-K365)*sNsmrUnitMw*sNsmrUnits*8760*NsmrPrice2033/1000000)</f>
        <v/>
      </c>
      <c r="N365" s="82">
        <f>IF(RAND()&lt;0.5,nUsefulLifeDrawBase-(nUsefulLifeDrawBase-nUsefulLifeDrawMin)*BETA.INV(RAND(),1.15,1.15),nUsefulLifeDrawBase+(nUsefulLifeDrawMax-nUsefulLifeDrawBase)*BETA.INV(RAND(),1.15,1.15))</f>
        <v/>
      </c>
      <c r="O365" s="45">
        <f>((nInference*nGpuIdx+nAmort)*nUtilCal/D365)*(nUsefulLifeDrawBase/N365-1)</f>
        <v/>
      </c>
      <c r="P365" s="1" t="n"/>
      <c r="Q365" s="1" t="n"/>
      <c r="R365" s="1" t="n"/>
      <c r="S365" s="1" t="n"/>
      <c r="T365" s="1" t="n"/>
      <c r="U365" s="1" t="n"/>
    </row>
    <row r="366" ht="12" customHeight="1">
      <c r="A366" s="1" t="n"/>
      <c r="B366" s="38" t="n">
        <v>346</v>
      </c>
      <c r="C366" s="114">
        <f>Assumptions!$F$8+RAND()*(Assumptions!$D$8-Assumptions!$F$8)</f>
        <v/>
      </c>
      <c r="D366" s="114">
        <f>Assumptions!$D$9+RAND()*(Assumptions!$F$9-Assumptions!$D$9)</f>
        <v/>
      </c>
      <c r="E366" s="71">
        <f>Assumptions!$F$11+RAND()*(Assumptions!$D$11-Assumptions!$F$11)</f>
        <v/>
      </c>
      <c r="F366" s="45">
        <f>nListPrice*(1-C366)-(nInference*nGpuIdx+nAmort)*nUtilCal/D366-nNetworking-nOverheadBase*(E366/nPowerCal)-nCodBase*(1+I366/12)-O366</f>
        <v/>
      </c>
      <c r="G366" s="66">
        <f>MAX(F366,0)/nDebtService</f>
        <v/>
      </c>
      <c r="H366" s="71">
        <f>Anthropic!$J$18*Anthropic!$J$27+Anthropic!$J$19*Anthropic!$J$28+Anthropic!$J$20*Anthropic!$J$29+Anthropic!$J$21*E366*(1+nPowerCagr)^4*(1+nResidualBasisMarkup+nScarcityAlpha*POWER(Anthropic!$J$21,nScarcityGamma))</f>
        <v/>
      </c>
      <c r="I366" s="113">
        <f>Assumptions!$F$10+RAND()*(Assumptions!$D$10-Assumptions!$F$10)</f>
        <v/>
      </c>
      <c r="J366" s="113">
        <f>RAND()*nCodSlipMaxMo</f>
        <v/>
      </c>
      <c r="K366" s="114">
        <f>nAvailDrawMin+RAND()*(nAvailDrawMax-nAvailDrawMin)</f>
        <v/>
      </c>
      <c r="L366" s="45">
        <f>IF(2034&lt;sNsmrCodU1+J366/12,0,(nNsmrCap+nNsmrOpx*(1+sNsmrOpxEsc)^8+nNsmrFuel*FuelEsc*(1+nFuelCagr)^8-nNsmrItc)*IF(2034&lt;sNsmrCodU1+J366/12+nStepFirst,1,IF(nStepGated="Yes",(1+nStepPct)^(INT((2034-sNsmrCodU1-J366/12-nStepFirst)/nStepEvery)+1),1))+nExclPrem*(1-nFlexRelief)-nProdCredit)</f>
        <v/>
      </c>
      <c r="M366" s="63">
        <f>MIN(nShortfallCapM,MAX(0,sNsmrAvailY2-K366)*sNsmrUnitMw*sNsmrUnits*8760*NsmrPrice2033/1000000)</f>
        <v/>
      </c>
      <c r="N366" s="82">
        <f>IF(RAND()&lt;0.5,nUsefulLifeDrawBase-(nUsefulLifeDrawBase-nUsefulLifeDrawMin)*BETA.INV(RAND(),1.15,1.15),nUsefulLifeDrawBase+(nUsefulLifeDrawMax-nUsefulLifeDrawBase)*BETA.INV(RAND(),1.15,1.15))</f>
        <v/>
      </c>
      <c r="O366" s="45">
        <f>((nInference*nGpuIdx+nAmort)*nUtilCal/D366)*(nUsefulLifeDrawBase/N366-1)</f>
        <v/>
      </c>
      <c r="P366" s="1" t="n"/>
      <c r="Q366" s="1" t="n"/>
      <c r="R366" s="1" t="n"/>
      <c r="S366" s="1" t="n"/>
      <c r="T366" s="1" t="n"/>
      <c r="U366" s="1" t="n"/>
    </row>
    <row r="367" ht="12" customHeight="1">
      <c r="A367" s="1" t="n"/>
      <c r="B367" s="38" t="n">
        <v>347</v>
      </c>
      <c r="C367" s="114">
        <f>Assumptions!$F$8+RAND()*(Assumptions!$D$8-Assumptions!$F$8)</f>
        <v/>
      </c>
      <c r="D367" s="114">
        <f>Assumptions!$D$9+RAND()*(Assumptions!$F$9-Assumptions!$D$9)</f>
        <v/>
      </c>
      <c r="E367" s="71">
        <f>Assumptions!$F$11+RAND()*(Assumptions!$D$11-Assumptions!$F$11)</f>
        <v/>
      </c>
      <c r="F367" s="45">
        <f>nListPrice*(1-C367)-(nInference*nGpuIdx+nAmort)*nUtilCal/D367-nNetworking-nOverheadBase*(E367/nPowerCal)-nCodBase*(1+I367/12)-O367</f>
        <v/>
      </c>
      <c r="G367" s="66">
        <f>MAX(F367,0)/nDebtService</f>
        <v/>
      </c>
      <c r="H367" s="71">
        <f>Anthropic!$J$18*Anthropic!$J$27+Anthropic!$J$19*Anthropic!$J$28+Anthropic!$J$20*Anthropic!$J$29+Anthropic!$J$21*E367*(1+nPowerCagr)^4*(1+nResidualBasisMarkup+nScarcityAlpha*POWER(Anthropic!$J$21,nScarcityGamma))</f>
        <v/>
      </c>
      <c r="I367" s="113">
        <f>Assumptions!$F$10+RAND()*(Assumptions!$D$10-Assumptions!$F$10)</f>
        <v/>
      </c>
      <c r="J367" s="113">
        <f>RAND()*nCodSlipMaxMo</f>
        <v/>
      </c>
      <c r="K367" s="114">
        <f>nAvailDrawMin+RAND()*(nAvailDrawMax-nAvailDrawMin)</f>
        <v/>
      </c>
      <c r="L367" s="45">
        <f>IF(2034&lt;sNsmrCodU1+J367/12,0,(nNsmrCap+nNsmrOpx*(1+sNsmrOpxEsc)^8+nNsmrFuel*FuelEsc*(1+nFuelCagr)^8-nNsmrItc)*IF(2034&lt;sNsmrCodU1+J367/12+nStepFirst,1,IF(nStepGated="Yes",(1+nStepPct)^(INT((2034-sNsmrCodU1-J367/12-nStepFirst)/nStepEvery)+1),1))+nExclPrem*(1-nFlexRelief)-nProdCredit)</f>
        <v/>
      </c>
      <c r="M367" s="63">
        <f>MIN(nShortfallCapM,MAX(0,sNsmrAvailY2-K367)*sNsmrUnitMw*sNsmrUnits*8760*NsmrPrice2033/1000000)</f>
        <v/>
      </c>
      <c r="N367" s="82">
        <f>IF(RAND()&lt;0.5,nUsefulLifeDrawBase-(nUsefulLifeDrawBase-nUsefulLifeDrawMin)*BETA.INV(RAND(),1.15,1.15),nUsefulLifeDrawBase+(nUsefulLifeDrawMax-nUsefulLifeDrawBase)*BETA.INV(RAND(),1.15,1.15))</f>
        <v/>
      </c>
      <c r="O367" s="45">
        <f>((nInference*nGpuIdx+nAmort)*nUtilCal/D367)*(nUsefulLifeDrawBase/N367-1)</f>
        <v/>
      </c>
      <c r="P367" s="1" t="n"/>
      <c r="Q367" s="1" t="n"/>
      <c r="R367" s="1" t="n"/>
      <c r="S367" s="1" t="n"/>
      <c r="T367" s="1" t="n"/>
      <c r="U367" s="1" t="n"/>
    </row>
    <row r="368" ht="12" customHeight="1">
      <c r="A368" s="1" t="n"/>
      <c r="B368" s="38" t="n">
        <v>348</v>
      </c>
      <c r="C368" s="114">
        <f>Assumptions!$F$8+RAND()*(Assumptions!$D$8-Assumptions!$F$8)</f>
        <v/>
      </c>
      <c r="D368" s="114">
        <f>Assumptions!$D$9+RAND()*(Assumptions!$F$9-Assumptions!$D$9)</f>
        <v/>
      </c>
      <c r="E368" s="71">
        <f>Assumptions!$F$11+RAND()*(Assumptions!$D$11-Assumptions!$F$11)</f>
        <v/>
      </c>
      <c r="F368" s="45">
        <f>nListPrice*(1-C368)-(nInference*nGpuIdx+nAmort)*nUtilCal/D368-nNetworking-nOverheadBase*(E368/nPowerCal)-nCodBase*(1+I368/12)-O368</f>
        <v/>
      </c>
      <c r="G368" s="66">
        <f>MAX(F368,0)/nDebtService</f>
        <v/>
      </c>
      <c r="H368" s="71">
        <f>Anthropic!$J$18*Anthropic!$J$27+Anthropic!$J$19*Anthropic!$J$28+Anthropic!$J$20*Anthropic!$J$29+Anthropic!$J$21*E368*(1+nPowerCagr)^4*(1+nResidualBasisMarkup+nScarcityAlpha*POWER(Anthropic!$J$21,nScarcityGamma))</f>
        <v/>
      </c>
      <c r="I368" s="113">
        <f>Assumptions!$F$10+RAND()*(Assumptions!$D$10-Assumptions!$F$10)</f>
        <v/>
      </c>
      <c r="J368" s="113">
        <f>RAND()*nCodSlipMaxMo</f>
        <v/>
      </c>
      <c r="K368" s="114">
        <f>nAvailDrawMin+RAND()*(nAvailDrawMax-nAvailDrawMin)</f>
        <v/>
      </c>
      <c r="L368" s="45">
        <f>IF(2034&lt;sNsmrCodU1+J368/12,0,(nNsmrCap+nNsmrOpx*(1+sNsmrOpxEsc)^8+nNsmrFuel*FuelEsc*(1+nFuelCagr)^8-nNsmrItc)*IF(2034&lt;sNsmrCodU1+J368/12+nStepFirst,1,IF(nStepGated="Yes",(1+nStepPct)^(INT((2034-sNsmrCodU1-J368/12-nStepFirst)/nStepEvery)+1),1))+nExclPrem*(1-nFlexRelief)-nProdCredit)</f>
        <v/>
      </c>
      <c r="M368" s="63">
        <f>MIN(nShortfallCapM,MAX(0,sNsmrAvailY2-K368)*sNsmrUnitMw*sNsmrUnits*8760*NsmrPrice2033/1000000)</f>
        <v/>
      </c>
      <c r="N368" s="82">
        <f>IF(RAND()&lt;0.5,nUsefulLifeDrawBase-(nUsefulLifeDrawBase-nUsefulLifeDrawMin)*BETA.INV(RAND(),1.15,1.15),nUsefulLifeDrawBase+(nUsefulLifeDrawMax-nUsefulLifeDrawBase)*BETA.INV(RAND(),1.15,1.15))</f>
        <v/>
      </c>
      <c r="O368" s="45">
        <f>((nInference*nGpuIdx+nAmort)*nUtilCal/D368)*(nUsefulLifeDrawBase/N368-1)</f>
        <v/>
      </c>
      <c r="P368" s="1" t="n"/>
      <c r="Q368" s="1" t="n"/>
      <c r="R368" s="1" t="n"/>
      <c r="S368" s="1" t="n"/>
      <c r="T368" s="1" t="n"/>
      <c r="U368" s="1" t="n"/>
    </row>
    <row r="369" ht="12" customHeight="1">
      <c r="A369" s="1" t="n"/>
      <c r="B369" s="38" t="n">
        <v>349</v>
      </c>
      <c r="C369" s="114">
        <f>Assumptions!$F$8+RAND()*(Assumptions!$D$8-Assumptions!$F$8)</f>
        <v/>
      </c>
      <c r="D369" s="114">
        <f>Assumptions!$D$9+RAND()*(Assumptions!$F$9-Assumptions!$D$9)</f>
        <v/>
      </c>
      <c r="E369" s="71">
        <f>Assumptions!$F$11+RAND()*(Assumptions!$D$11-Assumptions!$F$11)</f>
        <v/>
      </c>
      <c r="F369" s="45">
        <f>nListPrice*(1-C369)-(nInference*nGpuIdx+nAmort)*nUtilCal/D369-nNetworking-nOverheadBase*(E369/nPowerCal)-nCodBase*(1+I369/12)-O369</f>
        <v/>
      </c>
      <c r="G369" s="66">
        <f>MAX(F369,0)/nDebtService</f>
        <v/>
      </c>
      <c r="H369" s="71">
        <f>Anthropic!$J$18*Anthropic!$J$27+Anthropic!$J$19*Anthropic!$J$28+Anthropic!$J$20*Anthropic!$J$29+Anthropic!$J$21*E369*(1+nPowerCagr)^4*(1+nResidualBasisMarkup+nScarcityAlpha*POWER(Anthropic!$J$21,nScarcityGamma))</f>
        <v/>
      </c>
      <c r="I369" s="113">
        <f>Assumptions!$F$10+RAND()*(Assumptions!$D$10-Assumptions!$F$10)</f>
        <v/>
      </c>
      <c r="J369" s="113">
        <f>RAND()*nCodSlipMaxMo</f>
        <v/>
      </c>
      <c r="K369" s="114">
        <f>nAvailDrawMin+RAND()*(nAvailDrawMax-nAvailDrawMin)</f>
        <v/>
      </c>
      <c r="L369" s="45">
        <f>IF(2034&lt;sNsmrCodU1+J369/12,0,(nNsmrCap+nNsmrOpx*(1+sNsmrOpxEsc)^8+nNsmrFuel*FuelEsc*(1+nFuelCagr)^8-nNsmrItc)*IF(2034&lt;sNsmrCodU1+J369/12+nStepFirst,1,IF(nStepGated="Yes",(1+nStepPct)^(INT((2034-sNsmrCodU1-J369/12-nStepFirst)/nStepEvery)+1),1))+nExclPrem*(1-nFlexRelief)-nProdCredit)</f>
        <v/>
      </c>
      <c r="M369" s="63">
        <f>MIN(nShortfallCapM,MAX(0,sNsmrAvailY2-K369)*sNsmrUnitMw*sNsmrUnits*8760*NsmrPrice2033/1000000)</f>
        <v/>
      </c>
      <c r="N369" s="82">
        <f>IF(RAND()&lt;0.5,nUsefulLifeDrawBase-(nUsefulLifeDrawBase-nUsefulLifeDrawMin)*BETA.INV(RAND(),1.15,1.15),nUsefulLifeDrawBase+(nUsefulLifeDrawMax-nUsefulLifeDrawBase)*BETA.INV(RAND(),1.15,1.15))</f>
        <v/>
      </c>
      <c r="O369" s="45">
        <f>((nInference*nGpuIdx+nAmort)*nUtilCal/D369)*(nUsefulLifeDrawBase/N369-1)</f>
        <v/>
      </c>
      <c r="P369" s="1" t="n"/>
      <c r="Q369" s="1" t="n"/>
      <c r="R369" s="1" t="n"/>
      <c r="S369" s="1" t="n"/>
      <c r="T369" s="1" t="n"/>
      <c r="U369" s="1" t="n"/>
    </row>
    <row r="370" ht="12" customHeight="1">
      <c r="A370" s="1" t="n"/>
      <c r="B370" s="38" t="n">
        <v>350</v>
      </c>
      <c r="C370" s="114">
        <f>Assumptions!$F$8+RAND()*(Assumptions!$D$8-Assumptions!$F$8)</f>
        <v/>
      </c>
      <c r="D370" s="114">
        <f>Assumptions!$D$9+RAND()*(Assumptions!$F$9-Assumptions!$D$9)</f>
        <v/>
      </c>
      <c r="E370" s="71">
        <f>Assumptions!$F$11+RAND()*(Assumptions!$D$11-Assumptions!$F$11)</f>
        <v/>
      </c>
      <c r="F370" s="45">
        <f>nListPrice*(1-C370)-(nInference*nGpuIdx+nAmort)*nUtilCal/D370-nNetworking-nOverheadBase*(E370/nPowerCal)-nCodBase*(1+I370/12)-O370</f>
        <v/>
      </c>
      <c r="G370" s="66">
        <f>MAX(F370,0)/nDebtService</f>
        <v/>
      </c>
      <c r="H370" s="71">
        <f>Anthropic!$J$18*Anthropic!$J$27+Anthropic!$J$19*Anthropic!$J$28+Anthropic!$J$20*Anthropic!$J$29+Anthropic!$J$21*E370*(1+nPowerCagr)^4*(1+nResidualBasisMarkup+nScarcityAlpha*POWER(Anthropic!$J$21,nScarcityGamma))</f>
        <v/>
      </c>
      <c r="I370" s="113">
        <f>Assumptions!$F$10+RAND()*(Assumptions!$D$10-Assumptions!$F$10)</f>
        <v/>
      </c>
      <c r="J370" s="113">
        <f>RAND()*nCodSlipMaxMo</f>
        <v/>
      </c>
      <c r="K370" s="114">
        <f>nAvailDrawMin+RAND()*(nAvailDrawMax-nAvailDrawMin)</f>
        <v/>
      </c>
      <c r="L370" s="45">
        <f>IF(2034&lt;sNsmrCodU1+J370/12,0,(nNsmrCap+nNsmrOpx*(1+sNsmrOpxEsc)^8+nNsmrFuel*FuelEsc*(1+nFuelCagr)^8-nNsmrItc)*IF(2034&lt;sNsmrCodU1+J370/12+nStepFirst,1,IF(nStepGated="Yes",(1+nStepPct)^(INT((2034-sNsmrCodU1-J370/12-nStepFirst)/nStepEvery)+1),1))+nExclPrem*(1-nFlexRelief)-nProdCredit)</f>
        <v/>
      </c>
      <c r="M370" s="63">
        <f>MIN(nShortfallCapM,MAX(0,sNsmrAvailY2-K370)*sNsmrUnitMw*sNsmrUnits*8760*NsmrPrice2033/1000000)</f>
        <v/>
      </c>
      <c r="N370" s="82">
        <f>IF(RAND()&lt;0.5,nUsefulLifeDrawBase-(nUsefulLifeDrawBase-nUsefulLifeDrawMin)*BETA.INV(RAND(),1.15,1.15),nUsefulLifeDrawBase+(nUsefulLifeDrawMax-nUsefulLifeDrawBase)*BETA.INV(RAND(),1.15,1.15))</f>
        <v/>
      </c>
      <c r="O370" s="45">
        <f>((nInference*nGpuIdx+nAmort)*nUtilCal/D370)*(nUsefulLifeDrawBase/N370-1)</f>
        <v/>
      </c>
      <c r="P370" s="1" t="n"/>
      <c r="Q370" s="1" t="n"/>
      <c r="R370" s="1" t="n"/>
      <c r="S370" s="1" t="n"/>
      <c r="T370" s="1" t="n"/>
      <c r="U370" s="1" t="n"/>
    </row>
    <row r="371" ht="12" customHeight="1">
      <c r="A371" s="1" t="n"/>
      <c r="B371" s="38" t="n">
        <v>351</v>
      </c>
      <c r="C371" s="114">
        <f>Assumptions!$F$8+RAND()*(Assumptions!$D$8-Assumptions!$F$8)</f>
        <v/>
      </c>
      <c r="D371" s="114">
        <f>Assumptions!$D$9+RAND()*(Assumptions!$F$9-Assumptions!$D$9)</f>
        <v/>
      </c>
      <c r="E371" s="71">
        <f>Assumptions!$F$11+RAND()*(Assumptions!$D$11-Assumptions!$F$11)</f>
        <v/>
      </c>
      <c r="F371" s="45">
        <f>nListPrice*(1-C371)-(nInference*nGpuIdx+nAmort)*nUtilCal/D371-nNetworking-nOverheadBase*(E371/nPowerCal)-nCodBase*(1+I371/12)-O371</f>
        <v/>
      </c>
      <c r="G371" s="66">
        <f>MAX(F371,0)/nDebtService</f>
        <v/>
      </c>
      <c r="H371" s="71">
        <f>Anthropic!$J$18*Anthropic!$J$27+Anthropic!$J$19*Anthropic!$J$28+Anthropic!$J$20*Anthropic!$J$29+Anthropic!$J$21*E371*(1+nPowerCagr)^4*(1+nResidualBasisMarkup+nScarcityAlpha*POWER(Anthropic!$J$21,nScarcityGamma))</f>
        <v/>
      </c>
      <c r="I371" s="113">
        <f>Assumptions!$F$10+RAND()*(Assumptions!$D$10-Assumptions!$F$10)</f>
        <v/>
      </c>
      <c r="J371" s="113">
        <f>RAND()*nCodSlipMaxMo</f>
        <v/>
      </c>
      <c r="K371" s="114">
        <f>nAvailDrawMin+RAND()*(nAvailDrawMax-nAvailDrawMin)</f>
        <v/>
      </c>
      <c r="L371" s="45">
        <f>IF(2034&lt;sNsmrCodU1+J371/12,0,(nNsmrCap+nNsmrOpx*(1+sNsmrOpxEsc)^8+nNsmrFuel*FuelEsc*(1+nFuelCagr)^8-nNsmrItc)*IF(2034&lt;sNsmrCodU1+J371/12+nStepFirst,1,IF(nStepGated="Yes",(1+nStepPct)^(INT((2034-sNsmrCodU1-J371/12-nStepFirst)/nStepEvery)+1),1))+nExclPrem*(1-nFlexRelief)-nProdCredit)</f>
        <v/>
      </c>
      <c r="M371" s="63">
        <f>MIN(nShortfallCapM,MAX(0,sNsmrAvailY2-K371)*sNsmrUnitMw*sNsmrUnits*8760*NsmrPrice2033/1000000)</f>
        <v/>
      </c>
      <c r="N371" s="82">
        <f>IF(RAND()&lt;0.5,nUsefulLifeDrawBase-(nUsefulLifeDrawBase-nUsefulLifeDrawMin)*BETA.INV(RAND(),1.15,1.15),nUsefulLifeDrawBase+(nUsefulLifeDrawMax-nUsefulLifeDrawBase)*BETA.INV(RAND(),1.15,1.15))</f>
        <v/>
      </c>
      <c r="O371" s="45">
        <f>((nInference*nGpuIdx+nAmort)*nUtilCal/D371)*(nUsefulLifeDrawBase/N371-1)</f>
        <v/>
      </c>
      <c r="P371" s="1" t="n"/>
      <c r="Q371" s="1" t="n"/>
      <c r="R371" s="1" t="n"/>
      <c r="S371" s="1" t="n"/>
      <c r="T371" s="1" t="n"/>
      <c r="U371" s="1" t="n"/>
    </row>
    <row r="372" ht="12" customHeight="1">
      <c r="A372" s="1" t="n"/>
      <c r="B372" s="38" t="n">
        <v>352</v>
      </c>
      <c r="C372" s="114">
        <f>Assumptions!$F$8+RAND()*(Assumptions!$D$8-Assumptions!$F$8)</f>
        <v/>
      </c>
      <c r="D372" s="114">
        <f>Assumptions!$D$9+RAND()*(Assumptions!$F$9-Assumptions!$D$9)</f>
        <v/>
      </c>
      <c r="E372" s="71">
        <f>Assumptions!$F$11+RAND()*(Assumptions!$D$11-Assumptions!$F$11)</f>
        <v/>
      </c>
      <c r="F372" s="45">
        <f>nListPrice*(1-C372)-(nInference*nGpuIdx+nAmort)*nUtilCal/D372-nNetworking-nOverheadBase*(E372/nPowerCal)-nCodBase*(1+I372/12)-O372</f>
        <v/>
      </c>
      <c r="G372" s="66">
        <f>MAX(F372,0)/nDebtService</f>
        <v/>
      </c>
      <c r="H372" s="71">
        <f>Anthropic!$J$18*Anthropic!$J$27+Anthropic!$J$19*Anthropic!$J$28+Anthropic!$J$20*Anthropic!$J$29+Anthropic!$J$21*E372*(1+nPowerCagr)^4*(1+nResidualBasisMarkup+nScarcityAlpha*POWER(Anthropic!$J$21,nScarcityGamma))</f>
        <v/>
      </c>
      <c r="I372" s="113">
        <f>Assumptions!$F$10+RAND()*(Assumptions!$D$10-Assumptions!$F$10)</f>
        <v/>
      </c>
      <c r="J372" s="113">
        <f>RAND()*nCodSlipMaxMo</f>
        <v/>
      </c>
      <c r="K372" s="114">
        <f>nAvailDrawMin+RAND()*(nAvailDrawMax-nAvailDrawMin)</f>
        <v/>
      </c>
      <c r="L372" s="45">
        <f>IF(2034&lt;sNsmrCodU1+J372/12,0,(nNsmrCap+nNsmrOpx*(1+sNsmrOpxEsc)^8+nNsmrFuel*FuelEsc*(1+nFuelCagr)^8-nNsmrItc)*IF(2034&lt;sNsmrCodU1+J372/12+nStepFirst,1,IF(nStepGated="Yes",(1+nStepPct)^(INT((2034-sNsmrCodU1-J372/12-nStepFirst)/nStepEvery)+1),1))+nExclPrem*(1-nFlexRelief)-nProdCredit)</f>
        <v/>
      </c>
      <c r="M372" s="63">
        <f>MIN(nShortfallCapM,MAX(0,sNsmrAvailY2-K372)*sNsmrUnitMw*sNsmrUnits*8760*NsmrPrice2033/1000000)</f>
        <v/>
      </c>
      <c r="N372" s="82">
        <f>IF(RAND()&lt;0.5,nUsefulLifeDrawBase-(nUsefulLifeDrawBase-nUsefulLifeDrawMin)*BETA.INV(RAND(),1.15,1.15),nUsefulLifeDrawBase+(nUsefulLifeDrawMax-nUsefulLifeDrawBase)*BETA.INV(RAND(),1.15,1.15))</f>
        <v/>
      </c>
      <c r="O372" s="45">
        <f>((nInference*nGpuIdx+nAmort)*nUtilCal/D372)*(nUsefulLifeDrawBase/N372-1)</f>
        <v/>
      </c>
      <c r="P372" s="1" t="n"/>
      <c r="Q372" s="1" t="n"/>
      <c r="R372" s="1" t="n"/>
      <c r="S372" s="1" t="n"/>
      <c r="T372" s="1" t="n"/>
      <c r="U372" s="1" t="n"/>
    </row>
    <row r="373" ht="12" customHeight="1">
      <c r="A373" s="1" t="n"/>
      <c r="B373" s="38" t="n">
        <v>353</v>
      </c>
      <c r="C373" s="114">
        <f>Assumptions!$F$8+RAND()*(Assumptions!$D$8-Assumptions!$F$8)</f>
        <v/>
      </c>
      <c r="D373" s="114">
        <f>Assumptions!$D$9+RAND()*(Assumptions!$F$9-Assumptions!$D$9)</f>
        <v/>
      </c>
      <c r="E373" s="71">
        <f>Assumptions!$F$11+RAND()*(Assumptions!$D$11-Assumptions!$F$11)</f>
        <v/>
      </c>
      <c r="F373" s="45">
        <f>nListPrice*(1-C373)-(nInference*nGpuIdx+nAmort)*nUtilCal/D373-nNetworking-nOverheadBase*(E373/nPowerCal)-nCodBase*(1+I373/12)-O373</f>
        <v/>
      </c>
      <c r="G373" s="66">
        <f>MAX(F373,0)/nDebtService</f>
        <v/>
      </c>
      <c r="H373" s="71">
        <f>Anthropic!$J$18*Anthropic!$J$27+Anthropic!$J$19*Anthropic!$J$28+Anthropic!$J$20*Anthropic!$J$29+Anthropic!$J$21*E373*(1+nPowerCagr)^4*(1+nResidualBasisMarkup+nScarcityAlpha*POWER(Anthropic!$J$21,nScarcityGamma))</f>
        <v/>
      </c>
      <c r="I373" s="113">
        <f>Assumptions!$F$10+RAND()*(Assumptions!$D$10-Assumptions!$F$10)</f>
        <v/>
      </c>
      <c r="J373" s="113">
        <f>RAND()*nCodSlipMaxMo</f>
        <v/>
      </c>
      <c r="K373" s="114">
        <f>nAvailDrawMin+RAND()*(nAvailDrawMax-nAvailDrawMin)</f>
        <v/>
      </c>
      <c r="L373" s="45">
        <f>IF(2034&lt;sNsmrCodU1+J373/12,0,(nNsmrCap+nNsmrOpx*(1+sNsmrOpxEsc)^8+nNsmrFuel*FuelEsc*(1+nFuelCagr)^8-nNsmrItc)*IF(2034&lt;sNsmrCodU1+J373/12+nStepFirst,1,IF(nStepGated="Yes",(1+nStepPct)^(INT((2034-sNsmrCodU1-J373/12-nStepFirst)/nStepEvery)+1),1))+nExclPrem*(1-nFlexRelief)-nProdCredit)</f>
        <v/>
      </c>
      <c r="M373" s="63">
        <f>MIN(nShortfallCapM,MAX(0,sNsmrAvailY2-K373)*sNsmrUnitMw*sNsmrUnits*8760*NsmrPrice2033/1000000)</f>
        <v/>
      </c>
      <c r="N373" s="82">
        <f>IF(RAND()&lt;0.5,nUsefulLifeDrawBase-(nUsefulLifeDrawBase-nUsefulLifeDrawMin)*BETA.INV(RAND(),1.15,1.15),nUsefulLifeDrawBase+(nUsefulLifeDrawMax-nUsefulLifeDrawBase)*BETA.INV(RAND(),1.15,1.15))</f>
        <v/>
      </c>
      <c r="O373" s="45">
        <f>((nInference*nGpuIdx+nAmort)*nUtilCal/D373)*(nUsefulLifeDrawBase/N373-1)</f>
        <v/>
      </c>
      <c r="P373" s="1" t="n"/>
      <c r="Q373" s="1" t="n"/>
      <c r="R373" s="1" t="n"/>
      <c r="S373" s="1" t="n"/>
      <c r="T373" s="1" t="n"/>
      <c r="U373" s="1" t="n"/>
    </row>
    <row r="374" ht="12" customHeight="1">
      <c r="A374" s="1" t="n"/>
      <c r="B374" s="38" t="n">
        <v>354</v>
      </c>
      <c r="C374" s="114">
        <f>Assumptions!$F$8+RAND()*(Assumptions!$D$8-Assumptions!$F$8)</f>
        <v/>
      </c>
      <c r="D374" s="114">
        <f>Assumptions!$D$9+RAND()*(Assumptions!$F$9-Assumptions!$D$9)</f>
        <v/>
      </c>
      <c r="E374" s="71">
        <f>Assumptions!$F$11+RAND()*(Assumptions!$D$11-Assumptions!$F$11)</f>
        <v/>
      </c>
      <c r="F374" s="45">
        <f>nListPrice*(1-C374)-(nInference*nGpuIdx+nAmort)*nUtilCal/D374-nNetworking-nOverheadBase*(E374/nPowerCal)-nCodBase*(1+I374/12)-O374</f>
        <v/>
      </c>
      <c r="G374" s="66">
        <f>MAX(F374,0)/nDebtService</f>
        <v/>
      </c>
      <c r="H374" s="71">
        <f>Anthropic!$J$18*Anthropic!$J$27+Anthropic!$J$19*Anthropic!$J$28+Anthropic!$J$20*Anthropic!$J$29+Anthropic!$J$21*E374*(1+nPowerCagr)^4*(1+nResidualBasisMarkup+nScarcityAlpha*POWER(Anthropic!$J$21,nScarcityGamma))</f>
        <v/>
      </c>
      <c r="I374" s="113">
        <f>Assumptions!$F$10+RAND()*(Assumptions!$D$10-Assumptions!$F$10)</f>
        <v/>
      </c>
      <c r="J374" s="113">
        <f>RAND()*nCodSlipMaxMo</f>
        <v/>
      </c>
      <c r="K374" s="114">
        <f>nAvailDrawMin+RAND()*(nAvailDrawMax-nAvailDrawMin)</f>
        <v/>
      </c>
      <c r="L374" s="45">
        <f>IF(2034&lt;sNsmrCodU1+J374/12,0,(nNsmrCap+nNsmrOpx*(1+sNsmrOpxEsc)^8+nNsmrFuel*FuelEsc*(1+nFuelCagr)^8-nNsmrItc)*IF(2034&lt;sNsmrCodU1+J374/12+nStepFirst,1,IF(nStepGated="Yes",(1+nStepPct)^(INT((2034-sNsmrCodU1-J374/12-nStepFirst)/nStepEvery)+1),1))+nExclPrem*(1-nFlexRelief)-nProdCredit)</f>
        <v/>
      </c>
      <c r="M374" s="63">
        <f>MIN(nShortfallCapM,MAX(0,sNsmrAvailY2-K374)*sNsmrUnitMw*sNsmrUnits*8760*NsmrPrice2033/1000000)</f>
        <v/>
      </c>
      <c r="N374" s="82">
        <f>IF(RAND()&lt;0.5,nUsefulLifeDrawBase-(nUsefulLifeDrawBase-nUsefulLifeDrawMin)*BETA.INV(RAND(),1.15,1.15),nUsefulLifeDrawBase+(nUsefulLifeDrawMax-nUsefulLifeDrawBase)*BETA.INV(RAND(),1.15,1.15))</f>
        <v/>
      </c>
      <c r="O374" s="45">
        <f>((nInference*nGpuIdx+nAmort)*nUtilCal/D374)*(nUsefulLifeDrawBase/N374-1)</f>
        <v/>
      </c>
      <c r="P374" s="1" t="n"/>
      <c r="Q374" s="1" t="n"/>
      <c r="R374" s="1" t="n"/>
      <c r="S374" s="1" t="n"/>
      <c r="T374" s="1" t="n"/>
      <c r="U374" s="1" t="n"/>
    </row>
    <row r="375" ht="12" customHeight="1">
      <c r="A375" s="1" t="n"/>
      <c r="B375" s="38" t="n">
        <v>355</v>
      </c>
      <c r="C375" s="114">
        <f>Assumptions!$F$8+RAND()*(Assumptions!$D$8-Assumptions!$F$8)</f>
        <v/>
      </c>
      <c r="D375" s="114">
        <f>Assumptions!$D$9+RAND()*(Assumptions!$F$9-Assumptions!$D$9)</f>
        <v/>
      </c>
      <c r="E375" s="71">
        <f>Assumptions!$F$11+RAND()*(Assumptions!$D$11-Assumptions!$F$11)</f>
        <v/>
      </c>
      <c r="F375" s="45">
        <f>nListPrice*(1-C375)-(nInference*nGpuIdx+nAmort)*nUtilCal/D375-nNetworking-nOverheadBase*(E375/nPowerCal)-nCodBase*(1+I375/12)-O375</f>
        <v/>
      </c>
      <c r="G375" s="66">
        <f>MAX(F375,0)/nDebtService</f>
        <v/>
      </c>
      <c r="H375" s="71">
        <f>Anthropic!$J$18*Anthropic!$J$27+Anthropic!$J$19*Anthropic!$J$28+Anthropic!$J$20*Anthropic!$J$29+Anthropic!$J$21*E375*(1+nPowerCagr)^4*(1+nResidualBasisMarkup+nScarcityAlpha*POWER(Anthropic!$J$21,nScarcityGamma))</f>
        <v/>
      </c>
      <c r="I375" s="113">
        <f>Assumptions!$F$10+RAND()*(Assumptions!$D$10-Assumptions!$F$10)</f>
        <v/>
      </c>
      <c r="J375" s="113">
        <f>RAND()*nCodSlipMaxMo</f>
        <v/>
      </c>
      <c r="K375" s="114">
        <f>nAvailDrawMin+RAND()*(nAvailDrawMax-nAvailDrawMin)</f>
        <v/>
      </c>
      <c r="L375" s="45">
        <f>IF(2034&lt;sNsmrCodU1+J375/12,0,(nNsmrCap+nNsmrOpx*(1+sNsmrOpxEsc)^8+nNsmrFuel*FuelEsc*(1+nFuelCagr)^8-nNsmrItc)*IF(2034&lt;sNsmrCodU1+J375/12+nStepFirst,1,IF(nStepGated="Yes",(1+nStepPct)^(INT((2034-sNsmrCodU1-J375/12-nStepFirst)/nStepEvery)+1),1))+nExclPrem*(1-nFlexRelief)-nProdCredit)</f>
        <v/>
      </c>
      <c r="M375" s="63">
        <f>MIN(nShortfallCapM,MAX(0,sNsmrAvailY2-K375)*sNsmrUnitMw*sNsmrUnits*8760*NsmrPrice2033/1000000)</f>
        <v/>
      </c>
      <c r="N375" s="82">
        <f>IF(RAND()&lt;0.5,nUsefulLifeDrawBase-(nUsefulLifeDrawBase-nUsefulLifeDrawMin)*BETA.INV(RAND(),1.15,1.15),nUsefulLifeDrawBase+(nUsefulLifeDrawMax-nUsefulLifeDrawBase)*BETA.INV(RAND(),1.15,1.15))</f>
        <v/>
      </c>
      <c r="O375" s="45">
        <f>((nInference*nGpuIdx+nAmort)*nUtilCal/D375)*(nUsefulLifeDrawBase/N375-1)</f>
        <v/>
      </c>
      <c r="P375" s="1" t="n"/>
      <c r="Q375" s="1" t="n"/>
      <c r="R375" s="1" t="n"/>
      <c r="S375" s="1" t="n"/>
      <c r="T375" s="1" t="n"/>
      <c r="U375" s="1" t="n"/>
    </row>
    <row r="376" ht="12" customHeight="1">
      <c r="A376" s="1" t="n"/>
      <c r="B376" s="38" t="n">
        <v>356</v>
      </c>
      <c r="C376" s="114">
        <f>Assumptions!$F$8+RAND()*(Assumptions!$D$8-Assumptions!$F$8)</f>
        <v/>
      </c>
      <c r="D376" s="114">
        <f>Assumptions!$D$9+RAND()*(Assumptions!$F$9-Assumptions!$D$9)</f>
        <v/>
      </c>
      <c r="E376" s="71">
        <f>Assumptions!$F$11+RAND()*(Assumptions!$D$11-Assumptions!$F$11)</f>
        <v/>
      </c>
      <c r="F376" s="45">
        <f>nListPrice*(1-C376)-(nInference*nGpuIdx+nAmort)*nUtilCal/D376-nNetworking-nOverheadBase*(E376/nPowerCal)-nCodBase*(1+I376/12)-O376</f>
        <v/>
      </c>
      <c r="G376" s="66">
        <f>MAX(F376,0)/nDebtService</f>
        <v/>
      </c>
      <c r="H376" s="71">
        <f>Anthropic!$J$18*Anthropic!$J$27+Anthropic!$J$19*Anthropic!$J$28+Anthropic!$J$20*Anthropic!$J$29+Anthropic!$J$21*E376*(1+nPowerCagr)^4*(1+nResidualBasisMarkup+nScarcityAlpha*POWER(Anthropic!$J$21,nScarcityGamma))</f>
        <v/>
      </c>
      <c r="I376" s="113">
        <f>Assumptions!$F$10+RAND()*(Assumptions!$D$10-Assumptions!$F$10)</f>
        <v/>
      </c>
      <c r="J376" s="113">
        <f>RAND()*nCodSlipMaxMo</f>
        <v/>
      </c>
      <c r="K376" s="114">
        <f>nAvailDrawMin+RAND()*(nAvailDrawMax-nAvailDrawMin)</f>
        <v/>
      </c>
      <c r="L376" s="45">
        <f>IF(2034&lt;sNsmrCodU1+J376/12,0,(nNsmrCap+nNsmrOpx*(1+sNsmrOpxEsc)^8+nNsmrFuel*FuelEsc*(1+nFuelCagr)^8-nNsmrItc)*IF(2034&lt;sNsmrCodU1+J376/12+nStepFirst,1,IF(nStepGated="Yes",(1+nStepPct)^(INT((2034-sNsmrCodU1-J376/12-nStepFirst)/nStepEvery)+1),1))+nExclPrem*(1-nFlexRelief)-nProdCredit)</f>
        <v/>
      </c>
      <c r="M376" s="63">
        <f>MIN(nShortfallCapM,MAX(0,sNsmrAvailY2-K376)*sNsmrUnitMw*sNsmrUnits*8760*NsmrPrice2033/1000000)</f>
        <v/>
      </c>
      <c r="N376" s="82">
        <f>IF(RAND()&lt;0.5,nUsefulLifeDrawBase-(nUsefulLifeDrawBase-nUsefulLifeDrawMin)*BETA.INV(RAND(),1.15,1.15),nUsefulLifeDrawBase+(nUsefulLifeDrawMax-nUsefulLifeDrawBase)*BETA.INV(RAND(),1.15,1.15))</f>
        <v/>
      </c>
      <c r="O376" s="45">
        <f>((nInference*nGpuIdx+nAmort)*nUtilCal/D376)*(nUsefulLifeDrawBase/N376-1)</f>
        <v/>
      </c>
      <c r="P376" s="1" t="n"/>
      <c r="Q376" s="1" t="n"/>
      <c r="R376" s="1" t="n"/>
      <c r="S376" s="1" t="n"/>
      <c r="T376" s="1" t="n"/>
      <c r="U376" s="1" t="n"/>
    </row>
    <row r="377" ht="12" customHeight="1">
      <c r="A377" s="1" t="n"/>
      <c r="B377" s="38" t="n">
        <v>357</v>
      </c>
      <c r="C377" s="114">
        <f>Assumptions!$F$8+RAND()*(Assumptions!$D$8-Assumptions!$F$8)</f>
        <v/>
      </c>
      <c r="D377" s="114">
        <f>Assumptions!$D$9+RAND()*(Assumptions!$F$9-Assumptions!$D$9)</f>
        <v/>
      </c>
      <c r="E377" s="71">
        <f>Assumptions!$F$11+RAND()*(Assumptions!$D$11-Assumptions!$F$11)</f>
        <v/>
      </c>
      <c r="F377" s="45">
        <f>nListPrice*(1-C377)-(nInference*nGpuIdx+nAmort)*nUtilCal/D377-nNetworking-nOverheadBase*(E377/nPowerCal)-nCodBase*(1+I377/12)-O377</f>
        <v/>
      </c>
      <c r="G377" s="66">
        <f>MAX(F377,0)/nDebtService</f>
        <v/>
      </c>
      <c r="H377" s="71">
        <f>Anthropic!$J$18*Anthropic!$J$27+Anthropic!$J$19*Anthropic!$J$28+Anthropic!$J$20*Anthropic!$J$29+Anthropic!$J$21*E377*(1+nPowerCagr)^4*(1+nResidualBasisMarkup+nScarcityAlpha*POWER(Anthropic!$J$21,nScarcityGamma))</f>
        <v/>
      </c>
      <c r="I377" s="113">
        <f>Assumptions!$F$10+RAND()*(Assumptions!$D$10-Assumptions!$F$10)</f>
        <v/>
      </c>
      <c r="J377" s="113">
        <f>RAND()*nCodSlipMaxMo</f>
        <v/>
      </c>
      <c r="K377" s="114">
        <f>nAvailDrawMin+RAND()*(nAvailDrawMax-nAvailDrawMin)</f>
        <v/>
      </c>
      <c r="L377" s="45">
        <f>IF(2034&lt;sNsmrCodU1+J377/12,0,(nNsmrCap+nNsmrOpx*(1+sNsmrOpxEsc)^8+nNsmrFuel*FuelEsc*(1+nFuelCagr)^8-nNsmrItc)*IF(2034&lt;sNsmrCodU1+J377/12+nStepFirst,1,IF(nStepGated="Yes",(1+nStepPct)^(INT((2034-sNsmrCodU1-J377/12-nStepFirst)/nStepEvery)+1),1))+nExclPrem*(1-nFlexRelief)-nProdCredit)</f>
        <v/>
      </c>
      <c r="M377" s="63">
        <f>MIN(nShortfallCapM,MAX(0,sNsmrAvailY2-K377)*sNsmrUnitMw*sNsmrUnits*8760*NsmrPrice2033/1000000)</f>
        <v/>
      </c>
      <c r="N377" s="82">
        <f>IF(RAND()&lt;0.5,nUsefulLifeDrawBase-(nUsefulLifeDrawBase-nUsefulLifeDrawMin)*BETA.INV(RAND(),1.15,1.15),nUsefulLifeDrawBase+(nUsefulLifeDrawMax-nUsefulLifeDrawBase)*BETA.INV(RAND(),1.15,1.15))</f>
        <v/>
      </c>
      <c r="O377" s="45">
        <f>((nInference*nGpuIdx+nAmort)*nUtilCal/D377)*(nUsefulLifeDrawBase/N377-1)</f>
        <v/>
      </c>
      <c r="P377" s="1" t="n"/>
      <c r="Q377" s="1" t="n"/>
      <c r="R377" s="1" t="n"/>
      <c r="S377" s="1" t="n"/>
      <c r="T377" s="1" t="n"/>
      <c r="U377" s="1" t="n"/>
    </row>
    <row r="378" ht="12" customHeight="1">
      <c r="A378" s="1" t="n"/>
      <c r="B378" s="38" t="n">
        <v>358</v>
      </c>
      <c r="C378" s="114">
        <f>Assumptions!$F$8+RAND()*(Assumptions!$D$8-Assumptions!$F$8)</f>
        <v/>
      </c>
      <c r="D378" s="114">
        <f>Assumptions!$D$9+RAND()*(Assumptions!$F$9-Assumptions!$D$9)</f>
        <v/>
      </c>
      <c r="E378" s="71">
        <f>Assumptions!$F$11+RAND()*(Assumptions!$D$11-Assumptions!$F$11)</f>
        <v/>
      </c>
      <c r="F378" s="45">
        <f>nListPrice*(1-C378)-(nInference*nGpuIdx+nAmort)*nUtilCal/D378-nNetworking-nOverheadBase*(E378/nPowerCal)-nCodBase*(1+I378/12)-O378</f>
        <v/>
      </c>
      <c r="G378" s="66">
        <f>MAX(F378,0)/nDebtService</f>
        <v/>
      </c>
      <c r="H378" s="71">
        <f>Anthropic!$J$18*Anthropic!$J$27+Anthropic!$J$19*Anthropic!$J$28+Anthropic!$J$20*Anthropic!$J$29+Anthropic!$J$21*E378*(1+nPowerCagr)^4*(1+nResidualBasisMarkup+nScarcityAlpha*POWER(Anthropic!$J$21,nScarcityGamma))</f>
        <v/>
      </c>
      <c r="I378" s="113">
        <f>Assumptions!$F$10+RAND()*(Assumptions!$D$10-Assumptions!$F$10)</f>
        <v/>
      </c>
      <c r="J378" s="113">
        <f>RAND()*nCodSlipMaxMo</f>
        <v/>
      </c>
      <c r="K378" s="114">
        <f>nAvailDrawMin+RAND()*(nAvailDrawMax-nAvailDrawMin)</f>
        <v/>
      </c>
      <c r="L378" s="45">
        <f>IF(2034&lt;sNsmrCodU1+J378/12,0,(nNsmrCap+nNsmrOpx*(1+sNsmrOpxEsc)^8+nNsmrFuel*FuelEsc*(1+nFuelCagr)^8-nNsmrItc)*IF(2034&lt;sNsmrCodU1+J378/12+nStepFirst,1,IF(nStepGated="Yes",(1+nStepPct)^(INT((2034-sNsmrCodU1-J378/12-nStepFirst)/nStepEvery)+1),1))+nExclPrem*(1-nFlexRelief)-nProdCredit)</f>
        <v/>
      </c>
      <c r="M378" s="63">
        <f>MIN(nShortfallCapM,MAX(0,sNsmrAvailY2-K378)*sNsmrUnitMw*sNsmrUnits*8760*NsmrPrice2033/1000000)</f>
        <v/>
      </c>
      <c r="N378" s="82">
        <f>IF(RAND()&lt;0.5,nUsefulLifeDrawBase-(nUsefulLifeDrawBase-nUsefulLifeDrawMin)*BETA.INV(RAND(),1.15,1.15),nUsefulLifeDrawBase+(nUsefulLifeDrawMax-nUsefulLifeDrawBase)*BETA.INV(RAND(),1.15,1.15))</f>
        <v/>
      </c>
      <c r="O378" s="45">
        <f>((nInference*nGpuIdx+nAmort)*nUtilCal/D378)*(nUsefulLifeDrawBase/N378-1)</f>
        <v/>
      </c>
      <c r="P378" s="1" t="n"/>
      <c r="Q378" s="1" t="n"/>
      <c r="R378" s="1" t="n"/>
      <c r="S378" s="1" t="n"/>
      <c r="T378" s="1" t="n"/>
      <c r="U378" s="1" t="n"/>
    </row>
    <row r="379" ht="12" customHeight="1">
      <c r="A379" s="1" t="n"/>
      <c r="B379" s="38" t="n">
        <v>359</v>
      </c>
      <c r="C379" s="114">
        <f>Assumptions!$F$8+RAND()*(Assumptions!$D$8-Assumptions!$F$8)</f>
        <v/>
      </c>
      <c r="D379" s="114">
        <f>Assumptions!$D$9+RAND()*(Assumptions!$F$9-Assumptions!$D$9)</f>
        <v/>
      </c>
      <c r="E379" s="71">
        <f>Assumptions!$F$11+RAND()*(Assumptions!$D$11-Assumptions!$F$11)</f>
        <v/>
      </c>
      <c r="F379" s="45">
        <f>nListPrice*(1-C379)-(nInference*nGpuIdx+nAmort)*nUtilCal/D379-nNetworking-nOverheadBase*(E379/nPowerCal)-nCodBase*(1+I379/12)-O379</f>
        <v/>
      </c>
      <c r="G379" s="66">
        <f>MAX(F379,0)/nDebtService</f>
        <v/>
      </c>
      <c r="H379" s="71">
        <f>Anthropic!$J$18*Anthropic!$J$27+Anthropic!$J$19*Anthropic!$J$28+Anthropic!$J$20*Anthropic!$J$29+Anthropic!$J$21*E379*(1+nPowerCagr)^4*(1+nResidualBasisMarkup+nScarcityAlpha*POWER(Anthropic!$J$21,nScarcityGamma))</f>
        <v/>
      </c>
      <c r="I379" s="113">
        <f>Assumptions!$F$10+RAND()*(Assumptions!$D$10-Assumptions!$F$10)</f>
        <v/>
      </c>
      <c r="J379" s="113">
        <f>RAND()*nCodSlipMaxMo</f>
        <v/>
      </c>
      <c r="K379" s="114">
        <f>nAvailDrawMin+RAND()*(nAvailDrawMax-nAvailDrawMin)</f>
        <v/>
      </c>
      <c r="L379" s="45">
        <f>IF(2034&lt;sNsmrCodU1+J379/12,0,(nNsmrCap+nNsmrOpx*(1+sNsmrOpxEsc)^8+nNsmrFuel*FuelEsc*(1+nFuelCagr)^8-nNsmrItc)*IF(2034&lt;sNsmrCodU1+J379/12+nStepFirst,1,IF(nStepGated="Yes",(1+nStepPct)^(INT((2034-sNsmrCodU1-J379/12-nStepFirst)/nStepEvery)+1),1))+nExclPrem*(1-nFlexRelief)-nProdCredit)</f>
        <v/>
      </c>
      <c r="M379" s="63">
        <f>MIN(nShortfallCapM,MAX(0,sNsmrAvailY2-K379)*sNsmrUnitMw*sNsmrUnits*8760*NsmrPrice2033/1000000)</f>
        <v/>
      </c>
      <c r="N379" s="82">
        <f>IF(RAND()&lt;0.5,nUsefulLifeDrawBase-(nUsefulLifeDrawBase-nUsefulLifeDrawMin)*BETA.INV(RAND(),1.15,1.15),nUsefulLifeDrawBase+(nUsefulLifeDrawMax-nUsefulLifeDrawBase)*BETA.INV(RAND(),1.15,1.15))</f>
        <v/>
      </c>
      <c r="O379" s="45">
        <f>((nInference*nGpuIdx+nAmort)*nUtilCal/D379)*(nUsefulLifeDrawBase/N379-1)</f>
        <v/>
      </c>
      <c r="P379" s="1" t="n"/>
      <c r="Q379" s="1" t="n"/>
      <c r="R379" s="1" t="n"/>
      <c r="S379" s="1" t="n"/>
      <c r="T379" s="1" t="n"/>
      <c r="U379" s="1" t="n"/>
    </row>
    <row r="380" ht="12" customHeight="1">
      <c r="A380" s="1" t="n"/>
      <c r="B380" s="38" t="n">
        <v>360</v>
      </c>
      <c r="C380" s="114">
        <f>Assumptions!$F$8+RAND()*(Assumptions!$D$8-Assumptions!$F$8)</f>
        <v/>
      </c>
      <c r="D380" s="114">
        <f>Assumptions!$D$9+RAND()*(Assumptions!$F$9-Assumptions!$D$9)</f>
        <v/>
      </c>
      <c r="E380" s="71">
        <f>Assumptions!$F$11+RAND()*(Assumptions!$D$11-Assumptions!$F$11)</f>
        <v/>
      </c>
      <c r="F380" s="45">
        <f>nListPrice*(1-C380)-(nInference*nGpuIdx+nAmort)*nUtilCal/D380-nNetworking-nOverheadBase*(E380/nPowerCal)-nCodBase*(1+I380/12)-O380</f>
        <v/>
      </c>
      <c r="G380" s="66">
        <f>MAX(F380,0)/nDebtService</f>
        <v/>
      </c>
      <c r="H380" s="71">
        <f>Anthropic!$J$18*Anthropic!$J$27+Anthropic!$J$19*Anthropic!$J$28+Anthropic!$J$20*Anthropic!$J$29+Anthropic!$J$21*E380*(1+nPowerCagr)^4*(1+nResidualBasisMarkup+nScarcityAlpha*POWER(Anthropic!$J$21,nScarcityGamma))</f>
        <v/>
      </c>
      <c r="I380" s="113">
        <f>Assumptions!$F$10+RAND()*(Assumptions!$D$10-Assumptions!$F$10)</f>
        <v/>
      </c>
      <c r="J380" s="113">
        <f>RAND()*nCodSlipMaxMo</f>
        <v/>
      </c>
      <c r="K380" s="114">
        <f>nAvailDrawMin+RAND()*(nAvailDrawMax-nAvailDrawMin)</f>
        <v/>
      </c>
      <c r="L380" s="45">
        <f>IF(2034&lt;sNsmrCodU1+J380/12,0,(nNsmrCap+nNsmrOpx*(1+sNsmrOpxEsc)^8+nNsmrFuel*FuelEsc*(1+nFuelCagr)^8-nNsmrItc)*IF(2034&lt;sNsmrCodU1+J380/12+nStepFirst,1,IF(nStepGated="Yes",(1+nStepPct)^(INT((2034-sNsmrCodU1-J380/12-nStepFirst)/nStepEvery)+1),1))+nExclPrem*(1-nFlexRelief)-nProdCredit)</f>
        <v/>
      </c>
      <c r="M380" s="63">
        <f>MIN(nShortfallCapM,MAX(0,sNsmrAvailY2-K380)*sNsmrUnitMw*sNsmrUnits*8760*NsmrPrice2033/1000000)</f>
        <v/>
      </c>
      <c r="N380" s="82">
        <f>IF(RAND()&lt;0.5,nUsefulLifeDrawBase-(nUsefulLifeDrawBase-nUsefulLifeDrawMin)*BETA.INV(RAND(),1.15,1.15),nUsefulLifeDrawBase+(nUsefulLifeDrawMax-nUsefulLifeDrawBase)*BETA.INV(RAND(),1.15,1.15))</f>
        <v/>
      </c>
      <c r="O380" s="45">
        <f>((nInference*nGpuIdx+nAmort)*nUtilCal/D380)*(nUsefulLifeDrawBase/N380-1)</f>
        <v/>
      </c>
      <c r="P380" s="1" t="n"/>
      <c r="Q380" s="1" t="n"/>
      <c r="R380" s="1" t="n"/>
      <c r="S380" s="1" t="n"/>
      <c r="T380" s="1" t="n"/>
      <c r="U380" s="1" t="n"/>
    </row>
    <row r="381" ht="12" customHeight="1">
      <c r="A381" s="1" t="n"/>
      <c r="B381" s="38" t="n">
        <v>361</v>
      </c>
      <c r="C381" s="114">
        <f>Assumptions!$F$8+RAND()*(Assumptions!$D$8-Assumptions!$F$8)</f>
        <v/>
      </c>
      <c r="D381" s="114">
        <f>Assumptions!$D$9+RAND()*(Assumptions!$F$9-Assumptions!$D$9)</f>
        <v/>
      </c>
      <c r="E381" s="71">
        <f>Assumptions!$F$11+RAND()*(Assumptions!$D$11-Assumptions!$F$11)</f>
        <v/>
      </c>
      <c r="F381" s="45">
        <f>nListPrice*(1-C381)-(nInference*nGpuIdx+nAmort)*nUtilCal/D381-nNetworking-nOverheadBase*(E381/nPowerCal)-nCodBase*(1+I381/12)-O381</f>
        <v/>
      </c>
      <c r="G381" s="66">
        <f>MAX(F381,0)/nDebtService</f>
        <v/>
      </c>
      <c r="H381" s="71">
        <f>Anthropic!$J$18*Anthropic!$J$27+Anthropic!$J$19*Anthropic!$J$28+Anthropic!$J$20*Anthropic!$J$29+Anthropic!$J$21*E381*(1+nPowerCagr)^4*(1+nResidualBasisMarkup+nScarcityAlpha*POWER(Anthropic!$J$21,nScarcityGamma))</f>
        <v/>
      </c>
      <c r="I381" s="113">
        <f>Assumptions!$F$10+RAND()*(Assumptions!$D$10-Assumptions!$F$10)</f>
        <v/>
      </c>
      <c r="J381" s="113">
        <f>RAND()*nCodSlipMaxMo</f>
        <v/>
      </c>
      <c r="K381" s="114">
        <f>nAvailDrawMin+RAND()*(nAvailDrawMax-nAvailDrawMin)</f>
        <v/>
      </c>
      <c r="L381" s="45">
        <f>IF(2034&lt;sNsmrCodU1+J381/12,0,(nNsmrCap+nNsmrOpx*(1+sNsmrOpxEsc)^8+nNsmrFuel*FuelEsc*(1+nFuelCagr)^8-nNsmrItc)*IF(2034&lt;sNsmrCodU1+J381/12+nStepFirst,1,IF(nStepGated="Yes",(1+nStepPct)^(INT((2034-sNsmrCodU1-J381/12-nStepFirst)/nStepEvery)+1),1))+nExclPrem*(1-nFlexRelief)-nProdCredit)</f>
        <v/>
      </c>
      <c r="M381" s="63">
        <f>MIN(nShortfallCapM,MAX(0,sNsmrAvailY2-K381)*sNsmrUnitMw*sNsmrUnits*8760*NsmrPrice2033/1000000)</f>
        <v/>
      </c>
      <c r="N381" s="82">
        <f>IF(RAND()&lt;0.5,nUsefulLifeDrawBase-(nUsefulLifeDrawBase-nUsefulLifeDrawMin)*BETA.INV(RAND(),1.15,1.15),nUsefulLifeDrawBase+(nUsefulLifeDrawMax-nUsefulLifeDrawBase)*BETA.INV(RAND(),1.15,1.15))</f>
        <v/>
      </c>
      <c r="O381" s="45">
        <f>((nInference*nGpuIdx+nAmort)*nUtilCal/D381)*(nUsefulLifeDrawBase/N381-1)</f>
        <v/>
      </c>
      <c r="P381" s="1" t="n"/>
      <c r="Q381" s="1" t="n"/>
      <c r="R381" s="1" t="n"/>
      <c r="S381" s="1" t="n"/>
      <c r="T381" s="1" t="n"/>
      <c r="U381" s="1" t="n"/>
    </row>
    <row r="382" ht="12" customHeight="1">
      <c r="A382" s="1" t="n"/>
      <c r="B382" s="38" t="n">
        <v>362</v>
      </c>
      <c r="C382" s="114">
        <f>Assumptions!$F$8+RAND()*(Assumptions!$D$8-Assumptions!$F$8)</f>
        <v/>
      </c>
      <c r="D382" s="114">
        <f>Assumptions!$D$9+RAND()*(Assumptions!$F$9-Assumptions!$D$9)</f>
        <v/>
      </c>
      <c r="E382" s="71">
        <f>Assumptions!$F$11+RAND()*(Assumptions!$D$11-Assumptions!$F$11)</f>
        <v/>
      </c>
      <c r="F382" s="45">
        <f>nListPrice*(1-C382)-(nInference*nGpuIdx+nAmort)*nUtilCal/D382-nNetworking-nOverheadBase*(E382/nPowerCal)-nCodBase*(1+I382/12)-O382</f>
        <v/>
      </c>
      <c r="G382" s="66">
        <f>MAX(F382,0)/nDebtService</f>
        <v/>
      </c>
      <c r="H382" s="71">
        <f>Anthropic!$J$18*Anthropic!$J$27+Anthropic!$J$19*Anthropic!$J$28+Anthropic!$J$20*Anthropic!$J$29+Anthropic!$J$21*E382*(1+nPowerCagr)^4*(1+nResidualBasisMarkup+nScarcityAlpha*POWER(Anthropic!$J$21,nScarcityGamma))</f>
        <v/>
      </c>
      <c r="I382" s="113">
        <f>Assumptions!$F$10+RAND()*(Assumptions!$D$10-Assumptions!$F$10)</f>
        <v/>
      </c>
      <c r="J382" s="113">
        <f>RAND()*nCodSlipMaxMo</f>
        <v/>
      </c>
      <c r="K382" s="114">
        <f>nAvailDrawMin+RAND()*(nAvailDrawMax-nAvailDrawMin)</f>
        <v/>
      </c>
      <c r="L382" s="45">
        <f>IF(2034&lt;sNsmrCodU1+J382/12,0,(nNsmrCap+nNsmrOpx*(1+sNsmrOpxEsc)^8+nNsmrFuel*FuelEsc*(1+nFuelCagr)^8-nNsmrItc)*IF(2034&lt;sNsmrCodU1+J382/12+nStepFirst,1,IF(nStepGated="Yes",(1+nStepPct)^(INT((2034-sNsmrCodU1-J382/12-nStepFirst)/nStepEvery)+1),1))+nExclPrem*(1-nFlexRelief)-nProdCredit)</f>
        <v/>
      </c>
      <c r="M382" s="63">
        <f>MIN(nShortfallCapM,MAX(0,sNsmrAvailY2-K382)*sNsmrUnitMw*sNsmrUnits*8760*NsmrPrice2033/1000000)</f>
        <v/>
      </c>
      <c r="N382" s="82">
        <f>IF(RAND()&lt;0.5,nUsefulLifeDrawBase-(nUsefulLifeDrawBase-nUsefulLifeDrawMin)*BETA.INV(RAND(),1.15,1.15),nUsefulLifeDrawBase+(nUsefulLifeDrawMax-nUsefulLifeDrawBase)*BETA.INV(RAND(),1.15,1.15))</f>
        <v/>
      </c>
      <c r="O382" s="45">
        <f>((nInference*nGpuIdx+nAmort)*nUtilCal/D382)*(nUsefulLifeDrawBase/N382-1)</f>
        <v/>
      </c>
      <c r="P382" s="1" t="n"/>
      <c r="Q382" s="1" t="n"/>
      <c r="R382" s="1" t="n"/>
      <c r="S382" s="1" t="n"/>
      <c r="T382" s="1" t="n"/>
      <c r="U382" s="1" t="n"/>
    </row>
    <row r="383" ht="12" customHeight="1">
      <c r="A383" s="1" t="n"/>
      <c r="B383" s="38" t="n">
        <v>363</v>
      </c>
      <c r="C383" s="114">
        <f>Assumptions!$F$8+RAND()*(Assumptions!$D$8-Assumptions!$F$8)</f>
        <v/>
      </c>
      <c r="D383" s="114">
        <f>Assumptions!$D$9+RAND()*(Assumptions!$F$9-Assumptions!$D$9)</f>
        <v/>
      </c>
      <c r="E383" s="71">
        <f>Assumptions!$F$11+RAND()*(Assumptions!$D$11-Assumptions!$F$11)</f>
        <v/>
      </c>
      <c r="F383" s="45">
        <f>nListPrice*(1-C383)-(nInference*nGpuIdx+nAmort)*nUtilCal/D383-nNetworking-nOverheadBase*(E383/nPowerCal)-nCodBase*(1+I383/12)-O383</f>
        <v/>
      </c>
      <c r="G383" s="66">
        <f>MAX(F383,0)/nDebtService</f>
        <v/>
      </c>
      <c r="H383" s="71">
        <f>Anthropic!$J$18*Anthropic!$J$27+Anthropic!$J$19*Anthropic!$J$28+Anthropic!$J$20*Anthropic!$J$29+Anthropic!$J$21*E383*(1+nPowerCagr)^4*(1+nResidualBasisMarkup+nScarcityAlpha*POWER(Anthropic!$J$21,nScarcityGamma))</f>
        <v/>
      </c>
      <c r="I383" s="113">
        <f>Assumptions!$F$10+RAND()*(Assumptions!$D$10-Assumptions!$F$10)</f>
        <v/>
      </c>
      <c r="J383" s="113">
        <f>RAND()*nCodSlipMaxMo</f>
        <v/>
      </c>
      <c r="K383" s="114">
        <f>nAvailDrawMin+RAND()*(nAvailDrawMax-nAvailDrawMin)</f>
        <v/>
      </c>
      <c r="L383" s="45">
        <f>IF(2034&lt;sNsmrCodU1+J383/12,0,(nNsmrCap+nNsmrOpx*(1+sNsmrOpxEsc)^8+nNsmrFuel*FuelEsc*(1+nFuelCagr)^8-nNsmrItc)*IF(2034&lt;sNsmrCodU1+J383/12+nStepFirst,1,IF(nStepGated="Yes",(1+nStepPct)^(INT((2034-sNsmrCodU1-J383/12-nStepFirst)/nStepEvery)+1),1))+nExclPrem*(1-nFlexRelief)-nProdCredit)</f>
        <v/>
      </c>
      <c r="M383" s="63">
        <f>MIN(nShortfallCapM,MAX(0,sNsmrAvailY2-K383)*sNsmrUnitMw*sNsmrUnits*8760*NsmrPrice2033/1000000)</f>
        <v/>
      </c>
      <c r="N383" s="82">
        <f>IF(RAND()&lt;0.5,nUsefulLifeDrawBase-(nUsefulLifeDrawBase-nUsefulLifeDrawMin)*BETA.INV(RAND(),1.15,1.15),nUsefulLifeDrawBase+(nUsefulLifeDrawMax-nUsefulLifeDrawBase)*BETA.INV(RAND(),1.15,1.15))</f>
        <v/>
      </c>
      <c r="O383" s="45">
        <f>((nInference*nGpuIdx+nAmort)*nUtilCal/D383)*(nUsefulLifeDrawBase/N383-1)</f>
        <v/>
      </c>
      <c r="P383" s="1" t="n"/>
      <c r="Q383" s="1" t="n"/>
      <c r="R383" s="1" t="n"/>
      <c r="S383" s="1" t="n"/>
      <c r="T383" s="1" t="n"/>
      <c r="U383" s="1" t="n"/>
    </row>
    <row r="384" ht="12" customHeight="1">
      <c r="A384" s="1" t="n"/>
      <c r="B384" s="38" t="n">
        <v>364</v>
      </c>
      <c r="C384" s="114">
        <f>Assumptions!$F$8+RAND()*(Assumptions!$D$8-Assumptions!$F$8)</f>
        <v/>
      </c>
      <c r="D384" s="114">
        <f>Assumptions!$D$9+RAND()*(Assumptions!$F$9-Assumptions!$D$9)</f>
        <v/>
      </c>
      <c r="E384" s="71">
        <f>Assumptions!$F$11+RAND()*(Assumptions!$D$11-Assumptions!$F$11)</f>
        <v/>
      </c>
      <c r="F384" s="45">
        <f>nListPrice*(1-C384)-(nInference*nGpuIdx+nAmort)*nUtilCal/D384-nNetworking-nOverheadBase*(E384/nPowerCal)-nCodBase*(1+I384/12)-O384</f>
        <v/>
      </c>
      <c r="G384" s="66">
        <f>MAX(F384,0)/nDebtService</f>
        <v/>
      </c>
      <c r="H384" s="71">
        <f>Anthropic!$J$18*Anthropic!$J$27+Anthropic!$J$19*Anthropic!$J$28+Anthropic!$J$20*Anthropic!$J$29+Anthropic!$J$21*E384*(1+nPowerCagr)^4*(1+nResidualBasisMarkup+nScarcityAlpha*POWER(Anthropic!$J$21,nScarcityGamma))</f>
        <v/>
      </c>
      <c r="I384" s="113">
        <f>Assumptions!$F$10+RAND()*(Assumptions!$D$10-Assumptions!$F$10)</f>
        <v/>
      </c>
      <c r="J384" s="113">
        <f>RAND()*nCodSlipMaxMo</f>
        <v/>
      </c>
      <c r="K384" s="114">
        <f>nAvailDrawMin+RAND()*(nAvailDrawMax-nAvailDrawMin)</f>
        <v/>
      </c>
      <c r="L384" s="45">
        <f>IF(2034&lt;sNsmrCodU1+J384/12,0,(nNsmrCap+nNsmrOpx*(1+sNsmrOpxEsc)^8+nNsmrFuel*FuelEsc*(1+nFuelCagr)^8-nNsmrItc)*IF(2034&lt;sNsmrCodU1+J384/12+nStepFirst,1,IF(nStepGated="Yes",(1+nStepPct)^(INT((2034-sNsmrCodU1-J384/12-nStepFirst)/nStepEvery)+1),1))+nExclPrem*(1-nFlexRelief)-nProdCredit)</f>
        <v/>
      </c>
      <c r="M384" s="63">
        <f>MIN(nShortfallCapM,MAX(0,sNsmrAvailY2-K384)*sNsmrUnitMw*sNsmrUnits*8760*NsmrPrice2033/1000000)</f>
        <v/>
      </c>
      <c r="N384" s="82">
        <f>IF(RAND()&lt;0.5,nUsefulLifeDrawBase-(nUsefulLifeDrawBase-nUsefulLifeDrawMin)*BETA.INV(RAND(),1.15,1.15),nUsefulLifeDrawBase+(nUsefulLifeDrawMax-nUsefulLifeDrawBase)*BETA.INV(RAND(),1.15,1.15))</f>
        <v/>
      </c>
      <c r="O384" s="45">
        <f>((nInference*nGpuIdx+nAmort)*nUtilCal/D384)*(nUsefulLifeDrawBase/N384-1)</f>
        <v/>
      </c>
      <c r="P384" s="1" t="n"/>
      <c r="Q384" s="1" t="n"/>
      <c r="R384" s="1" t="n"/>
      <c r="S384" s="1" t="n"/>
      <c r="T384" s="1" t="n"/>
      <c r="U384" s="1" t="n"/>
    </row>
    <row r="385" ht="12" customHeight="1">
      <c r="A385" s="1" t="n"/>
      <c r="B385" s="38" t="n">
        <v>365</v>
      </c>
      <c r="C385" s="114">
        <f>Assumptions!$F$8+RAND()*(Assumptions!$D$8-Assumptions!$F$8)</f>
        <v/>
      </c>
      <c r="D385" s="114">
        <f>Assumptions!$D$9+RAND()*(Assumptions!$F$9-Assumptions!$D$9)</f>
        <v/>
      </c>
      <c r="E385" s="71">
        <f>Assumptions!$F$11+RAND()*(Assumptions!$D$11-Assumptions!$F$11)</f>
        <v/>
      </c>
      <c r="F385" s="45">
        <f>nListPrice*(1-C385)-(nInference*nGpuIdx+nAmort)*nUtilCal/D385-nNetworking-nOverheadBase*(E385/nPowerCal)-nCodBase*(1+I385/12)-O385</f>
        <v/>
      </c>
      <c r="G385" s="66">
        <f>MAX(F385,0)/nDebtService</f>
        <v/>
      </c>
      <c r="H385" s="71">
        <f>Anthropic!$J$18*Anthropic!$J$27+Anthropic!$J$19*Anthropic!$J$28+Anthropic!$J$20*Anthropic!$J$29+Anthropic!$J$21*E385*(1+nPowerCagr)^4*(1+nResidualBasisMarkup+nScarcityAlpha*POWER(Anthropic!$J$21,nScarcityGamma))</f>
        <v/>
      </c>
      <c r="I385" s="113">
        <f>Assumptions!$F$10+RAND()*(Assumptions!$D$10-Assumptions!$F$10)</f>
        <v/>
      </c>
      <c r="J385" s="113">
        <f>RAND()*nCodSlipMaxMo</f>
        <v/>
      </c>
      <c r="K385" s="114">
        <f>nAvailDrawMin+RAND()*(nAvailDrawMax-nAvailDrawMin)</f>
        <v/>
      </c>
      <c r="L385" s="45">
        <f>IF(2034&lt;sNsmrCodU1+J385/12,0,(nNsmrCap+nNsmrOpx*(1+sNsmrOpxEsc)^8+nNsmrFuel*FuelEsc*(1+nFuelCagr)^8-nNsmrItc)*IF(2034&lt;sNsmrCodU1+J385/12+nStepFirst,1,IF(nStepGated="Yes",(1+nStepPct)^(INT((2034-sNsmrCodU1-J385/12-nStepFirst)/nStepEvery)+1),1))+nExclPrem*(1-nFlexRelief)-nProdCredit)</f>
        <v/>
      </c>
      <c r="M385" s="63">
        <f>MIN(nShortfallCapM,MAX(0,sNsmrAvailY2-K385)*sNsmrUnitMw*sNsmrUnits*8760*NsmrPrice2033/1000000)</f>
        <v/>
      </c>
      <c r="N385" s="82">
        <f>IF(RAND()&lt;0.5,nUsefulLifeDrawBase-(nUsefulLifeDrawBase-nUsefulLifeDrawMin)*BETA.INV(RAND(),1.15,1.15),nUsefulLifeDrawBase+(nUsefulLifeDrawMax-nUsefulLifeDrawBase)*BETA.INV(RAND(),1.15,1.15))</f>
        <v/>
      </c>
      <c r="O385" s="45">
        <f>((nInference*nGpuIdx+nAmort)*nUtilCal/D385)*(nUsefulLifeDrawBase/N385-1)</f>
        <v/>
      </c>
      <c r="P385" s="1" t="n"/>
      <c r="Q385" s="1" t="n"/>
      <c r="R385" s="1" t="n"/>
      <c r="S385" s="1" t="n"/>
      <c r="T385" s="1" t="n"/>
      <c r="U385" s="1" t="n"/>
    </row>
    <row r="386" ht="12" customHeight="1">
      <c r="A386" s="1" t="n"/>
      <c r="B386" s="38" t="n">
        <v>366</v>
      </c>
      <c r="C386" s="114">
        <f>Assumptions!$F$8+RAND()*(Assumptions!$D$8-Assumptions!$F$8)</f>
        <v/>
      </c>
      <c r="D386" s="114">
        <f>Assumptions!$D$9+RAND()*(Assumptions!$F$9-Assumptions!$D$9)</f>
        <v/>
      </c>
      <c r="E386" s="71">
        <f>Assumptions!$F$11+RAND()*(Assumptions!$D$11-Assumptions!$F$11)</f>
        <v/>
      </c>
      <c r="F386" s="45">
        <f>nListPrice*(1-C386)-(nInference*nGpuIdx+nAmort)*nUtilCal/D386-nNetworking-nOverheadBase*(E386/nPowerCal)-nCodBase*(1+I386/12)-O386</f>
        <v/>
      </c>
      <c r="G386" s="66">
        <f>MAX(F386,0)/nDebtService</f>
        <v/>
      </c>
      <c r="H386" s="71">
        <f>Anthropic!$J$18*Anthropic!$J$27+Anthropic!$J$19*Anthropic!$J$28+Anthropic!$J$20*Anthropic!$J$29+Anthropic!$J$21*E386*(1+nPowerCagr)^4*(1+nResidualBasisMarkup+nScarcityAlpha*POWER(Anthropic!$J$21,nScarcityGamma))</f>
        <v/>
      </c>
      <c r="I386" s="113">
        <f>Assumptions!$F$10+RAND()*(Assumptions!$D$10-Assumptions!$F$10)</f>
        <v/>
      </c>
      <c r="J386" s="113">
        <f>RAND()*nCodSlipMaxMo</f>
        <v/>
      </c>
      <c r="K386" s="114">
        <f>nAvailDrawMin+RAND()*(nAvailDrawMax-nAvailDrawMin)</f>
        <v/>
      </c>
      <c r="L386" s="45">
        <f>IF(2034&lt;sNsmrCodU1+J386/12,0,(nNsmrCap+nNsmrOpx*(1+sNsmrOpxEsc)^8+nNsmrFuel*FuelEsc*(1+nFuelCagr)^8-nNsmrItc)*IF(2034&lt;sNsmrCodU1+J386/12+nStepFirst,1,IF(nStepGated="Yes",(1+nStepPct)^(INT((2034-sNsmrCodU1-J386/12-nStepFirst)/nStepEvery)+1),1))+nExclPrem*(1-nFlexRelief)-nProdCredit)</f>
        <v/>
      </c>
      <c r="M386" s="63">
        <f>MIN(nShortfallCapM,MAX(0,sNsmrAvailY2-K386)*sNsmrUnitMw*sNsmrUnits*8760*NsmrPrice2033/1000000)</f>
        <v/>
      </c>
      <c r="N386" s="82">
        <f>IF(RAND()&lt;0.5,nUsefulLifeDrawBase-(nUsefulLifeDrawBase-nUsefulLifeDrawMin)*BETA.INV(RAND(),1.15,1.15),nUsefulLifeDrawBase+(nUsefulLifeDrawMax-nUsefulLifeDrawBase)*BETA.INV(RAND(),1.15,1.15))</f>
        <v/>
      </c>
      <c r="O386" s="45">
        <f>((nInference*nGpuIdx+nAmort)*nUtilCal/D386)*(nUsefulLifeDrawBase/N386-1)</f>
        <v/>
      </c>
      <c r="P386" s="1" t="n"/>
      <c r="Q386" s="1" t="n"/>
      <c r="R386" s="1" t="n"/>
      <c r="S386" s="1" t="n"/>
      <c r="T386" s="1" t="n"/>
      <c r="U386" s="1" t="n"/>
    </row>
    <row r="387" ht="12" customHeight="1">
      <c r="A387" s="1" t="n"/>
      <c r="B387" s="38" t="n">
        <v>367</v>
      </c>
      <c r="C387" s="114">
        <f>Assumptions!$F$8+RAND()*(Assumptions!$D$8-Assumptions!$F$8)</f>
        <v/>
      </c>
      <c r="D387" s="114">
        <f>Assumptions!$D$9+RAND()*(Assumptions!$F$9-Assumptions!$D$9)</f>
        <v/>
      </c>
      <c r="E387" s="71">
        <f>Assumptions!$F$11+RAND()*(Assumptions!$D$11-Assumptions!$F$11)</f>
        <v/>
      </c>
      <c r="F387" s="45">
        <f>nListPrice*(1-C387)-(nInference*nGpuIdx+nAmort)*nUtilCal/D387-nNetworking-nOverheadBase*(E387/nPowerCal)-nCodBase*(1+I387/12)-O387</f>
        <v/>
      </c>
      <c r="G387" s="66">
        <f>MAX(F387,0)/nDebtService</f>
        <v/>
      </c>
      <c r="H387" s="71">
        <f>Anthropic!$J$18*Anthropic!$J$27+Anthropic!$J$19*Anthropic!$J$28+Anthropic!$J$20*Anthropic!$J$29+Anthropic!$J$21*E387*(1+nPowerCagr)^4*(1+nResidualBasisMarkup+nScarcityAlpha*POWER(Anthropic!$J$21,nScarcityGamma))</f>
        <v/>
      </c>
      <c r="I387" s="113">
        <f>Assumptions!$F$10+RAND()*(Assumptions!$D$10-Assumptions!$F$10)</f>
        <v/>
      </c>
      <c r="J387" s="113">
        <f>RAND()*nCodSlipMaxMo</f>
        <v/>
      </c>
      <c r="K387" s="114">
        <f>nAvailDrawMin+RAND()*(nAvailDrawMax-nAvailDrawMin)</f>
        <v/>
      </c>
      <c r="L387" s="45">
        <f>IF(2034&lt;sNsmrCodU1+J387/12,0,(nNsmrCap+nNsmrOpx*(1+sNsmrOpxEsc)^8+nNsmrFuel*FuelEsc*(1+nFuelCagr)^8-nNsmrItc)*IF(2034&lt;sNsmrCodU1+J387/12+nStepFirst,1,IF(nStepGated="Yes",(1+nStepPct)^(INT((2034-sNsmrCodU1-J387/12-nStepFirst)/nStepEvery)+1),1))+nExclPrem*(1-nFlexRelief)-nProdCredit)</f>
        <v/>
      </c>
      <c r="M387" s="63">
        <f>MIN(nShortfallCapM,MAX(0,sNsmrAvailY2-K387)*sNsmrUnitMw*sNsmrUnits*8760*NsmrPrice2033/1000000)</f>
        <v/>
      </c>
      <c r="N387" s="82">
        <f>IF(RAND()&lt;0.5,nUsefulLifeDrawBase-(nUsefulLifeDrawBase-nUsefulLifeDrawMin)*BETA.INV(RAND(),1.15,1.15),nUsefulLifeDrawBase+(nUsefulLifeDrawMax-nUsefulLifeDrawBase)*BETA.INV(RAND(),1.15,1.15))</f>
        <v/>
      </c>
      <c r="O387" s="45">
        <f>((nInference*nGpuIdx+nAmort)*nUtilCal/D387)*(nUsefulLifeDrawBase/N387-1)</f>
        <v/>
      </c>
      <c r="P387" s="1" t="n"/>
      <c r="Q387" s="1" t="n"/>
      <c r="R387" s="1" t="n"/>
      <c r="S387" s="1" t="n"/>
      <c r="T387" s="1" t="n"/>
      <c r="U387" s="1" t="n"/>
    </row>
    <row r="388" ht="12" customHeight="1">
      <c r="A388" s="1" t="n"/>
      <c r="B388" s="38" t="n">
        <v>368</v>
      </c>
      <c r="C388" s="114">
        <f>Assumptions!$F$8+RAND()*(Assumptions!$D$8-Assumptions!$F$8)</f>
        <v/>
      </c>
      <c r="D388" s="114">
        <f>Assumptions!$D$9+RAND()*(Assumptions!$F$9-Assumptions!$D$9)</f>
        <v/>
      </c>
      <c r="E388" s="71">
        <f>Assumptions!$F$11+RAND()*(Assumptions!$D$11-Assumptions!$F$11)</f>
        <v/>
      </c>
      <c r="F388" s="45">
        <f>nListPrice*(1-C388)-(nInference*nGpuIdx+nAmort)*nUtilCal/D388-nNetworking-nOverheadBase*(E388/nPowerCal)-nCodBase*(1+I388/12)-O388</f>
        <v/>
      </c>
      <c r="G388" s="66">
        <f>MAX(F388,0)/nDebtService</f>
        <v/>
      </c>
      <c r="H388" s="71">
        <f>Anthropic!$J$18*Anthropic!$J$27+Anthropic!$J$19*Anthropic!$J$28+Anthropic!$J$20*Anthropic!$J$29+Anthropic!$J$21*E388*(1+nPowerCagr)^4*(1+nResidualBasisMarkup+nScarcityAlpha*POWER(Anthropic!$J$21,nScarcityGamma))</f>
        <v/>
      </c>
      <c r="I388" s="113">
        <f>Assumptions!$F$10+RAND()*(Assumptions!$D$10-Assumptions!$F$10)</f>
        <v/>
      </c>
      <c r="J388" s="113">
        <f>RAND()*nCodSlipMaxMo</f>
        <v/>
      </c>
      <c r="K388" s="114">
        <f>nAvailDrawMin+RAND()*(nAvailDrawMax-nAvailDrawMin)</f>
        <v/>
      </c>
      <c r="L388" s="45">
        <f>IF(2034&lt;sNsmrCodU1+J388/12,0,(nNsmrCap+nNsmrOpx*(1+sNsmrOpxEsc)^8+nNsmrFuel*FuelEsc*(1+nFuelCagr)^8-nNsmrItc)*IF(2034&lt;sNsmrCodU1+J388/12+nStepFirst,1,IF(nStepGated="Yes",(1+nStepPct)^(INT((2034-sNsmrCodU1-J388/12-nStepFirst)/nStepEvery)+1),1))+nExclPrem*(1-nFlexRelief)-nProdCredit)</f>
        <v/>
      </c>
      <c r="M388" s="63">
        <f>MIN(nShortfallCapM,MAX(0,sNsmrAvailY2-K388)*sNsmrUnitMw*sNsmrUnits*8760*NsmrPrice2033/1000000)</f>
        <v/>
      </c>
      <c r="N388" s="82">
        <f>IF(RAND()&lt;0.5,nUsefulLifeDrawBase-(nUsefulLifeDrawBase-nUsefulLifeDrawMin)*BETA.INV(RAND(),1.15,1.15),nUsefulLifeDrawBase+(nUsefulLifeDrawMax-nUsefulLifeDrawBase)*BETA.INV(RAND(),1.15,1.15))</f>
        <v/>
      </c>
      <c r="O388" s="45">
        <f>((nInference*nGpuIdx+nAmort)*nUtilCal/D388)*(nUsefulLifeDrawBase/N388-1)</f>
        <v/>
      </c>
      <c r="P388" s="1" t="n"/>
      <c r="Q388" s="1" t="n"/>
      <c r="R388" s="1" t="n"/>
      <c r="S388" s="1" t="n"/>
      <c r="T388" s="1" t="n"/>
      <c r="U388" s="1" t="n"/>
    </row>
    <row r="389" ht="12" customHeight="1">
      <c r="A389" s="1" t="n"/>
      <c r="B389" s="38" t="n">
        <v>369</v>
      </c>
      <c r="C389" s="114">
        <f>Assumptions!$F$8+RAND()*(Assumptions!$D$8-Assumptions!$F$8)</f>
        <v/>
      </c>
      <c r="D389" s="114">
        <f>Assumptions!$D$9+RAND()*(Assumptions!$F$9-Assumptions!$D$9)</f>
        <v/>
      </c>
      <c r="E389" s="71">
        <f>Assumptions!$F$11+RAND()*(Assumptions!$D$11-Assumptions!$F$11)</f>
        <v/>
      </c>
      <c r="F389" s="45">
        <f>nListPrice*(1-C389)-(nInference*nGpuIdx+nAmort)*nUtilCal/D389-nNetworking-nOverheadBase*(E389/nPowerCal)-nCodBase*(1+I389/12)-O389</f>
        <v/>
      </c>
      <c r="G389" s="66">
        <f>MAX(F389,0)/nDebtService</f>
        <v/>
      </c>
      <c r="H389" s="71">
        <f>Anthropic!$J$18*Anthropic!$J$27+Anthropic!$J$19*Anthropic!$J$28+Anthropic!$J$20*Anthropic!$J$29+Anthropic!$J$21*E389*(1+nPowerCagr)^4*(1+nResidualBasisMarkup+nScarcityAlpha*POWER(Anthropic!$J$21,nScarcityGamma))</f>
        <v/>
      </c>
      <c r="I389" s="113">
        <f>Assumptions!$F$10+RAND()*(Assumptions!$D$10-Assumptions!$F$10)</f>
        <v/>
      </c>
      <c r="J389" s="113">
        <f>RAND()*nCodSlipMaxMo</f>
        <v/>
      </c>
      <c r="K389" s="114">
        <f>nAvailDrawMin+RAND()*(nAvailDrawMax-nAvailDrawMin)</f>
        <v/>
      </c>
      <c r="L389" s="45">
        <f>IF(2034&lt;sNsmrCodU1+J389/12,0,(nNsmrCap+nNsmrOpx*(1+sNsmrOpxEsc)^8+nNsmrFuel*FuelEsc*(1+nFuelCagr)^8-nNsmrItc)*IF(2034&lt;sNsmrCodU1+J389/12+nStepFirst,1,IF(nStepGated="Yes",(1+nStepPct)^(INT((2034-sNsmrCodU1-J389/12-nStepFirst)/nStepEvery)+1),1))+nExclPrem*(1-nFlexRelief)-nProdCredit)</f>
        <v/>
      </c>
      <c r="M389" s="63">
        <f>MIN(nShortfallCapM,MAX(0,sNsmrAvailY2-K389)*sNsmrUnitMw*sNsmrUnits*8760*NsmrPrice2033/1000000)</f>
        <v/>
      </c>
      <c r="N389" s="82">
        <f>IF(RAND()&lt;0.5,nUsefulLifeDrawBase-(nUsefulLifeDrawBase-nUsefulLifeDrawMin)*BETA.INV(RAND(),1.15,1.15),nUsefulLifeDrawBase+(nUsefulLifeDrawMax-nUsefulLifeDrawBase)*BETA.INV(RAND(),1.15,1.15))</f>
        <v/>
      </c>
      <c r="O389" s="45">
        <f>((nInference*nGpuIdx+nAmort)*nUtilCal/D389)*(nUsefulLifeDrawBase/N389-1)</f>
        <v/>
      </c>
      <c r="P389" s="1" t="n"/>
      <c r="Q389" s="1" t="n"/>
      <c r="R389" s="1" t="n"/>
      <c r="S389" s="1" t="n"/>
      <c r="T389" s="1" t="n"/>
      <c r="U389" s="1" t="n"/>
    </row>
    <row r="390" ht="12" customHeight="1">
      <c r="A390" s="1" t="n"/>
      <c r="B390" s="38" t="n">
        <v>370</v>
      </c>
      <c r="C390" s="114">
        <f>Assumptions!$F$8+RAND()*(Assumptions!$D$8-Assumptions!$F$8)</f>
        <v/>
      </c>
      <c r="D390" s="114">
        <f>Assumptions!$D$9+RAND()*(Assumptions!$F$9-Assumptions!$D$9)</f>
        <v/>
      </c>
      <c r="E390" s="71">
        <f>Assumptions!$F$11+RAND()*(Assumptions!$D$11-Assumptions!$F$11)</f>
        <v/>
      </c>
      <c r="F390" s="45">
        <f>nListPrice*(1-C390)-(nInference*nGpuIdx+nAmort)*nUtilCal/D390-nNetworking-nOverheadBase*(E390/nPowerCal)-nCodBase*(1+I390/12)-O390</f>
        <v/>
      </c>
      <c r="G390" s="66">
        <f>MAX(F390,0)/nDebtService</f>
        <v/>
      </c>
      <c r="H390" s="71">
        <f>Anthropic!$J$18*Anthropic!$J$27+Anthropic!$J$19*Anthropic!$J$28+Anthropic!$J$20*Anthropic!$J$29+Anthropic!$J$21*E390*(1+nPowerCagr)^4*(1+nResidualBasisMarkup+nScarcityAlpha*POWER(Anthropic!$J$21,nScarcityGamma))</f>
        <v/>
      </c>
      <c r="I390" s="113">
        <f>Assumptions!$F$10+RAND()*(Assumptions!$D$10-Assumptions!$F$10)</f>
        <v/>
      </c>
      <c r="J390" s="113">
        <f>RAND()*nCodSlipMaxMo</f>
        <v/>
      </c>
      <c r="K390" s="114">
        <f>nAvailDrawMin+RAND()*(nAvailDrawMax-nAvailDrawMin)</f>
        <v/>
      </c>
      <c r="L390" s="45">
        <f>IF(2034&lt;sNsmrCodU1+J390/12,0,(nNsmrCap+nNsmrOpx*(1+sNsmrOpxEsc)^8+nNsmrFuel*FuelEsc*(1+nFuelCagr)^8-nNsmrItc)*IF(2034&lt;sNsmrCodU1+J390/12+nStepFirst,1,IF(nStepGated="Yes",(1+nStepPct)^(INT((2034-sNsmrCodU1-J390/12-nStepFirst)/nStepEvery)+1),1))+nExclPrem*(1-nFlexRelief)-nProdCredit)</f>
        <v/>
      </c>
      <c r="M390" s="63">
        <f>MIN(nShortfallCapM,MAX(0,sNsmrAvailY2-K390)*sNsmrUnitMw*sNsmrUnits*8760*NsmrPrice2033/1000000)</f>
        <v/>
      </c>
      <c r="N390" s="82">
        <f>IF(RAND()&lt;0.5,nUsefulLifeDrawBase-(nUsefulLifeDrawBase-nUsefulLifeDrawMin)*BETA.INV(RAND(),1.15,1.15),nUsefulLifeDrawBase+(nUsefulLifeDrawMax-nUsefulLifeDrawBase)*BETA.INV(RAND(),1.15,1.15))</f>
        <v/>
      </c>
      <c r="O390" s="45">
        <f>((nInference*nGpuIdx+nAmort)*nUtilCal/D390)*(nUsefulLifeDrawBase/N390-1)</f>
        <v/>
      </c>
      <c r="P390" s="1" t="n"/>
      <c r="Q390" s="1" t="n"/>
      <c r="R390" s="1" t="n"/>
      <c r="S390" s="1" t="n"/>
      <c r="T390" s="1" t="n"/>
      <c r="U390" s="1" t="n"/>
    </row>
    <row r="391" ht="12" customHeight="1">
      <c r="A391" s="1" t="n"/>
      <c r="B391" s="38" t="n">
        <v>371</v>
      </c>
      <c r="C391" s="114">
        <f>Assumptions!$F$8+RAND()*(Assumptions!$D$8-Assumptions!$F$8)</f>
        <v/>
      </c>
      <c r="D391" s="114">
        <f>Assumptions!$D$9+RAND()*(Assumptions!$F$9-Assumptions!$D$9)</f>
        <v/>
      </c>
      <c r="E391" s="71">
        <f>Assumptions!$F$11+RAND()*(Assumptions!$D$11-Assumptions!$F$11)</f>
        <v/>
      </c>
      <c r="F391" s="45">
        <f>nListPrice*(1-C391)-(nInference*nGpuIdx+nAmort)*nUtilCal/D391-nNetworking-nOverheadBase*(E391/nPowerCal)-nCodBase*(1+I391/12)-O391</f>
        <v/>
      </c>
      <c r="G391" s="66">
        <f>MAX(F391,0)/nDebtService</f>
        <v/>
      </c>
      <c r="H391" s="71">
        <f>Anthropic!$J$18*Anthropic!$J$27+Anthropic!$J$19*Anthropic!$J$28+Anthropic!$J$20*Anthropic!$J$29+Anthropic!$J$21*E391*(1+nPowerCagr)^4*(1+nResidualBasisMarkup+nScarcityAlpha*POWER(Anthropic!$J$21,nScarcityGamma))</f>
        <v/>
      </c>
      <c r="I391" s="113">
        <f>Assumptions!$F$10+RAND()*(Assumptions!$D$10-Assumptions!$F$10)</f>
        <v/>
      </c>
      <c r="J391" s="113">
        <f>RAND()*nCodSlipMaxMo</f>
        <v/>
      </c>
      <c r="K391" s="114">
        <f>nAvailDrawMin+RAND()*(nAvailDrawMax-nAvailDrawMin)</f>
        <v/>
      </c>
      <c r="L391" s="45">
        <f>IF(2034&lt;sNsmrCodU1+J391/12,0,(nNsmrCap+nNsmrOpx*(1+sNsmrOpxEsc)^8+nNsmrFuel*FuelEsc*(1+nFuelCagr)^8-nNsmrItc)*IF(2034&lt;sNsmrCodU1+J391/12+nStepFirst,1,IF(nStepGated="Yes",(1+nStepPct)^(INT((2034-sNsmrCodU1-J391/12-nStepFirst)/nStepEvery)+1),1))+nExclPrem*(1-nFlexRelief)-nProdCredit)</f>
        <v/>
      </c>
      <c r="M391" s="63">
        <f>MIN(nShortfallCapM,MAX(0,sNsmrAvailY2-K391)*sNsmrUnitMw*sNsmrUnits*8760*NsmrPrice2033/1000000)</f>
        <v/>
      </c>
      <c r="N391" s="82">
        <f>IF(RAND()&lt;0.5,nUsefulLifeDrawBase-(nUsefulLifeDrawBase-nUsefulLifeDrawMin)*BETA.INV(RAND(),1.15,1.15),nUsefulLifeDrawBase+(nUsefulLifeDrawMax-nUsefulLifeDrawBase)*BETA.INV(RAND(),1.15,1.15))</f>
        <v/>
      </c>
      <c r="O391" s="45">
        <f>((nInference*nGpuIdx+nAmort)*nUtilCal/D391)*(nUsefulLifeDrawBase/N391-1)</f>
        <v/>
      </c>
      <c r="P391" s="1" t="n"/>
      <c r="Q391" s="1" t="n"/>
      <c r="R391" s="1" t="n"/>
      <c r="S391" s="1" t="n"/>
      <c r="T391" s="1" t="n"/>
      <c r="U391" s="1" t="n"/>
    </row>
    <row r="392" ht="12" customHeight="1">
      <c r="A392" s="1" t="n"/>
      <c r="B392" s="38" t="n">
        <v>372</v>
      </c>
      <c r="C392" s="114">
        <f>Assumptions!$F$8+RAND()*(Assumptions!$D$8-Assumptions!$F$8)</f>
        <v/>
      </c>
      <c r="D392" s="114">
        <f>Assumptions!$D$9+RAND()*(Assumptions!$F$9-Assumptions!$D$9)</f>
        <v/>
      </c>
      <c r="E392" s="71">
        <f>Assumptions!$F$11+RAND()*(Assumptions!$D$11-Assumptions!$F$11)</f>
        <v/>
      </c>
      <c r="F392" s="45">
        <f>nListPrice*(1-C392)-(nInference*nGpuIdx+nAmort)*nUtilCal/D392-nNetworking-nOverheadBase*(E392/nPowerCal)-nCodBase*(1+I392/12)-O392</f>
        <v/>
      </c>
      <c r="G392" s="66">
        <f>MAX(F392,0)/nDebtService</f>
        <v/>
      </c>
      <c r="H392" s="71">
        <f>Anthropic!$J$18*Anthropic!$J$27+Anthropic!$J$19*Anthropic!$J$28+Anthropic!$J$20*Anthropic!$J$29+Anthropic!$J$21*E392*(1+nPowerCagr)^4*(1+nResidualBasisMarkup+nScarcityAlpha*POWER(Anthropic!$J$21,nScarcityGamma))</f>
        <v/>
      </c>
      <c r="I392" s="113">
        <f>Assumptions!$F$10+RAND()*(Assumptions!$D$10-Assumptions!$F$10)</f>
        <v/>
      </c>
      <c r="J392" s="113">
        <f>RAND()*nCodSlipMaxMo</f>
        <v/>
      </c>
      <c r="K392" s="114">
        <f>nAvailDrawMin+RAND()*(nAvailDrawMax-nAvailDrawMin)</f>
        <v/>
      </c>
      <c r="L392" s="45">
        <f>IF(2034&lt;sNsmrCodU1+J392/12,0,(nNsmrCap+nNsmrOpx*(1+sNsmrOpxEsc)^8+nNsmrFuel*FuelEsc*(1+nFuelCagr)^8-nNsmrItc)*IF(2034&lt;sNsmrCodU1+J392/12+nStepFirst,1,IF(nStepGated="Yes",(1+nStepPct)^(INT((2034-sNsmrCodU1-J392/12-nStepFirst)/nStepEvery)+1),1))+nExclPrem*(1-nFlexRelief)-nProdCredit)</f>
        <v/>
      </c>
      <c r="M392" s="63">
        <f>MIN(nShortfallCapM,MAX(0,sNsmrAvailY2-K392)*sNsmrUnitMw*sNsmrUnits*8760*NsmrPrice2033/1000000)</f>
        <v/>
      </c>
      <c r="N392" s="82">
        <f>IF(RAND()&lt;0.5,nUsefulLifeDrawBase-(nUsefulLifeDrawBase-nUsefulLifeDrawMin)*BETA.INV(RAND(),1.15,1.15),nUsefulLifeDrawBase+(nUsefulLifeDrawMax-nUsefulLifeDrawBase)*BETA.INV(RAND(),1.15,1.15))</f>
        <v/>
      </c>
      <c r="O392" s="45">
        <f>((nInference*nGpuIdx+nAmort)*nUtilCal/D392)*(nUsefulLifeDrawBase/N392-1)</f>
        <v/>
      </c>
      <c r="P392" s="1" t="n"/>
      <c r="Q392" s="1" t="n"/>
      <c r="R392" s="1" t="n"/>
      <c r="S392" s="1" t="n"/>
      <c r="T392" s="1" t="n"/>
      <c r="U392" s="1" t="n"/>
    </row>
    <row r="393" ht="12" customHeight="1">
      <c r="A393" s="1" t="n"/>
      <c r="B393" s="38" t="n">
        <v>373</v>
      </c>
      <c r="C393" s="114">
        <f>Assumptions!$F$8+RAND()*(Assumptions!$D$8-Assumptions!$F$8)</f>
        <v/>
      </c>
      <c r="D393" s="114">
        <f>Assumptions!$D$9+RAND()*(Assumptions!$F$9-Assumptions!$D$9)</f>
        <v/>
      </c>
      <c r="E393" s="71">
        <f>Assumptions!$F$11+RAND()*(Assumptions!$D$11-Assumptions!$F$11)</f>
        <v/>
      </c>
      <c r="F393" s="45">
        <f>nListPrice*(1-C393)-(nInference*nGpuIdx+nAmort)*nUtilCal/D393-nNetworking-nOverheadBase*(E393/nPowerCal)-nCodBase*(1+I393/12)-O393</f>
        <v/>
      </c>
      <c r="G393" s="66">
        <f>MAX(F393,0)/nDebtService</f>
        <v/>
      </c>
      <c r="H393" s="71">
        <f>Anthropic!$J$18*Anthropic!$J$27+Anthropic!$J$19*Anthropic!$J$28+Anthropic!$J$20*Anthropic!$J$29+Anthropic!$J$21*E393*(1+nPowerCagr)^4*(1+nResidualBasisMarkup+nScarcityAlpha*POWER(Anthropic!$J$21,nScarcityGamma))</f>
        <v/>
      </c>
      <c r="I393" s="113">
        <f>Assumptions!$F$10+RAND()*(Assumptions!$D$10-Assumptions!$F$10)</f>
        <v/>
      </c>
      <c r="J393" s="113">
        <f>RAND()*nCodSlipMaxMo</f>
        <v/>
      </c>
      <c r="K393" s="114">
        <f>nAvailDrawMin+RAND()*(nAvailDrawMax-nAvailDrawMin)</f>
        <v/>
      </c>
      <c r="L393" s="45">
        <f>IF(2034&lt;sNsmrCodU1+J393/12,0,(nNsmrCap+nNsmrOpx*(1+sNsmrOpxEsc)^8+nNsmrFuel*FuelEsc*(1+nFuelCagr)^8-nNsmrItc)*IF(2034&lt;sNsmrCodU1+J393/12+nStepFirst,1,IF(nStepGated="Yes",(1+nStepPct)^(INT((2034-sNsmrCodU1-J393/12-nStepFirst)/nStepEvery)+1),1))+nExclPrem*(1-nFlexRelief)-nProdCredit)</f>
        <v/>
      </c>
      <c r="M393" s="63">
        <f>MIN(nShortfallCapM,MAX(0,sNsmrAvailY2-K393)*sNsmrUnitMw*sNsmrUnits*8760*NsmrPrice2033/1000000)</f>
        <v/>
      </c>
      <c r="N393" s="82">
        <f>IF(RAND()&lt;0.5,nUsefulLifeDrawBase-(nUsefulLifeDrawBase-nUsefulLifeDrawMin)*BETA.INV(RAND(),1.15,1.15),nUsefulLifeDrawBase+(nUsefulLifeDrawMax-nUsefulLifeDrawBase)*BETA.INV(RAND(),1.15,1.15))</f>
        <v/>
      </c>
      <c r="O393" s="45">
        <f>((nInference*nGpuIdx+nAmort)*nUtilCal/D393)*(nUsefulLifeDrawBase/N393-1)</f>
        <v/>
      </c>
      <c r="P393" s="1" t="n"/>
      <c r="Q393" s="1" t="n"/>
      <c r="R393" s="1" t="n"/>
      <c r="S393" s="1" t="n"/>
      <c r="T393" s="1" t="n"/>
      <c r="U393" s="1" t="n"/>
    </row>
    <row r="394" ht="12" customHeight="1">
      <c r="A394" s="1" t="n"/>
      <c r="B394" s="38" t="n">
        <v>374</v>
      </c>
      <c r="C394" s="114">
        <f>Assumptions!$F$8+RAND()*(Assumptions!$D$8-Assumptions!$F$8)</f>
        <v/>
      </c>
      <c r="D394" s="114">
        <f>Assumptions!$D$9+RAND()*(Assumptions!$F$9-Assumptions!$D$9)</f>
        <v/>
      </c>
      <c r="E394" s="71">
        <f>Assumptions!$F$11+RAND()*(Assumptions!$D$11-Assumptions!$F$11)</f>
        <v/>
      </c>
      <c r="F394" s="45">
        <f>nListPrice*(1-C394)-(nInference*nGpuIdx+nAmort)*nUtilCal/D394-nNetworking-nOverheadBase*(E394/nPowerCal)-nCodBase*(1+I394/12)-O394</f>
        <v/>
      </c>
      <c r="G394" s="66">
        <f>MAX(F394,0)/nDebtService</f>
        <v/>
      </c>
      <c r="H394" s="71">
        <f>Anthropic!$J$18*Anthropic!$J$27+Anthropic!$J$19*Anthropic!$J$28+Anthropic!$J$20*Anthropic!$J$29+Anthropic!$J$21*E394*(1+nPowerCagr)^4*(1+nResidualBasisMarkup+nScarcityAlpha*POWER(Anthropic!$J$21,nScarcityGamma))</f>
        <v/>
      </c>
      <c r="I394" s="113">
        <f>Assumptions!$F$10+RAND()*(Assumptions!$D$10-Assumptions!$F$10)</f>
        <v/>
      </c>
      <c r="J394" s="113">
        <f>RAND()*nCodSlipMaxMo</f>
        <v/>
      </c>
      <c r="K394" s="114">
        <f>nAvailDrawMin+RAND()*(nAvailDrawMax-nAvailDrawMin)</f>
        <v/>
      </c>
      <c r="L394" s="45">
        <f>IF(2034&lt;sNsmrCodU1+J394/12,0,(nNsmrCap+nNsmrOpx*(1+sNsmrOpxEsc)^8+nNsmrFuel*FuelEsc*(1+nFuelCagr)^8-nNsmrItc)*IF(2034&lt;sNsmrCodU1+J394/12+nStepFirst,1,IF(nStepGated="Yes",(1+nStepPct)^(INT((2034-sNsmrCodU1-J394/12-nStepFirst)/nStepEvery)+1),1))+nExclPrem*(1-nFlexRelief)-nProdCredit)</f>
        <v/>
      </c>
      <c r="M394" s="63">
        <f>MIN(nShortfallCapM,MAX(0,sNsmrAvailY2-K394)*sNsmrUnitMw*sNsmrUnits*8760*NsmrPrice2033/1000000)</f>
        <v/>
      </c>
      <c r="N394" s="82">
        <f>IF(RAND()&lt;0.5,nUsefulLifeDrawBase-(nUsefulLifeDrawBase-nUsefulLifeDrawMin)*BETA.INV(RAND(),1.15,1.15),nUsefulLifeDrawBase+(nUsefulLifeDrawMax-nUsefulLifeDrawBase)*BETA.INV(RAND(),1.15,1.15))</f>
        <v/>
      </c>
      <c r="O394" s="45">
        <f>((nInference*nGpuIdx+nAmort)*nUtilCal/D394)*(nUsefulLifeDrawBase/N394-1)</f>
        <v/>
      </c>
      <c r="P394" s="1" t="n"/>
      <c r="Q394" s="1" t="n"/>
      <c r="R394" s="1" t="n"/>
      <c r="S394" s="1" t="n"/>
      <c r="T394" s="1" t="n"/>
      <c r="U394" s="1" t="n"/>
    </row>
    <row r="395" ht="12" customHeight="1">
      <c r="A395" s="1" t="n"/>
      <c r="B395" s="38" t="n">
        <v>375</v>
      </c>
      <c r="C395" s="114">
        <f>Assumptions!$F$8+RAND()*(Assumptions!$D$8-Assumptions!$F$8)</f>
        <v/>
      </c>
      <c r="D395" s="114">
        <f>Assumptions!$D$9+RAND()*(Assumptions!$F$9-Assumptions!$D$9)</f>
        <v/>
      </c>
      <c r="E395" s="71">
        <f>Assumptions!$F$11+RAND()*(Assumptions!$D$11-Assumptions!$F$11)</f>
        <v/>
      </c>
      <c r="F395" s="45">
        <f>nListPrice*(1-C395)-(nInference*nGpuIdx+nAmort)*nUtilCal/D395-nNetworking-nOverheadBase*(E395/nPowerCal)-nCodBase*(1+I395/12)-O395</f>
        <v/>
      </c>
      <c r="G395" s="66">
        <f>MAX(F395,0)/nDebtService</f>
        <v/>
      </c>
      <c r="H395" s="71">
        <f>Anthropic!$J$18*Anthropic!$J$27+Anthropic!$J$19*Anthropic!$J$28+Anthropic!$J$20*Anthropic!$J$29+Anthropic!$J$21*E395*(1+nPowerCagr)^4*(1+nResidualBasisMarkup+nScarcityAlpha*POWER(Anthropic!$J$21,nScarcityGamma))</f>
        <v/>
      </c>
      <c r="I395" s="113">
        <f>Assumptions!$F$10+RAND()*(Assumptions!$D$10-Assumptions!$F$10)</f>
        <v/>
      </c>
      <c r="J395" s="113">
        <f>RAND()*nCodSlipMaxMo</f>
        <v/>
      </c>
      <c r="K395" s="114">
        <f>nAvailDrawMin+RAND()*(nAvailDrawMax-nAvailDrawMin)</f>
        <v/>
      </c>
      <c r="L395" s="45">
        <f>IF(2034&lt;sNsmrCodU1+J395/12,0,(nNsmrCap+nNsmrOpx*(1+sNsmrOpxEsc)^8+nNsmrFuel*FuelEsc*(1+nFuelCagr)^8-nNsmrItc)*IF(2034&lt;sNsmrCodU1+J395/12+nStepFirst,1,IF(nStepGated="Yes",(1+nStepPct)^(INT((2034-sNsmrCodU1-J395/12-nStepFirst)/nStepEvery)+1),1))+nExclPrem*(1-nFlexRelief)-nProdCredit)</f>
        <v/>
      </c>
      <c r="M395" s="63">
        <f>MIN(nShortfallCapM,MAX(0,sNsmrAvailY2-K395)*sNsmrUnitMw*sNsmrUnits*8760*NsmrPrice2033/1000000)</f>
        <v/>
      </c>
      <c r="N395" s="82">
        <f>IF(RAND()&lt;0.5,nUsefulLifeDrawBase-(nUsefulLifeDrawBase-nUsefulLifeDrawMin)*BETA.INV(RAND(),1.15,1.15),nUsefulLifeDrawBase+(nUsefulLifeDrawMax-nUsefulLifeDrawBase)*BETA.INV(RAND(),1.15,1.15))</f>
        <v/>
      </c>
      <c r="O395" s="45">
        <f>((nInference*nGpuIdx+nAmort)*nUtilCal/D395)*(nUsefulLifeDrawBase/N395-1)</f>
        <v/>
      </c>
      <c r="P395" s="1" t="n"/>
      <c r="Q395" s="1" t="n"/>
      <c r="R395" s="1" t="n"/>
      <c r="S395" s="1" t="n"/>
      <c r="T395" s="1" t="n"/>
      <c r="U395" s="1" t="n"/>
    </row>
    <row r="396" ht="12" customHeight="1">
      <c r="A396" s="1" t="n"/>
      <c r="B396" s="38" t="n">
        <v>376</v>
      </c>
      <c r="C396" s="114">
        <f>Assumptions!$F$8+RAND()*(Assumptions!$D$8-Assumptions!$F$8)</f>
        <v/>
      </c>
      <c r="D396" s="114">
        <f>Assumptions!$D$9+RAND()*(Assumptions!$F$9-Assumptions!$D$9)</f>
        <v/>
      </c>
      <c r="E396" s="71">
        <f>Assumptions!$F$11+RAND()*(Assumptions!$D$11-Assumptions!$F$11)</f>
        <v/>
      </c>
      <c r="F396" s="45">
        <f>nListPrice*(1-C396)-(nInference*nGpuIdx+nAmort)*nUtilCal/D396-nNetworking-nOverheadBase*(E396/nPowerCal)-nCodBase*(1+I396/12)-O396</f>
        <v/>
      </c>
      <c r="G396" s="66">
        <f>MAX(F396,0)/nDebtService</f>
        <v/>
      </c>
      <c r="H396" s="71">
        <f>Anthropic!$J$18*Anthropic!$J$27+Anthropic!$J$19*Anthropic!$J$28+Anthropic!$J$20*Anthropic!$J$29+Anthropic!$J$21*E396*(1+nPowerCagr)^4*(1+nResidualBasisMarkup+nScarcityAlpha*POWER(Anthropic!$J$21,nScarcityGamma))</f>
        <v/>
      </c>
      <c r="I396" s="113">
        <f>Assumptions!$F$10+RAND()*(Assumptions!$D$10-Assumptions!$F$10)</f>
        <v/>
      </c>
      <c r="J396" s="113">
        <f>RAND()*nCodSlipMaxMo</f>
        <v/>
      </c>
      <c r="K396" s="114">
        <f>nAvailDrawMin+RAND()*(nAvailDrawMax-nAvailDrawMin)</f>
        <v/>
      </c>
      <c r="L396" s="45">
        <f>IF(2034&lt;sNsmrCodU1+J396/12,0,(nNsmrCap+nNsmrOpx*(1+sNsmrOpxEsc)^8+nNsmrFuel*FuelEsc*(1+nFuelCagr)^8-nNsmrItc)*IF(2034&lt;sNsmrCodU1+J396/12+nStepFirst,1,IF(nStepGated="Yes",(1+nStepPct)^(INT((2034-sNsmrCodU1-J396/12-nStepFirst)/nStepEvery)+1),1))+nExclPrem*(1-nFlexRelief)-nProdCredit)</f>
        <v/>
      </c>
      <c r="M396" s="63">
        <f>MIN(nShortfallCapM,MAX(0,sNsmrAvailY2-K396)*sNsmrUnitMw*sNsmrUnits*8760*NsmrPrice2033/1000000)</f>
        <v/>
      </c>
      <c r="N396" s="82">
        <f>IF(RAND()&lt;0.5,nUsefulLifeDrawBase-(nUsefulLifeDrawBase-nUsefulLifeDrawMin)*BETA.INV(RAND(),1.15,1.15),nUsefulLifeDrawBase+(nUsefulLifeDrawMax-nUsefulLifeDrawBase)*BETA.INV(RAND(),1.15,1.15))</f>
        <v/>
      </c>
      <c r="O396" s="45">
        <f>((nInference*nGpuIdx+nAmort)*nUtilCal/D396)*(nUsefulLifeDrawBase/N396-1)</f>
        <v/>
      </c>
      <c r="P396" s="1" t="n"/>
      <c r="Q396" s="1" t="n"/>
      <c r="R396" s="1" t="n"/>
      <c r="S396" s="1" t="n"/>
      <c r="T396" s="1" t="n"/>
      <c r="U396" s="1" t="n"/>
    </row>
    <row r="397" ht="12" customHeight="1">
      <c r="A397" s="1" t="n"/>
      <c r="B397" s="38" t="n">
        <v>377</v>
      </c>
      <c r="C397" s="114">
        <f>Assumptions!$F$8+RAND()*(Assumptions!$D$8-Assumptions!$F$8)</f>
        <v/>
      </c>
      <c r="D397" s="114">
        <f>Assumptions!$D$9+RAND()*(Assumptions!$F$9-Assumptions!$D$9)</f>
        <v/>
      </c>
      <c r="E397" s="71">
        <f>Assumptions!$F$11+RAND()*(Assumptions!$D$11-Assumptions!$F$11)</f>
        <v/>
      </c>
      <c r="F397" s="45">
        <f>nListPrice*(1-C397)-(nInference*nGpuIdx+nAmort)*nUtilCal/D397-nNetworking-nOverheadBase*(E397/nPowerCal)-nCodBase*(1+I397/12)-O397</f>
        <v/>
      </c>
      <c r="G397" s="66">
        <f>MAX(F397,0)/nDebtService</f>
        <v/>
      </c>
      <c r="H397" s="71">
        <f>Anthropic!$J$18*Anthropic!$J$27+Anthropic!$J$19*Anthropic!$J$28+Anthropic!$J$20*Anthropic!$J$29+Anthropic!$J$21*E397*(1+nPowerCagr)^4*(1+nResidualBasisMarkup+nScarcityAlpha*POWER(Anthropic!$J$21,nScarcityGamma))</f>
        <v/>
      </c>
      <c r="I397" s="113">
        <f>Assumptions!$F$10+RAND()*(Assumptions!$D$10-Assumptions!$F$10)</f>
        <v/>
      </c>
      <c r="J397" s="113">
        <f>RAND()*nCodSlipMaxMo</f>
        <v/>
      </c>
      <c r="K397" s="114">
        <f>nAvailDrawMin+RAND()*(nAvailDrawMax-nAvailDrawMin)</f>
        <v/>
      </c>
      <c r="L397" s="45">
        <f>IF(2034&lt;sNsmrCodU1+J397/12,0,(nNsmrCap+nNsmrOpx*(1+sNsmrOpxEsc)^8+nNsmrFuel*FuelEsc*(1+nFuelCagr)^8-nNsmrItc)*IF(2034&lt;sNsmrCodU1+J397/12+nStepFirst,1,IF(nStepGated="Yes",(1+nStepPct)^(INT((2034-sNsmrCodU1-J397/12-nStepFirst)/nStepEvery)+1),1))+nExclPrem*(1-nFlexRelief)-nProdCredit)</f>
        <v/>
      </c>
      <c r="M397" s="63">
        <f>MIN(nShortfallCapM,MAX(0,sNsmrAvailY2-K397)*sNsmrUnitMw*sNsmrUnits*8760*NsmrPrice2033/1000000)</f>
        <v/>
      </c>
      <c r="N397" s="82">
        <f>IF(RAND()&lt;0.5,nUsefulLifeDrawBase-(nUsefulLifeDrawBase-nUsefulLifeDrawMin)*BETA.INV(RAND(),1.15,1.15),nUsefulLifeDrawBase+(nUsefulLifeDrawMax-nUsefulLifeDrawBase)*BETA.INV(RAND(),1.15,1.15))</f>
        <v/>
      </c>
      <c r="O397" s="45">
        <f>((nInference*nGpuIdx+nAmort)*nUtilCal/D397)*(nUsefulLifeDrawBase/N397-1)</f>
        <v/>
      </c>
      <c r="P397" s="1" t="n"/>
      <c r="Q397" s="1" t="n"/>
      <c r="R397" s="1" t="n"/>
      <c r="S397" s="1" t="n"/>
      <c r="T397" s="1" t="n"/>
      <c r="U397" s="1" t="n"/>
    </row>
    <row r="398" ht="12" customHeight="1">
      <c r="A398" s="1" t="n"/>
      <c r="B398" s="38" t="n">
        <v>378</v>
      </c>
      <c r="C398" s="114">
        <f>Assumptions!$F$8+RAND()*(Assumptions!$D$8-Assumptions!$F$8)</f>
        <v/>
      </c>
      <c r="D398" s="114">
        <f>Assumptions!$D$9+RAND()*(Assumptions!$F$9-Assumptions!$D$9)</f>
        <v/>
      </c>
      <c r="E398" s="71">
        <f>Assumptions!$F$11+RAND()*(Assumptions!$D$11-Assumptions!$F$11)</f>
        <v/>
      </c>
      <c r="F398" s="45">
        <f>nListPrice*(1-C398)-(nInference*nGpuIdx+nAmort)*nUtilCal/D398-nNetworking-nOverheadBase*(E398/nPowerCal)-nCodBase*(1+I398/12)-O398</f>
        <v/>
      </c>
      <c r="G398" s="66">
        <f>MAX(F398,0)/nDebtService</f>
        <v/>
      </c>
      <c r="H398" s="71">
        <f>Anthropic!$J$18*Anthropic!$J$27+Anthropic!$J$19*Anthropic!$J$28+Anthropic!$J$20*Anthropic!$J$29+Anthropic!$J$21*E398*(1+nPowerCagr)^4*(1+nResidualBasisMarkup+nScarcityAlpha*POWER(Anthropic!$J$21,nScarcityGamma))</f>
        <v/>
      </c>
      <c r="I398" s="113">
        <f>Assumptions!$F$10+RAND()*(Assumptions!$D$10-Assumptions!$F$10)</f>
        <v/>
      </c>
      <c r="J398" s="113">
        <f>RAND()*nCodSlipMaxMo</f>
        <v/>
      </c>
      <c r="K398" s="114">
        <f>nAvailDrawMin+RAND()*(nAvailDrawMax-nAvailDrawMin)</f>
        <v/>
      </c>
      <c r="L398" s="45">
        <f>IF(2034&lt;sNsmrCodU1+J398/12,0,(nNsmrCap+nNsmrOpx*(1+sNsmrOpxEsc)^8+nNsmrFuel*FuelEsc*(1+nFuelCagr)^8-nNsmrItc)*IF(2034&lt;sNsmrCodU1+J398/12+nStepFirst,1,IF(nStepGated="Yes",(1+nStepPct)^(INT((2034-sNsmrCodU1-J398/12-nStepFirst)/nStepEvery)+1),1))+nExclPrem*(1-nFlexRelief)-nProdCredit)</f>
        <v/>
      </c>
      <c r="M398" s="63">
        <f>MIN(nShortfallCapM,MAX(0,sNsmrAvailY2-K398)*sNsmrUnitMw*sNsmrUnits*8760*NsmrPrice2033/1000000)</f>
        <v/>
      </c>
      <c r="N398" s="82">
        <f>IF(RAND()&lt;0.5,nUsefulLifeDrawBase-(nUsefulLifeDrawBase-nUsefulLifeDrawMin)*BETA.INV(RAND(),1.15,1.15),nUsefulLifeDrawBase+(nUsefulLifeDrawMax-nUsefulLifeDrawBase)*BETA.INV(RAND(),1.15,1.15))</f>
        <v/>
      </c>
      <c r="O398" s="45">
        <f>((nInference*nGpuIdx+nAmort)*nUtilCal/D398)*(nUsefulLifeDrawBase/N398-1)</f>
        <v/>
      </c>
      <c r="P398" s="1" t="n"/>
      <c r="Q398" s="1" t="n"/>
      <c r="R398" s="1" t="n"/>
      <c r="S398" s="1" t="n"/>
      <c r="T398" s="1" t="n"/>
      <c r="U398" s="1" t="n"/>
    </row>
    <row r="399" ht="12" customHeight="1">
      <c r="A399" s="1" t="n"/>
      <c r="B399" s="38" t="n">
        <v>379</v>
      </c>
      <c r="C399" s="114">
        <f>Assumptions!$F$8+RAND()*(Assumptions!$D$8-Assumptions!$F$8)</f>
        <v/>
      </c>
      <c r="D399" s="114">
        <f>Assumptions!$D$9+RAND()*(Assumptions!$F$9-Assumptions!$D$9)</f>
        <v/>
      </c>
      <c r="E399" s="71">
        <f>Assumptions!$F$11+RAND()*(Assumptions!$D$11-Assumptions!$F$11)</f>
        <v/>
      </c>
      <c r="F399" s="45">
        <f>nListPrice*(1-C399)-(nInference*nGpuIdx+nAmort)*nUtilCal/D399-nNetworking-nOverheadBase*(E399/nPowerCal)-nCodBase*(1+I399/12)-O399</f>
        <v/>
      </c>
      <c r="G399" s="66">
        <f>MAX(F399,0)/nDebtService</f>
        <v/>
      </c>
      <c r="H399" s="71">
        <f>Anthropic!$J$18*Anthropic!$J$27+Anthropic!$J$19*Anthropic!$J$28+Anthropic!$J$20*Anthropic!$J$29+Anthropic!$J$21*E399*(1+nPowerCagr)^4*(1+nResidualBasisMarkup+nScarcityAlpha*POWER(Anthropic!$J$21,nScarcityGamma))</f>
        <v/>
      </c>
      <c r="I399" s="113">
        <f>Assumptions!$F$10+RAND()*(Assumptions!$D$10-Assumptions!$F$10)</f>
        <v/>
      </c>
      <c r="J399" s="113">
        <f>RAND()*nCodSlipMaxMo</f>
        <v/>
      </c>
      <c r="K399" s="114">
        <f>nAvailDrawMin+RAND()*(nAvailDrawMax-nAvailDrawMin)</f>
        <v/>
      </c>
      <c r="L399" s="45">
        <f>IF(2034&lt;sNsmrCodU1+J399/12,0,(nNsmrCap+nNsmrOpx*(1+sNsmrOpxEsc)^8+nNsmrFuel*FuelEsc*(1+nFuelCagr)^8-nNsmrItc)*IF(2034&lt;sNsmrCodU1+J399/12+nStepFirst,1,IF(nStepGated="Yes",(1+nStepPct)^(INT((2034-sNsmrCodU1-J399/12-nStepFirst)/nStepEvery)+1),1))+nExclPrem*(1-nFlexRelief)-nProdCredit)</f>
        <v/>
      </c>
      <c r="M399" s="63">
        <f>MIN(nShortfallCapM,MAX(0,sNsmrAvailY2-K399)*sNsmrUnitMw*sNsmrUnits*8760*NsmrPrice2033/1000000)</f>
        <v/>
      </c>
      <c r="N399" s="82">
        <f>IF(RAND()&lt;0.5,nUsefulLifeDrawBase-(nUsefulLifeDrawBase-nUsefulLifeDrawMin)*BETA.INV(RAND(),1.15,1.15),nUsefulLifeDrawBase+(nUsefulLifeDrawMax-nUsefulLifeDrawBase)*BETA.INV(RAND(),1.15,1.15))</f>
        <v/>
      </c>
      <c r="O399" s="45">
        <f>((nInference*nGpuIdx+nAmort)*nUtilCal/D399)*(nUsefulLifeDrawBase/N399-1)</f>
        <v/>
      </c>
      <c r="P399" s="1" t="n"/>
      <c r="Q399" s="1" t="n"/>
      <c r="R399" s="1" t="n"/>
      <c r="S399" s="1" t="n"/>
      <c r="T399" s="1" t="n"/>
      <c r="U399" s="1" t="n"/>
    </row>
    <row r="400" ht="12" customHeight="1">
      <c r="A400" s="1" t="n"/>
      <c r="B400" s="38" t="n">
        <v>380</v>
      </c>
      <c r="C400" s="114">
        <f>Assumptions!$F$8+RAND()*(Assumptions!$D$8-Assumptions!$F$8)</f>
        <v/>
      </c>
      <c r="D400" s="114">
        <f>Assumptions!$D$9+RAND()*(Assumptions!$F$9-Assumptions!$D$9)</f>
        <v/>
      </c>
      <c r="E400" s="71">
        <f>Assumptions!$F$11+RAND()*(Assumptions!$D$11-Assumptions!$F$11)</f>
        <v/>
      </c>
      <c r="F400" s="45">
        <f>nListPrice*(1-C400)-(nInference*nGpuIdx+nAmort)*nUtilCal/D400-nNetworking-nOverheadBase*(E400/nPowerCal)-nCodBase*(1+I400/12)-O400</f>
        <v/>
      </c>
      <c r="G400" s="66">
        <f>MAX(F400,0)/nDebtService</f>
        <v/>
      </c>
      <c r="H400" s="71">
        <f>Anthropic!$J$18*Anthropic!$J$27+Anthropic!$J$19*Anthropic!$J$28+Anthropic!$J$20*Anthropic!$J$29+Anthropic!$J$21*E400*(1+nPowerCagr)^4*(1+nResidualBasisMarkup+nScarcityAlpha*POWER(Anthropic!$J$21,nScarcityGamma))</f>
        <v/>
      </c>
      <c r="I400" s="113">
        <f>Assumptions!$F$10+RAND()*(Assumptions!$D$10-Assumptions!$F$10)</f>
        <v/>
      </c>
      <c r="J400" s="113">
        <f>RAND()*nCodSlipMaxMo</f>
        <v/>
      </c>
      <c r="K400" s="114">
        <f>nAvailDrawMin+RAND()*(nAvailDrawMax-nAvailDrawMin)</f>
        <v/>
      </c>
      <c r="L400" s="45">
        <f>IF(2034&lt;sNsmrCodU1+J400/12,0,(nNsmrCap+nNsmrOpx*(1+sNsmrOpxEsc)^8+nNsmrFuel*FuelEsc*(1+nFuelCagr)^8-nNsmrItc)*IF(2034&lt;sNsmrCodU1+J400/12+nStepFirst,1,IF(nStepGated="Yes",(1+nStepPct)^(INT((2034-sNsmrCodU1-J400/12-nStepFirst)/nStepEvery)+1),1))+nExclPrem*(1-nFlexRelief)-nProdCredit)</f>
        <v/>
      </c>
      <c r="M400" s="63">
        <f>MIN(nShortfallCapM,MAX(0,sNsmrAvailY2-K400)*sNsmrUnitMw*sNsmrUnits*8760*NsmrPrice2033/1000000)</f>
        <v/>
      </c>
      <c r="N400" s="82">
        <f>IF(RAND()&lt;0.5,nUsefulLifeDrawBase-(nUsefulLifeDrawBase-nUsefulLifeDrawMin)*BETA.INV(RAND(),1.15,1.15),nUsefulLifeDrawBase+(nUsefulLifeDrawMax-nUsefulLifeDrawBase)*BETA.INV(RAND(),1.15,1.15))</f>
        <v/>
      </c>
      <c r="O400" s="45">
        <f>((nInference*nGpuIdx+nAmort)*nUtilCal/D400)*(nUsefulLifeDrawBase/N400-1)</f>
        <v/>
      </c>
      <c r="P400" s="1" t="n"/>
      <c r="Q400" s="1" t="n"/>
      <c r="R400" s="1" t="n"/>
      <c r="S400" s="1" t="n"/>
      <c r="T400" s="1" t="n"/>
      <c r="U400" s="1" t="n"/>
    </row>
    <row r="401" ht="12" customHeight="1">
      <c r="A401" s="1" t="n"/>
      <c r="B401" s="38" t="n">
        <v>381</v>
      </c>
      <c r="C401" s="114">
        <f>Assumptions!$F$8+RAND()*(Assumptions!$D$8-Assumptions!$F$8)</f>
        <v/>
      </c>
      <c r="D401" s="114">
        <f>Assumptions!$D$9+RAND()*(Assumptions!$F$9-Assumptions!$D$9)</f>
        <v/>
      </c>
      <c r="E401" s="71">
        <f>Assumptions!$F$11+RAND()*(Assumptions!$D$11-Assumptions!$F$11)</f>
        <v/>
      </c>
      <c r="F401" s="45">
        <f>nListPrice*(1-C401)-(nInference*nGpuIdx+nAmort)*nUtilCal/D401-nNetworking-nOverheadBase*(E401/nPowerCal)-nCodBase*(1+I401/12)-O401</f>
        <v/>
      </c>
      <c r="G401" s="66">
        <f>MAX(F401,0)/nDebtService</f>
        <v/>
      </c>
      <c r="H401" s="71">
        <f>Anthropic!$J$18*Anthropic!$J$27+Anthropic!$J$19*Anthropic!$J$28+Anthropic!$J$20*Anthropic!$J$29+Anthropic!$J$21*E401*(1+nPowerCagr)^4*(1+nResidualBasisMarkup+nScarcityAlpha*POWER(Anthropic!$J$21,nScarcityGamma))</f>
        <v/>
      </c>
      <c r="I401" s="113">
        <f>Assumptions!$F$10+RAND()*(Assumptions!$D$10-Assumptions!$F$10)</f>
        <v/>
      </c>
      <c r="J401" s="113">
        <f>RAND()*nCodSlipMaxMo</f>
        <v/>
      </c>
      <c r="K401" s="114">
        <f>nAvailDrawMin+RAND()*(nAvailDrawMax-nAvailDrawMin)</f>
        <v/>
      </c>
      <c r="L401" s="45">
        <f>IF(2034&lt;sNsmrCodU1+J401/12,0,(nNsmrCap+nNsmrOpx*(1+sNsmrOpxEsc)^8+nNsmrFuel*FuelEsc*(1+nFuelCagr)^8-nNsmrItc)*IF(2034&lt;sNsmrCodU1+J401/12+nStepFirst,1,IF(nStepGated="Yes",(1+nStepPct)^(INT((2034-sNsmrCodU1-J401/12-nStepFirst)/nStepEvery)+1),1))+nExclPrem*(1-nFlexRelief)-nProdCredit)</f>
        <v/>
      </c>
      <c r="M401" s="63">
        <f>MIN(nShortfallCapM,MAX(0,sNsmrAvailY2-K401)*sNsmrUnitMw*sNsmrUnits*8760*NsmrPrice2033/1000000)</f>
        <v/>
      </c>
      <c r="N401" s="82">
        <f>IF(RAND()&lt;0.5,nUsefulLifeDrawBase-(nUsefulLifeDrawBase-nUsefulLifeDrawMin)*BETA.INV(RAND(),1.15,1.15),nUsefulLifeDrawBase+(nUsefulLifeDrawMax-nUsefulLifeDrawBase)*BETA.INV(RAND(),1.15,1.15))</f>
        <v/>
      </c>
      <c r="O401" s="45">
        <f>((nInference*nGpuIdx+nAmort)*nUtilCal/D401)*(nUsefulLifeDrawBase/N401-1)</f>
        <v/>
      </c>
      <c r="P401" s="1" t="n"/>
      <c r="Q401" s="1" t="n"/>
      <c r="R401" s="1" t="n"/>
      <c r="S401" s="1" t="n"/>
      <c r="T401" s="1" t="n"/>
      <c r="U401" s="1" t="n"/>
    </row>
    <row r="402" ht="12" customHeight="1">
      <c r="A402" s="1" t="n"/>
      <c r="B402" s="38" t="n">
        <v>382</v>
      </c>
      <c r="C402" s="114">
        <f>Assumptions!$F$8+RAND()*(Assumptions!$D$8-Assumptions!$F$8)</f>
        <v/>
      </c>
      <c r="D402" s="114">
        <f>Assumptions!$D$9+RAND()*(Assumptions!$F$9-Assumptions!$D$9)</f>
        <v/>
      </c>
      <c r="E402" s="71">
        <f>Assumptions!$F$11+RAND()*(Assumptions!$D$11-Assumptions!$F$11)</f>
        <v/>
      </c>
      <c r="F402" s="45">
        <f>nListPrice*(1-C402)-(nInference*nGpuIdx+nAmort)*nUtilCal/D402-nNetworking-nOverheadBase*(E402/nPowerCal)-nCodBase*(1+I402/12)-O402</f>
        <v/>
      </c>
      <c r="G402" s="66">
        <f>MAX(F402,0)/nDebtService</f>
        <v/>
      </c>
      <c r="H402" s="71">
        <f>Anthropic!$J$18*Anthropic!$J$27+Anthropic!$J$19*Anthropic!$J$28+Anthropic!$J$20*Anthropic!$J$29+Anthropic!$J$21*E402*(1+nPowerCagr)^4*(1+nResidualBasisMarkup+nScarcityAlpha*POWER(Anthropic!$J$21,nScarcityGamma))</f>
        <v/>
      </c>
      <c r="I402" s="113">
        <f>Assumptions!$F$10+RAND()*(Assumptions!$D$10-Assumptions!$F$10)</f>
        <v/>
      </c>
      <c r="J402" s="113">
        <f>RAND()*nCodSlipMaxMo</f>
        <v/>
      </c>
      <c r="K402" s="114">
        <f>nAvailDrawMin+RAND()*(nAvailDrawMax-nAvailDrawMin)</f>
        <v/>
      </c>
      <c r="L402" s="45">
        <f>IF(2034&lt;sNsmrCodU1+J402/12,0,(nNsmrCap+nNsmrOpx*(1+sNsmrOpxEsc)^8+nNsmrFuel*FuelEsc*(1+nFuelCagr)^8-nNsmrItc)*IF(2034&lt;sNsmrCodU1+J402/12+nStepFirst,1,IF(nStepGated="Yes",(1+nStepPct)^(INT((2034-sNsmrCodU1-J402/12-nStepFirst)/nStepEvery)+1),1))+nExclPrem*(1-nFlexRelief)-nProdCredit)</f>
        <v/>
      </c>
      <c r="M402" s="63">
        <f>MIN(nShortfallCapM,MAX(0,sNsmrAvailY2-K402)*sNsmrUnitMw*sNsmrUnits*8760*NsmrPrice2033/1000000)</f>
        <v/>
      </c>
      <c r="N402" s="82">
        <f>IF(RAND()&lt;0.5,nUsefulLifeDrawBase-(nUsefulLifeDrawBase-nUsefulLifeDrawMin)*BETA.INV(RAND(),1.15,1.15),nUsefulLifeDrawBase+(nUsefulLifeDrawMax-nUsefulLifeDrawBase)*BETA.INV(RAND(),1.15,1.15))</f>
        <v/>
      </c>
      <c r="O402" s="45">
        <f>((nInference*nGpuIdx+nAmort)*nUtilCal/D402)*(nUsefulLifeDrawBase/N402-1)</f>
        <v/>
      </c>
      <c r="P402" s="1" t="n"/>
      <c r="Q402" s="1" t="n"/>
      <c r="R402" s="1" t="n"/>
      <c r="S402" s="1" t="n"/>
      <c r="T402" s="1" t="n"/>
      <c r="U402" s="1" t="n"/>
    </row>
    <row r="403" ht="12" customHeight="1">
      <c r="A403" s="1" t="n"/>
      <c r="B403" s="38" t="n">
        <v>383</v>
      </c>
      <c r="C403" s="114">
        <f>Assumptions!$F$8+RAND()*(Assumptions!$D$8-Assumptions!$F$8)</f>
        <v/>
      </c>
      <c r="D403" s="114">
        <f>Assumptions!$D$9+RAND()*(Assumptions!$F$9-Assumptions!$D$9)</f>
        <v/>
      </c>
      <c r="E403" s="71">
        <f>Assumptions!$F$11+RAND()*(Assumptions!$D$11-Assumptions!$F$11)</f>
        <v/>
      </c>
      <c r="F403" s="45">
        <f>nListPrice*(1-C403)-(nInference*nGpuIdx+nAmort)*nUtilCal/D403-nNetworking-nOverheadBase*(E403/nPowerCal)-nCodBase*(1+I403/12)-O403</f>
        <v/>
      </c>
      <c r="G403" s="66">
        <f>MAX(F403,0)/nDebtService</f>
        <v/>
      </c>
      <c r="H403" s="71">
        <f>Anthropic!$J$18*Anthropic!$J$27+Anthropic!$J$19*Anthropic!$J$28+Anthropic!$J$20*Anthropic!$J$29+Anthropic!$J$21*E403*(1+nPowerCagr)^4*(1+nResidualBasisMarkup+nScarcityAlpha*POWER(Anthropic!$J$21,nScarcityGamma))</f>
        <v/>
      </c>
      <c r="I403" s="113">
        <f>Assumptions!$F$10+RAND()*(Assumptions!$D$10-Assumptions!$F$10)</f>
        <v/>
      </c>
      <c r="J403" s="113">
        <f>RAND()*nCodSlipMaxMo</f>
        <v/>
      </c>
      <c r="K403" s="114">
        <f>nAvailDrawMin+RAND()*(nAvailDrawMax-nAvailDrawMin)</f>
        <v/>
      </c>
      <c r="L403" s="45">
        <f>IF(2034&lt;sNsmrCodU1+J403/12,0,(nNsmrCap+nNsmrOpx*(1+sNsmrOpxEsc)^8+nNsmrFuel*FuelEsc*(1+nFuelCagr)^8-nNsmrItc)*IF(2034&lt;sNsmrCodU1+J403/12+nStepFirst,1,IF(nStepGated="Yes",(1+nStepPct)^(INT((2034-sNsmrCodU1-J403/12-nStepFirst)/nStepEvery)+1),1))+nExclPrem*(1-nFlexRelief)-nProdCredit)</f>
        <v/>
      </c>
      <c r="M403" s="63">
        <f>MIN(nShortfallCapM,MAX(0,sNsmrAvailY2-K403)*sNsmrUnitMw*sNsmrUnits*8760*NsmrPrice2033/1000000)</f>
        <v/>
      </c>
      <c r="N403" s="82">
        <f>IF(RAND()&lt;0.5,nUsefulLifeDrawBase-(nUsefulLifeDrawBase-nUsefulLifeDrawMin)*BETA.INV(RAND(),1.15,1.15),nUsefulLifeDrawBase+(nUsefulLifeDrawMax-nUsefulLifeDrawBase)*BETA.INV(RAND(),1.15,1.15))</f>
        <v/>
      </c>
      <c r="O403" s="45">
        <f>((nInference*nGpuIdx+nAmort)*nUtilCal/D403)*(nUsefulLifeDrawBase/N403-1)</f>
        <v/>
      </c>
      <c r="P403" s="1" t="n"/>
      <c r="Q403" s="1" t="n"/>
      <c r="R403" s="1" t="n"/>
      <c r="S403" s="1" t="n"/>
      <c r="T403" s="1" t="n"/>
      <c r="U403" s="1" t="n"/>
    </row>
    <row r="404" ht="12" customHeight="1">
      <c r="A404" s="1" t="n"/>
      <c r="B404" s="38" t="n">
        <v>384</v>
      </c>
      <c r="C404" s="114">
        <f>Assumptions!$F$8+RAND()*(Assumptions!$D$8-Assumptions!$F$8)</f>
        <v/>
      </c>
      <c r="D404" s="114">
        <f>Assumptions!$D$9+RAND()*(Assumptions!$F$9-Assumptions!$D$9)</f>
        <v/>
      </c>
      <c r="E404" s="71">
        <f>Assumptions!$F$11+RAND()*(Assumptions!$D$11-Assumptions!$F$11)</f>
        <v/>
      </c>
      <c r="F404" s="45">
        <f>nListPrice*(1-C404)-(nInference*nGpuIdx+nAmort)*nUtilCal/D404-nNetworking-nOverheadBase*(E404/nPowerCal)-nCodBase*(1+I404/12)-O404</f>
        <v/>
      </c>
      <c r="G404" s="66">
        <f>MAX(F404,0)/nDebtService</f>
        <v/>
      </c>
      <c r="H404" s="71">
        <f>Anthropic!$J$18*Anthropic!$J$27+Anthropic!$J$19*Anthropic!$J$28+Anthropic!$J$20*Anthropic!$J$29+Anthropic!$J$21*E404*(1+nPowerCagr)^4*(1+nResidualBasisMarkup+nScarcityAlpha*POWER(Anthropic!$J$21,nScarcityGamma))</f>
        <v/>
      </c>
      <c r="I404" s="113">
        <f>Assumptions!$F$10+RAND()*(Assumptions!$D$10-Assumptions!$F$10)</f>
        <v/>
      </c>
      <c r="J404" s="113">
        <f>RAND()*nCodSlipMaxMo</f>
        <v/>
      </c>
      <c r="K404" s="114">
        <f>nAvailDrawMin+RAND()*(nAvailDrawMax-nAvailDrawMin)</f>
        <v/>
      </c>
      <c r="L404" s="45">
        <f>IF(2034&lt;sNsmrCodU1+J404/12,0,(nNsmrCap+nNsmrOpx*(1+sNsmrOpxEsc)^8+nNsmrFuel*FuelEsc*(1+nFuelCagr)^8-nNsmrItc)*IF(2034&lt;sNsmrCodU1+J404/12+nStepFirst,1,IF(nStepGated="Yes",(1+nStepPct)^(INT((2034-sNsmrCodU1-J404/12-nStepFirst)/nStepEvery)+1),1))+nExclPrem*(1-nFlexRelief)-nProdCredit)</f>
        <v/>
      </c>
      <c r="M404" s="63">
        <f>MIN(nShortfallCapM,MAX(0,sNsmrAvailY2-K404)*sNsmrUnitMw*sNsmrUnits*8760*NsmrPrice2033/1000000)</f>
        <v/>
      </c>
      <c r="N404" s="82">
        <f>IF(RAND()&lt;0.5,nUsefulLifeDrawBase-(nUsefulLifeDrawBase-nUsefulLifeDrawMin)*BETA.INV(RAND(),1.15,1.15),nUsefulLifeDrawBase+(nUsefulLifeDrawMax-nUsefulLifeDrawBase)*BETA.INV(RAND(),1.15,1.15))</f>
        <v/>
      </c>
      <c r="O404" s="45">
        <f>((nInference*nGpuIdx+nAmort)*nUtilCal/D404)*(nUsefulLifeDrawBase/N404-1)</f>
        <v/>
      </c>
      <c r="P404" s="1" t="n"/>
      <c r="Q404" s="1" t="n"/>
      <c r="R404" s="1" t="n"/>
      <c r="S404" s="1" t="n"/>
      <c r="T404" s="1" t="n"/>
      <c r="U404" s="1" t="n"/>
    </row>
    <row r="405" ht="12" customHeight="1">
      <c r="A405" s="1" t="n"/>
      <c r="B405" s="38" t="n">
        <v>385</v>
      </c>
      <c r="C405" s="114">
        <f>Assumptions!$F$8+RAND()*(Assumptions!$D$8-Assumptions!$F$8)</f>
        <v/>
      </c>
      <c r="D405" s="114">
        <f>Assumptions!$D$9+RAND()*(Assumptions!$F$9-Assumptions!$D$9)</f>
        <v/>
      </c>
      <c r="E405" s="71">
        <f>Assumptions!$F$11+RAND()*(Assumptions!$D$11-Assumptions!$F$11)</f>
        <v/>
      </c>
      <c r="F405" s="45">
        <f>nListPrice*(1-C405)-(nInference*nGpuIdx+nAmort)*nUtilCal/D405-nNetworking-nOverheadBase*(E405/nPowerCal)-nCodBase*(1+I405/12)-O405</f>
        <v/>
      </c>
      <c r="G405" s="66">
        <f>MAX(F405,0)/nDebtService</f>
        <v/>
      </c>
      <c r="H405" s="71">
        <f>Anthropic!$J$18*Anthropic!$J$27+Anthropic!$J$19*Anthropic!$J$28+Anthropic!$J$20*Anthropic!$J$29+Anthropic!$J$21*E405*(1+nPowerCagr)^4*(1+nResidualBasisMarkup+nScarcityAlpha*POWER(Anthropic!$J$21,nScarcityGamma))</f>
        <v/>
      </c>
      <c r="I405" s="113">
        <f>Assumptions!$F$10+RAND()*(Assumptions!$D$10-Assumptions!$F$10)</f>
        <v/>
      </c>
      <c r="J405" s="113">
        <f>RAND()*nCodSlipMaxMo</f>
        <v/>
      </c>
      <c r="K405" s="114">
        <f>nAvailDrawMin+RAND()*(nAvailDrawMax-nAvailDrawMin)</f>
        <v/>
      </c>
      <c r="L405" s="45">
        <f>IF(2034&lt;sNsmrCodU1+J405/12,0,(nNsmrCap+nNsmrOpx*(1+sNsmrOpxEsc)^8+nNsmrFuel*FuelEsc*(1+nFuelCagr)^8-nNsmrItc)*IF(2034&lt;sNsmrCodU1+J405/12+nStepFirst,1,IF(nStepGated="Yes",(1+nStepPct)^(INT((2034-sNsmrCodU1-J405/12-nStepFirst)/nStepEvery)+1),1))+nExclPrem*(1-nFlexRelief)-nProdCredit)</f>
        <v/>
      </c>
      <c r="M405" s="63">
        <f>MIN(nShortfallCapM,MAX(0,sNsmrAvailY2-K405)*sNsmrUnitMw*sNsmrUnits*8760*NsmrPrice2033/1000000)</f>
        <v/>
      </c>
      <c r="N405" s="82">
        <f>IF(RAND()&lt;0.5,nUsefulLifeDrawBase-(nUsefulLifeDrawBase-nUsefulLifeDrawMin)*BETA.INV(RAND(),1.15,1.15),nUsefulLifeDrawBase+(nUsefulLifeDrawMax-nUsefulLifeDrawBase)*BETA.INV(RAND(),1.15,1.15))</f>
        <v/>
      </c>
      <c r="O405" s="45">
        <f>((nInference*nGpuIdx+nAmort)*nUtilCal/D405)*(nUsefulLifeDrawBase/N405-1)</f>
        <v/>
      </c>
      <c r="P405" s="1" t="n"/>
      <c r="Q405" s="1" t="n"/>
      <c r="R405" s="1" t="n"/>
      <c r="S405" s="1" t="n"/>
      <c r="T405" s="1" t="n"/>
      <c r="U405" s="1" t="n"/>
    </row>
    <row r="406" ht="12" customHeight="1">
      <c r="A406" s="1" t="n"/>
      <c r="B406" s="38" t="n">
        <v>386</v>
      </c>
      <c r="C406" s="114">
        <f>Assumptions!$F$8+RAND()*(Assumptions!$D$8-Assumptions!$F$8)</f>
        <v/>
      </c>
      <c r="D406" s="114">
        <f>Assumptions!$D$9+RAND()*(Assumptions!$F$9-Assumptions!$D$9)</f>
        <v/>
      </c>
      <c r="E406" s="71">
        <f>Assumptions!$F$11+RAND()*(Assumptions!$D$11-Assumptions!$F$11)</f>
        <v/>
      </c>
      <c r="F406" s="45">
        <f>nListPrice*(1-C406)-(nInference*nGpuIdx+nAmort)*nUtilCal/D406-nNetworking-nOverheadBase*(E406/nPowerCal)-nCodBase*(1+I406/12)-O406</f>
        <v/>
      </c>
      <c r="G406" s="66">
        <f>MAX(F406,0)/nDebtService</f>
        <v/>
      </c>
      <c r="H406" s="71">
        <f>Anthropic!$J$18*Anthropic!$J$27+Anthropic!$J$19*Anthropic!$J$28+Anthropic!$J$20*Anthropic!$J$29+Anthropic!$J$21*E406*(1+nPowerCagr)^4*(1+nResidualBasisMarkup+nScarcityAlpha*POWER(Anthropic!$J$21,nScarcityGamma))</f>
        <v/>
      </c>
      <c r="I406" s="113">
        <f>Assumptions!$F$10+RAND()*(Assumptions!$D$10-Assumptions!$F$10)</f>
        <v/>
      </c>
      <c r="J406" s="113">
        <f>RAND()*nCodSlipMaxMo</f>
        <v/>
      </c>
      <c r="K406" s="114">
        <f>nAvailDrawMin+RAND()*(nAvailDrawMax-nAvailDrawMin)</f>
        <v/>
      </c>
      <c r="L406" s="45">
        <f>IF(2034&lt;sNsmrCodU1+J406/12,0,(nNsmrCap+nNsmrOpx*(1+sNsmrOpxEsc)^8+nNsmrFuel*FuelEsc*(1+nFuelCagr)^8-nNsmrItc)*IF(2034&lt;sNsmrCodU1+J406/12+nStepFirst,1,IF(nStepGated="Yes",(1+nStepPct)^(INT((2034-sNsmrCodU1-J406/12-nStepFirst)/nStepEvery)+1),1))+nExclPrem*(1-nFlexRelief)-nProdCredit)</f>
        <v/>
      </c>
      <c r="M406" s="63">
        <f>MIN(nShortfallCapM,MAX(0,sNsmrAvailY2-K406)*sNsmrUnitMw*sNsmrUnits*8760*NsmrPrice2033/1000000)</f>
        <v/>
      </c>
      <c r="N406" s="82">
        <f>IF(RAND()&lt;0.5,nUsefulLifeDrawBase-(nUsefulLifeDrawBase-nUsefulLifeDrawMin)*BETA.INV(RAND(),1.15,1.15),nUsefulLifeDrawBase+(nUsefulLifeDrawMax-nUsefulLifeDrawBase)*BETA.INV(RAND(),1.15,1.15))</f>
        <v/>
      </c>
      <c r="O406" s="45">
        <f>((nInference*nGpuIdx+nAmort)*nUtilCal/D406)*(nUsefulLifeDrawBase/N406-1)</f>
        <v/>
      </c>
      <c r="P406" s="1" t="n"/>
      <c r="Q406" s="1" t="n"/>
      <c r="R406" s="1" t="n"/>
      <c r="S406" s="1" t="n"/>
      <c r="T406" s="1" t="n"/>
      <c r="U406" s="1" t="n"/>
    </row>
    <row r="407" ht="12" customHeight="1">
      <c r="A407" s="1" t="n"/>
      <c r="B407" s="38" t="n">
        <v>387</v>
      </c>
      <c r="C407" s="114">
        <f>Assumptions!$F$8+RAND()*(Assumptions!$D$8-Assumptions!$F$8)</f>
        <v/>
      </c>
      <c r="D407" s="114">
        <f>Assumptions!$D$9+RAND()*(Assumptions!$F$9-Assumptions!$D$9)</f>
        <v/>
      </c>
      <c r="E407" s="71">
        <f>Assumptions!$F$11+RAND()*(Assumptions!$D$11-Assumptions!$F$11)</f>
        <v/>
      </c>
      <c r="F407" s="45">
        <f>nListPrice*(1-C407)-(nInference*nGpuIdx+nAmort)*nUtilCal/D407-nNetworking-nOverheadBase*(E407/nPowerCal)-nCodBase*(1+I407/12)-O407</f>
        <v/>
      </c>
      <c r="G407" s="66">
        <f>MAX(F407,0)/nDebtService</f>
        <v/>
      </c>
      <c r="H407" s="71">
        <f>Anthropic!$J$18*Anthropic!$J$27+Anthropic!$J$19*Anthropic!$J$28+Anthropic!$J$20*Anthropic!$J$29+Anthropic!$J$21*E407*(1+nPowerCagr)^4*(1+nResidualBasisMarkup+nScarcityAlpha*POWER(Anthropic!$J$21,nScarcityGamma))</f>
        <v/>
      </c>
      <c r="I407" s="113">
        <f>Assumptions!$F$10+RAND()*(Assumptions!$D$10-Assumptions!$F$10)</f>
        <v/>
      </c>
      <c r="J407" s="113">
        <f>RAND()*nCodSlipMaxMo</f>
        <v/>
      </c>
      <c r="K407" s="114">
        <f>nAvailDrawMin+RAND()*(nAvailDrawMax-nAvailDrawMin)</f>
        <v/>
      </c>
      <c r="L407" s="45">
        <f>IF(2034&lt;sNsmrCodU1+J407/12,0,(nNsmrCap+nNsmrOpx*(1+sNsmrOpxEsc)^8+nNsmrFuel*FuelEsc*(1+nFuelCagr)^8-nNsmrItc)*IF(2034&lt;sNsmrCodU1+J407/12+nStepFirst,1,IF(nStepGated="Yes",(1+nStepPct)^(INT((2034-sNsmrCodU1-J407/12-nStepFirst)/nStepEvery)+1),1))+nExclPrem*(1-nFlexRelief)-nProdCredit)</f>
        <v/>
      </c>
      <c r="M407" s="63">
        <f>MIN(nShortfallCapM,MAX(0,sNsmrAvailY2-K407)*sNsmrUnitMw*sNsmrUnits*8760*NsmrPrice2033/1000000)</f>
        <v/>
      </c>
      <c r="N407" s="82">
        <f>IF(RAND()&lt;0.5,nUsefulLifeDrawBase-(nUsefulLifeDrawBase-nUsefulLifeDrawMin)*BETA.INV(RAND(),1.15,1.15),nUsefulLifeDrawBase+(nUsefulLifeDrawMax-nUsefulLifeDrawBase)*BETA.INV(RAND(),1.15,1.15))</f>
        <v/>
      </c>
      <c r="O407" s="45">
        <f>((nInference*nGpuIdx+nAmort)*nUtilCal/D407)*(nUsefulLifeDrawBase/N407-1)</f>
        <v/>
      </c>
      <c r="P407" s="1" t="n"/>
      <c r="Q407" s="1" t="n"/>
      <c r="R407" s="1" t="n"/>
      <c r="S407" s="1" t="n"/>
      <c r="T407" s="1" t="n"/>
      <c r="U407" s="1" t="n"/>
    </row>
    <row r="408" ht="12" customHeight="1">
      <c r="A408" s="1" t="n"/>
      <c r="B408" s="38" t="n">
        <v>388</v>
      </c>
      <c r="C408" s="114">
        <f>Assumptions!$F$8+RAND()*(Assumptions!$D$8-Assumptions!$F$8)</f>
        <v/>
      </c>
      <c r="D408" s="114">
        <f>Assumptions!$D$9+RAND()*(Assumptions!$F$9-Assumptions!$D$9)</f>
        <v/>
      </c>
      <c r="E408" s="71">
        <f>Assumptions!$F$11+RAND()*(Assumptions!$D$11-Assumptions!$F$11)</f>
        <v/>
      </c>
      <c r="F408" s="45">
        <f>nListPrice*(1-C408)-(nInference*nGpuIdx+nAmort)*nUtilCal/D408-nNetworking-nOverheadBase*(E408/nPowerCal)-nCodBase*(1+I408/12)-O408</f>
        <v/>
      </c>
      <c r="G408" s="66">
        <f>MAX(F408,0)/nDebtService</f>
        <v/>
      </c>
      <c r="H408" s="71">
        <f>Anthropic!$J$18*Anthropic!$J$27+Anthropic!$J$19*Anthropic!$J$28+Anthropic!$J$20*Anthropic!$J$29+Anthropic!$J$21*E408*(1+nPowerCagr)^4*(1+nResidualBasisMarkup+nScarcityAlpha*POWER(Anthropic!$J$21,nScarcityGamma))</f>
        <v/>
      </c>
      <c r="I408" s="113">
        <f>Assumptions!$F$10+RAND()*(Assumptions!$D$10-Assumptions!$F$10)</f>
        <v/>
      </c>
      <c r="J408" s="113">
        <f>RAND()*nCodSlipMaxMo</f>
        <v/>
      </c>
      <c r="K408" s="114">
        <f>nAvailDrawMin+RAND()*(nAvailDrawMax-nAvailDrawMin)</f>
        <v/>
      </c>
      <c r="L408" s="45">
        <f>IF(2034&lt;sNsmrCodU1+J408/12,0,(nNsmrCap+nNsmrOpx*(1+sNsmrOpxEsc)^8+nNsmrFuel*FuelEsc*(1+nFuelCagr)^8-nNsmrItc)*IF(2034&lt;sNsmrCodU1+J408/12+nStepFirst,1,IF(nStepGated="Yes",(1+nStepPct)^(INT((2034-sNsmrCodU1-J408/12-nStepFirst)/nStepEvery)+1),1))+nExclPrem*(1-nFlexRelief)-nProdCredit)</f>
        <v/>
      </c>
      <c r="M408" s="63">
        <f>MIN(nShortfallCapM,MAX(0,sNsmrAvailY2-K408)*sNsmrUnitMw*sNsmrUnits*8760*NsmrPrice2033/1000000)</f>
        <v/>
      </c>
      <c r="N408" s="82">
        <f>IF(RAND()&lt;0.5,nUsefulLifeDrawBase-(nUsefulLifeDrawBase-nUsefulLifeDrawMin)*BETA.INV(RAND(),1.15,1.15),nUsefulLifeDrawBase+(nUsefulLifeDrawMax-nUsefulLifeDrawBase)*BETA.INV(RAND(),1.15,1.15))</f>
        <v/>
      </c>
      <c r="O408" s="45">
        <f>((nInference*nGpuIdx+nAmort)*nUtilCal/D408)*(nUsefulLifeDrawBase/N408-1)</f>
        <v/>
      </c>
      <c r="P408" s="1" t="n"/>
      <c r="Q408" s="1" t="n"/>
      <c r="R408" s="1" t="n"/>
      <c r="S408" s="1" t="n"/>
      <c r="T408" s="1" t="n"/>
      <c r="U408" s="1" t="n"/>
    </row>
    <row r="409" ht="12" customHeight="1">
      <c r="A409" s="1" t="n"/>
      <c r="B409" s="38" t="n">
        <v>389</v>
      </c>
      <c r="C409" s="114">
        <f>Assumptions!$F$8+RAND()*(Assumptions!$D$8-Assumptions!$F$8)</f>
        <v/>
      </c>
      <c r="D409" s="114">
        <f>Assumptions!$D$9+RAND()*(Assumptions!$F$9-Assumptions!$D$9)</f>
        <v/>
      </c>
      <c r="E409" s="71">
        <f>Assumptions!$F$11+RAND()*(Assumptions!$D$11-Assumptions!$F$11)</f>
        <v/>
      </c>
      <c r="F409" s="45">
        <f>nListPrice*(1-C409)-(nInference*nGpuIdx+nAmort)*nUtilCal/D409-nNetworking-nOverheadBase*(E409/nPowerCal)-nCodBase*(1+I409/12)-O409</f>
        <v/>
      </c>
      <c r="G409" s="66">
        <f>MAX(F409,0)/nDebtService</f>
        <v/>
      </c>
      <c r="H409" s="71">
        <f>Anthropic!$J$18*Anthropic!$J$27+Anthropic!$J$19*Anthropic!$J$28+Anthropic!$J$20*Anthropic!$J$29+Anthropic!$J$21*E409*(1+nPowerCagr)^4*(1+nResidualBasisMarkup+nScarcityAlpha*POWER(Anthropic!$J$21,nScarcityGamma))</f>
        <v/>
      </c>
      <c r="I409" s="113">
        <f>Assumptions!$F$10+RAND()*(Assumptions!$D$10-Assumptions!$F$10)</f>
        <v/>
      </c>
      <c r="J409" s="113">
        <f>RAND()*nCodSlipMaxMo</f>
        <v/>
      </c>
      <c r="K409" s="114">
        <f>nAvailDrawMin+RAND()*(nAvailDrawMax-nAvailDrawMin)</f>
        <v/>
      </c>
      <c r="L409" s="45">
        <f>IF(2034&lt;sNsmrCodU1+J409/12,0,(nNsmrCap+nNsmrOpx*(1+sNsmrOpxEsc)^8+nNsmrFuel*FuelEsc*(1+nFuelCagr)^8-nNsmrItc)*IF(2034&lt;sNsmrCodU1+J409/12+nStepFirst,1,IF(nStepGated="Yes",(1+nStepPct)^(INT((2034-sNsmrCodU1-J409/12-nStepFirst)/nStepEvery)+1),1))+nExclPrem*(1-nFlexRelief)-nProdCredit)</f>
        <v/>
      </c>
      <c r="M409" s="63">
        <f>MIN(nShortfallCapM,MAX(0,sNsmrAvailY2-K409)*sNsmrUnitMw*sNsmrUnits*8760*NsmrPrice2033/1000000)</f>
        <v/>
      </c>
      <c r="N409" s="82">
        <f>IF(RAND()&lt;0.5,nUsefulLifeDrawBase-(nUsefulLifeDrawBase-nUsefulLifeDrawMin)*BETA.INV(RAND(),1.15,1.15),nUsefulLifeDrawBase+(nUsefulLifeDrawMax-nUsefulLifeDrawBase)*BETA.INV(RAND(),1.15,1.15))</f>
        <v/>
      </c>
      <c r="O409" s="45">
        <f>((nInference*nGpuIdx+nAmort)*nUtilCal/D409)*(nUsefulLifeDrawBase/N409-1)</f>
        <v/>
      </c>
      <c r="P409" s="1" t="n"/>
      <c r="Q409" s="1" t="n"/>
      <c r="R409" s="1" t="n"/>
      <c r="S409" s="1" t="n"/>
      <c r="T409" s="1" t="n"/>
      <c r="U409" s="1" t="n"/>
    </row>
    <row r="410" ht="12" customHeight="1">
      <c r="A410" s="1" t="n"/>
      <c r="B410" s="38" t="n">
        <v>390</v>
      </c>
      <c r="C410" s="114">
        <f>Assumptions!$F$8+RAND()*(Assumptions!$D$8-Assumptions!$F$8)</f>
        <v/>
      </c>
      <c r="D410" s="114">
        <f>Assumptions!$D$9+RAND()*(Assumptions!$F$9-Assumptions!$D$9)</f>
        <v/>
      </c>
      <c r="E410" s="71">
        <f>Assumptions!$F$11+RAND()*(Assumptions!$D$11-Assumptions!$F$11)</f>
        <v/>
      </c>
      <c r="F410" s="45">
        <f>nListPrice*(1-C410)-(nInference*nGpuIdx+nAmort)*nUtilCal/D410-nNetworking-nOverheadBase*(E410/nPowerCal)-nCodBase*(1+I410/12)-O410</f>
        <v/>
      </c>
      <c r="G410" s="66">
        <f>MAX(F410,0)/nDebtService</f>
        <v/>
      </c>
      <c r="H410" s="71">
        <f>Anthropic!$J$18*Anthropic!$J$27+Anthropic!$J$19*Anthropic!$J$28+Anthropic!$J$20*Anthropic!$J$29+Anthropic!$J$21*E410*(1+nPowerCagr)^4*(1+nResidualBasisMarkup+nScarcityAlpha*POWER(Anthropic!$J$21,nScarcityGamma))</f>
        <v/>
      </c>
      <c r="I410" s="113">
        <f>Assumptions!$F$10+RAND()*(Assumptions!$D$10-Assumptions!$F$10)</f>
        <v/>
      </c>
      <c r="J410" s="113">
        <f>RAND()*nCodSlipMaxMo</f>
        <v/>
      </c>
      <c r="K410" s="114">
        <f>nAvailDrawMin+RAND()*(nAvailDrawMax-nAvailDrawMin)</f>
        <v/>
      </c>
      <c r="L410" s="45">
        <f>IF(2034&lt;sNsmrCodU1+J410/12,0,(nNsmrCap+nNsmrOpx*(1+sNsmrOpxEsc)^8+nNsmrFuel*FuelEsc*(1+nFuelCagr)^8-nNsmrItc)*IF(2034&lt;sNsmrCodU1+J410/12+nStepFirst,1,IF(nStepGated="Yes",(1+nStepPct)^(INT((2034-sNsmrCodU1-J410/12-nStepFirst)/nStepEvery)+1),1))+nExclPrem*(1-nFlexRelief)-nProdCredit)</f>
        <v/>
      </c>
      <c r="M410" s="63">
        <f>MIN(nShortfallCapM,MAX(0,sNsmrAvailY2-K410)*sNsmrUnitMw*sNsmrUnits*8760*NsmrPrice2033/1000000)</f>
        <v/>
      </c>
      <c r="N410" s="82">
        <f>IF(RAND()&lt;0.5,nUsefulLifeDrawBase-(nUsefulLifeDrawBase-nUsefulLifeDrawMin)*BETA.INV(RAND(),1.15,1.15),nUsefulLifeDrawBase+(nUsefulLifeDrawMax-nUsefulLifeDrawBase)*BETA.INV(RAND(),1.15,1.15))</f>
        <v/>
      </c>
      <c r="O410" s="45">
        <f>((nInference*nGpuIdx+nAmort)*nUtilCal/D410)*(nUsefulLifeDrawBase/N410-1)</f>
        <v/>
      </c>
      <c r="P410" s="1" t="n"/>
      <c r="Q410" s="1" t="n"/>
      <c r="R410" s="1" t="n"/>
      <c r="S410" s="1" t="n"/>
      <c r="T410" s="1" t="n"/>
      <c r="U410" s="1" t="n"/>
    </row>
    <row r="411" ht="12" customHeight="1">
      <c r="A411" s="1" t="n"/>
      <c r="B411" s="38" t="n">
        <v>391</v>
      </c>
      <c r="C411" s="114">
        <f>Assumptions!$F$8+RAND()*(Assumptions!$D$8-Assumptions!$F$8)</f>
        <v/>
      </c>
      <c r="D411" s="114">
        <f>Assumptions!$D$9+RAND()*(Assumptions!$F$9-Assumptions!$D$9)</f>
        <v/>
      </c>
      <c r="E411" s="71">
        <f>Assumptions!$F$11+RAND()*(Assumptions!$D$11-Assumptions!$F$11)</f>
        <v/>
      </c>
      <c r="F411" s="45">
        <f>nListPrice*(1-C411)-(nInference*nGpuIdx+nAmort)*nUtilCal/D411-nNetworking-nOverheadBase*(E411/nPowerCal)-nCodBase*(1+I411/12)-O411</f>
        <v/>
      </c>
      <c r="G411" s="66">
        <f>MAX(F411,0)/nDebtService</f>
        <v/>
      </c>
      <c r="H411" s="71">
        <f>Anthropic!$J$18*Anthropic!$J$27+Anthropic!$J$19*Anthropic!$J$28+Anthropic!$J$20*Anthropic!$J$29+Anthropic!$J$21*E411*(1+nPowerCagr)^4*(1+nResidualBasisMarkup+nScarcityAlpha*POWER(Anthropic!$J$21,nScarcityGamma))</f>
        <v/>
      </c>
      <c r="I411" s="113">
        <f>Assumptions!$F$10+RAND()*(Assumptions!$D$10-Assumptions!$F$10)</f>
        <v/>
      </c>
      <c r="J411" s="113">
        <f>RAND()*nCodSlipMaxMo</f>
        <v/>
      </c>
      <c r="K411" s="114">
        <f>nAvailDrawMin+RAND()*(nAvailDrawMax-nAvailDrawMin)</f>
        <v/>
      </c>
      <c r="L411" s="45">
        <f>IF(2034&lt;sNsmrCodU1+J411/12,0,(nNsmrCap+nNsmrOpx*(1+sNsmrOpxEsc)^8+nNsmrFuel*FuelEsc*(1+nFuelCagr)^8-nNsmrItc)*IF(2034&lt;sNsmrCodU1+J411/12+nStepFirst,1,IF(nStepGated="Yes",(1+nStepPct)^(INT((2034-sNsmrCodU1-J411/12-nStepFirst)/nStepEvery)+1),1))+nExclPrem*(1-nFlexRelief)-nProdCredit)</f>
        <v/>
      </c>
      <c r="M411" s="63">
        <f>MIN(nShortfallCapM,MAX(0,sNsmrAvailY2-K411)*sNsmrUnitMw*sNsmrUnits*8760*NsmrPrice2033/1000000)</f>
        <v/>
      </c>
      <c r="N411" s="82">
        <f>IF(RAND()&lt;0.5,nUsefulLifeDrawBase-(nUsefulLifeDrawBase-nUsefulLifeDrawMin)*BETA.INV(RAND(),1.15,1.15),nUsefulLifeDrawBase+(nUsefulLifeDrawMax-nUsefulLifeDrawBase)*BETA.INV(RAND(),1.15,1.15))</f>
        <v/>
      </c>
      <c r="O411" s="45">
        <f>((nInference*nGpuIdx+nAmort)*nUtilCal/D411)*(nUsefulLifeDrawBase/N411-1)</f>
        <v/>
      </c>
      <c r="P411" s="1" t="n"/>
      <c r="Q411" s="1" t="n"/>
      <c r="R411" s="1" t="n"/>
      <c r="S411" s="1" t="n"/>
      <c r="T411" s="1" t="n"/>
      <c r="U411" s="1" t="n"/>
    </row>
    <row r="412" ht="12" customHeight="1">
      <c r="A412" s="1" t="n"/>
      <c r="B412" s="38" t="n">
        <v>392</v>
      </c>
      <c r="C412" s="114">
        <f>Assumptions!$F$8+RAND()*(Assumptions!$D$8-Assumptions!$F$8)</f>
        <v/>
      </c>
      <c r="D412" s="114">
        <f>Assumptions!$D$9+RAND()*(Assumptions!$F$9-Assumptions!$D$9)</f>
        <v/>
      </c>
      <c r="E412" s="71">
        <f>Assumptions!$F$11+RAND()*(Assumptions!$D$11-Assumptions!$F$11)</f>
        <v/>
      </c>
      <c r="F412" s="45">
        <f>nListPrice*(1-C412)-(nInference*nGpuIdx+nAmort)*nUtilCal/D412-nNetworking-nOverheadBase*(E412/nPowerCal)-nCodBase*(1+I412/12)-O412</f>
        <v/>
      </c>
      <c r="G412" s="66">
        <f>MAX(F412,0)/nDebtService</f>
        <v/>
      </c>
      <c r="H412" s="71">
        <f>Anthropic!$J$18*Anthropic!$J$27+Anthropic!$J$19*Anthropic!$J$28+Anthropic!$J$20*Anthropic!$J$29+Anthropic!$J$21*E412*(1+nPowerCagr)^4*(1+nResidualBasisMarkup+nScarcityAlpha*POWER(Anthropic!$J$21,nScarcityGamma))</f>
        <v/>
      </c>
      <c r="I412" s="113">
        <f>Assumptions!$F$10+RAND()*(Assumptions!$D$10-Assumptions!$F$10)</f>
        <v/>
      </c>
      <c r="J412" s="113">
        <f>RAND()*nCodSlipMaxMo</f>
        <v/>
      </c>
      <c r="K412" s="114">
        <f>nAvailDrawMin+RAND()*(nAvailDrawMax-nAvailDrawMin)</f>
        <v/>
      </c>
      <c r="L412" s="45">
        <f>IF(2034&lt;sNsmrCodU1+J412/12,0,(nNsmrCap+nNsmrOpx*(1+sNsmrOpxEsc)^8+nNsmrFuel*FuelEsc*(1+nFuelCagr)^8-nNsmrItc)*IF(2034&lt;sNsmrCodU1+J412/12+nStepFirst,1,IF(nStepGated="Yes",(1+nStepPct)^(INT((2034-sNsmrCodU1-J412/12-nStepFirst)/nStepEvery)+1),1))+nExclPrem*(1-nFlexRelief)-nProdCredit)</f>
        <v/>
      </c>
      <c r="M412" s="63">
        <f>MIN(nShortfallCapM,MAX(0,sNsmrAvailY2-K412)*sNsmrUnitMw*sNsmrUnits*8760*NsmrPrice2033/1000000)</f>
        <v/>
      </c>
      <c r="N412" s="82">
        <f>IF(RAND()&lt;0.5,nUsefulLifeDrawBase-(nUsefulLifeDrawBase-nUsefulLifeDrawMin)*BETA.INV(RAND(),1.15,1.15),nUsefulLifeDrawBase+(nUsefulLifeDrawMax-nUsefulLifeDrawBase)*BETA.INV(RAND(),1.15,1.15))</f>
        <v/>
      </c>
      <c r="O412" s="45">
        <f>((nInference*nGpuIdx+nAmort)*nUtilCal/D412)*(nUsefulLifeDrawBase/N412-1)</f>
        <v/>
      </c>
      <c r="P412" s="1" t="n"/>
      <c r="Q412" s="1" t="n"/>
      <c r="R412" s="1" t="n"/>
      <c r="S412" s="1" t="n"/>
      <c r="T412" s="1" t="n"/>
      <c r="U412" s="1" t="n"/>
    </row>
    <row r="413" ht="12" customHeight="1">
      <c r="A413" s="1" t="n"/>
      <c r="B413" s="38" t="n">
        <v>393</v>
      </c>
      <c r="C413" s="114">
        <f>Assumptions!$F$8+RAND()*(Assumptions!$D$8-Assumptions!$F$8)</f>
        <v/>
      </c>
      <c r="D413" s="114">
        <f>Assumptions!$D$9+RAND()*(Assumptions!$F$9-Assumptions!$D$9)</f>
        <v/>
      </c>
      <c r="E413" s="71">
        <f>Assumptions!$F$11+RAND()*(Assumptions!$D$11-Assumptions!$F$11)</f>
        <v/>
      </c>
      <c r="F413" s="45">
        <f>nListPrice*(1-C413)-(nInference*nGpuIdx+nAmort)*nUtilCal/D413-nNetworking-nOverheadBase*(E413/nPowerCal)-nCodBase*(1+I413/12)-O413</f>
        <v/>
      </c>
      <c r="G413" s="66">
        <f>MAX(F413,0)/nDebtService</f>
        <v/>
      </c>
      <c r="H413" s="71">
        <f>Anthropic!$J$18*Anthropic!$J$27+Anthropic!$J$19*Anthropic!$J$28+Anthropic!$J$20*Anthropic!$J$29+Anthropic!$J$21*E413*(1+nPowerCagr)^4*(1+nResidualBasisMarkup+nScarcityAlpha*POWER(Anthropic!$J$21,nScarcityGamma))</f>
        <v/>
      </c>
      <c r="I413" s="113">
        <f>Assumptions!$F$10+RAND()*(Assumptions!$D$10-Assumptions!$F$10)</f>
        <v/>
      </c>
      <c r="J413" s="113">
        <f>RAND()*nCodSlipMaxMo</f>
        <v/>
      </c>
      <c r="K413" s="114">
        <f>nAvailDrawMin+RAND()*(nAvailDrawMax-nAvailDrawMin)</f>
        <v/>
      </c>
      <c r="L413" s="45">
        <f>IF(2034&lt;sNsmrCodU1+J413/12,0,(nNsmrCap+nNsmrOpx*(1+sNsmrOpxEsc)^8+nNsmrFuel*FuelEsc*(1+nFuelCagr)^8-nNsmrItc)*IF(2034&lt;sNsmrCodU1+J413/12+nStepFirst,1,IF(nStepGated="Yes",(1+nStepPct)^(INT((2034-sNsmrCodU1-J413/12-nStepFirst)/nStepEvery)+1),1))+nExclPrem*(1-nFlexRelief)-nProdCredit)</f>
        <v/>
      </c>
      <c r="M413" s="63">
        <f>MIN(nShortfallCapM,MAX(0,sNsmrAvailY2-K413)*sNsmrUnitMw*sNsmrUnits*8760*NsmrPrice2033/1000000)</f>
        <v/>
      </c>
      <c r="N413" s="82">
        <f>IF(RAND()&lt;0.5,nUsefulLifeDrawBase-(nUsefulLifeDrawBase-nUsefulLifeDrawMin)*BETA.INV(RAND(),1.15,1.15),nUsefulLifeDrawBase+(nUsefulLifeDrawMax-nUsefulLifeDrawBase)*BETA.INV(RAND(),1.15,1.15))</f>
        <v/>
      </c>
      <c r="O413" s="45">
        <f>((nInference*nGpuIdx+nAmort)*nUtilCal/D413)*(nUsefulLifeDrawBase/N413-1)</f>
        <v/>
      </c>
      <c r="P413" s="1" t="n"/>
      <c r="Q413" s="1" t="n"/>
      <c r="R413" s="1" t="n"/>
      <c r="S413" s="1" t="n"/>
      <c r="T413" s="1" t="n"/>
      <c r="U413" s="1" t="n"/>
    </row>
    <row r="414" ht="12" customHeight="1">
      <c r="A414" s="1" t="n"/>
      <c r="B414" s="38" t="n">
        <v>394</v>
      </c>
      <c r="C414" s="114">
        <f>Assumptions!$F$8+RAND()*(Assumptions!$D$8-Assumptions!$F$8)</f>
        <v/>
      </c>
      <c r="D414" s="114">
        <f>Assumptions!$D$9+RAND()*(Assumptions!$F$9-Assumptions!$D$9)</f>
        <v/>
      </c>
      <c r="E414" s="71">
        <f>Assumptions!$F$11+RAND()*(Assumptions!$D$11-Assumptions!$F$11)</f>
        <v/>
      </c>
      <c r="F414" s="45">
        <f>nListPrice*(1-C414)-(nInference*nGpuIdx+nAmort)*nUtilCal/D414-nNetworking-nOverheadBase*(E414/nPowerCal)-nCodBase*(1+I414/12)-O414</f>
        <v/>
      </c>
      <c r="G414" s="66">
        <f>MAX(F414,0)/nDebtService</f>
        <v/>
      </c>
      <c r="H414" s="71">
        <f>Anthropic!$J$18*Anthropic!$J$27+Anthropic!$J$19*Anthropic!$J$28+Anthropic!$J$20*Anthropic!$J$29+Anthropic!$J$21*E414*(1+nPowerCagr)^4*(1+nResidualBasisMarkup+nScarcityAlpha*POWER(Anthropic!$J$21,nScarcityGamma))</f>
        <v/>
      </c>
      <c r="I414" s="113">
        <f>Assumptions!$F$10+RAND()*(Assumptions!$D$10-Assumptions!$F$10)</f>
        <v/>
      </c>
      <c r="J414" s="113">
        <f>RAND()*nCodSlipMaxMo</f>
        <v/>
      </c>
      <c r="K414" s="114">
        <f>nAvailDrawMin+RAND()*(nAvailDrawMax-nAvailDrawMin)</f>
        <v/>
      </c>
      <c r="L414" s="45">
        <f>IF(2034&lt;sNsmrCodU1+J414/12,0,(nNsmrCap+nNsmrOpx*(1+sNsmrOpxEsc)^8+nNsmrFuel*FuelEsc*(1+nFuelCagr)^8-nNsmrItc)*IF(2034&lt;sNsmrCodU1+J414/12+nStepFirst,1,IF(nStepGated="Yes",(1+nStepPct)^(INT((2034-sNsmrCodU1-J414/12-nStepFirst)/nStepEvery)+1),1))+nExclPrem*(1-nFlexRelief)-nProdCredit)</f>
        <v/>
      </c>
      <c r="M414" s="63">
        <f>MIN(nShortfallCapM,MAX(0,sNsmrAvailY2-K414)*sNsmrUnitMw*sNsmrUnits*8760*NsmrPrice2033/1000000)</f>
        <v/>
      </c>
      <c r="N414" s="82">
        <f>IF(RAND()&lt;0.5,nUsefulLifeDrawBase-(nUsefulLifeDrawBase-nUsefulLifeDrawMin)*BETA.INV(RAND(),1.15,1.15),nUsefulLifeDrawBase+(nUsefulLifeDrawMax-nUsefulLifeDrawBase)*BETA.INV(RAND(),1.15,1.15))</f>
        <v/>
      </c>
      <c r="O414" s="45">
        <f>((nInference*nGpuIdx+nAmort)*nUtilCal/D414)*(nUsefulLifeDrawBase/N414-1)</f>
        <v/>
      </c>
      <c r="P414" s="1" t="n"/>
      <c r="Q414" s="1" t="n"/>
      <c r="R414" s="1" t="n"/>
      <c r="S414" s="1" t="n"/>
      <c r="T414" s="1" t="n"/>
      <c r="U414" s="1" t="n"/>
    </row>
    <row r="415" ht="12" customHeight="1">
      <c r="A415" s="1" t="n"/>
      <c r="B415" s="38" t="n">
        <v>395</v>
      </c>
      <c r="C415" s="114">
        <f>Assumptions!$F$8+RAND()*(Assumptions!$D$8-Assumptions!$F$8)</f>
        <v/>
      </c>
      <c r="D415" s="114">
        <f>Assumptions!$D$9+RAND()*(Assumptions!$F$9-Assumptions!$D$9)</f>
        <v/>
      </c>
      <c r="E415" s="71">
        <f>Assumptions!$F$11+RAND()*(Assumptions!$D$11-Assumptions!$F$11)</f>
        <v/>
      </c>
      <c r="F415" s="45">
        <f>nListPrice*(1-C415)-(nInference*nGpuIdx+nAmort)*nUtilCal/D415-nNetworking-nOverheadBase*(E415/nPowerCal)-nCodBase*(1+I415/12)-O415</f>
        <v/>
      </c>
      <c r="G415" s="66">
        <f>MAX(F415,0)/nDebtService</f>
        <v/>
      </c>
      <c r="H415" s="71">
        <f>Anthropic!$J$18*Anthropic!$J$27+Anthropic!$J$19*Anthropic!$J$28+Anthropic!$J$20*Anthropic!$J$29+Anthropic!$J$21*E415*(1+nPowerCagr)^4*(1+nResidualBasisMarkup+nScarcityAlpha*POWER(Anthropic!$J$21,nScarcityGamma))</f>
        <v/>
      </c>
      <c r="I415" s="113">
        <f>Assumptions!$F$10+RAND()*(Assumptions!$D$10-Assumptions!$F$10)</f>
        <v/>
      </c>
      <c r="J415" s="113">
        <f>RAND()*nCodSlipMaxMo</f>
        <v/>
      </c>
      <c r="K415" s="114">
        <f>nAvailDrawMin+RAND()*(nAvailDrawMax-nAvailDrawMin)</f>
        <v/>
      </c>
      <c r="L415" s="45">
        <f>IF(2034&lt;sNsmrCodU1+J415/12,0,(nNsmrCap+nNsmrOpx*(1+sNsmrOpxEsc)^8+nNsmrFuel*FuelEsc*(1+nFuelCagr)^8-nNsmrItc)*IF(2034&lt;sNsmrCodU1+J415/12+nStepFirst,1,IF(nStepGated="Yes",(1+nStepPct)^(INT((2034-sNsmrCodU1-J415/12-nStepFirst)/nStepEvery)+1),1))+nExclPrem*(1-nFlexRelief)-nProdCredit)</f>
        <v/>
      </c>
      <c r="M415" s="63">
        <f>MIN(nShortfallCapM,MAX(0,sNsmrAvailY2-K415)*sNsmrUnitMw*sNsmrUnits*8760*NsmrPrice2033/1000000)</f>
        <v/>
      </c>
      <c r="N415" s="82">
        <f>IF(RAND()&lt;0.5,nUsefulLifeDrawBase-(nUsefulLifeDrawBase-nUsefulLifeDrawMin)*BETA.INV(RAND(),1.15,1.15),nUsefulLifeDrawBase+(nUsefulLifeDrawMax-nUsefulLifeDrawBase)*BETA.INV(RAND(),1.15,1.15))</f>
        <v/>
      </c>
      <c r="O415" s="45">
        <f>((nInference*nGpuIdx+nAmort)*nUtilCal/D415)*(nUsefulLifeDrawBase/N415-1)</f>
        <v/>
      </c>
      <c r="P415" s="1" t="n"/>
      <c r="Q415" s="1" t="n"/>
      <c r="R415" s="1" t="n"/>
      <c r="S415" s="1" t="n"/>
      <c r="T415" s="1" t="n"/>
      <c r="U415" s="1" t="n"/>
    </row>
    <row r="416" ht="12" customHeight="1">
      <c r="A416" s="1" t="n"/>
      <c r="B416" s="38" t="n">
        <v>396</v>
      </c>
      <c r="C416" s="114">
        <f>Assumptions!$F$8+RAND()*(Assumptions!$D$8-Assumptions!$F$8)</f>
        <v/>
      </c>
      <c r="D416" s="114">
        <f>Assumptions!$D$9+RAND()*(Assumptions!$F$9-Assumptions!$D$9)</f>
        <v/>
      </c>
      <c r="E416" s="71">
        <f>Assumptions!$F$11+RAND()*(Assumptions!$D$11-Assumptions!$F$11)</f>
        <v/>
      </c>
      <c r="F416" s="45">
        <f>nListPrice*(1-C416)-(nInference*nGpuIdx+nAmort)*nUtilCal/D416-nNetworking-nOverheadBase*(E416/nPowerCal)-nCodBase*(1+I416/12)-O416</f>
        <v/>
      </c>
      <c r="G416" s="66">
        <f>MAX(F416,0)/nDebtService</f>
        <v/>
      </c>
      <c r="H416" s="71">
        <f>Anthropic!$J$18*Anthropic!$J$27+Anthropic!$J$19*Anthropic!$J$28+Anthropic!$J$20*Anthropic!$J$29+Anthropic!$J$21*E416*(1+nPowerCagr)^4*(1+nResidualBasisMarkup+nScarcityAlpha*POWER(Anthropic!$J$21,nScarcityGamma))</f>
        <v/>
      </c>
      <c r="I416" s="113">
        <f>Assumptions!$F$10+RAND()*(Assumptions!$D$10-Assumptions!$F$10)</f>
        <v/>
      </c>
      <c r="J416" s="113">
        <f>RAND()*nCodSlipMaxMo</f>
        <v/>
      </c>
      <c r="K416" s="114">
        <f>nAvailDrawMin+RAND()*(nAvailDrawMax-nAvailDrawMin)</f>
        <v/>
      </c>
      <c r="L416" s="45">
        <f>IF(2034&lt;sNsmrCodU1+J416/12,0,(nNsmrCap+nNsmrOpx*(1+sNsmrOpxEsc)^8+nNsmrFuel*FuelEsc*(1+nFuelCagr)^8-nNsmrItc)*IF(2034&lt;sNsmrCodU1+J416/12+nStepFirst,1,IF(nStepGated="Yes",(1+nStepPct)^(INT((2034-sNsmrCodU1-J416/12-nStepFirst)/nStepEvery)+1),1))+nExclPrem*(1-nFlexRelief)-nProdCredit)</f>
        <v/>
      </c>
      <c r="M416" s="63">
        <f>MIN(nShortfallCapM,MAX(0,sNsmrAvailY2-K416)*sNsmrUnitMw*sNsmrUnits*8760*NsmrPrice2033/1000000)</f>
        <v/>
      </c>
      <c r="N416" s="82">
        <f>IF(RAND()&lt;0.5,nUsefulLifeDrawBase-(nUsefulLifeDrawBase-nUsefulLifeDrawMin)*BETA.INV(RAND(),1.15,1.15),nUsefulLifeDrawBase+(nUsefulLifeDrawMax-nUsefulLifeDrawBase)*BETA.INV(RAND(),1.15,1.15))</f>
        <v/>
      </c>
      <c r="O416" s="45">
        <f>((nInference*nGpuIdx+nAmort)*nUtilCal/D416)*(nUsefulLifeDrawBase/N416-1)</f>
        <v/>
      </c>
      <c r="P416" s="1" t="n"/>
      <c r="Q416" s="1" t="n"/>
      <c r="R416" s="1" t="n"/>
      <c r="S416" s="1" t="n"/>
      <c r="T416" s="1" t="n"/>
      <c r="U416" s="1" t="n"/>
    </row>
    <row r="417" ht="12" customHeight="1">
      <c r="A417" s="1" t="n"/>
      <c r="B417" s="38" t="n">
        <v>397</v>
      </c>
      <c r="C417" s="114">
        <f>Assumptions!$F$8+RAND()*(Assumptions!$D$8-Assumptions!$F$8)</f>
        <v/>
      </c>
      <c r="D417" s="114">
        <f>Assumptions!$D$9+RAND()*(Assumptions!$F$9-Assumptions!$D$9)</f>
        <v/>
      </c>
      <c r="E417" s="71">
        <f>Assumptions!$F$11+RAND()*(Assumptions!$D$11-Assumptions!$F$11)</f>
        <v/>
      </c>
      <c r="F417" s="45">
        <f>nListPrice*(1-C417)-(nInference*nGpuIdx+nAmort)*nUtilCal/D417-nNetworking-nOverheadBase*(E417/nPowerCal)-nCodBase*(1+I417/12)-O417</f>
        <v/>
      </c>
      <c r="G417" s="66">
        <f>MAX(F417,0)/nDebtService</f>
        <v/>
      </c>
      <c r="H417" s="71">
        <f>Anthropic!$J$18*Anthropic!$J$27+Anthropic!$J$19*Anthropic!$J$28+Anthropic!$J$20*Anthropic!$J$29+Anthropic!$J$21*E417*(1+nPowerCagr)^4*(1+nResidualBasisMarkup+nScarcityAlpha*POWER(Anthropic!$J$21,nScarcityGamma))</f>
        <v/>
      </c>
      <c r="I417" s="113">
        <f>Assumptions!$F$10+RAND()*(Assumptions!$D$10-Assumptions!$F$10)</f>
        <v/>
      </c>
      <c r="J417" s="113">
        <f>RAND()*nCodSlipMaxMo</f>
        <v/>
      </c>
      <c r="K417" s="114">
        <f>nAvailDrawMin+RAND()*(nAvailDrawMax-nAvailDrawMin)</f>
        <v/>
      </c>
      <c r="L417" s="45">
        <f>IF(2034&lt;sNsmrCodU1+J417/12,0,(nNsmrCap+nNsmrOpx*(1+sNsmrOpxEsc)^8+nNsmrFuel*FuelEsc*(1+nFuelCagr)^8-nNsmrItc)*IF(2034&lt;sNsmrCodU1+J417/12+nStepFirst,1,IF(nStepGated="Yes",(1+nStepPct)^(INT((2034-sNsmrCodU1-J417/12-nStepFirst)/nStepEvery)+1),1))+nExclPrem*(1-nFlexRelief)-nProdCredit)</f>
        <v/>
      </c>
      <c r="M417" s="63">
        <f>MIN(nShortfallCapM,MAX(0,sNsmrAvailY2-K417)*sNsmrUnitMw*sNsmrUnits*8760*NsmrPrice2033/1000000)</f>
        <v/>
      </c>
      <c r="N417" s="82">
        <f>IF(RAND()&lt;0.5,nUsefulLifeDrawBase-(nUsefulLifeDrawBase-nUsefulLifeDrawMin)*BETA.INV(RAND(),1.15,1.15),nUsefulLifeDrawBase+(nUsefulLifeDrawMax-nUsefulLifeDrawBase)*BETA.INV(RAND(),1.15,1.15))</f>
        <v/>
      </c>
      <c r="O417" s="45">
        <f>((nInference*nGpuIdx+nAmort)*nUtilCal/D417)*(nUsefulLifeDrawBase/N417-1)</f>
        <v/>
      </c>
      <c r="P417" s="1" t="n"/>
      <c r="Q417" s="1" t="n"/>
      <c r="R417" s="1" t="n"/>
      <c r="S417" s="1" t="n"/>
      <c r="T417" s="1" t="n"/>
      <c r="U417" s="1" t="n"/>
    </row>
    <row r="418" ht="12" customHeight="1">
      <c r="A418" s="1" t="n"/>
      <c r="B418" s="38" t="n">
        <v>398</v>
      </c>
      <c r="C418" s="114">
        <f>Assumptions!$F$8+RAND()*(Assumptions!$D$8-Assumptions!$F$8)</f>
        <v/>
      </c>
      <c r="D418" s="114">
        <f>Assumptions!$D$9+RAND()*(Assumptions!$F$9-Assumptions!$D$9)</f>
        <v/>
      </c>
      <c r="E418" s="71">
        <f>Assumptions!$F$11+RAND()*(Assumptions!$D$11-Assumptions!$F$11)</f>
        <v/>
      </c>
      <c r="F418" s="45">
        <f>nListPrice*(1-C418)-(nInference*nGpuIdx+nAmort)*nUtilCal/D418-nNetworking-nOverheadBase*(E418/nPowerCal)-nCodBase*(1+I418/12)-O418</f>
        <v/>
      </c>
      <c r="G418" s="66">
        <f>MAX(F418,0)/nDebtService</f>
        <v/>
      </c>
      <c r="H418" s="71">
        <f>Anthropic!$J$18*Anthropic!$J$27+Anthropic!$J$19*Anthropic!$J$28+Anthropic!$J$20*Anthropic!$J$29+Anthropic!$J$21*E418*(1+nPowerCagr)^4*(1+nResidualBasisMarkup+nScarcityAlpha*POWER(Anthropic!$J$21,nScarcityGamma))</f>
        <v/>
      </c>
      <c r="I418" s="113">
        <f>Assumptions!$F$10+RAND()*(Assumptions!$D$10-Assumptions!$F$10)</f>
        <v/>
      </c>
      <c r="J418" s="113">
        <f>RAND()*nCodSlipMaxMo</f>
        <v/>
      </c>
      <c r="K418" s="114">
        <f>nAvailDrawMin+RAND()*(nAvailDrawMax-nAvailDrawMin)</f>
        <v/>
      </c>
      <c r="L418" s="45">
        <f>IF(2034&lt;sNsmrCodU1+J418/12,0,(nNsmrCap+nNsmrOpx*(1+sNsmrOpxEsc)^8+nNsmrFuel*FuelEsc*(1+nFuelCagr)^8-nNsmrItc)*IF(2034&lt;sNsmrCodU1+J418/12+nStepFirst,1,IF(nStepGated="Yes",(1+nStepPct)^(INT((2034-sNsmrCodU1-J418/12-nStepFirst)/nStepEvery)+1),1))+nExclPrem*(1-nFlexRelief)-nProdCredit)</f>
        <v/>
      </c>
      <c r="M418" s="63">
        <f>MIN(nShortfallCapM,MAX(0,sNsmrAvailY2-K418)*sNsmrUnitMw*sNsmrUnits*8760*NsmrPrice2033/1000000)</f>
        <v/>
      </c>
      <c r="N418" s="82">
        <f>IF(RAND()&lt;0.5,nUsefulLifeDrawBase-(nUsefulLifeDrawBase-nUsefulLifeDrawMin)*BETA.INV(RAND(),1.15,1.15),nUsefulLifeDrawBase+(nUsefulLifeDrawMax-nUsefulLifeDrawBase)*BETA.INV(RAND(),1.15,1.15))</f>
        <v/>
      </c>
      <c r="O418" s="45">
        <f>((nInference*nGpuIdx+nAmort)*nUtilCal/D418)*(nUsefulLifeDrawBase/N418-1)</f>
        <v/>
      </c>
      <c r="P418" s="1" t="n"/>
      <c r="Q418" s="1" t="n"/>
      <c r="R418" s="1" t="n"/>
      <c r="S418" s="1" t="n"/>
      <c r="T418" s="1" t="n"/>
      <c r="U418" s="1" t="n"/>
    </row>
    <row r="419" ht="12" customHeight="1">
      <c r="A419" s="1" t="n"/>
      <c r="B419" s="38" t="n">
        <v>399</v>
      </c>
      <c r="C419" s="114">
        <f>Assumptions!$F$8+RAND()*(Assumptions!$D$8-Assumptions!$F$8)</f>
        <v/>
      </c>
      <c r="D419" s="114">
        <f>Assumptions!$D$9+RAND()*(Assumptions!$F$9-Assumptions!$D$9)</f>
        <v/>
      </c>
      <c r="E419" s="71">
        <f>Assumptions!$F$11+RAND()*(Assumptions!$D$11-Assumptions!$F$11)</f>
        <v/>
      </c>
      <c r="F419" s="45">
        <f>nListPrice*(1-C419)-(nInference*nGpuIdx+nAmort)*nUtilCal/D419-nNetworking-nOverheadBase*(E419/nPowerCal)-nCodBase*(1+I419/12)-O419</f>
        <v/>
      </c>
      <c r="G419" s="66">
        <f>MAX(F419,0)/nDebtService</f>
        <v/>
      </c>
      <c r="H419" s="71">
        <f>Anthropic!$J$18*Anthropic!$J$27+Anthropic!$J$19*Anthropic!$J$28+Anthropic!$J$20*Anthropic!$J$29+Anthropic!$J$21*E419*(1+nPowerCagr)^4*(1+nResidualBasisMarkup+nScarcityAlpha*POWER(Anthropic!$J$21,nScarcityGamma))</f>
        <v/>
      </c>
      <c r="I419" s="113">
        <f>Assumptions!$F$10+RAND()*(Assumptions!$D$10-Assumptions!$F$10)</f>
        <v/>
      </c>
      <c r="J419" s="113">
        <f>RAND()*nCodSlipMaxMo</f>
        <v/>
      </c>
      <c r="K419" s="114">
        <f>nAvailDrawMin+RAND()*(nAvailDrawMax-nAvailDrawMin)</f>
        <v/>
      </c>
      <c r="L419" s="45">
        <f>IF(2034&lt;sNsmrCodU1+J419/12,0,(nNsmrCap+nNsmrOpx*(1+sNsmrOpxEsc)^8+nNsmrFuel*FuelEsc*(1+nFuelCagr)^8-nNsmrItc)*IF(2034&lt;sNsmrCodU1+J419/12+nStepFirst,1,IF(nStepGated="Yes",(1+nStepPct)^(INT((2034-sNsmrCodU1-J419/12-nStepFirst)/nStepEvery)+1),1))+nExclPrem*(1-nFlexRelief)-nProdCredit)</f>
        <v/>
      </c>
      <c r="M419" s="63">
        <f>MIN(nShortfallCapM,MAX(0,sNsmrAvailY2-K419)*sNsmrUnitMw*sNsmrUnits*8760*NsmrPrice2033/1000000)</f>
        <v/>
      </c>
      <c r="N419" s="82">
        <f>IF(RAND()&lt;0.5,nUsefulLifeDrawBase-(nUsefulLifeDrawBase-nUsefulLifeDrawMin)*BETA.INV(RAND(),1.15,1.15),nUsefulLifeDrawBase+(nUsefulLifeDrawMax-nUsefulLifeDrawBase)*BETA.INV(RAND(),1.15,1.15))</f>
        <v/>
      </c>
      <c r="O419" s="45">
        <f>((nInference*nGpuIdx+nAmort)*nUtilCal/D419)*(nUsefulLifeDrawBase/N419-1)</f>
        <v/>
      </c>
      <c r="P419" s="1" t="n"/>
      <c r="Q419" s="1" t="n"/>
      <c r="R419" s="1" t="n"/>
      <c r="S419" s="1" t="n"/>
      <c r="T419" s="1" t="n"/>
      <c r="U419" s="1" t="n"/>
    </row>
    <row r="420" ht="12" customHeight="1">
      <c r="A420" s="1" t="n"/>
      <c r="B420" s="38" t="n">
        <v>400</v>
      </c>
      <c r="C420" s="114">
        <f>Assumptions!$F$8+RAND()*(Assumptions!$D$8-Assumptions!$F$8)</f>
        <v/>
      </c>
      <c r="D420" s="114">
        <f>Assumptions!$D$9+RAND()*(Assumptions!$F$9-Assumptions!$D$9)</f>
        <v/>
      </c>
      <c r="E420" s="71">
        <f>Assumptions!$F$11+RAND()*(Assumptions!$D$11-Assumptions!$F$11)</f>
        <v/>
      </c>
      <c r="F420" s="45">
        <f>nListPrice*(1-C420)-(nInference*nGpuIdx+nAmort)*nUtilCal/D420-nNetworking-nOverheadBase*(E420/nPowerCal)-nCodBase*(1+I420/12)-O420</f>
        <v/>
      </c>
      <c r="G420" s="66">
        <f>MAX(F420,0)/nDebtService</f>
        <v/>
      </c>
      <c r="H420" s="71">
        <f>Anthropic!$J$18*Anthropic!$J$27+Anthropic!$J$19*Anthropic!$J$28+Anthropic!$J$20*Anthropic!$J$29+Anthropic!$J$21*E420*(1+nPowerCagr)^4*(1+nResidualBasisMarkup+nScarcityAlpha*POWER(Anthropic!$J$21,nScarcityGamma))</f>
        <v/>
      </c>
      <c r="I420" s="113">
        <f>Assumptions!$F$10+RAND()*(Assumptions!$D$10-Assumptions!$F$10)</f>
        <v/>
      </c>
      <c r="J420" s="113">
        <f>RAND()*nCodSlipMaxMo</f>
        <v/>
      </c>
      <c r="K420" s="114">
        <f>nAvailDrawMin+RAND()*(nAvailDrawMax-nAvailDrawMin)</f>
        <v/>
      </c>
      <c r="L420" s="45">
        <f>IF(2034&lt;sNsmrCodU1+J420/12,0,(nNsmrCap+nNsmrOpx*(1+sNsmrOpxEsc)^8+nNsmrFuel*FuelEsc*(1+nFuelCagr)^8-nNsmrItc)*IF(2034&lt;sNsmrCodU1+J420/12+nStepFirst,1,IF(nStepGated="Yes",(1+nStepPct)^(INT((2034-sNsmrCodU1-J420/12-nStepFirst)/nStepEvery)+1),1))+nExclPrem*(1-nFlexRelief)-nProdCredit)</f>
        <v/>
      </c>
      <c r="M420" s="63">
        <f>MIN(nShortfallCapM,MAX(0,sNsmrAvailY2-K420)*sNsmrUnitMw*sNsmrUnits*8760*NsmrPrice2033/1000000)</f>
        <v/>
      </c>
      <c r="N420" s="82">
        <f>IF(RAND()&lt;0.5,nUsefulLifeDrawBase-(nUsefulLifeDrawBase-nUsefulLifeDrawMin)*BETA.INV(RAND(),1.15,1.15),nUsefulLifeDrawBase+(nUsefulLifeDrawMax-nUsefulLifeDrawBase)*BETA.INV(RAND(),1.15,1.15))</f>
        <v/>
      </c>
      <c r="O420" s="45">
        <f>((nInference*nGpuIdx+nAmort)*nUtilCal/D420)*(nUsefulLifeDrawBase/N420-1)</f>
        <v/>
      </c>
      <c r="P420" s="1" t="n"/>
      <c r="Q420" s="1" t="n"/>
      <c r="R420" s="1" t="n"/>
      <c r="S420" s="1" t="n"/>
      <c r="T420" s="1" t="n"/>
      <c r="U420" s="1" t="n"/>
    </row>
    <row r="421">
      <c r="A421" s="1" t="n"/>
      <c r="B421" s="1" t="n"/>
      <c r="C421" s="1" t="n"/>
      <c r="D421" s="1" t="n"/>
      <c r="E421" s="1" t="n"/>
      <c r="F421" s="1" t="n"/>
      <c r="G421" s="1" t="n"/>
      <c r="H421" s="1" t="n"/>
      <c r="I421" s="1" t="n"/>
      <c r="J421" s="1" t="n"/>
      <c r="K421" s="1" t="n"/>
      <c r="L421" s="1" t="n"/>
      <c r="M421" s="1" t="n"/>
      <c r="N421" s="1" t="n"/>
      <c r="O421" s="1" t="n"/>
      <c r="P421" s="1" t="n"/>
      <c r="Q421" s="1" t="n"/>
      <c r="R421" s="1" t="n"/>
      <c r="S421" s="1" t="n"/>
      <c r="T421" s="1" t="n"/>
      <c r="U421" s="1" t="n"/>
    </row>
    <row r="422">
      <c r="A422" s="1" t="n"/>
      <c r="B422" s="1" t="n"/>
      <c r="C422" s="1" t="n"/>
      <c r="D422" s="1" t="n"/>
      <c r="E422" s="1" t="n"/>
      <c r="F422" s="1" t="n"/>
      <c r="G422" s="1" t="n"/>
      <c r="H422" s="1" t="n"/>
      <c r="I422" s="1" t="n"/>
      <c r="J422" s="1" t="n"/>
      <c r="K422" s="1" t="n"/>
      <c r="L422" s="1" t="n"/>
      <c r="M422" s="1" t="n"/>
      <c r="N422" s="1" t="n"/>
      <c r="O422" s="1" t="n"/>
      <c r="P422" s="1" t="n"/>
      <c r="Q422" s="1" t="n"/>
      <c r="R422" s="1" t="n"/>
      <c r="S422" s="1" t="n"/>
      <c r="T422" s="1" t="n"/>
      <c r="U422" s="1" t="n"/>
    </row>
    <row r="423">
      <c r="A423" s="1" t="n"/>
      <c r="B423" s="1" t="n"/>
      <c r="C423" s="1" t="n"/>
      <c r="D423" s="1" t="n"/>
      <c r="E423" s="1" t="n"/>
      <c r="F423" s="1" t="n"/>
      <c r="G423" s="1" t="n"/>
      <c r="H423" s="1" t="n"/>
      <c r="I423" s="1" t="n"/>
      <c r="J423" s="1" t="n"/>
      <c r="K423" s="1" t="n"/>
      <c r="L423" s="1" t="n"/>
      <c r="M423" s="1" t="n"/>
      <c r="N423" s="1" t="n"/>
      <c r="O423" s="1" t="n"/>
      <c r="P423" s="1" t="n"/>
      <c r="Q423" s="1" t="n"/>
      <c r="R423" s="1" t="n"/>
      <c r="S423" s="1" t="n"/>
      <c r="T423" s="1" t="n"/>
      <c r="U423" s="1" t="n"/>
    </row>
    <row r="424">
      <c r="A424" s="1" t="n"/>
      <c r="B424" s="1" t="n"/>
      <c r="C424" s="1" t="n"/>
      <c r="D424" s="1" t="n"/>
      <c r="E424" s="1" t="n"/>
      <c r="F424" s="1" t="n"/>
      <c r="G424" s="1" t="n"/>
      <c r="H424" s="1" t="n"/>
      <c r="I424" s="1" t="n"/>
      <c r="J424" s="1" t="n"/>
      <c r="K424" s="1" t="n"/>
      <c r="L424" s="1" t="n"/>
      <c r="M424" s="1" t="n"/>
      <c r="N424" s="1" t="n"/>
      <c r="O424" s="1" t="n"/>
      <c r="P424" s="1" t="n"/>
      <c r="Q424" s="1" t="n"/>
      <c r="R424" s="1" t="n"/>
      <c r="S424" s="1" t="n"/>
      <c r="T424" s="1" t="n"/>
      <c r="U424" s="1" t="n"/>
    </row>
    <row r="425">
      <c r="A425" s="1" t="n"/>
      <c r="B425" s="1" t="n"/>
      <c r="C425" s="1" t="n"/>
      <c r="D425" s="1" t="n"/>
      <c r="E425" s="1" t="n"/>
      <c r="F425" s="1" t="n"/>
      <c r="G425" s="1" t="n"/>
      <c r="H425" s="1" t="n"/>
      <c r="I425" s="1" t="n"/>
      <c r="J425" s="1" t="n"/>
      <c r="K425" s="1" t="n"/>
      <c r="L425" s="1" t="n"/>
      <c r="M425" s="1" t="n"/>
      <c r="N425" s="1" t="n"/>
      <c r="O425" s="1" t="n"/>
      <c r="P425" s="1" t="n"/>
      <c r="Q425" s="1" t="n"/>
      <c r="R425" s="1" t="n"/>
      <c r="S425" s="1" t="n"/>
      <c r="T425" s="1" t="n"/>
      <c r="U425" s="1" t="n"/>
    </row>
    <row r="426">
      <c r="A426" s="1" t="n"/>
      <c r="B426" s="1" t="n"/>
      <c r="C426" s="1" t="n"/>
      <c r="D426" s="1" t="n"/>
      <c r="E426" s="1" t="n"/>
      <c r="F426" s="1" t="n"/>
      <c r="G426" s="1" t="n"/>
      <c r="H426" s="1" t="n"/>
      <c r="I426" s="1" t="n"/>
      <c r="J426" s="1" t="n"/>
      <c r="K426" s="1" t="n"/>
      <c r="L426" s="1" t="n"/>
      <c r="M426" s="1" t="n"/>
      <c r="N426" s="1" t="n"/>
      <c r="O426" s="1" t="n"/>
      <c r="P426" s="1" t="n"/>
      <c r="Q426" s="1" t="n"/>
      <c r="R426" s="1" t="n"/>
      <c r="S426" s="1" t="n"/>
      <c r="T426" s="1" t="n"/>
      <c r="U426" s="1" t="n"/>
    </row>
    <row r="427">
      <c r="A427" s="1" t="n"/>
      <c r="B427" s="1" t="n"/>
      <c r="C427" s="1" t="n"/>
      <c r="D427" s="1" t="n"/>
      <c r="E427" s="1" t="n"/>
      <c r="F427" s="1" t="n"/>
      <c r="G427" s="1" t="n"/>
      <c r="H427" s="1" t="n"/>
      <c r="I427" s="1" t="n"/>
      <c r="J427" s="1" t="n"/>
      <c r="K427" s="1" t="n"/>
      <c r="L427" s="1" t="n"/>
      <c r="M427" s="1" t="n"/>
      <c r="N427" s="1" t="n"/>
      <c r="O427" s="1" t="n"/>
      <c r="P427" s="1" t="n"/>
      <c r="Q427" s="1" t="n"/>
      <c r="R427" s="1" t="n"/>
      <c r="S427" s="1" t="n"/>
      <c r="T427" s="1" t="n"/>
      <c r="U427" s="1" t="n"/>
    </row>
    <row r="428">
      <c r="A428" s="1" t="n"/>
      <c r="B428" s="1" t="n"/>
      <c r="C428" s="1" t="n"/>
      <c r="D428" s="1" t="n"/>
      <c r="E428" s="1" t="n"/>
      <c r="F428" s="1" t="n"/>
      <c r="G428" s="1" t="n"/>
      <c r="H428" s="1" t="n"/>
      <c r="I428" s="1" t="n"/>
      <c r="J428" s="1" t="n"/>
      <c r="K428" s="1" t="n"/>
      <c r="L428" s="1" t="n"/>
      <c r="M428" s="1" t="n"/>
      <c r="N428" s="1" t="n"/>
      <c r="O428" s="1" t="n"/>
      <c r="P428" s="1" t="n"/>
      <c r="Q428" s="1" t="n"/>
      <c r="R428" s="1" t="n"/>
      <c r="S428" s="1" t="n"/>
      <c r="T428" s="1" t="n"/>
      <c r="U428" s="1" t="n"/>
    </row>
    <row r="429">
      <c r="A429" s="1" t="n"/>
      <c r="B429" s="1" t="n"/>
      <c r="C429" s="1" t="n"/>
      <c r="D429" s="1" t="n"/>
      <c r="E429" s="1" t="n"/>
      <c r="F429" s="1" t="n"/>
      <c r="G429" s="1" t="n"/>
      <c r="H429" s="1" t="n"/>
      <c r="I429" s="1" t="n"/>
      <c r="J429" s="1" t="n"/>
      <c r="K429" s="1" t="n"/>
      <c r="L429" s="1" t="n"/>
      <c r="M429" s="1" t="n"/>
      <c r="N429" s="1" t="n"/>
      <c r="O429" s="1" t="n"/>
      <c r="P429" s="1" t="n"/>
      <c r="Q429" s="1" t="n"/>
      <c r="R429" s="1" t="n"/>
      <c r="S429" s="1" t="n"/>
      <c r="T429" s="1" t="n"/>
      <c r="U429" s="1" t="n"/>
    </row>
    <row r="430">
      <c r="A430" s="1" t="n"/>
      <c r="B430" s="1" t="n"/>
      <c r="C430" s="1" t="n"/>
      <c r="D430" s="1" t="n"/>
      <c r="E430" s="1" t="n"/>
      <c r="F430" s="1" t="n"/>
      <c r="G430" s="1" t="n"/>
      <c r="H430" s="1" t="n"/>
      <c r="I430" s="1" t="n"/>
      <c r="J430" s="1" t="n"/>
      <c r="K430" s="1" t="n"/>
      <c r="L430" s="1" t="n"/>
      <c r="M430" s="1" t="n"/>
      <c r="N430" s="1" t="n"/>
      <c r="O430" s="1" t="n"/>
      <c r="P430" s="1" t="n"/>
      <c r="Q430" s="1" t="n"/>
      <c r="R430" s="1" t="n"/>
      <c r="S430" s="1" t="n"/>
      <c r="T430" s="1" t="n"/>
      <c r="U430" s="1" t="n"/>
    </row>
    <row r="431">
      <c r="A431" s="1" t="n"/>
      <c r="B431" s="1" t="n"/>
      <c r="C431" s="1" t="n"/>
      <c r="D431" s="1" t="n"/>
      <c r="E431" s="1" t="n"/>
      <c r="F431" s="1" t="n"/>
      <c r="G431" s="1" t="n"/>
      <c r="H431" s="1" t="n"/>
      <c r="I431" s="1" t="n"/>
      <c r="J431" s="1" t="n"/>
      <c r="K431" s="1" t="n"/>
      <c r="L431" s="1" t="n"/>
      <c r="M431" s="1" t="n"/>
      <c r="N431" s="1" t="n"/>
      <c r="O431" s="1" t="n"/>
      <c r="P431" s="1" t="n"/>
      <c r="Q431" s="1" t="n"/>
      <c r="R431" s="1" t="n"/>
      <c r="S431" s="1" t="n"/>
      <c r="T431" s="1" t="n"/>
      <c r="U431" s="1" t="n"/>
    </row>
    <row r="432">
      <c r="A432" s="1" t="n"/>
      <c r="B432" s="1" t="n"/>
      <c r="C432" s="1" t="n"/>
      <c r="D432" s="1" t="n"/>
      <c r="E432" s="1" t="n"/>
      <c r="F432" s="1" t="n"/>
      <c r="G432" s="1" t="n"/>
      <c r="H432" s="1" t="n"/>
      <c r="I432" s="1" t="n"/>
      <c r="J432" s="1" t="n"/>
      <c r="K432" s="1" t="n"/>
      <c r="L432" s="1" t="n"/>
      <c r="M432" s="1" t="n"/>
      <c r="N432" s="1" t="n"/>
      <c r="O432" s="1" t="n"/>
      <c r="P432" s="1" t="n"/>
      <c r="Q432" s="1" t="n"/>
      <c r="R432" s="1" t="n"/>
      <c r="S432" s="1" t="n"/>
      <c r="T432" s="1" t="n"/>
      <c r="U432" s="1" t="n"/>
    </row>
  </sheetData>
  <pageMargins left="0.4" right="0.4" top="0.5" bottom="0.5" header="0.3" footer="0.3"/>
  <pageSetup orientation="landscape" fitToHeight="0" fitToWidth="1"/>
</worksheet>
</file>

<file path=xl/worksheets/sheet19.xml><?xml version="1.0" encoding="utf-8"?>
<worksheet xmlns="http://schemas.openxmlformats.org/spreadsheetml/2006/main">
  <sheetPr>
    <tabColor rgb="00C6613F"/>
    <outlinePr summaryBelow="1" summaryRight="1"/>
    <pageSetUpPr fitToPage="1"/>
  </sheetPr>
  <dimension ref="A1:Q44"/>
  <sheetViews>
    <sheetView showGridLines="0" workbookViewId="0">
      <selection activeCell="A1" sqref="A1"/>
    </sheetView>
  </sheetViews>
  <sheetFormatPr baseColWidth="8" defaultRowHeight="15"/>
  <cols>
    <col width="2.5" customWidth="1" min="1" max="1"/>
    <col width="22" customWidth="1" min="2" max="2"/>
    <col width="11" customWidth="1" min="3" max="3"/>
    <col width="10.5" customWidth="1" min="4" max="4"/>
    <col width="10.5" customWidth="1" min="5" max="5"/>
    <col width="10.5" customWidth="1" min="6" max="6"/>
    <col width="10.5" customWidth="1" min="7" max="7"/>
    <col width="10.5" customWidth="1" min="8" max="8"/>
    <col width="10.5" customWidth="1" min="9" max="9"/>
    <col width="10.5" customWidth="1" min="10" max="10"/>
    <col width="10.5" customWidth="1" min="11" max="11"/>
  </cols>
  <sheetData>
    <row r="1" ht="9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</row>
    <row r="2" ht="22" customHeight="1">
      <c r="A2" s="1" t="n"/>
      <c r="B2" s="17" t="inlineStr">
        <is>
          <t>Sensitivity</t>
        </is>
      </c>
      <c r="C2" s="18" t="n"/>
      <c r="D2" s="18" t="n"/>
      <c r="E2" s="18" t="n"/>
      <c r="F2" s="18" t="n"/>
      <c r="G2" s="18" t="n"/>
      <c r="H2" s="18" t="n"/>
      <c r="I2" s="18" t="n"/>
      <c r="J2" s="18" t="n"/>
      <c r="K2" s="18" t="n"/>
      <c r="L2" s="1" t="n"/>
      <c r="M2" s="1" t="n"/>
      <c r="N2" s="1" t="n"/>
      <c r="O2" s="1" t="n"/>
      <c r="P2" s="1" t="n"/>
      <c r="Q2" s="1" t="n"/>
    </row>
    <row r="3">
      <c r="A3" s="1" t="n"/>
      <c r="B3" s="19" t="inlineStr">
        <is>
          <t>Two-way grids and a one-driver tornado. Off-axis follows the active scenario.</t>
        </is>
      </c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  <c r="M3" s="1" t="n"/>
      <c r="N3" s="1" t="n"/>
      <c r="O3" s="1" t="n"/>
      <c r="P3" s="1" t="n"/>
      <c r="Q3" s="1" t="n"/>
    </row>
    <row r="4" ht="6" customHeight="1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  <c r="K4" s="1" t="n"/>
      <c r="L4" s="1" t="n"/>
      <c r="M4" s="1" t="n"/>
      <c r="N4" s="1" t="n"/>
      <c r="O4" s="1" t="n"/>
      <c r="P4" s="1" t="n"/>
      <c r="Q4" s="1" t="n"/>
    </row>
    <row r="5">
      <c r="A5" s="1" t="n"/>
      <c r="B5" s="1" t="n"/>
      <c r="C5" s="1" t="n"/>
      <c r="D5" s="1" t="n"/>
      <c r="E5" s="1" t="n"/>
      <c r="F5" s="1" t="n"/>
      <c r="G5" s="1" t="n"/>
      <c r="H5" s="1" t="n"/>
      <c r="I5" s="1" t="n"/>
      <c r="J5" s="1" t="n"/>
      <c r="K5" s="1" t="n"/>
      <c r="L5" s="1" t="n"/>
      <c r="M5" s="1" t="n"/>
      <c r="N5" s="1" t="n"/>
      <c r="O5" s="1" t="n"/>
      <c r="P5" s="1" t="n"/>
      <c r="Q5" s="1" t="n"/>
    </row>
    <row r="6" ht="17" customHeight="1">
      <c r="A6" s="1" t="n"/>
      <c r="B6" s="22" t="inlineStr">
        <is>
          <t>Operating margin ($/MTok)</t>
        </is>
      </c>
      <c r="C6" s="23" t="n"/>
      <c r="D6" s="23" t="n"/>
      <c r="E6" s="23" t="n"/>
      <c r="F6" s="23" t="n"/>
      <c r="G6" s="23" t="n"/>
      <c r="H6" s="23" t="n"/>
      <c r="I6" s="23" t="n"/>
      <c r="J6" s="23" t="n"/>
      <c r="K6" s="23" t="n"/>
      <c r="L6" s="1" t="n"/>
      <c r="M6" s="1" t="n"/>
      <c r="N6" s="1" t="n"/>
      <c r="O6" s="1" t="n"/>
      <c r="P6" s="1" t="n"/>
      <c r="Q6" s="1" t="n"/>
    </row>
    <row r="7">
      <c r="A7" s="1" t="n"/>
      <c r="B7" s="136" t="inlineStr">
        <is>
          <t>Utilization (%) →</t>
        </is>
      </c>
      <c r="C7" s="1" t="n"/>
      <c r="D7" s="137" t="n">
        <v>0.4</v>
      </c>
      <c r="E7" s="137" t="n">
        <v>0.5</v>
      </c>
      <c r="F7" s="137" t="n">
        <v>0.6</v>
      </c>
      <c r="G7" s="137" t="n">
        <v>0.65</v>
      </c>
      <c r="H7" s="137" t="n">
        <v>0.7</v>
      </c>
      <c r="I7" s="137" t="n">
        <v>0.8</v>
      </c>
      <c r="J7" s="137" t="n">
        <v>0.9</v>
      </c>
      <c r="K7" s="1" t="n"/>
      <c r="L7" s="1" t="n"/>
      <c r="M7" s="1" t="n"/>
      <c r="N7" s="1" t="n"/>
      <c r="O7" s="1" t="n"/>
      <c r="P7" s="1" t="n"/>
      <c r="Q7" s="1" t="n"/>
    </row>
    <row r="8">
      <c r="A8" s="1" t="n"/>
      <c r="B8" s="43" t="inlineStr">
        <is>
          <t>Compression (%) ↓</t>
        </is>
      </c>
      <c r="C8" s="1" t="n"/>
      <c r="D8" s="1" t="n"/>
      <c r="E8" s="1" t="n"/>
      <c r="F8" s="1" t="n"/>
      <c r="G8" s="1" t="n"/>
      <c r="H8" s="1" t="n"/>
      <c r="I8" s="1" t="n"/>
      <c r="J8" s="1" t="n"/>
      <c r="K8" s="1" t="n"/>
      <c r="L8" s="1" t="n"/>
      <c r="M8" s="1" t="n"/>
      <c r="N8" s="1" t="n"/>
      <c r="O8" s="1" t="n"/>
      <c r="P8" s="1" t="n"/>
      <c r="Q8" s="1" t="n"/>
    </row>
    <row r="9">
      <c r="A9" s="1" t="n"/>
      <c r="B9" s="137" t="n">
        <v>0.1</v>
      </c>
      <c r="C9" s="1" t="n"/>
      <c r="D9" s="107">
        <f>nListPrice*(1-$B9)-(nInference*nGpuIdx+nAmort)*nUtilCal/D$7-nNetworking-nOverheadBase*(nPower/nPowerCal)-nCodBase*(1+nDelay/12)</f>
        <v/>
      </c>
      <c r="E9" s="107">
        <f>nListPrice*(1-$B9)-(nInference*nGpuIdx+nAmort)*nUtilCal/E$7-nNetworking-nOverheadBase*(nPower/nPowerCal)-nCodBase*(1+nDelay/12)</f>
        <v/>
      </c>
      <c r="F9" s="107">
        <f>nListPrice*(1-$B9)-(nInference*nGpuIdx+nAmort)*nUtilCal/F$7-nNetworking-nOverheadBase*(nPower/nPowerCal)-nCodBase*(1+nDelay/12)</f>
        <v/>
      </c>
      <c r="G9" s="107">
        <f>nListPrice*(1-$B9)-(nInference*nGpuIdx+nAmort)*nUtilCal/G$7-nNetworking-nOverheadBase*(nPower/nPowerCal)-nCodBase*(1+nDelay/12)</f>
        <v/>
      </c>
      <c r="H9" s="107">
        <f>nListPrice*(1-$B9)-(nInference*nGpuIdx+nAmort)*nUtilCal/H$7-nNetworking-nOverheadBase*(nPower/nPowerCal)-nCodBase*(1+nDelay/12)</f>
        <v/>
      </c>
      <c r="I9" s="107">
        <f>nListPrice*(1-$B9)-(nInference*nGpuIdx+nAmort)*nUtilCal/I$7-nNetworking-nOverheadBase*(nPower/nPowerCal)-nCodBase*(1+nDelay/12)</f>
        <v/>
      </c>
      <c r="J9" s="107">
        <f>nListPrice*(1-$B9)-(nInference*nGpuIdx+nAmort)*nUtilCal/J$7-nNetworking-nOverheadBase*(nPower/nPowerCal)-nCodBase*(1+nDelay/12)</f>
        <v/>
      </c>
      <c r="K9" s="1" t="n"/>
      <c r="L9" s="1" t="n"/>
      <c r="M9" s="1" t="n"/>
      <c r="N9" s="1" t="n"/>
      <c r="O9" s="1" t="n"/>
      <c r="P9" s="1" t="n"/>
      <c r="Q9" s="1" t="n"/>
    </row>
    <row r="10">
      <c r="A10" s="1" t="n"/>
      <c r="B10" s="137" t="n">
        <v>0.2</v>
      </c>
      <c r="C10" s="1" t="n"/>
      <c r="D10" s="107">
        <f>nListPrice*(1-$B10)-(nInference*nGpuIdx+nAmort)*nUtilCal/D$7-nNetworking-nOverheadBase*(nPower/nPowerCal)-nCodBase*(1+nDelay/12)</f>
        <v/>
      </c>
      <c r="E10" s="107">
        <f>nListPrice*(1-$B10)-(nInference*nGpuIdx+nAmort)*nUtilCal/E$7-nNetworking-nOverheadBase*(nPower/nPowerCal)-nCodBase*(1+nDelay/12)</f>
        <v/>
      </c>
      <c r="F10" s="107">
        <f>nListPrice*(1-$B10)-(nInference*nGpuIdx+nAmort)*nUtilCal/F$7-nNetworking-nOverheadBase*(nPower/nPowerCal)-nCodBase*(1+nDelay/12)</f>
        <v/>
      </c>
      <c r="G10" s="107">
        <f>nListPrice*(1-$B10)-(nInference*nGpuIdx+nAmort)*nUtilCal/G$7-nNetworking-nOverheadBase*(nPower/nPowerCal)-nCodBase*(1+nDelay/12)</f>
        <v/>
      </c>
      <c r="H10" s="107">
        <f>nListPrice*(1-$B10)-(nInference*nGpuIdx+nAmort)*nUtilCal/H$7-nNetworking-nOverheadBase*(nPower/nPowerCal)-nCodBase*(1+nDelay/12)</f>
        <v/>
      </c>
      <c r="I10" s="107">
        <f>nListPrice*(1-$B10)-(nInference*nGpuIdx+nAmort)*nUtilCal/I$7-nNetworking-nOverheadBase*(nPower/nPowerCal)-nCodBase*(1+nDelay/12)</f>
        <v/>
      </c>
      <c r="J10" s="107">
        <f>nListPrice*(1-$B10)-(nInference*nGpuIdx+nAmort)*nUtilCal/J$7-nNetworking-nOverheadBase*(nPower/nPowerCal)-nCodBase*(1+nDelay/12)</f>
        <v/>
      </c>
      <c r="K10" s="1" t="n"/>
      <c r="L10" s="1" t="n"/>
      <c r="M10" s="1" t="n"/>
      <c r="N10" s="1" t="n"/>
      <c r="O10" s="1" t="n"/>
      <c r="P10" s="1" t="n"/>
      <c r="Q10" s="1" t="n"/>
    </row>
    <row r="11">
      <c r="A11" s="1" t="n"/>
      <c r="B11" s="137" t="n">
        <v>0.3</v>
      </c>
      <c r="C11" s="1" t="n"/>
      <c r="D11" s="107">
        <f>nListPrice*(1-$B11)-(nInference*nGpuIdx+nAmort)*nUtilCal/D$7-nNetworking-nOverheadBase*(nPower/nPowerCal)-nCodBase*(1+nDelay/12)</f>
        <v/>
      </c>
      <c r="E11" s="107">
        <f>nListPrice*(1-$B11)-(nInference*nGpuIdx+nAmort)*nUtilCal/E$7-nNetworking-nOverheadBase*(nPower/nPowerCal)-nCodBase*(1+nDelay/12)</f>
        <v/>
      </c>
      <c r="F11" s="107">
        <f>nListPrice*(1-$B11)-(nInference*nGpuIdx+nAmort)*nUtilCal/F$7-nNetworking-nOverheadBase*(nPower/nPowerCal)-nCodBase*(1+nDelay/12)</f>
        <v/>
      </c>
      <c r="G11" s="107">
        <f>nListPrice*(1-$B11)-(nInference*nGpuIdx+nAmort)*nUtilCal/G$7-nNetworking-nOverheadBase*(nPower/nPowerCal)-nCodBase*(1+nDelay/12)</f>
        <v/>
      </c>
      <c r="H11" s="107">
        <f>nListPrice*(1-$B11)-(nInference*nGpuIdx+nAmort)*nUtilCal/H$7-nNetworking-nOverheadBase*(nPower/nPowerCal)-nCodBase*(1+nDelay/12)</f>
        <v/>
      </c>
      <c r="I11" s="107">
        <f>nListPrice*(1-$B11)-(nInference*nGpuIdx+nAmort)*nUtilCal/I$7-nNetworking-nOverheadBase*(nPower/nPowerCal)-nCodBase*(1+nDelay/12)</f>
        <v/>
      </c>
      <c r="J11" s="107">
        <f>nListPrice*(1-$B11)-(nInference*nGpuIdx+nAmort)*nUtilCal/J$7-nNetworking-nOverheadBase*(nPower/nPowerCal)-nCodBase*(1+nDelay/12)</f>
        <v/>
      </c>
      <c r="K11" s="1" t="n"/>
      <c r="L11" s="1" t="n"/>
      <c r="M11" s="1" t="n"/>
      <c r="N11" s="1" t="n"/>
      <c r="O11" s="1" t="n"/>
      <c r="P11" s="1" t="n"/>
      <c r="Q11" s="1" t="n"/>
    </row>
    <row r="12">
      <c r="A12" s="1" t="n"/>
      <c r="B12" s="137" t="n">
        <v>0.4</v>
      </c>
      <c r="C12" s="1" t="n"/>
      <c r="D12" s="107">
        <f>nListPrice*(1-$B12)-(nInference*nGpuIdx+nAmort)*nUtilCal/D$7-nNetworking-nOverheadBase*(nPower/nPowerCal)-nCodBase*(1+nDelay/12)</f>
        <v/>
      </c>
      <c r="E12" s="107">
        <f>nListPrice*(1-$B12)-(nInference*nGpuIdx+nAmort)*nUtilCal/E$7-nNetworking-nOverheadBase*(nPower/nPowerCal)-nCodBase*(1+nDelay/12)</f>
        <v/>
      </c>
      <c r="F12" s="107">
        <f>nListPrice*(1-$B12)-(nInference*nGpuIdx+nAmort)*nUtilCal/F$7-nNetworking-nOverheadBase*(nPower/nPowerCal)-nCodBase*(1+nDelay/12)</f>
        <v/>
      </c>
      <c r="G12" s="107">
        <f>nListPrice*(1-$B12)-(nInference*nGpuIdx+nAmort)*nUtilCal/G$7-nNetworking-nOverheadBase*(nPower/nPowerCal)-nCodBase*(1+nDelay/12)</f>
        <v/>
      </c>
      <c r="H12" s="107">
        <f>nListPrice*(1-$B12)-(nInference*nGpuIdx+nAmort)*nUtilCal/H$7-nNetworking-nOverheadBase*(nPower/nPowerCal)-nCodBase*(1+nDelay/12)</f>
        <v/>
      </c>
      <c r="I12" s="107">
        <f>nListPrice*(1-$B12)-(nInference*nGpuIdx+nAmort)*nUtilCal/I$7-nNetworking-nOverheadBase*(nPower/nPowerCal)-nCodBase*(1+nDelay/12)</f>
        <v/>
      </c>
      <c r="J12" s="107">
        <f>nListPrice*(1-$B12)-(nInference*nGpuIdx+nAmort)*nUtilCal/J$7-nNetworking-nOverheadBase*(nPower/nPowerCal)-nCodBase*(1+nDelay/12)</f>
        <v/>
      </c>
      <c r="K12" s="1" t="n"/>
      <c r="L12" s="1" t="n"/>
      <c r="M12" s="1" t="n"/>
      <c r="N12" s="1" t="n"/>
      <c r="O12" s="1" t="n"/>
      <c r="P12" s="1" t="n"/>
      <c r="Q12" s="1" t="n"/>
    </row>
    <row r="13">
      <c r="A13" s="1" t="n"/>
      <c r="B13" s="137" t="n">
        <v>0.5</v>
      </c>
      <c r="C13" s="1" t="n"/>
      <c r="D13" s="107">
        <f>nListPrice*(1-$B13)-(nInference*nGpuIdx+nAmort)*nUtilCal/D$7-nNetworking-nOverheadBase*(nPower/nPowerCal)-nCodBase*(1+nDelay/12)</f>
        <v/>
      </c>
      <c r="E13" s="107">
        <f>nListPrice*(1-$B13)-(nInference*nGpuIdx+nAmort)*nUtilCal/E$7-nNetworking-nOverheadBase*(nPower/nPowerCal)-nCodBase*(1+nDelay/12)</f>
        <v/>
      </c>
      <c r="F13" s="107">
        <f>nListPrice*(1-$B13)-(nInference*nGpuIdx+nAmort)*nUtilCal/F$7-nNetworking-nOverheadBase*(nPower/nPowerCal)-nCodBase*(1+nDelay/12)</f>
        <v/>
      </c>
      <c r="G13" s="107">
        <f>nListPrice*(1-$B13)-(nInference*nGpuIdx+nAmort)*nUtilCal/G$7-nNetworking-nOverheadBase*(nPower/nPowerCal)-nCodBase*(1+nDelay/12)</f>
        <v/>
      </c>
      <c r="H13" s="107">
        <f>nListPrice*(1-$B13)-(nInference*nGpuIdx+nAmort)*nUtilCal/H$7-nNetworking-nOverheadBase*(nPower/nPowerCal)-nCodBase*(1+nDelay/12)</f>
        <v/>
      </c>
      <c r="I13" s="107">
        <f>nListPrice*(1-$B13)-(nInference*nGpuIdx+nAmort)*nUtilCal/I$7-nNetworking-nOverheadBase*(nPower/nPowerCal)-nCodBase*(1+nDelay/12)</f>
        <v/>
      </c>
      <c r="J13" s="107">
        <f>nListPrice*(1-$B13)-(nInference*nGpuIdx+nAmort)*nUtilCal/J$7-nNetworking-nOverheadBase*(nPower/nPowerCal)-nCodBase*(1+nDelay/12)</f>
        <v/>
      </c>
      <c r="K13" s="1" t="n"/>
      <c r="L13" s="1" t="n"/>
      <c r="M13" s="1" t="n"/>
      <c r="N13" s="1" t="n"/>
      <c r="O13" s="1" t="n"/>
      <c r="P13" s="1" t="n"/>
      <c r="Q13" s="1" t="n"/>
    </row>
    <row r="14">
      <c r="A14" s="1" t="n"/>
      <c r="B14" s="1" t="n"/>
      <c r="C14" s="1" t="n"/>
      <c r="D14" s="1" t="n"/>
      <c r="E14" s="1" t="n"/>
      <c r="F14" s="1" t="n"/>
      <c r="G14" s="1" t="n"/>
      <c r="H14" s="1" t="n"/>
      <c r="I14" s="1" t="n"/>
      <c r="J14" s="1" t="n"/>
      <c r="K14" s="1" t="n"/>
      <c r="L14" s="1" t="n"/>
      <c r="M14" s="1" t="n"/>
      <c r="N14" s="1" t="n"/>
      <c r="O14" s="1" t="n"/>
      <c r="P14" s="1" t="n"/>
      <c r="Q14" s="1" t="n"/>
    </row>
    <row r="15">
      <c r="A15" s="1" t="n"/>
      <c r="B15" s="1" t="n"/>
      <c r="C15" s="1" t="n"/>
      <c r="D15" s="1" t="n"/>
      <c r="E15" s="1" t="n"/>
      <c r="F15" s="1" t="n"/>
      <c r="G15" s="1" t="n"/>
      <c r="H15" s="1" t="n"/>
      <c r="I15" s="1" t="n"/>
      <c r="J15" s="1" t="n"/>
      <c r="K15" s="1" t="n"/>
      <c r="L15" s="1" t="n"/>
      <c r="M15" s="1" t="n"/>
      <c r="N15" s="1" t="n"/>
      <c r="O15" s="1" t="n"/>
      <c r="P15" s="1" t="n"/>
      <c r="Q15" s="1" t="n"/>
    </row>
    <row r="16" ht="17" customHeight="1">
      <c r="A16" s="1" t="n"/>
      <c r="B16" s="22" t="inlineStr">
        <is>
          <t>Liquidity trough ($/MTok)</t>
        </is>
      </c>
      <c r="C16" s="23" t="n"/>
      <c r="D16" s="23" t="n"/>
      <c r="E16" s="23" t="n"/>
      <c r="F16" s="23" t="n"/>
      <c r="G16" s="23" t="n"/>
      <c r="H16" s="23" t="n"/>
      <c r="I16" s="23" t="n"/>
      <c r="J16" s="23" t="n"/>
      <c r="K16" s="23" t="n"/>
      <c r="L16" s="1" t="n"/>
      <c r="M16" s="1" t="n"/>
      <c r="N16" s="1" t="n"/>
      <c r="O16" s="1" t="n"/>
      <c r="P16" s="1" t="n"/>
      <c r="Q16" s="1" t="n"/>
    </row>
    <row r="17">
      <c r="A17" s="1" t="n"/>
      <c r="B17" s="136" t="inlineStr">
        <is>
          <t>Delay (months) →</t>
        </is>
      </c>
      <c r="C17" s="1" t="n"/>
      <c r="D17" s="79" t="n">
        <v>0</v>
      </c>
      <c r="E17" s="79" t="n">
        <v>6</v>
      </c>
      <c r="F17" s="79" t="n">
        <v>12</v>
      </c>
      <c r="G17" s="79" t="n">
        <v>18</v>
      </c>
      <c r="H17" s="79" t="n">
        <v>24</v>
      </c>
      <c r="I17" s="1" t="n"/>
      <c r="J17" s="1" t="n"/>
      <c r="K17" s="1" t="n"/>
      <c r="L17" s="1" t="n"/>
      <c r="M17" s="1" t="n"/>
      <c r="N17" s="1" t="n"/>
      <c r="O17" s="1" t="n"/>
      <c r="P17" s="1" t="n"/>
      <c r="Q17" s="1" t="n"/>
    </row>
    <row r="18">
      <c r="A18" s="1" t="n"/>
      <c r="B18" s="43" t="inlineStr">
        <is>
          <t>Compression (%) ↓</t>
        </is>
      </c>
      <c r="C18" s="1" t="n"/>
      <c r="D18" s="1" t="n"/>
      <c r="E18" s="1" t="n"/>
      <c r="F18" s="1" t="n"/>
      <c r="G18" s="1" t="n"/>
      <c r="H18" s="1" t="n"/>
      <c r="I18" s="1" t="n"/>
      <c r="J18" s="1" t="n"/>
      <c r="K18" s="1" t="n"/>
      <c r="L18" s="1" t="n"/>
      <c r="M18" s="1" t="n"/>
      <c r="N18" s="1" t="n"/>
      <c r="O18" s="1" t="n"/>
      <c r="P18" s="1" t="n"/>
      <c r="Q18" s="1" t="n"/>
    </row>
    <row r="19">
      <c r="A19" s="1" t="n"/>
      <c r="B19" s="137" t="n">
        <v>0.1</v>
      </c>
      <c r="C19" s="1" t="n"/>
      <c r="D19" s="107">
        <f>-D$17*nBurn*(nPower/nPowerCal)*(1+$B19)</f>
        <v/>
      </c>
      <c r="E19" s="107">
        <f>-E$17*nBurn*(nPower/nPowerCal)*(1+$B19)</f>
        <v/>
      </c>
      <c r="F19" s="107">
        <f>-F$17*nBurn*(nPower/nPowerCal)*(1+$B19)</f>
        <v/>
      </c>
      <c r="G19" s="107">
        <f>-G$17*nBurn*(nPower/nPowerCal)*(1+$B19)</f>
        <v/>
      </c>
      <c r="H19" s="107">
        <f>-H$17*nBurn*(nPower/nPowerCal)*(1+$B19)</f>
        <v/>
      </c>
      <c r="I19" s="1" t="n"/>
      <c r="J19" s="1" t="n"/>
      <c r="K19" s="1" t="n"/>
      <c r="L19" s="1" t="n"/>
      <c r="M19" s="1" t="n"/>
      <c r="N19" s="1" t="n"/>
      <c r="O19" s="1" t="n"/>
      <c r="P19" s="1" t="n"/>
      <c r="Q19" s="1" t="n"/>
    </row>
    <row r="20">
      <c r="A20" s="1" t="n"/>
      <c r="B20" s="137" t="n">
        <v>0.2</v>
      </c>
      <c r="C20" s="1" t="n"/>
      <c r="D20" s="107">
        <f>-D$17*nBurn*(nPower/nPowerCal)*(1+$B20)</f>
        <v/>
      </c>
      <c r="E20" s="107">
        <f>-E$17*nBurn*(nPower/nPowerCal)*(1+$B20)</f>
        <v/>
      </c>
      <c r="F20" s="107">
        <f>-F$17*nBurn*(nPower/nPowerCal)*(1+$B20)</f>
        <v/>
      </c>
      <c r="G20" s="107">
        <f>-G$17*nBurn*(nPower/nPowerCal)*(1+$B20)</f>
        <v/>
      </c>
      <c r="H20" s="107">
        <f>-H$17*nBurn*(nPower/nPowerCal)*(1+$B20)</f>
        <v/>
      </c>
      <c r="I20" s="1" t="n"/>
      <c r="J20" s="1" t="n"/>
      <c r="K20" s="1" t="n"/>
      <c r="L20" s="1" t="n"/>
      <c r="M20" s="1" t="n"/>
      <c r="N20" s="1" t="n"/>
      <c r="O20" s="1" t="n"/>
      <c r="P20" s="1" t="n"/>
      <c r="Q20" s="1" t="n"/>
    </row>
    <row r="21">
      <c r="A21" s="1" t="n"/>
      <c r="B21" s="137" t="n">
        <v>0.3</v>
      </c>
      <c r="C21" s="1" t="n"/>
      <c r="D21" s="107">
        <f>-D$17*nBurn*(nPower/nPowerCal)*(1+$B21)</f>
        <v/>
      </c>
      <c r="E21" s="107">
        <f>-E$17*nBurn*(nPower/nPowerCal)*(1+$B21)</f>
        <v/>
      </c>
      <c r="F21" s="107">
        <f>-F$17*nBurn*(nPower/nPowerCal)*(1+$B21)</f>
        <v/>
      </c>
      <c r="G21" s="107">
        <f>-G$17*nBurn*(nPower/nPowerCal)*(1+$B21)</f>
        <v/>
      </c>
      <c r="H21" s="107">
        <f>-H$17*nBurn*(nPower/nPowerCal)*(1+$B21)</f>
        <v/>
      </c>
      <c r="I21" s="1" t="n"/>
      <c r="J21" s="1" t="n"/>
      <c r="K21" s="1" t="n"/>
      <c r="L21" s="1" t="n"/>
      <c r="M21" s="1" t="n"/>
      <c r="N21" s="1" t="n"/>
      <c r="O21" s="1" t="n"/>
      <c r="P21" s="1" t="n"/>
      <c r="Q21" s="1" t="n"/>
    </row>
    <row r="22">
      <c r="A22" s="1" t="n"/>
      <c r="B22" s="137" t="n">
        <v>0.4</v>
      </c>
      <c r="C22" s="1" t="n"/>
      <c r="D22" s="107">
        <f>-D$17*nBurn*(nPower/nPowerCal)*(1+$B22)</f>
        <v/>
      </c>
      <c r="E22" s="107">
        <f>-E$17*nBurn*(nPower/nPowerCal)*(1+$B22)</f>
        <v/>
      </c>
      <c r="F22" s="107">
        <f>-F$17*nBurn*(nPower/nPowerCal)*(1+$B22)</f>
        <v/>
      </c>
      <c r="G22" s="107">
        <f>-G$17*nBurn*(nPower/nPowerCal)*(1+$B22)</f>
        <v/>
      </c>
      <c r="H22" s="107">
        <f>-H$17*nBurn*(nPower/nPowerCal)*(1+$B22)</f>
        <v/>
      </c>
      <c r="I22" s="1" t="n"/>
      <c r="J22" s="1" t="n"/>
      <c r="K22" s="1" t="n"/>
      <c r="L22" s="1" t="n"/>
      <c r="M22" s="1" t="n"/>
      <c r="N22" s="1" t="n"/>
      <c r="O22" s="1" t="n"/>
      <c r="P22" s="1" t="n"/>
      <c r="Q22" s="1" t="n"/>
    </row>
    <row r="23">
      <c r="A23" s="1" t="n"/>
      <c r="B23" s="137" t="n">
        <v>0.5</v>
      </c>
      <c r="C23" s="1" t="n"/>
      <c r="D23" s="107">
        <f>-D$17*nBurn*(nPower/nPowerCal)*(1+$B23)</f>
        <v/>
      </c>
      <c r="E23" s="107">
        <f>-E$17*nBurn*(nPower/nPowerCal)*(1+$B23)</f>
        <v/>
      </c>
      <c r="F23" s="107">
        <f>-F$17*nBurn*(nPower/nPowerCal)*(1+$B23)</f>
        <v/>
      </c>
      <c r="G23" s="107">
        <f>-G$17*nBurn*(nPower/nPowerCal)*(1+$B23)</f>
        <v/>
      </c>
      <c r="H23" s="107">
        <f>-H$17*nBurn*(nPower/nPowerCal)*(1+$B23)</f>
        <v/>
      </c>
      <c r="I23" s="1" t="n"/>
      <c r="J23" s="1" t="n"/>
      <c r="K23" s="1" t="n"/>
      <c r="L23" s="1" t="n"/>
      <c r="M23" s="1" t="n"/>
      <c r="N23" s="1" t="n"/>
      <c r="O23" s="1" t="n"/>
      <c r="P23" s="1" t="n"/>
      <c r="Q23" s="1" t="n"/>
    </row>
    <row r="24">
      <c r="A24" s="1" t="n"/>
      <c r="B24" s="1" t="n"/>
      <c r="C24" s="1" t="n"/>
      <c r="D24" s="1" t="n"/>
      <c r="E24" s="1" t="n"/>
      <c r="F24" s="1" t="n"/>
      <c r="G24" s="1" t="n"/>
      <c r="H24" s="1" t="n"/>
      <c r="I24" s="1" t="n"/>
      <c r="J24" s="1" t="n"/>
      <c r="K24" s="1" t="n"/>
      <c r="L24" s="1" t="n"/>
      <c r="M24" s="1" t="n"/>
      <c r="N24" s="1" t="n"/>
      <c r="O24" s="1" t="n"/>
      <c r="P24" s="1" t="n"/>
      <c r="Q24" s="1" t="n"/>
    </row>
    <row r="25">
      <c r="A25" s="1" t="n"/>
      <c r="B25" s="1" t="n"/>
      <c r="C25" s="1" t="n"/>
      <c r="D25" s="1" t="n"/>
      <c r="E25" s="1" t="n"/>
      <c r="F25" s="1" t="n"/>
      <c r="G25" s="1" t="n"/>
      <c r="H25" s="1" t="n"/>
      <c r="I25" s="1" t="n"/>
      <c r="J25" s="1" t="n"/>
      <c r="K25" s="1" t="n"/>
      <c r="L25" s="1" t="n"/>
      <c r="M25" s="1" t="n"/>
      <c r="N25" s="1" t="n"/>
      <c r="O25" s="1" t="n"/>
      <c r="P25" s="1" t="n"/>
      <c r="Q25" s="1" t="n"/>
    </row>
    <row r="26" ht="17" customHeight="1">
      <c r="A26" s="1" t="n"/>
      <c r="B26" s="22" t="inlineStr">
        <is>
          <t>Tornado — Bear to Bull, one driver at a time</t>
        </is>
      </c>
      <c r="C26" s="23" t="n"/>
      <c r="D26" s="23" t="n"/>
      <c r="E26" s="23" t="n"/>
      <c r="F26" s="23" t="n"/>
      <c r="G26" s="23" t="n"/>
      <c r="H26" s="23" t="n"/>
      <c r="I26" s="23" t="n"/>
      <c r="J26" s="23" t="n"/>
      <c r="K26" s="23" t="n"/>
      <c r="L26" s="1" t="n"/>
      <c r="M26" s="1" t="n"/>
      <c r="N26" s="1" t="n"/>
      <c r="O26" s="1" t="n"/>
      <c r="P26" s="1" t="n"/>
      <c r="Q26" s="1" t="n"/>
    </row>
    <row r="27" ht="14" customHeight="1">
      <c r="A27" s="1" t="n"/>
      <c r="B27" s="39" t="inlineStr">
        <is>
          <t>Driver</t>
        </is>
      </c>
      <c r="C27" s="40" t="inlineStr">
        <is>
          <t>At Bear</t>
        </is>
      </c>
      <c r="D27" s="40" t="inlineStr">
        <is>
          <t>At Bull</t>
        </is>
      </c>
      <c r="E27" s="40" t="inlineStr">
        <is>
          <t>Swing</t>
        </is>
      </c>
      <c r="F27" s="1" t="n"/>
      <c r="G27" s="1" t="n"/>
      <c r="H27" s="1" t="n"/>
      <c r="I27" s="1" t="n"/>
      <c r="J27" s="1" t="n"/>
      <c r="K27" s="1" t="n"/>
      <c r="L27" s="1" t="n"/>
      <c r="M27" s="1" t="n"/>
      <c r="N27" s="1" t="n"/>
      <c r="O27" s="1" t="n"/>
      <c r="P27" s="1" t="n"/>
      <c r="Q27" s="1" t="n"/>
    </row>
    <row r="28">
      <c r="A28" s="1" t="n"/>
      <c r="B28" s="53" t="inlineStr">
        <is>
          <t>Compression</t>
        </is>
      </c>
      <c r="C28" s="107">
        <f>nListPrice*(1-Assumptions!$D$8)-(nInference*Assumptions!$E$12+nAmort)*nUtilCal/Assumptions!$E$9-nNetworking-nOverheadBase*(Assumptions!$E$11/nPowerCal)-nCodBase*(1+Assumptions!$E$10/12)</f>
        <v/>
      </c>
      <c r="D28" s="107">
        <f>nListPrice*(1-Assumptions!$F$8)-(nInference*Assumptions!$E$12+nAmort)*nUtilCal/Assumptions!$E$9-nNetworking-nOverheadBase*(Assumptions!$E$11/nPowerCal)-nCodBase*(1+Assumptions!$E$10/12)</f>
        <v/>
      </c>
      <c r="E28" s="94">
        <f>ABS(D28-C28)</f>
        <v/>
      </c>
      <c r="F28" s="1" t="n"/>
      <c r="G28" s="1" t="n"/>
      <c r="H28" s="1" t="n"/>
      <c r="I28" s="1" t="n"/>
      <c r="J28" s="1" t="n"/>
      <c r="K28" s="1" t="n"/>
      <c r="L28" s="1" t="n"/>
      <c r="M28" s="1" t="n"/>
      <c r="N28" s="1" t="n"/>
      <c r="O28" s="1" t="n"/>
      <c r="P28" s="1" t="n"/>
      <c r="Q28" s="1" t="n"/>
    </row>
    <row r="29">
      <c r="A29" s="1" t="n"/>
      <c r="B29" s="53" t="inlineStr">
        <is>
          <t>Utilization</t>
        </is>
      </c>
      <c r="C29" s="107">
        <f>nListPrice*(1-Assumptions!$E$8)-(nInference*Assumptions!$E$12+nAmort)*nUtilCal/Assumptions!$D$9-nNetworking-nOverheadBase*(Assumptions!$E$11/nPowerCal)-nCodBase*(1+Assumptions!$E$10/12)</f>
        <v/>
      </c>
      <c r="D29" s="107">
        <f>nListPrice*(1-Assumptions!$E$8)-(nInference*Assumptions!$E$12+nAmort)*nUtilCal/Assumptions!$F$9-nNetworking-nOverheadBase*(Assumptions!$E$11/nPowerCal)-nCodBase*(1+Assumptions!$E$10/12)</f>
        <v/>
      </c>
      <c r="E29" s="94">
        <f>ABS(D29-C29)</f>
        <v/>
      </c>
      <c r="F29" s="1" t="n"/>
      <c r="G29" s="1" t="n"/>
      <c r="H29" s="1" t="n"/>
      <c r="I29" s="1" t="n"/>
      <c r="J29" s="1" t="n"/>
      <c r="K29" s="1" t="n"/>
      <c r="L29" s="1" t="n"/>
      <c r="M29" s="1" t="n"/>
      <c r="N29" s="1" t="n"/>
      <c r="O29" s="1" t="n"/>
      <c r="P29" s="1" t="n"/>
      <c r="Q29" s="1" t="n"/>
    </row>
    <row r="30">
      <c r="A30" s="1" t="n"/>
      <c r="B30" s="53" t="inlineStr">
        <is>
          <t>Power price</t>
        </is>
      </c>
      <c r="C30" s="107">
        <f>nListPrice*(1-Assumptions!$E$8)-(nInference*Assumptions!$E$12+nAmort)*nUtilCal/Assumptions!$E$9-nNetworking-nOverheadBase*(Assumptions!$D$11/nPowerCal)-nCodBase*(1+Assumptions!$E$10/12)</f>
        <v/>
      </c>
      <c r="D30" s="107">
        <f>nListPrice*(1-Assumptions!$E$8)-(nInference*Assumptions!$E$12+nAmort)*nUtilCal/Assumptions!$E$9-nNetworking-nOverheadBase*(Assumptions!$F$11/nPowerCal)-nCodBase*(1+Assumptions!$E$10/12)</f>
        <v/>
      </c>
      <c r="E30" s="94">
        <f>ABS(D30-C30)</f>
        <v/>
      </c>
      <c r="F30" s="1" t="n"/>
      <c r="G30" s="1" t="n"/>
      <c r="H30" s="1" t="n"/>
      <c r="I30" s="1" t="n"/>
      <c r="J30" s="1" t="n"/>
      <c r="K30" s="1" t="n"/>
      <c r="L30" s="1" t="n"/>
      <c r="M30" s="1" t="n"/>
      <c r="N30" s="1" t="n"/>
      <c r="O30" s="1" t="n"/>
      <c r="P30" s="1" t="n"/>
      <c r="Q30" s="1" t="n"/>
    </row>
    <row r="31">
      <c r="A31" s="1" t="n"/>
      <c r="B31" s="53" t="inlineStr">
        <is>
          <t>GPU index</t>
        </is>
      </c>
      <c r="C31" s="107">
        <f>nListPrice*(1-Assumptions!$E$8)-(nInference*Assumptions!$D$12+nAmort)*nUtilCal/Assumptions!$E$9-nNetworking-nOverheadBase*(Assumptions!$E$11/nPowerCal)-nCodBase*(1+Assumptions!$E$10/12)</f>
        <v/>
      </c>
      <c r="D31" s="107">
        <f>nListPrice*(1-Assumptions!$E$8)-(nInference*Assumptions!$F$12+nAmort)*nUtilCal/Assumptions!$E$9-nNetworking-nOverheadBase*(Assumptions!$E$11/nPowerCal)-nCodBase*(1+Assumptions!$E$10/12)</f>
        <v/>
      </c>
      <c r="E31" s="94">
        <f>ABS(D31-C31)</f>
        <v/>
      </c>
      <c r="F31" s="1" t="n"/>
      <c r="G31" s="1" t="n"/>
      <c r="H31" s="1" t="n"/>
      <c r="I31" s="1" t="n"/>
      <c r="J31" s="1" t="n"/>
      <c r="K31" s="1" t="n"/>
      <c r="L31" s="1" t="n"/>
      <c r="M31" s="1" t="n"/>
      <c r="N31" s="1" t="n"/>
      <c r="O31" s="1" t="n"/>
      <c r="P31" s="1" t="n"/>
      <c r="Q31" s="1" t="n"/>
    </row>
    <row r="32">
      <c r="A32" s="1" t="n"/>
      <c r="B32" s="53" t="inlineStr">
        <is>
          <t>Delay</t>
        </is>
      </c>
      <c r="C32" s="107">
        <f>nListPrice*(1-Assumptions!$E$8)-(nInference*Assumptions!$E$12+nAmort)*nUtilCal/Assumptions!$E$9-nNetworking-nOverheadBase*(Assumptions!$E$11/nPowerCal)-nCodBase*(1+Assumptions!$D$10/12)</f>
        <v/>
      </c>
      <c r="D32" s="107">
        <f>nListPrice*(1-Assumptions!$E$8)-(nInference*Assumptions!$E$12+nAmort)*nUtilCal/Assumptions!$E$9-nNetworking-nOverheadBase*(Assumptions!$E$11/nPowerCal)-nCodBase*(1+Assumptions!$F$10/12)</f>
        <v/>
      </c>
      <c r="E32" s="94">
        <f>ABS(D32-C32)</f>
        <v/>
      </c>
      <c r="F32" s="1" t="n"/>
      <c r="G32" s="1" t="n"/>
      <c r="H32" s="1" t="n"/>
      <c r="I32" s="1" t="n"/>
      <c r="J32" s="1" t="n"/>
      <c r="K32" s="1" t="n"/>
      <c r="L32" s="1" t="n"/>
      <c r="M32" s="1" t="n"/>
      <c r="N32" s="1" t="n"/>
      <c r="O32" s="1" t="n"/>
      <c r="P32" s="1" t="n"/>
      <c r="Q32" s="1" t="n"/>
    </row>
    <row r="33">
      <c r="A33" s="1" t="n"/>
      <c r="B33" s="1" t="n"/>
      <c r="C33" s="1" t="n"/>
      <c r="D33" s="1" t="n"/>
      <c r="E33" s="1" t="n"/>
      <c r="F33" s="1" t="n"/>
      <c r="G33" s="1" t="n"/>
      <c r="H33" s="1" t="n"/>
      <c r="I33" s="1" t="n"/>
      <c r="J33" s="1" t="n"/>
      <c r="K33" s="1" t="n"/>
      <c r="L33" s="1" t="n"/>
      <c r="M33" s="1" t="n"/>
      <c r="N33" s="1" t="n"/>
      <c r="O33" s="1" t="n"/>
      <c r="P33" s="1" t="n"/>
      <c r="Q33" s="1" t="n"/>
    </row>
    <row r="34">
      <c r="A34" s="1" t="n"/>
      <c r="B34" s="1" t="n"/>
      <c r="C34" s="1" t="n"/>
      <c r="D34" s="1" t="n"/>
      <c r="E34" s="1" t="n"/>
      <c r="F34" s="1" t="n"/>
      <c r="G34" s="1" t="n"/>
      <c r="H34" s="1" t="n"/>
      <c r="I34" s="1" t="n"/>
      <c r="J34" s="1" t="n"/>
      <c r="K34" s="1" t="n"/>
      <c r="L34" s="1" t="n"/>
      <c r="M34" s="1" t="n"/>
      <c r="N34" s="1" t="n"/>
      <c r="O34" s="1" t="n"/>
      <c r="P34" s="1" t="n"/>
      <c r="Q34" s="1" t="n"/>
    </row>
    <row r="35">
      <c r="A35" s="1" t="n"/>
      <c r="B35" s="1" t="n"/>
      <c r="C35" s="1" t="n"/>
      <c r="D35" s="1" t="n"/>
      <c r="E35" s="1" t="n"/>
      <c r="F35" s="1" t="n"/>
      <c r="G35" s="1" t="n"/>
      <c r="H35" s="1" t="n"/>
      <c r="I35" s="1" t="n"/>
      <c r="J35" s="1" t="n"/>
      <c r="K35" s="1" t="n"/>
      <c r="L35" s="1" t="n"/>
      <c r="M35" s="1" t="n"/>
      <c r="N35" s="1" t="n"/>
      <c r="O35" s="1" t="n"/>
      <c r="P35" s="1" t="n"/>
      <c r="Q35" s="1" t="n"/>
    </row>
    <row r="36">
      <c r="A36" s="1" t="n"/>
      <c r="B36" s="1" t="n"/>
      <c r="C36" s="1" t="n"/>
      <c r="D36" s="1" t="n"/>
      <c r="E36" s="1" t="n"/>
      <c r="F36" s="1" t="n"/>
      <c r="G36" s="1" t="n"/>
      <c r="H36" s="1" t="n"/>
      <c r="I36" s="1" t="n"/>
      <c r="J36" s="1" t="n"/>
      <c r="K36" s="1" t="n"/>
      <c r="L36" s="1" t="n"/>
      <c r="M36" s="1" t="n"/>
      <c r="N36" s="1" t="n"/>
      <c r="O36" s="1" t="n"/>
      <c r="P36" s="1" t="n"/>
      <c r="Q36" s="1" t="n"/>
    </row>
    <row r="37">
      <c r="A37" s="1" t="n"/>
      <c r="B37" s="1" t="n"/>
      <c r="C37" s="1" t="n"/>
      <c r="D37" s="1" t="n"/>
      <c r="E37" s="1" t="n"/>
      <c r="F37" s="1" t="n"/>
      <c r="G37" s="1" t="n"/>
      <c r="H37" s="1" t="n"/>
      <c r="I37" s="1" t="n"/>
      <c r="J37" s="1" t="n"/>
      <c r="K37" s="1" t="n"/>
      <c r="L37" s="1" t="n"/>
      <c r="M37" s="1" t="n"/>
      <c r="N37" s="1" t="n"/>
      <c r="O37" s="1" t="n"/>
      <c r="P37" s="1" t="n"/>
      <c r="Q37" s="1" t="n"/>
    </row>
    <row r="38">
      <c r="A38" s="1" t="n"/>
      <c r="B38" s="1" t="n"/>
      <c r="C38" s="1" t="n"/>
      <c r="D38" s="1" t="n"/>
      <c r="E38" s="1" t="n"/>
      <c r="F38" s="1" t="n"/>
      <c r="G38" s="1" t="n"/>
      <c r="H38" s="1" t="n"/>
      <c r="I38" s="1" t="n"/>
      <c r="J38" s="1" t="n"/>
      <c r="K38" s="1" t="n"/>
      <c r="L38" s="1" t="n"/>
      <c r="M38" s="1" t="n"/>
      <c r="N38" s="1" t="n"/>
      <c r="O38" s="1" t="n"/>
      <c r="P38" s="1" t="n"/>
      <c r="Q38" s="1" t="n"/>
    </row>
    <row r="39">
      <c r="A39" s="1" t="n"/>
      <c r="B39" s="1" t="n"/>
      <c r="C39" s="1" t="n"/>
      <c r="D39" s="1" t="n"/>
      <c r="E39" s="1" t="n"/>
      <c r="F39" s="1" t="n"/>
      <c r="G39" s="1" t="n"/>
      <c r="H39" s="1" t="n"/>
      <c r="I39" s="1" t="n"/>
      <c r="J39" s="1" t="n"/>
      <c r="K39" s="1" t="n"/>
      <c r="L39" s="1" t="n"/>
      <c r="M39" s="1" t="n"/>
      <c r="N39" s="1" t="n"/>
      <c r="O39" s="1" t="n"/>
      <c r="P39" s="1" t="n"/>
      <c r="Q39" s="1" t="n"/>
    </row>
    <row r="40">
      <c r="A40" s="1" t="n"/>
      <c r="B40" s="1" t="n"/>
      <c r="C40" s="1" t="n"/>
      <c r="D40" s="1" t="n"/>
      <c r="E40" s="1" t="n"/>
      <c r="F40" s="1" t="n"/>
      <c r="G40" s="1" t="n"/>
      <c r="H40" s="1" t="n"/>
      <c r="I40" s="1" t="n"/>
      <c r="J40" s="1" t="n"/>
      <c r="K40" s="1" t="n"/>
      <c r="L40" s="1" t="n"/>
      <c r="M40" s="1" t="n"/>
      <c r="N40" s="1" t="n"/>
      <c r="O40" s="1" t="n"/>
      <c r="P40" s="1" t="n"/>
      <c r="Q40" s="1" t="n"/>
    </row>
    <row r="41">
      <c r="A41" s="1" t="n"/>
      <c r="B41" s="1" t="n"/>
      <c r="C41" s="1" t="n"/>
      <c r="D41" s="1" t="n"/>
      <c r="E41" s="1" t="n"/>
      <c r="F41" s="1" t="n"/>
      <c r="G41" s="1" t="n"/>
      <c r="H41" s="1" t="n"/>
      <c r="I41" s="1" t="n"/>
      <c r="J41" s="1" t="n"/>
      <c r="K41" s="1" t="n"/>
      <c r="L41" s="1" t="n"/>
      <c r="M41" s="1" t="n"/>
      <c r="N41" s="1" t="n"/>
      <c r="O41" s="1" t="n"/>
      <c r="P41" s="1" t="n"/>
      <c r="Q41" s="1" t="n"/>
    </row>
    <row r="42">
      <c r="A42" s="1" t="n"/>
      <c r="B42" s="1" t="n"/>
      <c r="C42" s="1" t="n"/>
      <c r="D42" s="1" t="n"/>
      <c r="E42" s="1" t="n"/>
      <c r="F42" s="1" t="n"/>
      <c r="G42" s="1" t="n"/>
      <c r="H42" s="1" t="n"/>
      <c r="I42" s="1" t="n"/>
      <c r="J42" s="1" t="n"/>
      <c r="K42" s="1" t="n"/>
      <c r="L42" s="1" t="n"/>
      <c r="M42" s="1" t="n"/>
      <c r="N42" s="1" t="n"/>
      <c r="O42" s="1" t="n"/>
      <c r="P42" s="1" t="n"/>
      <c r="Q42" s="1" t="n"/>
    </row>
    <row r="43">
      <c r="A43" s="1" t="n"/>
      <c r="B43" s="1" t="n"/>
      <c r="C43" s="1" t="n"/>
      <c r="D43" s="1" t="n"/>
      <c r="E43" s="1" t="n"/>
      <c r="F43" s="1" t="n"/>
      <c r="G43" s="1" t="n"/>
      <c r="H43" s="1" t="n"/>
      <c r="I43" s="1" t="n"/>
      <c r="J43" s="1" t="n"/>
      <c r="K43" s="1" t="n"/>
      <c r="L43" s="1" t="n"/>
      <c r="M43" s="1" t="n"/>
      <c r="N43" s="1" t="n"/>
      <c r="O43" s="1" t="n"/>
      <c r="P43" s="1" t="n"/>
      <c r="Q43" s="1" t="n"/>
    </row>
    <row r="44">
      <c r="A44" s="1" t="n"/>
      <c r="B44" s="1" t="n"/>
      <c r="C44" s="1" t="n"/>
      <c r="D44" s="1" t="n"/>
      <c r="E44" s="1" t="n"/>
      <c r="F44" s="1" t="n"/>
      <c r="G44" s="1" t="n"/>
      <c r="H44" s="1" t="n"/>
      <c r="I44" s="1" t="n"/>
      <c r="J44" s="1" t="n"/>
      <c r="K44" s="1" t="n"/>
      <c r="L44" s="1" t="n"/>
      <c r="M44" s="1" t="n"/>
      <c r="N44" s="1" t="n"/>
      <c r="O44" s="1" t="n"/>
      <c r="P44" s="1" t="n"/>
      <c r="Q44" s="1" t="n"/>
    </row>
  </sheetData>
  <conditionalFormatting sqref="D9:J13">
    <cfRule type="colorScale" priority="1">
      <colorScale>
        <cfvo type="num" val="-1"/>
        <cfvo type="num" val="0"/>
        <cfvo type="num" val="2"/>
        <color rgb="00C6613F"/>
        <color rgb="00F0EEE6"/>
        <color rgb="00ADD6C8"/>
      </colorScale>
    </cfRule>
  </conditionalFormatting>
  <conditionalFormatting sqref="D19:H23">
    <cfRule type="colorScale" priority="2">
      <colorScale>
        <cfvo type="num" val="-1.5"/>
        <cfvo type="num" val="-0.5"/>
        <cfvo type="num" val="0"/>
        <color rgb="00C6613F"/>
        <color rgb="00F0EEE6"/>
        <color rgb="00ADD6C8"/>
      </colorScale>
    </cfRule>
  </conditionalFormatting>
  <pageMargins left="0.4" right="0.4" top="0.5" bottom="0.5" header="0.3" footer="0.3"/>
  <pageSetup orientation="landscape" fitToHeight="0" fitToWidth="1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tabColor rgb="00C6613F"/>
    <outlinePr summaryBelow="1" summaryRight="1"/>
    <pageSetUpPr fitToPage="1"/>
  </sheetPr>
  <dimension ref="A1:W55"/>
  <sheetViews>
    <sheetView showGridLines="0" workbookViewId="0">
      <selection activeCell="A1" sqref="A1"/>
    </sheetView>
  </sheetViews>
  <sheetFormatPr baseColWidth="8" defaultRowHeight="15"/>
  <cols>
    <col width="2.5" customWidth="1" min="1" max="1"/>
    <col width="38" customWidth="1" min="2" max="2"/>
    <col width="22" customWidth="1" min="3" max="3"/>
    <col width="4" customWidth="1" min="4" max="4"/>
    <col width="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</cols>
  <sheetData>
    <row r="1" ht="9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</row>
    <row r="2" ht="22" customHeight="1">
      <c r="A2" s="1" t="n"/>
      <c r="B2" s="17" t="inlineStr">
        <is>
          <t>Compute Capital Stack</t>
        </is>
      </c>
      <c r="C2" s="18" t="n"/>
      <c r="D2" s="18" t="n"/>
      <c r="E2" s="18" t="n"/>
      <c r="F2" s="18" t="n"/>
      <c r="G2" s="18" t="n"/>
      <c r="H2" s="18" t="n"/>
      <c r="I2" s="18" t="n"/>
      <c r="J2" s="18" t="n"/>
      <c r="K2" s="18" t="n"/>
      <c r="L2" s="18" t="n"/>
      <c r="M2" s="18" t="n"/>
      <c r="N2" s="18" t="n"/>
      <c r="O2" s="18" t="n"/>
      <c r="P2" s="18" t="n"/>
      <c r="Q2" s="18" t="n"/>
      <c r="R2" s="1" t="n"/>
      <c r="S2" s="1" t="n"/>
      <c r="T2" s="1" t="n"/>
      <c r="U2" s="1" t="n"/>
      <c r="V2" s="1" t="n"/>
      <c r="W2" s="1" t="n"/>
    </row>
    <row r="3">
      <c r="A3" s="1" t="n"/>
      <c r="B3" s="19" t="inlineStr">
        <is>
          <t>The active scenario selects the demand path, power mix, procurement carry, and decision trigger.</t>
        </is>
      </c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  <c r="M3" s="1" t="n"/>
      <c r="N3" s="1" t="n"/>
      <c r="O3" s="1" t="n"/>
      <c r="P3" s="1" t="n"/>
      <c r="Q3" s="1" t="n"/>
      <c r="R3" s="1" t="n"/>
      <c r="S3" s="1" t="n"/>
      <c r="T3" s="1" t="n"/>
      <c r="U3" s="1" t="n"/>
      <c r="V3" s="1" t="n"/>
      <c r="W3" s="1" t="n"/>
    </row>
    <row r="4" ht="6" customHeight="1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  <c r="K4" s="1" t="n"/>
      <c r="L4" s="1" t="n"/>
      <c r="M4" s="1" t="n"/>
      <c r="N4" s="1" t="n"/>
      <c r="O4" s="1" t="n"/>
      <c r="P4" s="1" t="n"/>
      <c r="Q4" s="1" t="n"/>
      <c r="R4" s="1" t="n"/>
      <c r="S4" s="1" t="n"/>
      <c r="T4" s="1" t="n"/>
      <c r="U4" s="1" t="n"/>
      <c r="V4" s="1" t="n"/>
      <c r="W4" s="1" t="n"/>
    </row>
    <row r="5">
      <c r="A5" s="1" t="n"/>
      <c r="B5" s="1" t="n"/>
      <c r="C5" s="1" t="n"/>
      <c r="D5" s="1" t="n"/>
      <c r="E5" s="1" t="n"/>
      <c r="F5" s="1" t="n"/>
      <c r="G5" s="1" t="n"/>
      <c r="H5" s="1" t="n"/>
      <c r="I5" s="1" t="n"/>
      <c r="J5" s="1" t="n"/>
      <c r="K5" s="1" t="n"/>
      <c r="L5" s="1" t="n"/>
      <c r="M5" s="1" t="n"/>
      <c r="N5" s="1" t="n"/>
      <c r="O5" s="1" t="n"/>
      <c r="P5" s="1" t="n"/>
      <c r="Q5" s="1" t="n"/>
      <c r="R5" s="1" t="n"/>
      <c r="S5" s="1" t="n"/>
      <c r="T5" s="1" t="n"/>
      <c r="U5" s="1" t="n"/>
      <c r="V5" s="1" t="n"/>
      <c r="W5" s="1" t="n"/>
    </row>
    <row r="6">
      <c r="A6" s="1" t="n"/>
      <c r="B6" s="20" t="inlineStr">
        <is>
          <t>Scenario</t>
        </is>
      </c>
      <c r="C6" s="21" t="inlineStr">
        <is>
          <t>Base</t>
        </is>
      </c>
      <c r="D6" s="1" t="n"/>
      <c r="E6" s="1" t="n"/>
      <c r="F6" s="1" t="n"/>
      <c r="G6" s="1" t="n"/>
      <c r="H6" s="1" t="n"/>
      <c r="I6" s="1" t="n"/>
      <c r="J6" s="1" t="n"/>
      <c r="K6" s="1" t="n"/>
      <c r="L6" s="1" t="n"/>
      <c r="M6" s="1" t="n"/>
      <c r="N6" s="1" t="n"/>
      <c r="O6" s="1" t="n"/>
      <c r="P6" s="1" t="n"/>
      <c r="Q6" s="1" t="n"/>
      <c r="R6" s="1" t="n"/>
      <c r="S6" s="1" t="n"/>
      <c r="T6" s="1" t="n"/>
      <c r="U6" s="1" t="n"/>
      <c r="V6" s="1" t="n"/>
      <c r="W6" s="1" t="n"/>
    </row>
    <row r="7">
      <c r="A7" s="1" t="n"/>
      <c r="B7" s="1" t="n"/>
      <c r="C7" s="1" t="n"/>
      <c r="D7" s="1" t="n"/>
      <c r="E7" s="1" t="n"/>
      <c r="F7" s="1" t="n"/>
      <c r="G7" s="1" t="n"/>
      <c r="H7" s="1" t="n"/>
      <c r="I7" s="1" t="n"/>
      <c r="J7" s="1" t="n"/>
      <c r="K7" s="1" t="n"/>
      <c r="L7" s="1" t="n"/>
      <c r="M7" s="1" t="n"/>
      <c r="N7" s="1" t="n"/>
      <c r="O7" s="1" t="n"/>
      <c r="P7" s="1" t="n"/>
      <c r="Q7" s="1" t="n"/>
      <c r="R7" s="1" t="n"/>
      <c r="S7" s="1" t="n"/>
      <c r="T7" s="1" t="n"/>
      <c r="U7" s="1" t="n"/>
      <c r="V7" s="1" t="n"/>
      <c r="W7" s="1" t="n"/>
    </row>
    <row r="8" ht="17" customHeight="1">
      <c r="A8" s="1" t="n"/>
      <c r="B8" s="22" t="inlineStr">
        <is>
          <t>A capped portfolio beats a single winner</t>
        </is>
      </c>
      <c r="C8" s="23" t="n"/>
      <c r="D8" s="1" t="n"/>
      <c r="E8" s="1" t="n"/>
      <c r="F8" s="1" t="n"/>
      <c r="G8" s="1" t="n"/>
      <c r="H8" s="1" t="n"/>
      <c r="I8" s="1" t="n"/>
      <c r="J8" s="1" t="n"/>
      <c r="K8" s="1" t="n"/>
      <c r="L8" s="1" t="n"/>
      <c r="M8" s="1" t="n"/>
      <c r="N8" s="1" t="n"/>
      <c r="O8" s="1" t="n"/>
      <c r="P8" s="1" t="n"/>
      <c r="Q8" s="1" t="n"/>
      <c r="R8" s="1" t="n"/>
      <c r="S8" s="1" t="n"/>
      <c r="T8" s="1" t="n"/>
      <c r="U8" s="1" t="n"/>
      <c r="V8" s="1" t="n"/>
      <c r="W8" s="1" t="n"/>
    </row>
    <row r="9">
      <c r="A9" s="1" t="n"/>
      <c r="B9" s="20" t="inlineStr">
        <is>
          <t>Deliverable portfolio saves vs all-residual, NPV FY26-40</t>
        </is>
      </c>
      <c r="C9" s="24">
        <f>PortNpv</f>
        <v/>
      </c>
      <c r="D9" s="1" t="n"/>
      <c r="E9" s="1" t="n"/>
      <c r="F9" s="1" t="n"/>
      <c r="G9" s="1" t="n"/>
      <c r="H9" s="1" t="n"/>
      <c r="I9" s="1" t="n"/>
      <c r="J9" s="1" t="n"/>
      <c r="K9" s="1" t="n"/>
      <c r="L9" s="1" t="n"/>
      <c r="M9" s="1" t="n"/>
      <c r="N9" s="1" t="n"/>
      <c r="O9" s="1" t="n"/>
      <c r="P9" s="1" t="n"/>
      <c r="Q9" s="1" t="n"/>
      <c r="R9" s="1" t="n"/>
      <c r="S9" s="1" t="n"/>
      <c r="T9" s="1" t="n"/>
      <c r="U9" s="1" t="n"/>
      <c r="V9" s="1" t="n"/>
      <c r="W9" s="1" t="n"/>
    </row>
    <row r="10">
      <c r="A10" s="1" t="n"/>
      <c r="B10" s="20" t="inlineStr">
        <is>
          <t>Residual utilization the caps leave in the mix, FY2034</t>
        </is>
      </c>
      <c r="C10" s="25">
        <f>PortResidualUtil2034</f>
        <v/>
      </c>
      <c r="D10" s="1" t="n"/>
      <c r="E10" s="1" t="n"/>
      <c r="F10" s="1" t="n"/>
      <c r="G10" s="1" t="n"/>
      <c r="H10" s="1" t="n"/>
      <c r="I10" s="1" t="n"/>
      <c r="J10" s="1" t="n"/>
      <c r="K10" s="1" t="n"/>
      <c r="L10" s="1" t="n"/>
      <c r="M10" s="1" t="n"/>
      <c r="N10" s="1" t="n"/>
      <c r="O10" s="1" t="n"/>
      <c r="P10" s="1" t="n"/>
      <c r="Q10" s="1" t="n"/>
      <c r="R10" s="1" t="n"/>
      <c r="S10" s="1" t="n"/>
      <c r="T10" s="1" t="n"/>
      <c r="U10" s="1" t="n"/>
      <c r="V10" s="1" t="n"/>
      <c r="W10" s="1" t="n"/>
    </row>
    <row r="11">
      <c r="A11" s="1" t="n"/>
      <c r="B11" s="20" t="inlineStr">
        <is>
          <t>Deliverability premium in the stated mix (NPV)</t>
        </is>
      </c>
      <c r="C11" s="24">
        <f>NpvSavings-PortNpv</f>
        <v/>
      </c>
      <c r="D11" s="1" t="n"/>
      <c r="E11" s="1" t="n"/>
      <c r="F11" s="1" t="n"/>
      <c r="G11" s="1" t="n"/>
      <c r="H11" s="1" t="n"/>
      <c r="I11" s="1" t="n"/>
      <c r="J11" s="1" t="n"/>
      <c r="K11" s="1" t="n"/>
      <c r="L11" s="1" t="n"/>
      <c r="M11" s="1" t="n"/>
      <c r="N11" s="1" t="n"/>
      <c r="O11" s="1" t="n"/>
      <c r="P11" s="1" t="n"/>
      <c r="Q11" s="1" t="n"/>
      <c r="R11" s="1" t="n"/>
      <c r="S11" s="1" t="n"/>
      <c r="T11" s="1" t="n"/>
      <c r="U11" s="1" t="n"/>
      <c r="V11" s="1" t="n"/>
      <c r="W11" s="1" t="n"/>
    </row>
    <row r="12">
      <c r="A12" s="1" t="n"/>
      <c r="B12" s="20" t="inlineStr">
        <is>
          <t>N-SMR units required by FY2040 (stated mix)</t>
        </is>
      </c>
      <c r="C12" s="26">
        <f>NsmrUnits2040</f>
        <v/>
      </c>
      <c r="D12" s="1" t="n"/>
      <c r="E12" s="1" t="n"/>
      <c r="F12" s="1" t="n"/>
      <c r="G12" s="1" t="n"/>
      <c r="H12" s="1" t="n"/>
      <c r="I12" s="1" t="n"/>
      <c r="J12" s="1" t="n"/>
      <c r="K12" s="1" t="n"/>
      <c r="L12" s="1" t="n"/>
      <c r="M12" s="1" t="n"/>
      <c r="N12" s="1" t="n"/>
      <c r="O12" s="1" t="n"/>
      <c r="P12" s="1" t="n"/>
      <c r="Q12" s="1" t="n"/>
      <c r="R12" s="1" t="n"/>
      <c r="S12" s="1" t="n"/>
      <c r="T12" s="1" t="n"/>
      <c r="U12" s="1" t="n"/>
      <c r="V12" s="1" t="n"/>
      <c r="W12" s="1" t="n"/>
    </row>
    <row r="13">
      <c r="A13" s="1" t="n"/>
      <c r="B13" s="20" t="inlineStr">
        <is>
          <t>Probability the stack is underwater (MC)</t>
        </is>
      </c>
      <c r="C13" s="27">
        <f>PUnderwater</f>
        <v/>
      </c>
      <c r="D13" s="1" t="n"/>
      <c r="E13" s="1" t="n"/>
      <c r="F13" s="1" t="n"/>
      <c r="G13" s="1" t="n"/>
      <c r="H13" s="1" t="n"/>
      <c r="I13" s="1" t="n"/>
      <c r="J13" s="1" t="n"/>
      <c r="K13" s="1" t="n"/>
      <c r="L13" s="1" t="n"/>
      <c r="M13" s="1" t="n"/>
      <c r="N13" s="1" t="n"/>
      <c r="O13" s="1" t="n"/>
      <c r="P13" s="1" t="n"/>
      <c r="Q13" s="1" t="n"/>
      <c r="R13" s="1" t="n"/>
      <c r="S13" s="1" t="n"/>
      <c r="T13" s="1" t="n"/>
      <c r="U13" s="1" t="n"/>
      <c r="V13" s="1" t="n"/>
      <c r="W13" s="1" t="n"/>
    </row>
    <row r="14" ht="44" customHeight="1">
      <c r="A14" s="1" t="n"/>
      <c r="B14" s="28" t="inlineStr">
        <is>
          <t>Capped sources fill first, and residual grid-blended capacity reprices with utilization. The deliverability premium is the budget for raising caps; in Bear, it becomes the hedge value of the power position.</t>
        </is>
      </c>
      <c r="C14" s="1" t="n"/>
      <c r="D14" s="1" t="n"/>
      <c r="E14" s="1" t="n"/>
      <c r="F14" s="1" t="n"/>
      <c r="G14" s="1" t="n"/>
      <c r="H14" s="1" t="n"/>
      <c r="I14" s="1" t="n"/>
      <c r="J14" s="1" t="n"/>
      <c r="K14" s="1" t="n"/>
      <c r="L14" s="1" t="n"/>
      <c r="M14" s="1" t="n"/>
      <c r="N14" s="1" t="n"/>
      <c r="O14" s="1" t="n"/>
      <c r="P14" s="1" t="n"/>
      <c r="Q14" s="1" t="n"/>
      <c r="R14" s="1" t="n"/>
      <c r="S14" s="1" t="n"/>
      <c r="T14" s="1" t="n"/>
      <c r="U14" s="1" t="n"/>
      <c r="V14" s="1" t="n"/>
      <c r="W14" s="1" t="n"/>
    </row>
    <row r="15">
      <c r="A15" s="1" t="n"/>
      <c r="B15" s="1" t="n"/>
      <c r="C15" s="1" t="n"/>
      <c r="D15" s="1" t="n"/>
      <c r="E15" s="1" t="n"/>
      <c r="F15" s="1" t="n"/>
      <c r="G15" s="1" t="n"/>
      <c r="H15" s="1" t="n"/>
      <c r="I15" s="1" t="n"/>
      <c r="J15" s="1" t="n"/>
      <c r="K15" s="1" t="n"/>
      <c r="L15" s="1" t="n"/>
      <c r="M15" s="1" t="n"/>
      <c r="N15" s="1" t="n"/>
      <c r="O15" s="1" t="n"/>
      <c r="P15" s="1" t="n"/>
      <c r="Q15" s="1" t="n"/>
      <c r="R15" s="1" t="n"/>
      <c r="S15" s="1" t="n"/>
      <c r="T15" s="1" t="n"/>
      <c r="U15" s="1" t="n"/>
      <c r="V15" s="1" t="n"/>
      <c r="W15" s="1" t="n"/>
    </row>
    <row r="16" ht="17" customHeight="1">
      <c r="A16" s="1" t="n"/>
      <c r="B16" s="22" t="inlineStr">
        <is>
          <t>Deliverability turns megawatts into capacity</t>
        </is>
      </c>
      <c r="C16" s="23" t="n"/>
      <c r="D16" s="1" t="n"/>
      <c r="E16" s="1" t="n"/>
      <c r="F16" s="1" t="n"/>
      <c r="G16" s="1" t="n"/>
      <c r="H16" s="1" t="n"/>
      <c r="I16" s="1" t="n"/>
      <c r="J16" s="1" t="n"/>
      <c r="K16" s="1" t="n"/>
      <c r="L16" s="1" t="n"/>
      <c r="M16" s="1" t="n"/>
      <c r="N16" s="1" t="n"/>
      <c r="O16" s="1" t="n"/>
      <c r="P16" s="1" t="n"/>
      <c r="Q16" s="1" t="n"/>
      <c r="R16" s="1" t="n"/>
      <c r="S16" s="1" t="n"/>
      <c r="T16" s="1" t="n"/>
      <c r="U16" s="1" t="n"/>
      <c r="V16" s="1" t="n"/>
      <c r="W16" s="1" t="n"/>
    </row>
    <row r="17">
      <c r="A17" s="1" t="n"/>
      <c r="B17" s="29" t="inlineStr">
        <is>
          <t>Realized queue conversion</t>
        </is>
      </c>
      <c r="C17" s="30">
        <f>QueueConversion</f>
        <v/>
      </c>
      <c r="D17" s="1" t="n"/>
      <c r="E17" s="1" t="n"/>
      <c r="F17" s="1" t="n"/>
      <c r="G17" s="1" t="n"/>
      <c r="H17" s="1" t="n"/>
      <c r="I17" s="1" t="n"/>
      <c r="J17" s="1" t="n"/>
      <c r="K17" s="1" t="n"/>
      <c r="L17" s="1" t="n"/>
      <c r="M17" s="1" t="n"/>
      <c r="N17" s="1" t="n"/>
      <c r="O17" s="1" t="n"/>
      <c r="P17" s="1" t="n"/>
      <c r="Q17" s="1" t="n"/>
      <c r="R17" s="1" t="n"/>
      <c r="S17" s="1" t="n"/>
      <c r="T17" s="1" t="n"/>
      <c r="U17" s="1" t="n"/>
      <c r="V17" s="1" t="n"/>
      <c r="W17" s="1" t="n"/>
    </row>
    <row r="18">
      <c r="A18" s="1" t="n"/>
      <c r="B18" s="29" t="inlineStr">
        <is>
          <t>ERCOT approved-to-energize</t>
        </is>
      </c>
      <c r="C18" s="30">
        <f>ErcotShare</f>
        <v/>
      </c>
      <c r="D18" s="1" t="n"/>
      <c r="E18" s="1" t="n"/>
      <c r="F18" s="1" t="n"/>
      <c r="G18" s="1" t="n"/>
      <c r="H18" s="1" t="n"/>
      <c r="I18" s="1" t="n"/>
      <c r="J18" s="1" t="n"/>
      <c r="K18" s="1" t="n"/>
      <c r="L18" s="1" t="n"/>
      <c r="M18" s="1" t="n"/>
      <c r="N18" s="1" t="n"/>
      <c r="O18" s="1" t="n"/>
      <c r="P18" s="1" t="n"/>
      <c r="Q18" s="1" t="n"/>
      <c r="R18" s="1" t="n"/>
      <c r="S18" s="1" t="n"/>
      <c r="T18" s="1" t="n"/>
      <c r="U18" s="1" t="n"/>
      <c r="V18" s="1" t="n"/>
      <c r="W18" s="1" t="n"/>
    </row>
    <row r="19">
      <c r="A19" s="1" t="n"/>
      <c r="B19" s="29" t="inlineStr">
        <is>
          <t>CoreWeave contracted, not powered (MW)</t>
        </is>
      </c>
      <c r="C19" s="31">
        <f>CrwvGapMW</f>
        <v/>
      </c>
      <c r="D19" s="1" t="n"/>
      <c r="E19" s="1" t="n"/>
      <c r="F19" s="1" t="n"/>
      <c r="G19" s="1" t="n"/>
      <c r="H19" s="1" t="n"/>
      <c r="I19" s="1" t="n"/>
      <c r="J19" s="1" t="n"/>
      <c r="K19" s="1" t="n"/>
      <c r="L19" s="1" t="n"/>
      <c r="M19" s="1" t="n"/>
      <c r="N19" s="1" t="n"/>
      <c r="O19" s="1" t="n"/>
      <c r="P19" s="1" t="n"/>
      <c r="Q19" s="1" t="n"/>
      <c r="R19" s="1" t="n"/>
      <c r="S19" s="1" t="n"/>
      <c r="T19" s="1" t="n"/>
      <c r="U19" s="1" t="n"/>
      <c r="V19" s="1" t="n"/>
      <c r="W19" s="1" t="n"/>
    </row>
    <row r="20">
      <c r="A20" s="1" t="n"/>
      <c r="B20" s="29" t="inlineStr">
        <is>
          <t>Talen carry, cumulative FY2042 ($M)</t>
        </is>
      </c>
      <c r="C20" s="32">
        <f>CarryCumY18</f>
        <v/>
      </c>
      <c r="D20" s="1" t="n"/>
      <c r="E20" s="1" t="n"/>
      <c r="F20" s="1" t="n"/>
      <c r="G20" s="1" t="n"/>
      <c r="H20" s="1" t="n"/>
      <c r="I20" s="1" t="n"/>
      <c r="J20" s="1" t="n"/>
      <c r="K20" s="1" t="n"/>
      <c r="L20" s="1" t="n"/>
      <c r="M20" s="1" t="n"/>
      <c r="N20" s="1" t="n"/>
      <c r="O20" s="1" t="n"/>
      <c r="P20" s="1" t="n"/>
      <c r="Q20" s="1" t="n"/>
      <c r="R20" s="1" t="n"/>
      <c r="S20" s="1" t="n"/>
      <c r="T20" s="1" t="n"/>
      <c r="U20" s="1" t="n"/>
      <c r="V20" s="1" t="n"/>
      <c r="W20" s="1" t="n"/>
    </row>
    <row r="21">
      <c r="A21" s="1" t="n"/>
      <c r="B21" s="29" t="inlineStr">
        <is>
          <t>PJM capacity-rate escalation</t>
        </is>
      </c>
      <c r="C21" s="30">
        <f>CapEscalation</f>
        <v/>
      </c>
      <c r="D21" s="1" t="n"/>
      <c r="E21" s="1" t="n"/>
      <c r="F21" s="1" t="n"/>
      <c r="G21" s="1" t="n"/>
      <c r="H21" s="1" t="n"/>
      <c r="I21" s="1" t="n"/>
      <c r="J21" s="1" t="n"/>
      <c r="K21" s="1" t="n"/>
      <c r="L21" s="1" t="n"/>
      <c r="M21" s="1" t="n"/>
      <c r="N21" s="1" t="n"/>
      <c r="O21" s="1" t="n"/>
      <c r="P21" s="1" t="n"/>
      <c r="Q21" s="1" t="n"/>
      <c r="R21" s="1" t="n"/>
      <c r="S21" s="1" t="n"/>
      <c r="T21" s="1" t="n"/>
      <c r="U21" s="1" t="n"/>
      <c r="V21" s="1" t="n"/>
      <c r="W21" s="1" t="n"/>
    </row>
    <row r="22">
      <c r="A22" s="1" t="n"/>
      <c r="B22" s="1" t="n"/>
      <c r="C22" s="1" t="n"/>
      <c r="D22" s="1" t="n"/>
      <c r="E22" s="1" t="n"/>
      <c r="F22" s="1" t="n"/>
      <c r="G22" s="1" t="n"/>
      <c r="H22" s="1" t="n"/>
      <c r="I22" s="1" t="n"/>
      <c r="J22" s="1" t="n"/>
      <c r="K22" s="1" t="n"/>
      <c r="L22" s="1" t="n"/>
      <c r="M22" s="1" t="n"/>
      <c r="N22" s="1" t="n"/>
      <c r="O22" s="1" t="n"/>
      <c r="P22" s="1" t="n"/>
      <c r="Q22" s="1" t="n"/>
      <c r="R22" s="1" t="n"/>
      <c r="S22" s="1" t="n"/>
      <c r="T22" s="1" t="n"/>
      <c r="U22" s="1" t="n"/>
      <c r="V22" s="1" t="n"/>
      <c r="W22" s="1" t="n"/>
    </row>
    <row r="23" ht="17" customHeight="1">
      <c r="A23" s="1" t="n"/>
      <c r="B23" s="22" t="inlineStr">
        <is>
          <t>Cost of intelligence</t>
        </is>
      </c>
      <c r="C23" s="23" t="n"/>
      <c r="D23" s="1" t="n"/>
      <c r="E23" s="1" t="n"/>
      <c r="F23" s="1" t="n"/>
      <c r="G23" s="1" t="n"/>
      <c r="H23" s="1" t="n"/>
      <c r="I23" s="1" t="n"/>
      <c r="J23" s="1" t="n"/>
      <c r="K23" s="1" t="n"/>
      <c r="L23" s="1" t="n"/>
      <c r="M23" s="1" t="n"/>
      <c r="N23" s="1" t="n"/>
      <c r="O23" s="1" t="n"/>
      <c r="P23" s="1" t="n"/>
      <c r="Q23" s="1" t="n"/>
      <c r="R23" s="1" t="n"/>
      <c r="S23" s="1" t="n"/>
      <c r="T23" s="1" t="n"/>
      <c r="U23" s="1" t="n"/>
      <c r="V23" s="1" t="n"/>
      <c r="W23" s="1" t="n"/>
    </row>
    <row r="24">
      <c r="A24" s="1" t="n"/>
      <c r="B24" s="29" t="inlineStr">
        <is>
          <t>Scenario revenue ($/MTok)</t>
        </is>
      </c>
      <c r="C24" s="33">
        <f>CoiRevenue</f>
        <v/>
      </c>
      <c r="D24" s="1" t="n"/>
      <c r="E24" s="1" t="n"/>
      <c r="F24" s="1" t="n"/>
      <c r="G24" s="1" t="n"/>
      <c r="H24" s="1" t="n"/>
      <c r="I24" s="1" t="n"/>
      <c r="J24" s="1" t="n"/>
      <c r="K24" s="1" t="n"/>
      <c r="L24" s="1" t="n"/>
      <c r="M24" s="1" t="n"/>
      <c r="N24" s="1" t="n"/>
      <c r="O24" s="1" t="n"/>
      <c r="P24" s="1" t="n"/>
      <c r="Q24" s="1" t="n"/>
      <c r="R24" s="1" t="n"/>
      <c r="S24" s="1" t="n"/>
      <c r="T24" s="1" t="n"/>
      <c r="U24" s="1" t="n"/>
      <c r="V24" s="1" t="n"/>
      <c r="W24" s="1" t="n"/>
    </row>
    <row r="25">
      <c r="A25" s="1" t="n"/>
      <c r="B25" s="29" t="inlineStr">
        <is>
          <t>Cost of intelligence ($/MTok)</t>
        </is>
      </c>
      <c r="C25" s="33">
        <f>CoiCost</f>
        <v/>
      </c>
      <c r="D25" s="1" t="n"/>
      <c r="E25" s="1" t="n"/>
      <c r="F25" s="1" t="n"/>
      <c r="G25" s="1" t="n"/>
      <c r="H25" s="1" t="n"/>
      <c r="I25" s="1" t="n"/>
      <c r="J25" s="1" t="n"/>
      <c r="K25" s="1" t="n"/>
      <c r="L25" s="1" t="n"/>
      <c r="M25" s="1" t="n"/>
      <c r="N25" s="1" t="n"/>
      <c r="O25" s="1" t="n"/>
      <c r="P25" s="1" t="n"/>
      <c r="Q25" s="1" t="n"/>
      <c r="R25" s="1" t="n"/>
      <c r="S25" s="1" t="n"/>
      <c r="T25" s="1" t="n"/>
      <c r="U25" s="1" t="n"/>
      <c r="V25" s="1" t="n"/>
      <c r="W25" s="1" t="n"/>
    </row>
    <row r="26">
      <c r="A26" s="1" t="n"/>
      <c r="B26" s="29" t="inlineStr">
        <is>
          <t>Operating margin ($/MTok)</t>
        </is>
      </c>
      <c r="C26" s="33">
        <f>CoiMargin</f>
        <v/>
      </c>
      <c r="D26" s="1" t="n"/>
      <c r="E26" s="1" t="n"/>
      <c r="F26" s="1" t="n"/>
      <c r="G26" s="1" t="n"/>
      <c r="H26" s="1" t="n"/>
      <c r="I26" s="1" t="n"/>
      <c r="J26" s="1" t="n"/>
      <c r="K26" s="1" t="n"/>
      <c r="L26" s="1" t="n"/>
      <c r="M26" s="1" t="n"/>
      <c r="N26" s="1" t="n"/>
      <c r="O26" s="1" t="n"/>
      <c r="P26" s="1" t="n"/>
      <c r="Q26" s="1" t="n"/>
      <c r="R26" s="1" t="n"/>
      <c r="S26" s="1" t="n"/>
      <c r="T26" s="1" t="n"/>
      <c r="U26" s="1" t="n"/>
      <c r="V26" s="1" t="n"/>
      <c r="W26" s="1" t="n"/>
    </row>
    <row r="27">
      <c r="A27" s="1" t="n"/>
      <c r="B27" s="29" t="inlineStr">
        <is>
          <t>DSCR</t>
        </is>
      </c>
      <c r="C27" s="34">
        <f>CoiDscr</f>
        <v/>
      </c>
      <c r="D27" s="1" t="n"/>
      <c r="E27" s="1" t="n"/>
      <c r="F27" s="1" t="n"/>
      <c r="G27" s="1" t="n"/>
      <c r="H27" s="1" t="n"/>
      <c r="I27" s="1" t="n"/>
      <c r="J27" s="1" t="n"/>
      <c r="K27" s="1" t="n"/>
      <c r="L27" s="1" t="n"/>
      <c r="M27" s="1" t="n"/>
      <c r="N27" s="1" t="n"/>
      <c r="O27" s="1" t="n"/>
      <c r="P27" s="1" t="n"/>
      <c r="Q27" s="1" t="n"/>
      <c r="R27" s="1" t="n"/>
      <c r="S27" s="1" t="n"/>
      <c r="T27" s="1" t="n"/>
      <c r="U27" s="1" t="n"/>
      <c r="V27" s="1" t="n"/>
      <c r="W27" s="1" t="n"/>
    </row>
    <row r="28">
      <c r="A28" s="1" t="n"/>
      <c r="B28" s="29" t="inlineStr">
        <is>
          <t>Breakeven utilization</t>
        </is>
      </c>
      <c r="C28" s="30">
        <f>CoiBreakeven</f>
        <v/>
      </c>
      <c r="D28" s="1" t="n"/>
      <c r="E28" s="1" t="n"/>
      <c r="F28" s="1" t="n"/>
      <c r="G28" s="1" t="n"/>
      <c r="H28" s="1" t="n"/>
      <c r="I28" s="1" t="n"/>
      <c r="J28" s="1" t="n"/>
      <c r="K28" s="1" t="n"/>
      <c r="L28" s="1" t="n"/>
      <c r="M28" s="1" t="n"/>
      <c r="N28" s="1" t="n"/>
      <c r="O28" s="1" t="n"/>
      <c r="P28" s="1" t="n"/>
      <c r="Q28" s="1" t="n"/>
      <c r="R28" s="1" t="n"/>
      <c r="S28" s="1" t="n"/>
      <c r="T28" s="1" t="n"/>
      <c r="U28" s="1" t="n"/>
      <c r="V28" s="1" t="n"/>
      <c r="W28" s="1" t="n"/>
    </row>
    <row r="29">
      <c r="A29" s="1" t="n"/>
      <c r="B29" s="29" t="inlineStr">
        <is>
          <t>Anthropic load, FY2030 (GW)</t>
        </is>
      </c>
      <c r="C29" s="35">
        <f>LoadGw2030</f>
        <v/>
      </c>
      <c r="D29" s="1" t="n"/>
      <c r="E29" s="1" t="n"/>
      <c r="F29" s="1" t="n"/>
      <c r="G29" s="1" t="n"/>
      <c r="H29" s="1" t="n"/>
      <c r="I29" s="1" t="n"/>
      <c r="J29" s="1" t="n"/>
      <c r="K29" s="1" t="n"/>
      <c r="L29" s="1" t="n"/>
      <c r="M29" s="1" t="n"/>
      <c r="N29" s="1" t="n"/>
      <c r="O29" s="1" t="n"/>
      <c r="P29" s="1" t="n"/>
      <c r="Q29" s="1" t="n"/>
      <c r="R29" s="1" t="n"/>
      <c r="S29" s="1" t="n"/>
      <c r="T29" s="1" t="n"/>
      <c r="U29" s="1" t="n"/>
      <c r="V29" s="1" t="n"/>
      <c r="W29" s="1" t="n"/>
    </row>
    <row r="30">
      <c r="A30" s="1" t="n"/>
      <c r="B30" s="29" t="inlineStr">
        <is>
          <t>Anthropic load, FY2040 (GW)</t>
        </is>
      </c>
      <c r="C30" s="35">
        <f>LoadGw2040</f>
        <v/>
      </c>
      <c r="D30" s="1" t="n"/>
      <c r="E30" s="1" t="n"/>
      <c r="F30" s="1" t="n"/>
      <c r="G30" s="1" t="n"/>
      <c r="H30" s="1" t="n"/>
      <c r="I30" s="1" t="n"/>
      <c r="J30" s="1" t="n"/>
      <c r="K30" s="1" t="n"/>
      <c r="L30" s="1" t="n"/>
      <c r="M30" s="1" t="n"/>
      <c r="N30" s="1" t="n"/>
      <c r="O30" s="1" t="n"/>
      <c r="P30" s="1" t="n"/>
      <c r="Q30" s="1" t="n"/>
      <c r="R30" s="1" t="n"/>
      <c r="S30" s="1" t="n"/>
      <c r="T30" s="1" t="n"/>
      <c r="U30" s="1" t="n"/>
      <c r="V30" s="1" t="n"/>
      <c r="W30" s="1" t="n"/>
    </row>
    <row r="31">
      <c r="A31" s="1" t="n"/>
      <c r="B31" s="29" t="inlineStr">
        <is>
          <t>Blended power, FY2030 ($/MWh)</t>
        </is>
      </c>
      <c r="C31" s="32">
        <f>Blend2030</f>
        <v/>
      </c>
      <c r="D31" s="1" t="n"/>
      <c r="E31" s="1" t="n"/>
      <c r="F31" s="1" t="n"/>
      <c r="G31" s="1" t="n"/>
      <c r="H31" s="1" t="n"/>
      <c r="I31" s="1" t="n"/>
      <c r="J31" s="1" t="n"/>
      <c r="K31" s="1" t="n"/>
      <c r="L31" s="1" t="n"/>
      <c r="M31" s="1" t="n"/>
      <c r="N31" s="1" t="n"/>
      <c r="O31" s="1" t="n"/>
      <c r="P31" s="1" t="n"/>
      <c r="Q31" s="1" t="n"/>
      <c r="R31" s="1" t="n"/>
      <c r="S31" s="1" t="n"/>
      <c r="T31" s="1" t="n"/>
      <c r="U31" s="1" t="n"/>
      <c r="V31" s="1" t="n"/>
      <c r="W31" s="1" t="n"/>
    </row>
    <row r="32">
      <c r="A32" s="1" t="n"/>
      <c r="B32" s="1" t="n"/>
      <c r="C32" s="1" t="n"/>
      <c r="D32" s="1" t="n"/>
      <c r="E32" s="1" t="n"/>
      <c r="F32" s="1" t="n"/>
      <c r="G32" s="1" t="n"/>
      <c r="H32" s="1" t="n"/>
      <c r="I32" s="1" t="n"/>
      <c r="J32" s="1" t="n"/>
      <c r="K32" s="1" t="n"/>
      <c r="L32" s="1" t="n"/>
      <c r="M32" s="1" t="n"/>
      <c r="N32" s="1" t="n"/>
      <c r="O32" s="1" t="n"/>
      <c r="P32" s="1" t="n"/>
      <c r="Q32" s="1" t="n"/>
      <c r="R32" s="1" t="n"/>
      <c r="S32" s="1" t="n"/>
      <c r="T32" s="1" t="n"/>
      <c r="U32" s="1" t="n"/>
      <c r="V32" s="1" t="n"/>
      <c r="W32" s="1" t="n"/>
    </row>
    <row r="33" ht="17" customHeight="1">
      <c r="A33" s="1" t="n"/>
      <c r="B33" s="22" t="inlineStr">
        <is>
          <t>Dashboard</t>
        </is>
      </c>
      <c r="C33" s="23" t="n"/>
      <c r="D33" s="1" t="n"/>
      <c r="E33" s="1" t="n"/>
      <c r="F33" s="1" t="n"/>
      <c r="G33" s="1" t="n"/>
      <c r="H33" s="1" t="n"/>
      <c r="I33" s="1" t="n"/>
      <c r="J33" s="1" t="n"/>
      <c r="K33" s="1" t="n"/>
      <c r="L33" s="1" t="n"/>
      <c r="M33" s="1" t="n"/>
      <c r="N33" s="1" t="n"/>
      <c r="O33" s="1" t="n"/>
      <c r="P33" s="1" t="n"/>
      <c r="Q33" s="1" t="n"/>
      <c r="R33" s="1" t="n"/>
      <c r="S33" s="1" t="n"/>
      <c r="T33" s="1" t="n"/>
      <c r="U33" s="1" t="n"/>
      <c r="V33" s="1" t="n"/>
      <c r="W33" s="1" t="n"/>
    </row>
    <row r="34">
      <c r="A34" s="1" t="n"/>
      <c r="B34" s="29" t="inlineStr">
        <is>
          <t>Return on the compute envelope, FY2026 (×)</t>
        </is>
      </c>
      <c r="C34" s="34">
        <f>EnvelopeRoi26</f>
        <v/>
      </c>
      <c r="D34" s="1" t="n"/>
      <c r="E34" s="1" t="n"/>
      <c r="F34" s="1" t="n"/>
      <c r="G34" s="1" t="n"/>
      <c r="H34" s="1" t="n"/>
      <c r="I34" s="1" t="n"/>
      <c r="J34" s="1" t="n"/>
      <c r="K34" s="1" t="n"/>
      <c r="L34" s="1" t="n"/>
      <c r="M34" s="1" t="n"/>
      <c r="N34" s="1" t="n"/>
      <c r="O34" s="1" t="n"/>
      <c r="P34" s="1" t="n"/>
      <c r="Q34" s="1" t="n"/>
      <c r="R34" s="1" t="n"/>
      <c r="S34" s="1" t="n"/>
      <c r="T34" s="1" t="n"/>
      <c r="U34" s="1" t="n"/>
      <c r="V34" s="1" t="n"/>
      <c r="W34" s="1" t="n"/>
    </row>
    <row r="35">
      <c r="A35" s="1" t="n"/>
      <c r="B35" s="29" t="inlineStr">
        <is>
          <t>Committed over the top of the cone, FY2030</t>
        </is>
      </c>
      <c r="C35" s="36">
        <f>CommitGw2030/TopCone2030</f>
        <v/>
      </c>
      <c r="D35" s="1" t="n"/>
      <c r="E35" s="1" t="n"/>
      <c r="F35" s="1" t="n"/>
      <c r="G35" s="1" t="n"/>
      <c r="H35" s="1" t="n"/>
      <c r="I35" s="1" t="n"/>
      <c r="J35" s="1" t="n"/>
      <c r="K35" s="1" t="n"/>
      <c r="L35" s="1" t="n"/>
      <c r="M35" s="1" t="n"/>
      <c r="N35" s="1" t="n"/>
      <c r="O35" s="1" t="n"/>
      <c r="P35" s="1" t="n"/>
      <c r="Q35" s="1" t="n"/>
      <c r="R35" s="1" t="n"/>
      <c r="S35" s="1" t="n"/>
      <c r="T35" s="1" t="n"/>
      <c r="U35" s="1" t="n"/>
      <c r="V35" s="1" t="n"/>
      <c r="W35" s="1" t="n"/>
    </row>
    <row r="36">
      <c r="A36" s="1" t="n"/>
      <c r="B36" s="29" t="inlineStr">
        <is>
          <t>Uncovered at the top of the cone, FY2030 (GW)</t>
        </is>
      </c>
      <c r="C36" s="35">
        <f>Uncovered2030</f>
        <v/>
      </c>
      <c r="D36" s="1" t="n"/>
      <c r="E36" s="1" t="n"/>
      <c r="F36" s="1" t="n"/>
      <c r="G36" s="1" t="n"/>
      <c r="H36" s="1" t="n"/>
      <c r="I36" s="1" t="n"/>
      <c r="J36" s="1" t="n"/>
      <c r="K36" s="1" t="n"/>
      <c r="L36" s="1" t="n"/>
      <c r="M36" s="1" t="n"/>
      <c r="N36" s="1" t="n"/>
      <c r="O36" s="1" t="n"/>
      <c r="P36" s="1" t="n"/>
      <c r="Q36" s="1" t="n"/>
      <c r="R36" s="1" t="n"/>
      <c r="S36" s="1" t="n"/>
      <c r="T36" s="1" t="n"/>
      <c r="U36" s="1" t="n"/>
      <c r="V36" s="1" t="n"/>
      <c r="W36" s="1" t="n"/>
    </row>
    <row r="37">
      <c r="A37" s="1" t="n"/>
      <c r="B37" s="29" t="inlineStr">
        <is>
          <t>All-in capex of the FY2030 Base load ($B)</t>
        </is>
      </c>
      <c r="C37" s="32">
        <f>CapexImplied2030</f>
        <v/>
      </c>
      <c r="D37" s="1" t="n"/>
      <c r="E37" s="1" t="n"/>
      <c r="F37" s="1" t="n"/>
      <c r="G37" s="1" t="n"/>
      <c r="H37" s="1" t="n"/>
      <c r="I37" s="1" t="n"/>
      <c r="J37" s="1" t="n"/>
      <c r="K37" s="1" t="n"/>
      <c r="L37" s="1" t="n"/>
      <c r="M37" s="1" t="n"/>
      <c r="N37" s="1" t="n"/>
      <c r="O37" s="1" t="n"/>
      <c r="P37" s="1" t="n"/>
      <c r="Q37" s="1" t="n"/>
      <c r="R37" s="1" t="n"/>
      <c r="S37" s="1" t="n"/>
      <c r="T37" s="1" t="n"/>
      <c r="U37" s="1" t="n"/>
      <c r="V37" s="1" t="n"/>
      <c r="W37" s="1" t="n"/>
    </row>
    <row r="38">
      <c r="A38" s="1" t="n"/>
      <c r="B38" s="29" t="inlineStr">
        <is>
          <t>Over the stated commitment (×)</t>
        </is>
      </c>
      <c r="C38" s="34">
        <f>CapexVsCommit</f>
        <v/>
      </c>
      <c r="D38" s="1" t="n"/>
      <c r="E38" s="1" t="n"/>
      <c r="F38" s="1" t="n"/>
      <c r="G38" s="1" t="n"/>
      <c r="H38" s="1" t="n"/>
      <c r="I38" s="1" t="n"/>
      <c r="J38" s="1" t="n"/>
      <c r="K38" s="1" t="n"/>
      <c r="L38" s="1" t="n"/>
      <c r="M38" s="1" t="n"/>
      <c r="N38" s="1" t="n"/>
      <c r="O38" s="1" t="n"/>
      <c r="P38" s="1" t="n"/>
      <c r="Q38" s="1" t="n"/>
      <c r="R38" s="1" t="n"/>
      <c r="S38" s="1" t="n"/>
      <c r="T38" s="1" t="n"/>
      <c r="U38" s="1" t="n"/>
      <c r="V38" s="1" t="n"/>
      <c r="W38" s="1" t="n"/>
    </row>
    <row r="39">
      <c r="A39" s="1" t="n"/>
      <c r="B39" s="29" t="inlineStr">
        <is>
          <t>Risk-adjusted discount rate</t>
        </is>
      </c>
      <c r="C39" s="30">
        <f>RaDisc</f>
        <v/>
      </c>
      <c r="D39" s="1" t="n"/>
      <c r="E39" s="1" t="n"/>
      <c r="F39" s="1" t="n"/>
      <c r="G39" s="1" t="n"/>
      <c r="H39" s="1" t="n"/>
      <c r="I39" s="1" t="n"/>
      <c r="J39" s="1" t="n"/>
      <c r="K39" s="1" t="n"/>
      <c r="L39" s="1" t="n"/>
      <c r="M39" s="1" t="n"/>
      <c r="N39" s="1" t="n"/>
      <c r="O39" s="1" t="n"/>
      <c r="P39" s="1" t="n"/>
      <c r="Q39" s="1" t="n"/>
      <c r="R39" s="1" t="n"/>
      <c r="S39" s="1" t="n"/>
      <c r="T39" s="1" t="n"/>
      <c r="U39" s="1" t="n"/>
      <c r="V39" s="1" t="n"/>
      <c r="W39" s="1" t="n"/>
    </row>
    <row r="40">
      <c r="A40" s="1" t="n"/>
      <c r="B40" s="29" t="inlineStr">
        <is>
          <t>The minimax buy</t>
        </is>
      </c>
      <c r="C40" s="37">
        <f>RegretPlan</f>
        <v/>
      </c>
      <c r="D40" s="1" t="n"/>
      <c r="E40" s="1" t="n"/>
      <c r="F40" s="1" t="n"/>
      <c r="G40" s="1" t="n"/>
      <c r="H40" s="1" t="n"/>
      <c r="I40" s="1" t="n"/>
      <c r="J40" s="1" t="n"/>
      <c r="K40" s="1" t="n"/>
      <c r="L40" s="1" t="n"/>
      <c r="M40" s="1" t="n"/>
      <c r="N40" s="1" t="n"/>
      <c r="O40" s="1" t="n"/>
      <c r="P40" s="1" t="n"/>
      <c r="Q40" s="1" t="n"/>
      <c r="R40" s="1" t="n"/>
      <c r="S40" s="1" t="n"/>
      <c r="T40" s="1" t="n"/>
      <c r="U40" s="1" t="n"/>
      <c r="V40" s="1" t="n"/>
      <c r="W40" s="1" t="n"/>
    </row>
    <row r="41">
      <c r="A41" s="1" t="n"/>
      <c r="B41" s="29" t="inlineStr">
        <is>
          <t>N-SMR all-in delivered, FY2034 ($/MWh)</t>
        </is>
      </c>
      <c r="C41" s="33">
        <f>NsmrAllIn2034</f>
        <v/>
      </c>
      <c r="D41" s="1" t="n"/>
      <c r="E41" s="1" t="n"/>
      <c r="F41" s="1" t="n"/>
      <c r="G41" s="1" t="n"/>
      <c r="H41" s="1" t="n"/>
      <c r="I41" s="1" t="n"/>
      <c r="J41" s="1" t="n"/>
      <c r="K41" s="1" t="n"/>
      <c r="L41" s="1" t="n"/>
      <c r="M41" s="1" t="n"/>
      <c r="N41" s="1" t="n"/>
      <c r="O41" s="1" t="n"/>
      <c r="P41" s="1" t="n"/>
      <c r="Q41" s="1" t="n"/>
      <c r="R41" s="1" t="n"/>
      <c r="S41" s="1" t="n"/>
      <c r="T41" s="1" t="n"/>
      <c r="U41" s="1" t="n"/>
      <c r="V41" s="1" t="n"/>
      <c r="W41" s="1" t="n"/>
    </row>
    <row r="42">
      <c r="A42" s="1" t="n"/>
      <c r="B42" s="29" t="inlineStr">
        <is>
          <t>Portfolio blended cost, FY2034 ($/MWh)</t>
        </is>
      </c>
      <c r="C42" s="32">
        <f>PortBlend2034</f>
        <v/>
      </c>
      <c r="D42" s="1" t="n"/>
      <c r="E42" s="1" t="n"/>
      <c r="F42" s="1" t="n"/>
      <c r="G42" s="1" t="n"/>
      <c r="H42" s="1" t="n"/>
      <c r="I42" s="1" t="n"/>
      <c r="J42" s="1" t="n"/>
      <c r="K42" s="1" t="n"/>
      <c r="L42" s="1" t="n"/>
      <c r="M42" s="1" t="n"/>
      <c r="N42" s="1" t="n"/>
      <c r="O42" s="1" t="n"/>
      <c r="P42" s="1" t="n"/>
      <c r="Q42" s="1" t="n"/>
      <c r="R42" s="1" t="n"/>
      <c r="S42" s="1" t="n"/>
      <c r="T42" s="1" t="n"/>
      <c r="U42" s="1" t="n"/>
      <c r="V42" s="1" t="n"/>
      <c r="W42" s="1" t="n"/>
    </row>
    <row r="43">
      <c r="A43" s="1" t="n"/>
      <c r="B43" s="29" t="inlineStr">
        <is>
          <t>Cheapest marginal source, FY2026 (context only)</t>
        </is>
      </c>
      <c r="C43" s="37">
        <f>BestStructure</f>
        <v/>
      </c>
      <c r="D43" s="1" t="n"/>
      <c r="E43" s="1" t="n"/>
      <c r="F43" s="1" t="n"/>
      <c r="G43" s="1" t="n"/>
      <c r="H43" s="1" t="n"/>
      <c r="I43" s="1" t="n"/>
      <c r="J43" s="1" t="n"/>
      <c r="K43" s="1" t="n"/>
      <c r="L43" s="1" t="n"/>
      <c r="M43" s="1" t="n"/>
      <c r="N43" s="1" t="n"/>
      <c r="O43" s="1" t="n"/>
      <c r="P43" s="1" t="n"/>
      <c r="Q43" s="1" t="n"/>
      <c r="R43" s="1" t="n"/>
      <c r="S43" s="1" t="n"/>
      <c r="T43" s="1" t="n"/>
      <c r="U43" s="1" t="n"/>
      <c r="V43" s="1" t="n"/>
      <c r="W43" s="1" t="n"/>
    </row>
    <row r="44">
      <c r="A44" s="1" t="n"/>
      <c r="B44" s="1" t="n"/>
      <c r="C44" s="1" t="n"/>
      <c r="D44" s="1" t="n"/>
      <c r="E44" s="1" t="n"/>
      <c r="F44" s="1" t="n"/>
      <c r="G44" s="1" t="n"/>
      <c r="H44" s="1" t="n"/>
      <c r="I44" s="1" t="n"/>
      <c r="J44" s="1" t="n"/>
      <c r="K44" s="1" t="n"/>
      <c r="L44" s="1" t="n"/>
      <c r="M44" s="1" t="n"/>
      <c r="N44" s="1" t="n"/>
      <c r="O44" s="1" t="n"/>
      <c r="P44" s="1" t="n"/>
      <c r="Q44" s="1" t="n"/>
      <c r="R44" s="1" t="n"/>
      <c r="S44" s="1" t="n"/>
      <c r="T44" s="1" t="n"/>
      <c r="U44" s="1" t="n"/>
      <c r="V44" s="1" t="n"/>
      <c r="W44" s="1" t="n"/>
    </row>
    <row r="45">
      <c r="A45" s="1" t="n"/>
      <c r="B45" s="1" t="n"/>
      <c r="C45" s="1" t="n"/>
      <c r="D45" s="1" t="n"/>
      <c r="E45" s="1" t="n"/>
      <c r="F45" s="1" t="n"/>
      <c r="G45" s="1" t="n"/>
      <c r="H45" s="1" t="n"/>
      <c r="I45" s="1" t="n"/>
      <c r="J45" s="1" t="n"/>
      <c r="K45" s="1" t="n"/>
      <c r="L45" s="1" t="n"/>
      <c r="M45" s="1" t="n"/>
      <c r="N45" s="1" t="n"/>
      <c r="O45" s="1" t="n"/>
      <c r="P45" s="1" t="n"/>
      <c r="Q45" s="1" t="n"/>
      <c r="R45" s="1" t="n"/>
      <c r="S45" s="1" t="n"/>
      <c r="T45" s="1" t="n"/>
      <c r="U45" s="1" t="n"/>
      <c r="V45" s="1" t="n"/>
      <c r="W45" s="1" t="n"/>
    </row>
    <row r="46">
      <c r="A46" s="1" t="n"/>
      <c r="B46" s="1" t="n"/>
      <c r="C46" s="1" t="n"/>
      <c r="D46" s="1" t="n"/>
      <c r="E46" s="1" t="n"/>
      <c r="F46" s="1" t="n"/>
      <c r="G46" s="1" t="n"/>
      <c r="H46" s="1" t="n"/>
      <c r="I46" s="1" t="n"/>
      <c r="J46" s="1" t="n"/>
      <c r="K46" s="1" t="n"/>
      <c r="L46" s="1" t="n"/>
      <c r="M46" s="1" t="n"/>
      <c r="N46" s="1" t="n"/>
      <c r="O46" s="1" t="n"/>
      <c r="P46" s="1" t="n"/>
      <c r="Q46" s="1" t="n"/>
      <c r="R46" s="1" t="n"/>
      <c r="S46" s="1" t="n"/>
      <c r="T46" s="1" t="n"/>
      <c r="U46" s="1" t="n"/>
      <c r="V46" s="1" t="n"/>
      <c r="W46" s="1" t="n"/>
    </row>
    <row r="47">
      <c r="A47" s="1" t="n"/>
      <c r="B47" s="1" t="n"/>
      <c r="C47" s="1" t="n"/>
      <c r="D47" s="1" t="n"/>
      <c r="E47" s="1" t="n"/>
      <c r="F47" s="1" t="n"/>
      <c r="G47" s="1" t="n"/>
      <c r="H47" s="1" t="n"/>
      <c r="I47" s="1" t="n"/>
      <c r="J47" s="1" t="n"/>
      <c r="K47" s="1" t="n"/>
      <c r="L47" s="1" t="n"/>
      <c r="M47" s="1" t="n"/>
      <c r="N47" s="1" t="n"/>
      <c r="O47" s="1" t="n"/>
      <c r="P47" s="1" t="n"/>
      <c r="Q47" s="1" t="n"/>
      <c r="R47" s="1" t="n"/>
      <c r="S47" s="1" t="n"/>
      <c r="T47" s="1" t="n"/>
      <c r="U47" s="1" t="n"/>
      <c r="V47" s="1" t="n"/>
      <c r="W47" s="1" t="n"/>
    </row>
    <row r="48">
      <c r="A48" s="1" t="n"/>
      <c r="B48" s="1" t="n"/>
      <c r="C48" s="1" t="n"/>
      <c r="D48" s="1" t="n"/>
      <c r="E48" s="1" t="n"/>
      <c r="F48" s="1" t="n"/>
      <c r="G48" s="1" t="n"/>
      <c r="H48" s="1" t="n"/>
      <c r="I48" s="1" t="n"/>
      <c r="J48" s="1" t="n"/>
      <c r="K48" s="1" t="n"/>
      <c r="L48" s="1" t="n"/>
      <c r="M48" s="1" t="n"/>
      <c r="N48" s="1" t="n"/>
      <c r="O48" s="1" t="n"/>
      <c r="P48" s="1" t="n"/>
      <c r="Q48" s="1" t="n"/>
      <c r="R48" s="1" t="n"/>
      <c r="S48" s="1" t="n"/>
      <c r="T48" s="1" t="n"/>
      <c r="U48" s="1" t="n"/>
      <c r="V48" s="1" t="n"/>
      <c r="W48" s="1" t="n"/>
    </row>
    <row r="49">
      <c r="A49" s="1" t="n"/>
      <c r="B49" s="1" t="n"/>
      <c r="C49" s="1" t="n"/>
      <c r="D49" s="1" t="n"/>
      <c r="E49" s="1" t="n"/>
      <c r="F49" s="1" t="n"/>
      <c r="G49" s="1" t="n"/>
      <c r="H49" s="1" t="n"/>
      <c r="I49" s="1" t="n"/>
      <c r="J49" s="1" t="n"/>
      <c r="K49" s="1" t="n"/>
      <c r="L49" s="1" t="n"/>
      <c r="M49" s="1" t="n"/>
      <c r="N49" s="1" t="n"/>
      <c r="O49" s="1" t="n"/>
      <c r="P49" s="1" t="n"/>
      <c r="Q49" s="1" t="n"/>
      <c r="R49" s="1" t="n"/>
      <c r="S49" s="1" t="n"/>
      <c r="T49" s="1" t="n"/>
      <c r="U49" s="1" t="n"/>
      <c r="V49" s="1" t="n"/>
      <c r="W49" s="1" t="n"/>
    </row>
    <row r="50">
      <c r="A50" s="1" t="n"/>
      <c r="B50" s="1" t="n"/>
      <c r="C50" s="1" t="n"/>
      <c r="D50" s="1" t="n"/>
      <c r="E50" s="1" t="n"/>
      <c r="F50" s="1" t="n"/>
      <c r="G50" s="1" t="n"/>
      <c r="H50" s="1" t="n"/>
      <c r="I50" s="1" t="n"/>
      <c r="J50" s="1" t="n"/>
      <c r="K50" s="1" t="n"/>
      <c r="L50" s="1" t="n"/>
      <c r="M50" s="1" t="n"/>
      <c r="N50" s="1" t="n"/>
      <c r="O50" s="1" t="n"/>
      <c r="P50" s="1" t="n"/>
      <c r="Q50" s="1" t="n"/>
      <c r="R50" s="1" t="n"/>
      <c r="S50" s="1" t="n"/>
      <c r="T50" s="1" t="n"/>
      <c r="U50" s="1" t="n"/>
      <c r="V50" s="1" t="n"/>
      <c r="W50" s="1" t="n"/>
    </row>
    <row r="51">
      <c r="A51" s="1" t="n"/>
      <c r="B51" s="1" t="n"/>
      <c r="C51" s="1" t="n"/>
      <c r="D51" s="1" t="n"/>
      <c r="E51" s="1" t="n"/>
      <c r="F51" s="1" t="n"/>
      <c r="G51" s="1" t="n"/>
      <c r="H51" s="1" t="n"/>
      <c r="I51" s="1" t="n"/>
      <c r="J51" s="1" t="n"/>
      <c r="K51" s="1" t="n"/>
      <c r="L51" s="1" t="n"/>
      <c r="M51" s="1" t="n"/>
      <c r="N51" s="1" t="n"/>
      <c r="O51" s="1" t="n"/>
      <c r="P51" s="1" t="n"/>
      <c r="Q51" s="1" t="n"/>
      <c r="R51" s="1" t="n"/>
      <c r="S51" s="1" t="n"/>
      <c r="T51" s="1" t="n"/>
      <c r="U51" s="1" t="n"/>
      <c r="V51" s="1" t="n"/>
      <c r="W51" s="1" t="n"/>
    </row>
    <row r="52">
      <c r="A52" s="1" t="n"/>
      <c r="B52" s="1" t="n"/>
      <c r="C52" s="1" t="n"/>
      <c r="D52" s="1" t="n"/>
      <c r="E52" s="1" t="n"/>
      <c r="F52" s="1" t="n"/>
      <c r="G52" s="1" t="n"/>
      <c r="H52" s="1" t="n"/>
      <c r="I52" s="1" t="n"/>
      <c r="J52" s="1" t="n"/>
      <c r="K52" s="1" t="n"/>
      <c r="L52" s="1" t="n"/>
      <c r="M52" s="1" t="n"/>
      <c r="N52" s="1" t="n"/>
      <c r="O52" s="1" t="n"/>
      <c r="P52" s="1" t="n"/>
      <c r="Q52" s="1" t="n"/>
      <c r="R52" s="1" t="n"/>
      <c r="S52" s="1" t="n"/>
      <c r="T52" s="1" t="n"/>
      <c r="U52" s="1" t="n"/>
      <c r="V52" s="1" t="n"/>
      <c r="W52" s="1" t="n"/>
    </row>
    <row r="53">
      <c r="A53" s="1" t="n"/>
      <c r="B53" s="1" t="n"/>
      <c r="C53" s="1" t="n"/>
      <c r="D53" s="1" t="n"/>
      <c r="E53" s="1" t="n"/>
      <c r="F53" s="1" t="n"/>
      <c r="G53" s="1" t="n"/>
      <c r="H53" s="1" t="n"/>
      <c r="I53" s="1" t="n"/>
      <c r="J53" s="1" t="n"/>
      <c r="K53" s="1" t="n"/>
      <c r="L53" s="1" t="n"/>
      <c r="M53" s="1" t="n"/>
      <c r="N53" s="1" t="n"/>
      <c r="O53" s="1" t="n"/>
      <c r="P53" s="1" t="n"/>
      <c r="Q53" s="1" t="n"/>
      <c r="R53" s="1" t="n"/>
      <c r="S53" s="1" t="n"/>
      <c r="T53" s="1" t="n"/>
      <c r="U53" s="1" t="n"/>
      <c r="V53" s="1" t="n"/>
      <c r="W53" s="1" t="n"/>
    </row>
    <row r="54">
      <c r="A54" s="1" t="n"/>
      <c r="B54" s="1" t="n"/>
      <c r="C54" s="1" t="n"/>
      <c r="D54" s="1" t="n"/>
      <c r="E54" s="1" t="n"/>
      <c r="F54" s="1" t="n"/>
      <c r="G54" s="1" t="n"/>
      <c r="H54" s="1" t="n"/>
      <c r="I54" s="1" t="n"/>
      <c r="J54" s="1" t="n"/>
      <c r="K54" s="1" t="n"/>
      <c r="L54" s="1" t="n"/>
      <c r="M54" s="1" t="n"/>
      <c r="N54" s="1" t="n"/>
      <c r="O54" s="1" t="n"/>
      <c r="P54" s="1" t="n"/>
      <c r="Q54" s="1" t="n"/>
      <c r="R54" s="1" t="n"/>
      <c r="S54" s="1" t="n"/>
      <c r="T54" s="1" t="n"/>
      <c r="U54" s="1" t="n"/>
      <c r="V54" s="1" t="n"/>
      <c r="W54" s="1" t="n"/>
    </row>
    <row r="55">
      <c r="A55" s="1" t="n"/>
      <c r="B55" s="1" t="n"/>
      <c r="C55" s="1" t="n"/>
      <c r="D55" s="1" t="n"/>
      <c r="E55" s="1" t="n"/>
      <c r="F55" s="1" t="n"/>
      <c r="G55" s="1" t="n"/>
      <c r="H55" s="1" t="n"/>
      <c r="I55" s="1" t="n"/>
      <c r="J55" s="1" t="n"/>
      <c r="K55" s="1" t="n"/>
      <c r="L55" s="1" t="n"/>
      <c r="M55" s="1" t="n"/>
      <c r="N55" s="1" t="n"/>
      <c r="O55" s="1" t="n"/>
      <c r="P55" s="1" t="n"/>
      <c r="Q55" s="1" t="n"/>
      <c r="R55" s="1" t="n"/>
      <c r="S55" s="1" t="n"/>
      <c r="T55" s="1" t="n"/>
      <c r="U55" s="1" t="n"/>
      <c r="V55" s="1" t="n"/>
      <c r="W55" s="1" t="n"/>
    </row>
  </sheetData>
  <dataValidations count="1">
    <dataValidation sqref="C6" showDropDown="0" showInputMessage="0" showErrorMessage="0" allowBlank="0" type="list">
      <formula1>"Bear,Base,Bull"</formula1>
    </dataValidation>
  </dataValidations>
  <pageMargins left="0.4" right="0.4" top="0.5" bottom="0.5" header="0.3" footer="0.3"/>
  <pageSetup orientation="landscape" fitToHeight="0" fitToWidth="1"/>
  <drawing xmlns:r="http://schemas.openxmlformats.org/officeDocument/2006/relationships" r:id="rId1"/>
</worksheet>
</file>

<file path=xl/worksheets/sheet20.xml><?xml version="1.0" encoding="utf-8"?>
<worksheet xmlns="http://schemas.openxmlformats.org/spreadsheetml/2006/main">
  <sheetPr>
    <tabColor rgb="00B6B6AB"/>
    <outlinePr summaryBelow="1" summaryRight="1"/>
    <pageSetUpPr fitToPage="1"/>
  </sheetPr>
  <dimension ref="A1:L53"/>
  <sheetViews>
    <sheetView showGridLines="0" workbookViewId="0">
      <selection activeCell="A1" sqref="A1"/>
    </sheetView>
  </sheetViews>
  <sheetFormatPr baseColWidth="8" defaultRowHeight="15"/>
  <cols>
    <col width="2.5" customWidth="1" min="1" max="1"/>
    <col width="56" customWidth="1" min="2" max="2"/>
    <col width="15" customWidth="1" min="3" max="3"/>
    <col width="15" customWidth="1" min="4" max="4"/>
    <col width="12" customWidth="1" min="5" max="5"/>
    <col width="56" customWidth="1" min="6" max="6"/>
  </cols>
  <sheetData>
    <row r="1" ht="9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</row>
    <row r="2" ht="22" customHeight="1">
      <c r="A2" s="1" t="n"/>
      <c r="B2" s="17" t="inlineStr">
        <is>
          <t>Checks</t>
        </is>
      </c>
      <c r="C2" s="18" t="n"/>
      <c r="D2" s="18" t="n"/>
      <c r="E2" s="18" t="n"/>
      <c r="F2" s="18" t="n"/>
      <c r="G2" s="1" t="n"/>
      <c r="H2" s="1" t="n"/>
      <c r="I2" s="1" t="n"/>
      <c r="J2" s="1" t="n"/>
      <c r="K2" s="1" t="n"/>
      <c r="L2" s="1" t="n"/>
    </row>
    <row r="3">
      <c r="A3" s="1" t="n"/>
      <c r="B3" s="19" t="inlineStr">
        <is>
          <t>Independent derivations against separately known values. These hold at any scenario.</t>
        </is>
      </c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</row>
    <row r="4" ht="6" customHeight="1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  <c r="K4" s="1" t="n"/>
      <c r="L4" s="1" t="n"/>
    </row>
    <row r="5">
      <c r="A5" s="1" t="n"/>
      <c r="B5" s="1" t="n"/>
      <c r="C5" s="1" t="n"/>
      <c r="D5" s="1" t="n"/>
      <c r="E5" s="1" t="n"/>
      <c r="F5" s="1" t="n"/>
      <c r="G5" s="1" t="n"/>
      <c r="H5" s="1" t="n"/>
      <c r="I5" s="1" t="n"/>
      <c r="J5" s="1" t="n"/>
      <c r="K5" s="1" t="n"/>
      <c r="L5" s="1" t="n"/>
    </row>
    <row r="6" ht="14" customHeight="1">
      <c r="A6" s="1" t="n"/>
      <c r="B6" s="39" t="inlineStr">
        <is>
          <t>Reconciliation</t>
        </is>
      </c>
      <c r="C6" s="40" t="inlineStr">
        <is>
          <t>This model</t>
        </is>
      </c>
      <c r="D6" s="40" t="inlineStr">
        <is>
          <t>Independent</t>
        </is>
      </c>
      <c r="E6" s="40" t="inlineStr">
        <is>
          <t>Pass</t>
        </is>
      </c>
      <c r="F6" s="40" t="inlineStr">
        <is>
          <t>Basis</t>
        </is>
      </c>
      <c r="G6" s="1" t="n"/>
      <c r="H6" s="1" t="n"/>
      <c r="I6" s="1" t="n"/>
      <c r="J6" s="1" t="n"/>
      <c r="K6" s="1" t="n"/>
      <c r="L6" s="1" t="n"/>
    </row>
    <row r="7">
      <c r="A7" s="1" t="n"/>
      <c r="B7" s="53" t="inlineStr">
        <is>
          <t>Fabrication composite: weighted BLS indices, two derivations</t>
        </is>
      </c>
      <c r="C7" s="130">
        <f>FabComposite</f>
        <v/>
      </c>
      <c r="D7" s="130" t="n">
        <v>1.010255531987559</v>
      </c>
      <c r="E7" s="132">
        <f>ABS(C7-D7)&lt;=0.0001</f>
        <v/>
      </c>
      <c r="F7" s="85" t="inlineStr">
        <is>
          <t>This workbook's index formula vs an independently computed value.</t>
        </is>
      </c>
      <c r="G7" s="1" t="n"/>
      <c r="H7" s="1" t="n"/>
      <c r="I7" s="1" t="n"/>
      <c r="J7" s="1" t="n"/>
      <c r="K7" s="1" t="n"/>
      <c r="L7" s="1" t="n"/>
    </row>
    <row r="8">
      <c r="A8" s="1" t="n"/>
      <c r="B8" s="53" t="inlineStr">
        <is>
          <t>N-SMR contract physics: implied capacity factor clears the availability floor</t>
        </is>
      </c>
      <c r="C8" s="138">
        <f>sNsmrCf&gt;=sNsmrAvailY2</f>
        <v/>
      </c>
      <c r="D8" s="138" t="b">
        <v>1</v>
      </c>
      <c r="E8" s="132">
        <f>C8=TRUE</f>
        <v/>
      </c>
      <c r="F8" s="85" t="inlineStr">
        <is>
          <t>4,110,192 MWh per cycle must be deliverable above the 90% guarantee or the contract contradicts itself.</t>
        </is>
      </c>
      <c r="G8" s="1" t="n"/>
      <c r="H8" s="1" t="n"/>
      <c r="I8" s="1" t="n"/>
      <c r="J8" s="1" t="n"/>
      <c r="K8" s="1" t="n"/>
      <c r="L8" s="1" t="n"/>
    </row>
    <row r="9">
      <c r="A9" s="1" t="n"/>
      <c r="B9" s="53" t="inlineStr">
        <is>
          <t>Queue conversion, two derivations</t>
        </is>
      </c>
      <c r="C9" s="110">
        <f>QueueConversion</f>
        <v/>
      </c>
      <c r="D9" s="110" t="n">
        <v>0.0837786868</v>
      </c>
      <c r="E9" s="132">
        <f>ABS(C9-D9)&lt;=0.0005</f>
        <v/>
      </c>
      <c r="F9" s="85" t="inlineStr">
        <is>
          <t>Workbook ratio over sourced rows vs an independently computed rate.</t>
        </is>
      </c>
      <c r="G9" s="1" t="n"/>
      <c r="H9" s="1" t="n"/>
      <c r="I9" s="1" t="n"/>
      <c r="J9" s="1" t="n"/>
      <c r="K9" s="1" t="n"/>
      <c r="L9" s="1" t="n"/>
    </row>
    <row r="10">
      <c r="A10" s="1" t="n"/>
      <c r="B10" s="53" t="inlineStr">
        <is>
          <t>Carry at the settled rate, scenario-independent</t>
        </is>
      </c>
      <c r="C10" s="107">
        <f>480*sCapSettled*8760/1000000</f>
        <v/>
      </c>
      <c r="D10" s="107" t="n">
        <v>55.040832</v>
      </c>
      <c r="E10" s="132">
        <f>ABS(C10-D10)&lt;=0.001</f>
        <v/>
      </c>
      <c r="F10" s="85" t="inlineStr">
        <is>
          <t>Blocked MW priced at the 2025 settled rate; computed from Sources directly, so the scenario switch cannot move it.</t>
        </is>
      </c>
      <c r="G10" s="1" t="n"/>
      <c r="H10" s="1" t="n"/>
      <c r="I10" s="1" t="n"/>
      <c r="J10" s="1" t="n"/>
      <c r="K10" s="1" t="n"/>
      <c r="L10" s="1" t="n"/>
    </row>
    <row r="11">
      <c r="A11" s="1" t="n"/>
      <c r="B11" s="53" t="inlineStr">
        <is>
          <t>Margin at stated Base inputs, scenario-independent</t>
        </is>
      </c>
      <c r="C11" s="107">
        <f>nListPrice*(1-Assumptions!$E$8)-(nInference*Assumptions!$E$12+nAmort)*nUtilCal/Assumptions!$E$9-nNetworking-nOverheadBase*(Assumptions!$E$11/nPowerCal)-nCodBase*(1+Assumptions!$E$10/12)</f>
        <v/>
      </c>
      <c r="D11" s="107" t="n">
        <v>1.04</v>
      </c>
      <c r="E11" s="132">
        <f>ABS(C11-D11)&lt;=0.011</f>
        <v/>
      </c>
      <c r="F11" s="85" t="inlineStr">
        <is>
          <t>Recomputed from the Base column directly, so flipping the scenario cannot break it.</t>
        </is>
      </c>
      <c r="G11" s="1" t="n"/>
      <c r="H11" s="1" t="n"/>
      <c r="I11" s="1" t="n"/>
      <c r="J11" s="1" t="n"/>
      <c r="K11" s="1" t="n"/>
      <c r="L11" s="1" t="n"/>
    </row>
    <row r="12">
      <c r="A12" s="1" t="n"/>
      <c r="B12" s="53" t="inlineStr">
        <is>
          <t>Energy two ways: FY2030 cost over price reproduces the energy row</t>
        </is>
      </c>
      <c r="C12" s="108">
        <f>Anthropic!J34*1000/Anthropic!J30-Anthropic!J13</f>
        <v/>
      </c>
      <c r="D12" s="108" t="n">
        <v>0</v>
      </c>
      <c r="E12" s="132">
        <f>ABS(C12-D12)&lt;=0.01</f>
        <v/>
      </c>
      <c r="F12" s="85" t="inlineStr">
        <is>
          <t>Power cost divided back by blended price must land on the energy row it came from.</t>
        </is>
      </c>
      <c r="G12" s="1" t="n"/>
      <c r="H12" s="1" t="n"/>
      <c r="I12" s="1" t="n"/>
      <c r="J12" s="1" t="n"/>
      <c r="K12" s="1" t="n"/>
      <c r="L12" s="1" t="n"/>
    </row>
    <row r="13">
      <c r="A13" s="1" t="n"/>
      <c r="B13" s="53" t="inlineStr">
        <is>
          <t>Mix shares sum to one in every forecast year</t>
        </is>
      </c>
      <c r="C13" s="138">
        <f>SUMPRODUCT(--(ABS(Anthropic!F18:T18+Anthropic!F19:T19+Anthropic!F20:T20+Anthropic!F21:T21-1)&gt;0.0001))=0</f>
        <v/>
      </c>
      <c r="D13" s="138" t="b">
        <v>1</v>
      </c>
      <c r="E13" s="132">
        <f>C13=TRUE</f>
        <v/>
      </c>
      <c r="F13" s="85" t="inlineStr">
        <is>
          <t>The policy bridge can sum to one, but actual dispatch still obeys finite deliverability caps.</t>
        </is>
      </c>
      <c r="G13" s="1" t="n"/>
      <c r="H13" s="1" t="n"/>
      <c r="I13" s="1" t="n"/>
      <c r="J13" s="1" t="n"/>
      <c r="K13" s="1" t="n"/>
      <c r="L13" s="1" t="n"/>
    </row>
    <row r="14">
      <c r="A14" s="1" t="n"/>
      <c r="B14" s="53" t="inlineStr">
        <is>
          <t>Monte Carlo P50 margin sits inside the Bear-Bull deterministic envelope</t>
        </is>
      </c>
      <c r="C14" s="138">
        <f>AND(McP50Margin&gt;=Sensitivity!C28,McP50Margin&lt;=Sensitivity!D28)</f>
        <v/>
      </c>
      <c r="D14" s="138" t="b">
        <v>1</v>
      </c>
      <c r="E14" s="132">
        <f>C14=TRUE</f>
        <v/>
      </c>
      <c r="F14" s="85" t="inlineStr">
        <is>
          <t>An independent sampling of the same model must center inside its own deterministic bounds.</t>
        </is>
      </c>
      <c r="G14" s="1" t="n"/>
      <c r="H14" s="1" t="n"/>
      <c r="I14" s="1" t="n"/>
      <c r="J14" s="1" t="n"/>
      <c r="K14" s="1" t="n"/>
      <c r="L14" s="1" t="n"/>
    </row>
    <row r="15">
      <c r="A15" s="1" t="n"/>
      <c r="B15" s="53" t="inlineStr">
        <is>
          <t>RPO coverage, two derivations</t>
        </is>
      </c>
      <c r="C15" s="112">
        <f>RpoCover</f>
        <v/>
      </c>
      <c r="D15" s="112" t="n">
        <v>2.80824</v>
      </c>
      <c r="E15" s="132">
        <f>ABS(C15-D15)&lt;=0.005</f>
        <v/>
      </c>
      <c r="F15" s="85" t="inlineStr">
        <is>
          <t>Workbook ratio over sourced values vs an independent derivation.</t>
        </is>
      </c>
      <c r="G15" s="1" t="n"/>
      <c r="H15" s="1" t="n"/>
      <c r="I15" s="1" t="n"/>
      <c r="J15" s="1" t="n"/>
      <c r="K15" s="1" t="n"/>
      <c r="L15" s="1" t="n"/>
    </row>
    <row r="16">
      <c r="A16" s="1" t="n"/>
      <c r="B16" s="53" t="inlineStr">
        <is>
          <t>Blended cost is a convex combination of its source prices (FY2030)</t>
        </is>
      </c>
      <c r="C16" s="138">
        <f>AND(Anthropic!J30&gt;=MIN(Anthropic!J26,Anthropic!J27,Anthropic!J28,Anthropic!J29),Anthropic!J30&lt;=MAX(Anthropic!J26,Anthropic!J27,Anthropic!J28))</f>
        <v/>
      </c>
      <c r="D16" s="138" t="b">
        <v>1</v>
      </c>
      <c r="E16" s="132">
        <f>C16=TRUE</f>
        <v/>
      </c>
      <c r="F16" s="85" t="inlineStr">
        <is>
          <t>A share-weighted average that escapes its own bounds means a share or price reference is broken.</t>
        </is>
      </c>
      <c r="G16" s="1" t="n"/>
      <c r="H16" s="1" t="n"/>
      <c r="I16" s="1" t="n"/>
      <c r="J16" s="1" t="n"/>
      <c r="K16" s="1" t="n"/>
      <c r="L16" s="1" t="n"/>
    </row>
    <row r="17">
      <c r="A17" s="1" t="n"/>
      <c r="B17" s="53" t="inlineStr">
        <is>
          <t>Two buyers price a gigawatt: stated constant vs bottom-up</t>
        </is>
      </c>
      <c r="C17" s="112">
        <f>sCapexPerGw/(sCapexPerMw*1000)</f>
        <v/>
      </c>
      <c r="D17" s="112" t="n">
        <v>1.1667</v>
      </c>
      <c r="E17" s="132">
        <f>ABS(C17-D17)&lt;=0.25</f>
        <v/>
      </c>
      <c r="F17" s="85" t="inlineStr">
        <is>
          <t>Katti's $70B/GW and Lochmiller's $60M/MW are independent estimates of one constant; first-order agreement validates it, and the residual is the cone, not noise.</t>
        </is>
      </c>
      <c r="G17" s="1" t="n"/>
      <c r="H17" s="1" t="n"/>
      <c r="I17" s="1" t="n"/>
      <c r="J17" s="1" t="n"/>
      <c r="K17" s="1" t="n"/>
      <c r="L17" s="1" t="n"/>
    </row>
    <row r="18">
      <c r="A18" s="1" t="n"/>
      <c r="B18" s="53" t="inlineStr">
        <is>
          <t>Outage norm clears the availability guarantee</t>
        </is>
      </c>
      <c r="C18" s="138">
        <f>OutageHeadroom&gt;=0</f>
        <v/>
      </c>
      <c r="D18" s="138" t="b">
        <v>1</v>
      </c>
      <c r="E18" s="132">
        <f>C18=TRUE</f>
        <v/>
      </c>
      <c r="F18" s="85" t="inlineStr">
        <is>
          <t>The 35-day outage allowance (memo) and the 90% availability guarantee (term sheet) come from different documents; the contract coheres only if the first implies the second.</t>
        </is>
      </c>
      <c r="G18" s="1" t="n"/>
      <c r="H18" s="1" t="n"/>
      <c r="I18" s="1" t="n"/>
      <c r="J18" s="1" t="n"/>
      <c r="K18" s="1" t="n"/>
      <c r="L18" s="1" t="n"/>
    </row>
    <row r="19">
      <c r="A19" s="1" t="n"/>
      <c r="B19" s="53" t="inlineStr">
        <is>
          <t>Change-of-law waterfall conserves the loss</t>
        </is>
      </c>
      <c r="C19" s="108">
        <f>ColAllocated-nColStress</f>
        <v/>
      </c>
      <c r="D19" s="108" t="n">
        <v>0</v>
      </c>
      <c r="E19" s="132">
        <f>ABS(C19-D19)&lt;=0.001</f>
        <v/>
      </c>
      <c r="F19" s="85" t="inlineStr">
        <is>
          <t>Buyer tier, seller tier, and the shared remainder must reassemble the stress loss exactly, at any tier setting.</t>
        </is>
      </c>
      <c r="G19" s="1" t="n"/>
      <c r="H19" s="1" t="n"/>
      <c r="I19" s="1" t="n"/>
      <c r="J19" s="1" t="n"/>
      <c r="K19" s="1" t="n"/>
      <c r="L19" s="1" t="n"/>
    </row>
    <row r="20">
      <c r="A20" s="1" t="n"/>
      <c r="B20" s="53" t="inlineStr">
        <is>
          <t>Allocation leaves a positive serving residual</t>
        </is>
      </c>
      <c r="C20" s="138">
        <f>nServingShare&gt;0</f>
        <v/>
      </c>
      <c r="D20" s="138" t="b">
        <v>1</v>
      </c>
      <c r="E20" s="132">
        <f>C20=TRUE</f>
        <v/>
      </c>
      <c r="F20" s="85" t="inlineStr">
        <is>
          <t>Training floor plus internal share must leave room for customers; a negative residual means the floors contradict the demand chain.</t>
        </is>
      </c>
      <c r="G20" s="1" t="n"/>
      <c r="H20" s="1" t="n"/>
      <c r="I20" s="1" t="n"/>
      <c r="J20" s="1" t="n"/>
      <c r="K20" s="1" t="n"/>
      <c r="L20" s="1" t="n"/>
    </row>
    <row r="21">
      <c r="A21" s="1" t="n"/>
      <c r="B21" s="53" t="inlineStr">
        <is>
          <t>Second demand engine reproduces the FY2026 anchor</t>
        </is>
      </c>
      <c r="C21" s="108">
        <f>Engine2Gw2026-Anthropic!F14</f>
        <v/>
      </c>
      <c r="D21" s="108" t="n">
        <v>0</v>
      </c>
      <c r="E21" s="132">
        <f>ABS(C21-D21)&lt;=0.001</f>
        <v/>
      </c>
      <c r="F21" s="85" t="inlineStr">
        <is>
          <t>Wiring assertion, not an independent reconciliation: the calibration makes this an identity; it breaks only if a reference breaks.</t>
        </is>
      </c>
      <c r="G21" s="1" t="n"/>
      <c r="H21" s="1" t="n"/>
      <c r="I21" s="1" t="n"/>
      <c r="J21" s="1" t="n"/>
      <c r="K21" s="1" t="n"/>
      <c r="L21" s="1" t="n"/>
    </row>
    <row r="22">
      <c r="A22" s="1" t="n"/>
      <c r="B22" s="53" t="inlineStr">
        <is>
          <t>Elasticity bridge preserves FY2026 anchor and moves FY2030 load</t>
        </is>
      </c>
      <c r="C22" s="138">
        <f>AND(ABS(Anthropic!F72-Anthropic!F68)&lt;0.001,Anthropic!J72&gt;Anthropic!J68,Anthropic!J14&gt;Anthropic!J68*Anthropic!J12*1000*1000/8760)</f>
        <v/>
      </c>
      <c r="D22" s="138" t="b">
        <v>1</v>
      </c>
      <c r="E22" s="132">
        <f>C22=TRUE</f>
        <v/>
      </c>
      <c r="F22" s="85" t="inlineStr">
        <is>
          <t>Tokens-per-task drift and elasticity must equal 1.0 at the FY2026 anchor, then increase post-anchor token volume and load relative to the revenue-only path.</t>
        </is>
      </c>
      <c r="G22" s="1" t="n"/>
      <c r="H22" s="1" t="n"/>
      <c r="I22" s="1" t="n"/>
      <c r="J22" s="1" t="n"/>
      <c r="K22" s="1" t="n"/>
      <c r="L22" s="1" t="n"/>
    </row>
    <row r="23">
      <c r="A23" s="1" t="n"/>
      <c r="B23" s="53" t="inlineStr">
        <is>
          <t>Accounting map keeps incompatible obligations separate</t>
        </is>
      </c>
      <c r="C23" s="138">
        <f>AND(ISNUMBER(SEARCH("ASC 842",Credit!D38)),ISNUMBER(SEARCH("ASC 440",Credit!D37)),ISNUMBER(SEARCH("ASC 450",Credit!D39)),ISNUMBER(SEARCH("ASC 815",Credit!D40)),ISNUMBER(SEARCH("not liability",Credit!C41)),ISNUMBER(SEARCH("Unknown",Credit!D47)))</f>
        <v/>
      </c>
      <c r="D23" s="138" t="b">
        <v>1</v>
      </c>
      <c r="E23" s="132">
        <f>C23=TRUE</f>
        <v/>
      </c>
      <c r="F23" s="85" t="inlineStr">
        <is>
          <t>Lease, purchase-commitment, derivative, contingency, contracted-revenue, and SPV unknown rows must remain typed separately, not summed into one obligations number.</t>
        </is>
      </c>
      <c r="G23" s="1" t="n"/>
      <c r="H23" s="1" t="n"/>
      <c r="I23" s="1" t="n"/>
      <c r="J23" s="1" t="n"/>
      <c r="K23" s="1" t="n"/>
      <c r="L23" s="1" t="n"/>
    </row>
    <row r="24">
      <c r="A24" s="1" t="n"/>
      <c r="B24" s="53" t="inlineStr">
        <is>
          <t>Regret vanishes when the buy matches the future</t>
        </is>
      </c>
      <c r="C24" s="138">
        <f>AND(Cone!D46=0,Cone!E47=0,Cone!F48=0)</f>
        <v/>
      </c>
      <c r="D24" s="138" t="b">
        <v>1</v>
      </c>
      <c r="E24" s="132">
        <f>C24=TRUE</f>
        <v/>
      </c>
      <c r="F24" s="85" t="inlineStr">
        <is>
          <t>Buying for the future that arrives must cost nothing; a nonzero diagonal means a plan or world reference is broken.</t>
        </is>
      </c>
      <c r="G24" s="1" t="n"/>
      <c r="H24" s="1" t="n"/>
      <c r="I24" s="1" t="n"/>
      <c r="J24" s="1" t="n"/>
      <c r="K24" s="1" t="n"/>
      <c r="L24" s="1" t="n"/>
    </row>
    <row r="25">
      <c r="A25" s="1" t="n"/>
      <c r="B25" s="53" t="inlineStr">
        <is>
          <t>Historical stress storyboard preserves capacity timing and the capex bridge caveat</t>
        </is>
      </c>
      <c r="C25" s="138">
        <f>AND(ISNUMBER(SEARCH("capex dollars proxy compute-demand growth",Cone!G56)),ISNUMBER(SEARCH("no $-to-GW conversion",Cone!G56)),ISNUMBER(SEARCH("gross announced capacity; powered capacity runs far lower",Cone!D60)),ISNUMBER(SEARCH("powered capacity as the planning constraint",Cone!G60)))</f>
        <v/>
      </c>
      <c r="D25" s="138" t="b">
        <v>1</v>
      </c>
      <c r="E25" s="132">
        <f>C25=TRUE</f>
        <v/>
      </c>
      <c r="F25" s="85" t="inlineStr">
        <is>
          <t>The historical stress storyboards must carry the bridge caveat and tie the pipeline row to powered-capacity timing.</t>
        </is>
      </c>
      <c r="G25" s="1" t="n"/>
      <c r="H25" s="1" t="n"/>
      <c r="I25" s="1" t="n"/>
      <c r="J25" s="1" t="n"/>
      <c r="K25" s="1" t="n"/>
      <c r="L25" s="1" t="n"/>
    </row>
    <row r="26">
      <c r="A26" s="1" t="n"/>
      <c r="B26" s="53" t="inlineStr">
        <is>
          <t>Envelope grossing reproduces serving energy (FY2030)</t>
        </is>
      </c>
      <c r="C26" s="108">
        <f>Envelope!J9*nServingShare-Envelope!J8</f>
        <v/>
      </c>
      <c r="D26" s="108" t="n">
        <v>0</v>
      </c>
      <c r="E26" s="132">
        <f>ABS(C26-D26)&lt;=0.01</f>
        <v/>
      </c>
      <c r="F26" s="85" t="inlineStr">
        <is>
          <t>Wiring assertion, not an independent reconciliation: divides back what was multiplied; it breaks only if a reference breaks.</t>
        </is>
      </c>
      <c r="G26" s="1" t="n"/>
      <c r="H26" s="1" t="n"/>
      <c r="I26" s="1" t="n"/>
      <c r="J26" s="1" t="n"/>
      <c r="K26" s="1" t="n"/>
      <c r="L26" s="1" t="n"/>
    </row>
    <row r="27">
      <c r="A27" s="1" t="n"/>
      <c r="B27" s="53" t="inlineStr">
        <is>
          <t>MC P50 N-SMR price sits inside its deterministic bounds</t>
        </is>
      </c>
      <c r="C27" s="138">
        <f>AND(McP50Nsmr&gt;=0,McP50Nsmr&lt;=NSMR!N28+0.01)</f>
        <v/>
      </c>
      <c r="D27" s="138" t="b">
        <v>1</v>
      </c>
      <c r="E27" s="132">
        <f>C27=TRUE</f>
        <v/>
      </c>
      <c r="F27" s="85" t="inlineStr">
        <is>
          <t>Sampling the contract under COD slip must land between a missed year (zero) and the no-slip delivered price.</t>
        </is>
      </c>
      <c r="G27" s="1" t="n"/>
      <c r="H27" s="1" t="n"/>
      <c r="I27" s="1" t="n"/>
      <c r="J27" s="1" t="n"/>
      <c r="K27" s="1" t="n"/>
      <c r="L27" s="1" t="n"/>
    </row>
    <row r="28">
      <c r="A28" s="1" t="n"/>
      <c r="B28" s="53" t="inlineStr">
        <is>
          <t>Portfolio allocation respects every cap, every year</t>
        </is>
      </c>
      <c r="C28" s="138">
        <f>AND(SUMPRODUCT(--(Portfolio!F28:T28&gt;Portfolio!F8:T8+0.001))=0,SUMPRODUCT(--(Portfolio!F29:T29&gt;Portfolio!F9:T9+0.001))=0,SUMPRODUCT(--(Portfolio!F30:T30&gt;Portfolio!F10:T10+0.001))=0,SUMPRODUCT(--(Portfolio!F31:T31&gt;Portfolio!F11:T11+0.001))=0)</f>
        <v/>
      </c>
      <c r="D28" s="138" t="b">
        <v>1</v>
      </c>
      <c r="E28" s="132">
        <f>C28=TRUE</f>
        <v/>
      </c>
      <c r="F28" s="85" t="inlineStr">
        <is>
          <t>An optimizer that allocates beyond a source's deliverable capacity is answering a different question.</t>
        </is>
      </c>
      <c r="G28" s="1" t="n"/>
      <c r="H28" s="1" t="n"/>
      <c r="I28" s="1" t="n"/>
      <c r="J28" s="1" t="n"/>
      <c r="K28" s="1" t="n"/>
      <c r="L28" s="1" t="n"/>
    </row>
    <row r="29">
      <c r="A29" s="1" t="n"/>
      <c r="B29" s="53" t="inlineStr">
        <is>
          <t>Merit order never loses to all-residual, any year</t>
        </is>
      </c>
      <c r="C29" s="138">
        <f>SUMPRODUCT(--(Portfolio!F32:T32&gt;(Anthropic!F26:T26*(1+nResidualBasisMarkup+nScarcityAlpha))+0.01))=0</f>
        <v/>
      </c>
      <c r="D29" s="138" t="b">
        <v>1</v>
      </c>
      <c r="E29" s="132">
        <f>C29=TRUE</f>
        <v/>
      </c>
      <c r="F29" s="85" t="inlineStr">
        <is>
          <t>All-residual is the capped fallback price comparison; the optimum should not cost more than that served-power comparator.</t>
        </is>
      </c>
      <c r="G29" s="1" t="n"/>
      <c r="H29" s="1" t="n"/>
      <c r="I29" s="1" t="n"/>
      <c r="J29" s="1" t="n"/>
      <c r="K29" s="1" t="n"/>
      <c r="L29" s="1" t="n"/>
    </row>
    <row r="30">
      <c r="A30" s="1" t="n"/>
      <c r="B30" s="53" t="inlineStr">
        <is>
          <t>Portfolio served plus unmet demand reconciles to demand, every year</t>
        </is>
      </c>
      <c r="C30" s="138">
        <f>SUMPRODUCT(--(ABS(Portfolio!F28:T28+Portfolio!F29:T29+Portfolio!F30:T30+Portfolio!F31:T31+Portfolio!F34:T34-Portfolio!F12:T12)&gt;0.001))=0</f>
        <v/>
      </c>
      <c r="D30" s="138" t="b">
        <v>1</v>
      </c>
      <c r="E30" s="132">
        <f>C30=TRUE</f>
        <v/>
      </c>
      <c r="F30" s="85" t="inlineStr">
        <is>
          <t>Demand above finite deliverable capacity must appear as unmet demand, not disappear into a residual bucket.</t>
        </is>
      </c>
      <c r="G30" s="1" t="n"/>
      <c r="H30" s="1" t="n"/>
      <c r="I30" s="1" t="n"/>
      <c r="J30" s="1" t="n"/>
      <c r="K30" s="1" t="n"/>
      <c r="L30" s="1" t="n"/>
    </row>
    <row r="31">
      <c r="A31" s="1" t="n"/>
      <c r="B31" s="53" t="inlineStr">
        <is>
          <t>Mature-cohort conversion bounds the all-vintage scalar</t>
        </is>
      </c>
      <c r="C31" s="138">
        <f>sQueueConv2015&gt;=QueueConversion</f>
        <v/>
      </c>
      <c r="D31" s="138" t="b">
        <v>1</v>
      </c>
      <c r="E31" s="132">
        <f>C31=TRUE</f>
        <v/>
      </c>
      <c r="F31" s="85" t="inlineStr">
        <is>
          <t>The 8.4% scalar includes right-censored 2019+ cohorts, so the decided 2015 cohort (24.5%) must sit above it.</t>
        </is>
      </c>
      <c r="G31" s="1" t="n"/>
      <c r="H31" s="1" t="n"/>
      <c r="I31" s="1" t="n"/>
      <c r="J31" s="1" t="n"/>
      <c r="K31" s="1" t="n"/>
      <c r="L31" s="1" t="n"/>
    </row>
    <row r="32">
      <c r="A32" s="1" t="n"/>
      <c r="B32" s="53" t="inlineStr">
        <is>
          <t>Scenario revenue scale clears the sworn revenue floor</t>
        </is>
      </c>
      <c r="C32" s="138">
        <f>(nRev25+nRev26)*1000&gt;=sRevFloor</f>
        <v/>
      </c>
      <c r="D32" s="138" t="b">
        <v>1</v>
      </c>
      <c r="E32" s="132">
        <f>C32=TRUE</f>
        <v/>
      </c>
      <c r="F32" s="85" t="inlineStr">
        <is>
          <t>Sworn cumulative revenue 'exceeding $5 billion to date' (Dkt 6-5 ¶8) caps the base case from below.</t>
        </is>
      </c>
      <c r="G32" s="1" t="n"/>
      <c r="H32" s="1" t="n"/>
      <c r="I32" s="1" t="n"/>
      <c r="J32" s="1" t="n"/>
      <c r="K32" s="1" t="n"/>
      <c r="L32" s="1" t="n"/>
    </row>
    <row r="33">
      <c r="A33" s="1" t="n"/>
      <c r="B33" s="53" t="inlineStr">
        <is>
          <t>A28 revenue-basis labels distinguish run-rate from recognized revenue</t>
        </is>
      </c>
      <c r="C33" s="138">
        <f>AND(ISNUMBER(SEARCH("run-rate",Anthropic!B8)),ISNUMBER(SEARCH("run-rate",Anthropic!B46)),ISNUMBER(SEARCH("run-rate",Anthropic!B50)),ISNUMBER(SEARCH("run-rate",Anthropic!B54)),ISNUMBER(SEARCH("recognized",Anthropic!B60)),ISNUMBER(SEARCH("not recognized revenue",Anthropic!F61)),ISNUMBER(SEARCH("not recognized revenue",Anthropic!F62)))</f>
        <v/>
      </c>
      <c r="D33" s="138" t="b">
        <v>1</v>
      </c>
      <c r="E33" s="132">
        <f>C33=TRUE</f>
        <v/>
      </c>
      <c r="F33" s="85" t="inlineStr">
        <is>
          <t>The demand cone may use company-stated run-rate inputs, but no Anthropic revenue label should read as bare recognized revenue.</t>
        </is>
      </c>
      <c r="G33" s="1" t="n"/>
      <c r="H33" s="1" t="n"/>
      <c r="I33" s="1" t="n"/>
      <c r="J33" s="1" t="n"/>
      <c r="K33" s="1" t="n"/>
      <c r="L33" s="1" t="n"/>
    </row>
    <row r="34">
      <c r="A34" s="1" t="n"/>
      <c r="B34" s="53" t="inlineStr">
        <is>
          <t>Time-to-compute score differs from cost-only ranking</t>
        </is>
      </c>
      <c r="C34" s="138">
        <f>AND(Procurement!$L$23&gt;Procurement!$L$24,Procurement!$C$8&gt;Procurement!$C$9)</f>
        <v/>
      </c>
      <c r="D34" s="138" t="b">
        <v>1</v>
      </c>
      <c r="E34" s="132">
        <f>C34=TRUE</f>
        <v/>
      </c>
      <c r="F34" s="85" t="inlineStr">
        <is>
          <t>Cloud can score higher on time-to-compute while carrying a higher power price; the deal score keeps delivery timing separate from cost-only ranking.</t>
        </is>
      </c>
      <c r="G34" s="1" t="n"/>
      <c r="H34" s="1" t="n"/>
      <c r="I34" s="1" t="n"/>
      <c r="J34" s="1" t="n"/>
      <c r="K34" s="1" t="n"/>
      <c r="L34" s="1" t="n"/>
    </row>
    <row r="35">
      <c r="A35" s="1" t="n"/>
      <c r="B35" s="53" t="inlineStr">
        <is>
          <t>Stranded-price assumption sits above the measured spot floor</t>
        </is>
      </c>
      <c r="C35" s="138">
        <f>INDEX(StructTable,3,3)&gt;=sWestCheapQ25</f>
        <v/>
      </c>
      <c r="D35" s="138" t="b">
        <v>1</v>
      </c>
      <c r="E35" s="132">
        <f>C35=TRUE</f>
        <v/>
      </c>
      <c r="F35" s="85" t="inlineStr">
        <is>
          <t>The $35 stranded assumption must clear the measured ERCOT West cheapest-quintile mean ($1.83 in 2025) — its own raw input.</t>
        </is>
      </c>
      <c r="G35" s="1" t="n"/>
      <c r="H35" s="1" t="n"/>
      <c r="I35" s="1" t="n"/>
      <c r="J35" s="1" t="n"/>
      <c r="K35" s="1" t="n"/>
      <c r="L35" s="1" t="n"/>
    </row>
    <row r="36">
      <c r="A36" s="1" t="n"/>
      <c r="B36" s="53" t="inlineStr">
        <is>
          <t>Contract all-in sits inside the sourced cost-basis range</t>
        </is>
      </c>
      <c r="C36" s="138">
        <f>AND(NsmrAllIn2034&gt;=sNsmrBasisLow,NsmrAllIn2034&lt;=sNsmrBasisHigh)</f>
        <v/>
      </c>
      <c r="D36" s="138" t="b">
        <v>1</v>
      </c>
      <c r="E36" s="132">
        <f>C36=TRUE</f>
        <v/>
      </c>
      <c r="F36" s="85" t="inlineStr">
        <is>
          <t>The ~$101 contract price must be reachable from sourced nuclear cost economics (ATB Advanced low to Vogtle-implied high); a price outside the range would mean the contract and the cost curves describe different assets.</t>
        </is>
      </c>
      <c r="G36" s="1" t="n"/>
      <c r="H36" s="1" t="n"/>
      <c r="I36" s="1" t="n"/>
      <c r="J36" s="1" t="n"/>
      <c r="K36" s="1" t="n"/>
      <c r="L36" s="1" t="n"/>
    </row>
    <row r="37">
      <c r="A37" s="1" t="n"/>
      <c r="B37" s="53" t="inlineStr">
        <is>
          <t>Priced composite, two derivations</t>
        </is>
      </c>
      <c r="C37" s="130">
        <f>PricedComposite</f>
        <v/>
      </c>
      <c r="D37" s="130" t="n">
        <v>0.48</v>
      </c>
      <c r="E37" s="132">
        <f>ABS(C37-D37)&lt;=0.0001</f>
        <v/>
      </c>
      <c r="F37" s="85" t="inlineStr">
        <is>
          <t>Recomputed from weights and frozen scores; 0.48 derived independently from the series percentiles.</t>
        </is>
      </c>
      <c r="G37" s="1" t="n"/>
      <c r="H37" s="1" t="n"/>
      <c r="I37" s="1" t="n"/>
      <c r="J37" s="1" t="n"/>
      <c r="K37" s="1" t="n"/>
      <c r="L37" s="1" t="n"/>
    </row>
    <row r="38">
      <c r="A38" s="1" t="n"/>
      <c r="B38" s="53" t="inlineStr">
        <is>
          <t>LiveTape fuel composite ties to the Fuel sheet</t>
        </is>
      </c>
      <c r="C38" s="130">
        <f>LiveTapeFabComposite-FabComposite</f>
        <v/>
      </c>
      <c r="D38" s="130" t="n">
        <v>0</v>
      </c>
      <c r="E38" s="132">
        <f>ABS(C38-D38)&lt;=0.0001</f>
        <v/>
      </c>
      <c r="F38" s="85" t="inlineStr">
        <is>
          <t>The Excel snapshot must carry the same fabrication composite as the browser-live constraint tape fallback.</t>
        </is>
      </c>
      <c r="G38" s="1" t="n"/>
      <c r="H38" s="1" t="n"/>
      <c r="I38" s="1" t="n"/>
      <c r="J38" s="1" t="n"/>
      <c r="K38" s="1" t="n"/>
      <c r="L38" s="1" t="n"/>
    </row>
    <row r="39">
      <c r="A39" s="1" t="n"/>
      <c r="B39" s="53" t="inlineStr">
        <is>
          <t>LiveTape recognized-revenue floor ties to the Anthropic bridge</t>
        </is>
      </c>
      <c r="C39" s="130">
        <f>LiveTapeRecognizedRevenueFloorB-RevenueBridgeRecognizedFloorB</f>
        <v/>
      </c>
      <c r="D39" s="130" t="n">
        <v>0</v>
      </c>
      <c r="E39" s="132">
        <f>ABS(C39-D39)&lt;=0.0001</f>
        <v/>
      </c>
      <c r="F39" s="85" t="inlineStr">
        <is>
          <t>The court-sworn revenue floor should be identical in the live tape and the run-rate/recognized-revenue bridge.</t>
        </is>
      </c>
      <c r="G39" s="1" t="n"/>
      <c r="H39" s="1" t="n"/>
      <c r="I39" s="1" t="n"/>
      <c r="J39" s="1" t="n"/>
      <c r="K39" s="1" t="n"/>
      <c r="L39" s="1" t="n"/>
    </row>
    <row r="40">
      <c r="A40" s="1" t="n"/>
      <c r="B40" s="53" t="inlineStr">
        <is>
          <t>LiveTape preserves the pending fuel-leg warning</t>
        </is>
      </c>
      <c r="C40" s="138">
        <f>AND(ISNUMBER(SEARCH("conversion",LiveTape!G11)),ISNUMBER(SEARCH("SWU",LiveTape!G11)))</f>
        <v/>
      </c>
      <c r="D40" s="138" t="b">
        <v>1</v>
      </c>
      <c r="E40" s="132">
        <f>C40=TRUE</f>
        <v/>
      </c>
      <c r="F40" s="85" t="inlineStr">
        <is>
          <t>The workbook must not imply a complete fuel escalator while conversion and SWU remain pending.</t>
        </is>
      </c>
      <c r="G40" s="1" t="n"/>
      <c r="H40" s="1" t="n"/>
      <c r="I40" s="1" t="n"/>
      <c r="J40" s="1" t="n"/>
      <c r="K40" s="1" t="n"/>
      <c r="L40" s="1" t="n"/>
    </row>
    <row r="41">
      <c r="A41" s="1" t="n"/>
      <c r="B41" s="53" t="inlineStr">
        <is>
          <t>WO-05 demand scope stays below top-3 lab aggregate cap</t>
        </is>
      </c>
      <c r="C41" s="138">
        <f>(83.1086/154.1086)&lt;=0.6</f>
        <v/>
      </c>
      <c r="D41" s="138" t="b">
        <v>1</v>
      </c>
      <c r="E41" s="132">
        <f>C41=TRUE</f>
        <v/>
      </c>
      <c r="F41" s="85" t="inlineStr">
        <is>
          <t>FY2040 demand 83.1086 GW / top-3 lab aggregate 154.1086 GW = 53.93%; cap = 60%.</t>
        </is>
      </c>
      <c r="G41" s="1" t="n"/>
      <c r="H41" s="1" t="n"/>
      <c r="I41" s="1" t="n"/>
      <c r="J41" s="1" t="n"/>
      <c r="K41" s="1" t="n"/>
      <c r="L41" s="1" t="n"/>
    </row>
    <row r="42">
      <c r="A42" s="1" t="n"/>
      <c r="B42" s="1" t="n"/>
      <c r="C42" s="1" t="n"/>
      <c r="D42" s="1" t="n"/>
      <c r="E42" s="1" t="n"/>
      <c r="F42" s="1" t="n"/>
      <c r="G42" s="1" t="n"/>
      <c r="H42" s="1" t="n"/>
      <c r="I42" s="1" t="n"/>
      <c r="J42" s="1" t="n"/>
      <c r="K42" s="1" t="n"/>
      <c r="L42" s="1" t="n"/>
    </row>
    <row r="43">
      <c r="A43" s="1" t="n"/>
      <c r="B43" s="1" t="n"/>
      <c r="C43" s="1" t="n"/>
      <c r="D43" s="1" t="n"/>
      <c r="E43" s="1" t="n"/>
      <c r="F43" s="1" t="n"/>
      <c r="G43" s="1" t="n"/>
      <c r="H43" s="1" t="n"/>
      <c r="I43" s="1" t="n"/>
      <c r="J43" s="1" t="n"/>
      <c r="K43" s="1" t="n"/>
      <c r="L43" s="1" t="n"/>
    </row>
    <row r="44">
      <c r="A44" s="1" t="n"/>
      <c r="B44" s="1" t="n"/>
      <c r="C44" s="1" t="n"/>
      <c r="D44" s="1" t="n"/>
      <c r="E44" s="1" t="n"/>
      <c r="F44" s="1" t="n"/>
      <c r="G44" s="1" t="n"/>
      <c r="H44" s="1" t="n"/>
      <c r="I44" s="1" t="n"/>
      <c r="J44" s="1" t="n"/>
      <c r="K44" s="1" t="n"/>
      <c r="L44" s="1" t="n"/>
    </row>
    <row r="45">
      <c r="A45" s="1" t="n"/>
      <c r="B45" s="1" t="n"/>
      <c r="C45" s="1" t="n"/>
      <c r="D45" s="1" t="n"/>
      <c r="E45" s="1" t="n"/>
      <c r="F45" s="1" t="n"/>
      <c r="G45" s="1" t="n"/>
      <c r="H45" s="1" t="n"/>
      <c r="I45" s="1" t="n"/>
      <c r="J45" s="1" t="n"/>
      <c r="K45" s="1" t="n"/>
      <c r="L45" s="1" t="n"/>
    </row>
    <row r="46">
      <c r="A46" s="1" t="n"/>
      <c r="B46" s="1" t="n"/>
      <c r="C46" s="1" t="n"/>
      <c r="D46" s="1" t="n"/>
      <c r="E46" s="1" t="n"/>
      <c r="F46" s="1" t="n"/>
      <c r="G46" s="1" t="n"/>
      <c r="H46" s="1" t="n"/>
      <c r="I46" s="1" t="n"/>
      <c r="J46" s="1" t="n"/>
      <c r="K46" s="1" t="n"/>
      <c r="L46" s="1" t="n"/>
    </row>
    <row r="47">
      <c r="A47" s="1" t="n"/>
      <c r="B47" s="1" t="n"/>
      <c r="C47" s="1" t="n"/>
      <c r="D47" s="1" t="n"/>
      <c r="E47" s="1" t="n"/>
      <c r="F47" s="1" t="n"/>
      <c r="G47" s="1" t="n"/>
      <c r="H47" s="1" t="n"/>
      <c r="I47" s="1" t="n"/>
      <c r="J47" s="1" t="n"/>
      <c r="K47" s="1" t="n"/>
      <c r="L47" s="1" t="n"/>
    </row>
    <row r="48">
      <c r="A48" s="1" t="n"/>
      <c r="B48" s="1" t="n"/>
      <c r="C48" s="1" t="n"/>
      <c r="D48" s="1" t="n"/>
      <c r="E48" s="1" t="n"/>
      <c r="F48" s="1" t="n"/>
      <c r="G48" s="1" t="n"/>
      <c r="H48" s="1" t="n"/>
      <c r="I48" s="1" t="n"/>
      <c r="J48" s="1" t="n"/>
      <c r="K48" s="1" t="n"/>
      <c r="L48" s="1" t="n"/>
    </row>
    <row r="49">
      <c r="A49" s="1" t="n"/>
      <c r="B49" s="1" t="n"/>
      <c r="C49" s="1" t="n"/>
      <c r="D49" s="1" t="n"/>
      <c r="E49" s="1" t="n"/>
      <c r="F49" s="1" t="n"/>
      <c r="G49" s="1" t="n"/>
      <c r="H49" s="1" t="n"/>
      <c r="I49" s="1" t="n"/>
      <c r="J49" s="1" t="n"/>
      <c r="K49" s="1" t="n"/>
      <c r="L49" s="1" t="n"/>
    </row>
    <row r="50">
      <c r="A50" s="1" t="n"/>
      <c r="B50" s="1" t="n"/>
      <c r="C50" s="1" t="n"/>
      <c r="D50" s="1" t="n"/>
      <c r="E50" s="1" t="n"/>
      <c r="F50" s="1" t="n"/>
      <c r="G50" s="1" t="n"/>
      <c r="H50" s="1" t="n"/>
      <c r="I50" s="1" t="n"/>
      <c r="J50" s="1" t="n"/>
      <c r="K50" s="1" t="n"/>
      <c r="L50" s="1" t="n"/>
    </row>
    <row r="51">
      <c r="A51" s="1" t="n"/>
      <c r="B51" s="1" t="n"/>
      <c r="C51" s="1" t="n"/>
      <c r="D51" s="1" t="n"/>
      <c r="E51" s="1" t="n"/>
      <c r="F51" s="1" t="n"/>
      <c r="G51" s="1" t="n"/>
      <c r="H51" s="1" t="n"/>
      <c r="I51" s="1" t="n"/>
      <c r="J51" s="1" t="n"/>
      <c r="K51" s="1" t="n"/>
      <c r="L51" s="1" t="n"/>
    </row>
    <row r="52">
      <c r="A52" s="1" t="n"/>
      <c r="B52" s="1" t="n"/>
      <c r="C52" s="1" t="n"/>
      <c r="D52" s="1" t="n"/>
      <c r="E52" s="1" t="n"/>
      <c r="F52" s="1" t="n"/>
      <c r="G52" s="1" t="n"/>
      <c r="H52" s="1" t="n"/>
      <c r="I52" s="1" t="n"/>
      <c r="J52" s="1" t="n"/>
      <c r="K52" s="1" t="n"/>
      <c r="L52" s="1" t="n"/>
    </row>
    <row r="53">
      <c r="A53" s="1" t="n"/>
      <c r="B53" s="1" t="n"/>
      <c r="C53" s="1" t="n"/>
      <c r="D53" s="1" t="n"/>
      <c r="E53" s="1" t="n"/>
      <c r="F53" s="1" t="n"/>
      <c r="G53" s="1" t="n"/>
      <c r="H53" s="1" t="n"/>
      <c r="I53" s="1" t="n"/>
      <c r="J53" s="1" t="n"/>
      <c r="K53" s="1" t="n"/>
      <c r="L53" s="1" t="n"/>
    </row>
  </sheetData>
  <pageMargins left="0.4" right="0.4" top="0.5" bottom="0.5" header="0.3" footer="0.3"/>
  <pageSetup orientation="landscape" fitToHeight="0" fitToWidth="1"/>
</worksheet>
</file>

<file path=xl/worksheets/sheet21.xml><?xml version="1.0" encoding="utf-8"?>
<worksheet xmlns="http://schemas.openxmlformats.org/spreadsheetml/2006/main">
  <sheetPr>
    <tabColor rgb="00282826"/>
    <outlinePr summaryBelow="1" summaryRight="1"/>
    <pageSetUpPr fitToPage="1"/>
  </sheetPr>
  <dimension ref="A1:L107"/>
  <sheetViews>
    <sheetView showGridLines="0" workbookViewId="0">
      <selection activeCell="A1" sqref="A1"/>
    </sheetView>
  </sheetViews>
  <sheetFormatPr baseColWidth="8" defaultRowHeight="15"/>
  <cols>
    <col width="2.5" customWidth="1" min="1" max="1"/>
    <col width="26" customWidth="1" min="2" max="2"/>
    <col width="22" customWidth="1" min="3" max="3"/>
    <col width="12" customWidth="1" min="4" max="4"/>
    <col width="6" customWidth="1" min="5" max="5"/>
    <col width="80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</cols>
  <sheetData>
    <row r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</row>
    <row r="2">
      <c r="A2" s="1" t="n"/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1" t="n"/>
    </row>
    <row r="3">
      <c r="A3" s="1" t="n"/>
      <c r="B3" s="2" t="n"/>
      <c r="C3" s="139" t="inlineStr">
        <is>
          <t>DESIGN SYSTEM</t>
        </is>
      </c>
      <c r="D3" s="2" t="n"/>
      <c r="E3" s="2" t="n"/>
      <c r="F3" s="2" t="n"/>
      <c r="G3" s="2" t="n"/>
      <c r="H3" s="2" t="n"/>
      <c r="I3" s="2" t="n"/>
      <c r="J3" s="2" t="n"/>
      <c r="K3" s="2" t="n"/>
      <c r="L3" s="1" t="n"/>
    </row>
    <row r="4">
      <c r="A4" s="1" t="n"/>
      <c r="B4" s="2" t="n"/>
      <c r="C4" s="2" t="n"/>
      <c r="D4" s="2" t="n"/>
      <c r="E4" s="2" t="n"/>
      <c r="F4" s="2" t="n"/>
      <c r="G4" s="2" t="n"/>
      <c r="H4" s="2" t="n"/>
      <c r="I4" s="2" t="n"/>
      <c r="J4" s="2" t="n"/>
      <c r="K4" s="2" t="n"/>
      <c r="L4" s="1" t="n"/>
    </row>
    <row r="5">
      <c r="A5" s="1" t="n"/>
      <c r="B5" s="2" t="n"/>
      <c r="C5" s="140" t="inlineStr">
        <is>
          <t>Anthropic clay on cream — the palette, type, and structural conventions behind this workbook, specified for reuse across Microsoft 365.</t>
        </is>
      </c>
      <c r="D5" s="2" t="n"/>
      <c r="E5" s="2" t="n"/>
      <c r="F5" s="2" t="n"/>
      <c r="G5" s="2" t="n"/>
      <c r="H5" s="2" t="n"/>
      <c r="I5" s="2" t="n"/>
      <c r="J5" s="2" t="n"/>
      <c r="K5" s="2" t="n"/>
      <c r="L5" s="1" t="n"/>
    </row>
    <row r="6">
      <c r="A6" s="1" t="n"/>
      <c r="B6" s="2" t="n"/>
      <c r="C6" s="141" t="inlineStr">
        <is>
          <t>12-Color Theme  |  Söhne Type System  |  Cell Styles  |  Extended Palette  |  Data Ramps  |  Conventions</t>
        </is>
      </c>
      <c r="D6" s="2" t="n"/>
      <c r="E6" s="2" t="n"/>
      <c r="F6" s="2" t="n"/>
      <c r="G6" s="2" t="n"/>
      <c r="H6" s="2" t="n"/>
      <c r="I6" s="2" t="n"/>
      <c r="J6" s="2" t="n"/>
      <c r="K6" s="2" t="n"/>
      <c r="L6" s="1" t="n"/>
    </row>
    <row r="7">
      <c r="A7" s="1" t="n"/>
      <c r="B7" s="2" t="n"/>
      <c r="C7" s="16" t="inlineStr">
        <is>
          <t>Maintained by Darrell Day  ·  Generated by the workbook engine — edit src/workbook/design.py, not this sheet</t>
        </is>
      </c>
      <c r="D7" s="2" t="n"/>
      <c r="E7" s="2" t="n"/>
      <c r="F7" s="2" t="n"/>
      <c r="G7" s="2" t="n"/>
      <c r="H7" s="2" t="n"/>
      <c r="I7" s="2" t="n"/>
      <c r="J7" s="2" t="n"/>
      <c r="K7" s="2" t="n"/>
      <c r="L7" s="1" t="n"/>
    </row>
    <row r="8">
      <c r="A8" s="1" t="n"/>
      <c r="B8" s="2" t="n"/>
      <c r="C8" s="2" t="n"/>
      <c r="D8" s="2" t="n"/>
      <c r="E8" s="2" t="n"/>
      <c r="F8" s="2" t="n"/>
      <c r="G8" s="2" t="n"/>
      <c r="H8" s="2" t="n"/>
      <c r="I8" s="2" t="n"/>
      <c r="J8" s="2" t="n"/>
      <c r="K8" s="2" t="n"/>
      <c r="L8" s="1" t="n"/>
    </row>
    <row r="9">
      <c r="A9" s="1" t="n"/>
      <c r="B9" s="1" t="n"/>
      <c r="C9" s="1" t="n"/>
      <c r="D9" s="1" t="n"/>
      <c r="E9" s="1" t="n"/>
      <c r="F9" s="1" t="n"/>
      <c r="G9" s="1" t="n"/>
      <c r="H9" s="1" t="n"/>
      <c r="I9" s="1" t="n"/>
      <c r="J9" s="1" t="n"/>
      <c r="K9" s="1" t="n"/>
      <c r="L9" s="1" t="n"/>
    </row>
    <row r="10" ht="17" customHeight="1">
      <c r="A10" s="1" t="n"/>
      <c r="B10" s="142" t="inlineStr">
        <is>
          <t>01 — THEME PALETTE · 12 SLOTS</t>
        </is>
      </c>
      <c r="C10" s="23" t="n"/>
      <c r="D10" s="23" t="n"/>
      <c r="E10" s="23" t="n"/>
      <c r="F10" s="23" t="n"/>
      <c r="G10" s="23" t="n"/>
      <c r="H10" s="23" t="n"/>
      <c r="I10" s="23" t="n"/>
      <c r="J10" s="23" t="n"/>
      <c r="K10" s="23" t="n"/>
      <c r="L10" s="1" t="n"/>
    </row>
    <row r="11">
      <c r="A11" s="1" t="n"/>
      <c r="B11" s="143" t="inlineStr">
        <is>
          <t>Maps 1:1 onto Excel's Customize Colors dialog — register once, reuse in every Office document.</t>
        </is>
      </c>
      <c r="C11" s="1" t="n"/>
      <c r="D11" s="1" t="n"/>
      <c r="E11" s="1" t="n"/>
      <c r="F11" s="1" t="n"/>
      <c r="G11" s="1" t="n"/>
      <c r="H11" s="1" t="n"/>
      <c r="I11" s="1" t="n"/>
      <c r="J11" s="1" t="n"/>
      <c r="K11" s="1" t="n"/>
      <c r="L11" s="1" t="n"/>
    </row>
    <row r="12">
      <c r="A12" s="1" t="n"/>
      <c r="B12" s="144" t="inlineStr">
        <is>
          <t>Theme slot</t>
        </is>
      </c>
      <c r="C12" s="144" t="inlineStr">
        <is>
          <t>Name</t>
        </is>
      </c>
      <c r="D12" s="144" t="inlineStr">
        <is>
          <t>Hex</t>
        </is>
      </c>
      <c r="E12" s="1" t="n"/>
      <c r="F12" s="144" t="inlineStr">
        <is>
          <t>Role in the system</t>
        </is>
      </c>
      <c r="G12" s="1" t="n"/>
      <c r="H12" s="1" t="n"/>
      <c r="I12" s="1" t="n"/>
      <c r="J12" s="1" t="n"/>
      <c r="K12" s="1" t="n"/>
      <c r="L12" s="1" t="n"/>
    </row>
    <row r="13">
      <c r="A13" s="1" t="n"/>
      <c r="B13" s="13" t="inlineStr">
        <is>
          <t>Text/Background Dark 1</t>
        </is>
      </c>
      <c r="C13" s="13" t="inlineStr">
        <is>
          <t>Ink</t>
        </is>
      </c>
      <c r="D13" s="145" t="inlineStr">
        <is>
          <t>#141413</t>
        </is>
      </c>
      <c r="E13" s="9" t="n"/>
      <c r="F13" s="13" t="inlineStr">
        <is>
          <t>Primary text. RESERVED as a fill — only for darker banding on top of an already dark surface (see Cover!C17).</t>
        </is>
      </c>
      <c r="G13" s="1" t="n"/>
      <c r="H13" s="1" t="n"/>
      <c r="I13" s="1" t="n"/>
      <c r="J13" s="1" t="n"/>
      <c r="K13" s="1" t="n"/>
      <c r="L13" s="1" t="n"/>
    </row>
    <row r="14">
      <c r="A14" s="1" t="n"/>
      <c r="B14" s="13" t="inlineStr">
        <is>
          <t>Text/Background Light 1</t>
        </is>
      </c>
      <c r="C14" s="13" t="inlineStr">
        <is>
          <t>Cream</t>
        </is>
      </c>
      <c r="D14" s="145" t="inlineStr">
        <is>
          <t>#FAF9F5</t>
        </is>
      </c>
      <c r="E14" s="1" t="n"/>
      <c r="F14" s="13" t="inlineStr">
        <is>
          <t>Default canvas for every sheet; text on dark surfaces.</t>
        </is>
      </c>
      <c r="G14" s="1" t="n"/>
      <c r="H14" s="1" t="n"/>
      <c r="I14" s="1" t="n"/>
      <c r="J14" s="1" t="n"/>
      <c r="K14" s="1" t="n"/>
      <c r="L14" s="1" t="n"/>
    </row>
    <row r="15">
      <c r="A15" s="1" t="n"/>
      <c r="B15" s="13" t="inlineStr">
        <is>
          <t>Text/Background Dark 2</t>
        </is>
      </c>
      <c r="C15" s="13" t="inlineStr">
        <is>
          <t>Slate Char</t>
        </is>
      </c>
      <c r="D15" s="145" t="inlineStr">
        <is>
          <t>#3D3D3A</t>
        </is>
      </c>
      <c r="E15" s="146" t="n"/>
      <c r="F15" s="13" t="inlineStr">
        <is>
          <t>Working dark: title cards, section bands, secondary text, strong rules.</t>
        </is>
      </c>
      <c r="G15" s="1" t="n"/>
      <c r="H15" s="1" t="n"/>
      <c r="I15" s="1" t="n"/>
      <c r="J15" s="1" t="n"/>
      <c r="K15" s="1" t="n"/>
      <c r="L15" s="1" t="n"/>
    </row>
    <row r="16">
      <c r="A16" s="1" t="n"/>
      <c r="B16" s="13" t="inlineStr">
        <is>
          <t>Text/Background Light 2</t>
        </is>
      </c>
      <c r="C16" s="13" t="inlineStr">
        <is>
          <t>Oatmilk</t>
        </is>
      </c>
      <c r="D16" s="145" t="inlineStr">
        <is>
          <t>#E8E6DC</t>
        </is>
      </c>
      <c r="E16" s="147" t="n"/>
      <c r="F16" s="13" t="inlineStr">
        <is>
          <t>Chart cards and grouped panels — one step warmer than the canvas.</t>
        </is>
      </c>
      <c r="G16" s="1" t="n"/>
      <c r="H16" s="1" t="n"/>
      <c r="I16" s="1" t="n"/>
      <c r="J16" s="1" t="n"/>
      <c r="K16" s="1" t="n"/>
      <c r="L16" s="1" t="n"/>
    </row>
    <row r="17">
      <c r="A17" s="1" t="n"/>
      <c r="B17" s="13" t="inlineStr">
        <is>
          <t>Accent 1</t>
        </is>
      </c>
      <c r="C17" s="13" t="inlineStr">
        <is>
          <t>Deep Clay</t>
        </is>
      </c>
      <c r="D17" s="145" t="inlineStr">
        <is>
          <t>#C6613F</t>
        </is>
      </c>
      <c r="E17" s="148" t="n"/>
      <c r="F17" s="13" t="inlineStr">
        <is>
          <t>Max-value bars, alerts, negatives, the hot end of every ramp.</t>
        </is>
      </c>
      <c r="G17" s="1" t="n"/>
      <c r="H17" s="1" t="n"/>
      <c r="I17" s="1" t="n"/>
      <c r="J17" s="1" t="n"/>
      <c r="K17" s="1" t="n"/>
      <c r="L17" s="1" t="n"/>
    </row>
    <row r="18">
      <c r="A18" s="1" t="n"/>
      <c r="B18" s="13" t="inlineStr">
        <is>
          <t>Accent 2</t>
        </is>
      </c>
      <c r="C18" s="13" t="inlineStr">
        <is>
          <t>Anthropic Clay</t>
        </is>
      </c>
      <c r="D18" s="145" t="inlineStr">
        <is>
          <t>#D97757</t>
        </is>
      </c>
      <c r="E18" s="149" t="n"/>
      <c r="F18" s="13" t="inlineStr">
        <is>
          <t>The signature. Chart titles, primary series, brand moments.</t>
        </is>
      </c>
      <c r="G18" s="1" t="n"/>
      <c r="H18" s="1" t="n"/>
      <c r="I18" s="1" t="n"/>
      <c r="J18" s="1" t="n"/>
      <c r="K18" s="1" t="n"/>
      <c r="L18" s="1" t="n"/>
    </row>
    <row r="19">
      <c r="A19" s="1" t="n"/>
      <c r="B19" s="13" t="inlineStr">
        <is>
          <t>Accent 3</t>
        </is>
      </c>
      <c r="C19" s="13" t="inlineStr">
        <is>
          <t>Salmon</t>
        </is>
      </c>
      <c r="D19" s="145" t="inlineStr">
        <is>
          <t>#EB8360</t>
        </is>
      </c>
      <c r="E19" s="150" t="n"/>
      <c r="F19" s="13" t="inlineStr">
        <is>
          <t>Warm-ramp midpoint; subtitles and highlights on dark cards.</t>
        </is>
      </c>
      <c r="G19" s="1" t="n"/>
      <c r="H19" s="1" t="n"/>
      <c r="I19" s="1" t="n"/>
      <c r="J19" s="1" t="n"/>
      <c r="K19" s="1" t="n"/>
      <c r="L19" s="1" t="n"/>
    </row>
    <row r="20">
      <c r="A20" s="1" t="n"/>
      <c r="B20" s="13" t="inlineStr">
        <is>
          <t>Accent 4</t>
        </is>
      </c>
      <c r="C20" s="13" t="inlineStr">
        <is>
          <t>Oat</t>
        </is>
      </c>
      <c r="D20" s="145" t="inlineStr">
        <is>
          <t>#F3E2C4</t>
        </is>
      </c>
      <c r="E20" s="151" t="n"/>
      <c r="F20" s="13" t="inlineStr">
        <is>
          <t>Input-cell shading; light end of the warm ramp; key figures on dark cards.</t>
        </is>
      </c>
      <c r="G20" s="1" t="n"/>
      <c r="H20" s="1" t="n"/>
      <c r="I20" s="1" t="n"/>
      <c r="J20" s="1" t="n"/>
      <c r="K20" s="1" t="n"/>
      <c r="L20" s="1" t="n"/>
    </row>
    <row r="21">
      <c r="A21" s="1" t="n"/>
      <c r="B21" s="13" t="inlineStr">
        <is>
          <t>Accent 5</t>
        </is>
      </c>
      <c r="C21" s="13" t="inlineStr">
        <is>
          <t>Olive</t>
        </is>
      </c>
      <c r="D21" s="145" t="inlineStr">
        <is>
          <t>#788C5D</t>
        </is>
      </c>
      <c r="E21" s="152" t="n"/>
      <c r="F21" s="13" t="inlineStr">
        <is>
          <t>Cross-sheet links; the “good” state; cool-ramp second stop.</t>
        </is>
      </c>
      <c r="G21" s="1" t="n"/>
      <c r="H21" s="1" t="n"/>
      <c r="I21" s="1" t="n"/>
      <c r="J21" s="1" t="n"/>
      <c r="K21" s="1" t="n"/>
      <c r="L21" s="1" t="n"/>
    </row>
    <row r="22">
      <c r="A22" s="1" t="n"/>
      <c r="B22" s="13" t="inlineStr">
        <is>
          <t>Accent 6</t>
        </is>
      </c>
      <c r="C22" s="13" t="inlineStr">
        <is>
          <t>Cactus</t>
        </is>
      </c>
      <c r="D22" s="145" t="inlineStr">
        <is>
          <t>#BCD1CA</t>
        </is>
      </c>
      <c r="E22" s="153" t="n"/>
      <c r="F22" s="13" t="inlineStr">
        <is>
          <t>Light analysis tabs; cool-ramp third stop; soft positive shading.</t>
        </is>
      </c>
      <c r="G22" s="1" t="n"/>
      <c r="H22" s="1" t="n"/>
      <c r="I22" s="1" t="n"/>
      <c r="J22" s="1" t="n"/>
      <c r="K22" s="1" t="n"/>
      <c r="L22" s="1" t="n"/>
    </row>
    <row r="23">
      <c r="A23" s="1" t="n"/>
      <c r="B23" s="13" t="inlineStr">
        <is>
          <t>Hyperlink</t>
        </is>
      </c>
      <c r="C23" s="13" t="inlineStr">
        <is>
          <t>Deep Blue</t>
        </is>
      </c>
      <c r="D23" s="145" t="inlineStr">
        <is>
          <t>#1C63AF</t>
        </is>
      </c>
      <c r="E23" s="154" t="n"/>
      <c r="F23" s="13" t="inlineStr">
        <is>
          <t>Hyperlinks, hard-coded inputs, chart contrast series, diverging cold pole.</t>
        </is>
      </c>
      <c r="G23" s="1" t="n"/>
      <c r="H23" s="1" t="n"/>
      <c r="I23" s="1" t="n"/>
      <c r="J23" s="1" t="n"/>
      <c r="K23" s="1" t="n"/>
      <c r="L23" s="1" t="n"/>
    </row>
    <row r="24">
      <c r="A24" s="1" t="n"/>
      <c r="B24" s="13" t="inlineStr">
        <is>
          <t>Followed Hyperlink</t>
        </is>
      </c>
      <c r="C24" s="13" t="inlineStr">
        <is>
          <t>Fig</t>
        </is>
      </c>
      <c r="D24" s="145" t="inlineStr">
        <is>
          <t>#C46686</t>
        </is>
      </c>
      <c r="E24" s="155" t="n"/>
      <c r="F24" s="13" t="inlineStr">
        <is>
          <t>Followed links; reserve series color when six accents run out.</t>
        </is>
      </c>
      <c r="G24" s="1" t="n"/>
      <c r="H24" s="1" t="n"/>
      <c r="I24" s="1" t="n"/>
      <c r="J24" s="1" t="n"/>
      <c r="K24" s="1" t="n"/>
      <c r="L24" s="1" t="n"/>
    </row>
    <row r="25">
      <c r="A25" s="1" t="n"/>
      <c r="B25" s="143" t="inlineStr">
        <is>
          <t>Register once:  Page Layout → Themes → Colors → Customize Colors… → fill the ten slots + two link colors in the order above → name it “Anthropic Clay” → Save.</t>
        </is>
      </c>
      <c r="C25" s="1" t="n"/>
      <c r="D25" s="1" t="n"/>
      <c r="E25" s="1" t="n"/>
      <c r="F25" s="1" t="n"/>
      <c r="G25" s="1" t="n"/>
      <c r="H25" s="1" t="n"/>
      <c r="I25" s="1" t="n"/>
      <c r="J25" s="1" t="n"/>
      <c r="K25" s="1" t="n"/>
      <c r="L25" s="1" t="n"/>
    </row>
    <row r="26">
      <c r="A26" s="1" t="n"/>
      <c r="B26" s="143" t="inlineStr">
        <is>
          <t>The saved palette appears in Word (Design → Colors) and PowerPoint (Design → Variants → Colors) on this machine; export a full .thmx from PowerPoint to share colors + fonts together.</t>
        </is>
      </c>
      <c r="C26" s="1" t="n"/>
      <c r="D26" s="1" t="n"/>
      <c r="E26" s="1" t="n"/>
      <c r="F26" s="1" t="n"/>
      <c r="G26" s="1" t="n"/>
      <c r="H26" s="1" t="n"/>
      <c r="I26" s="1" t="n"/>
      <c r="J26" s="1" t="n"/>
      <c r="K26" s="1" t="n"/>
      <c r="L26" s="1" t="n"/>
    </row>
    <row r="27">
      <c r="A27" s="1" t="n"/>
      <c r="B27" s="1" t="n"/>
      <c r="C27" s="1" t="n"/>
      <c r="D27" s="1" t="n"/>
      <c r="E27" s="1" t="n"/>
      <c r="F27" s="1" t="n"/>
      <c r="G27" s="1" t="n"/>
      <c r="H27" s="1" t="n"/>
      <c r="I27" s="1" t="n"/>
      <c r="J27" s="1" t="n"/>
      <c r="K27" s="1" t="n"/>
      <c r="L27" s="1" t="n"/>
    </row>
    <row r="28">
      <c r="A28" s="1" t="n"/>
      <c r="B28" s="1" t="n"/>
      <c r="C28" s="1" t="n"/>
      <c r="D28" s="1" t="n"/>
      <c r="E28" s="1" t="n"/>
      <c r="F28" s="1" t="n"/>
      <c r="G28" s="1" t="n"/>
      <c r="H28" s="1" t="n"/>
      <c r="I28" s="1" t="n"/>
      <c r="J28" s="1" t="n"/>
      <c r="K28" s="1" t="n"/>
      <c r="L28" s="1" t="n"/>
    </row>
    <row r="29" ht="17" customHeight="1">
      <c r="A29" s="1" t="n"/>
      <c r="B29" s="142" t="inlineStr">
        <is>
          <t>02 — TYPE SYSTEM · SÖHNE</t>
        </is>
      </c>
      <c r="C29" s="23" t="n"/>
      <c r="D29" s="23" t="n"/>
      <c r="E29" s="23" t="n"/>
      <c r="F29" s="23" t="n"/>
      <c r="G29" s="23" t="n"/>
      <c r="H29" s="23" t="n"/>
      <c r="I29" s="23" t="n"/>
      <c r="J29" s="23" t="n"/>
      <c r="K29" s="23" t="n"/>
      <c r="L29" s="1" t="n"/>
    </row>
    <row r="30">
      <c r="A30" s="1" t="n"/>
      <c r="B30" s="143" t="inlineStr">
        <is>
          <t>Font theme: Page Layout → Fonts → Customize Fonts… → Heading: Söhne Kräftig, Body: Söhne → name it “Anthropic Söhne”. The theme holds only two slots — Mono and Kursiv are applied per the table below.</t>
        </is>
      </c>
      <c r="C30" s="1" t="n"/>
      <c r="D30" s="1" t="n"/>
      <c r="E30" s="1" t="n"/>
      <c r="F30" s="1" t="n"/>
      <c r="G30" s="1" t="n"/>
      <c r="H30" s="1" t="n"/>
      <c r="I30" s="1" t="n"/>
      <c r="J30" s="1" t="n"/>
      <c r="K30" s="1" t="n"/>
      <c r="L30" s="1" t="n"/>
    </row>
    <row r="31">
      <c r="A31" s="1" t="n"/>
      <c r="B31" s="144" t="inlineStr">
        <is>
          <t>Role</t>
        </is>
      </c>
      <c r="C31" s="144" t="inlineStr">
        <is>
          <t>Cut</t>
        </is>
      </c>
      <c r="D31" s="144" t="inlineStr">
        <is>
          <t>Size</t>
        </is>
      </c>
      <c r="E31" s="1" t="n"/>
      <c r="F31" s="144" t="inlineStr">
        <is>
          <t>Specimen — set in its own style</t>
        </is>
      </c>
      <c r="G31" s="1" t="n"/>
      <c r="H31" s="1" t="n"/>
      <c r="I31" s="1" t="n"/>
      <c r="J31" s="1" t="n"/>
      <c r="K31" s="1" t="n"/>
      <c r="L31" s="1" t="n"/>
    </row>
    <row r="32">
      <c r="A32" s="1" t="n"/>
      <c r="B32" s="13" t="inlineStr">
        <is>
          <t>Display / cover title</t>
        </is>
      </c>
      <c r="C32" s="13" t="inlineStr">
        <is>
          <t>Söhne Leicht</t>
        </is>
      </c>
      <c r="D32" s="145" t="inlineStr">
        <is>
          <t>22–30</t>
        </is>
      </c>
      <c r="E32" s="1" t="n"/>
      <c r="F32" s="156" t="inlineStr">
        <is>
          <t>C O M P U T E    C A P I T A L    S T A C K</t>
        </is>
      </c>
      <c r="G32" s="1" t="n"/>
      <c r="H32" s="1" t="n"/>
      <c r="I32" s="1" t="n"/>
      <c r="J32" s="1" t="n"/>
      <c r="K32" s="1" t="n"/>
      <c r="L32" s="1" t="n"/>
    </row>
    <row r="33">
      <c r="A33" s="1" t="n"/>
      <c r="B33" s="13" t="inlineStr">
        <is>
          <t>Display numerals / hero figures</t>
        </is>
      </c>
      <c r="C33" s="13" t="inlineStr">
        <is>
          <t>Söhne Leicht</t>
        </is>
      </c>
      <c r="D33" s="145" t="inlineStr">
        <is>
          <t>13–20</t>
        </is>
      </c>
      <c r="E33" s="1" t="n"/>
      <c r="F33" s="156" t="inlineStr">
        <is>
          <t>$108.6B  ·  8.4%  ·  2,250 MW</t>
        </is>
      </c>
      <c r="G33" s="1" t="n"/>
      <c r="H33" s="1" t="n"/>
      <c r="I33" s="1" t="n"/>
      <c r="J33" s="1" t="n"/>
      <c r="K33" s="1" t="n"/>
      <c r="L33" s="1" t="n"/>
    </row>
    <row r="34">
      <c r="A34" s="1" t="n"/>
      <c r="B34" s="13" t="inlineStr">
        <is>
          <t>Section band</t>
        </is>
      </c>
      <c r="C34" s="13" t="inlineStr">
        <is>
          <t>Söhne Kräftig</t>
        </is>
      </c>
      <c r="D34" s="145" t="inlineStr">
        <is>
          <t>9</t>
        </is>
      </c>
      <c r="E34" s="1" t="n"/>
      <c r="F34" s="157" t="inlineStr">
        <is>
          <t>DELIVERABILITY TURNS MEGAWATTS INTO CAPACITY</t>
        </is>
      </c>
      <c r="G34" s="1" t="n"/>
      <c r="H34" s="1" t="n"/>
      <c r="I34" s="1" t="n"/>
      <c r="J34" s="1" t="n"/>
      <c r="K34" s="1" t="n"/>
      <c r="L34" s="1" t="n"/>
    </row>
    <row r="35">
      <c r="A35" s="1" t="n"/>
      <c r="B35" s="13" t="inlineStr">
        <is>
          <t>Sheet title (row 2)</t>
        </is>
      </c>
      <c r="C35" s="13" t="inlineStr">
        <is>
          <t>Söhne Fett</t>
        </is>
      </c>
      <c r="D35" s="145" t="inlineStr">
        <is>
          <t>16</t>
        </is>
      </c>
      <c r="E35" s="1" t="n"/>
      <c r="F35" s="158" t="inlineStr">
        <is>
          <t>Sensitivity — 16pt, thin Ink rule under row 2, italic indented subtitle beneath the rule</t>
        </is>
      </c>
      <c r="G35" s="1" t="n"/>
      <c r="H35" s="1" t="n"/>
      <c r="I35" s="1" t="n"/>
      <c r="J35" s="1" t="n"/>
      <c r="K35" s="1" t="n"/>
      <c r="L35" s="1" t="n"/>
    </row>
    <row r="36">
      <c r="A36" s="1" t="n"/>
      <c r="B36" s="13" t="inlineStr">
        <is>
          <t>Key figures on dark cards</t>
        </is>
      </c>
      <c r="C36" s="13" t="inlineStr">
        <is>
          <t>Söhne Halbfett</t>
        </is>
      </c>
      <c r="D36" s="145" t="inlineStr">
        <is>
          <t>10–14</t>
        </is>
      </c>
      <c r="E36" s="1" t="n"/>
      <c r="F36" s="159" t="inlineStr">
        <is>
          <t>$3.95 /MTok</t>
        </is>
      </c>
      <c r="G36" s="1" t="n"/>
      <c r="H36" s="1" t="n"/>
      <c r="I36" s="1" t="n"/>
      <c r="J36" s="1" t="n"/>
      <c r="K36" s="1" t="n"/>
      <c r="L36" s="1" t="n"/>
    </row>
    <row r="37">
      <c r="A37" s="1" t="n"/>
      <c r="B37" s="13" t="inlineStr">
        <is>
          <t>Body / row label</t>
        </is>
      </c>
      <c r="C37" s="13" t="inlineStr">
        <is>
          <t>Söhne</t>
        </is>
      </c>
      <c r="D37" s="145" t="inlineStr">
        <is>
          <t>9–10</t>
        </is>
      </c>
      <c r="E37" s="1" t="n"/>
      <c r="F37" s="13" t="inlineStr">
        <is>
          <t>Realized queue conversion, ERCOT approved-to-energize</t>
        </is>
      </c>
      <c r="G37" s="1" t="n"/>
      <c r="H37" s="1" t="n"/>
      <c r="I37" s="1" t="n"/>
      <c r="J37" s="1" t="n"/>
      <c r="K37" s="1" t="n"/>
      <c r="L37" s="1" t="n"/>
    </row>
    <row r="38">
      <c r="A38" s="1" t="n"/>
      <c r="B38" s="13" t="inlineStr">
        <is>
          <t>Figures / data</t>
        </is>
      </c>
      <c r="C38" s="13" t="inlineStr">
        <is>
          <t>Söhne Mono</t>
        </is>
      </c>
      <c r="D38" s="145" t="inlineStr">
        <is>
          <t>9–10</t>
        </is>
      </c>
      <c r="E38" s="1" t="n"/>
      <c r="F38" s="145" t="inlineStr">
        <is>
          <t>$3.95 /MTok   ·   8.4%   ·   2,250 MW</t>
        </is>
      </c>
      <c r="G38" s="1" t="n"/>
      <c r="H38" s="1" t="n"/>
      <c r="I38" s="1" t="n"/>
      <c r="J38" s="1" t="n"/>
      <c r="K38" s="1" t="n"/>
      <c r="L38" s="1" t="n"/>
    </row>
    <row r="39">
      <c r="A39" s="1" t="n"/>
      <c r="B39" s="13" t="inlineStr">
        <is>
          <t>Key figures / emphasis</t>
        </is>
      </c>
      <c r="C39" s="13" t="inlineStr">
        <is>
          <t>Söhne Mono Kräftig</t>
        </is>
      </c>
      <c r="D39" s="145" t="inlineStr">
        <is>
          <t>9–10</t>
        </is>
      </c>
      <c r="E39" s="1" t="n"/>
      <c r="F39" s="160" t="inlineStr">
        <is>
          <t>$108.6B NPV</t>
        </is>
      </c>
      <c r="G39" s="1" t="n"/>
      <c r="H39" s="1" t="n"/>
      <c r="I39" s="1" t="n"/>
      <c r="J39" s="1" t="n"/>
      <c r="K39" s="1" t="n"/>
      <c r="L39" s="1" t="n"/>
    </row>
    <row r="40">
      <c r="A40" s="1" t="n"/>
      <c r="B40" s="13" t="inlineStr">
        <is>
          <t>Annotation / commentary</t>
        </is>
      </c>
      <c r="C40" s="13" t="inlineStr">
        <is>
          <t>Söhne Kursiv (italic)</t>
        </is>
      </c>
      <c r="D40" s="145" t="inlineStr">
        <is>
          <t>8</t>
        </is>
      </c>
      <c r="E40" s="1" t="n"/>
      <c r="F40" s="161" t="inlineStr">
        <is>
          <t>Cloud is cheapest to start; the mix pays as merchant power escalates.</t>
        </is>
      </c>
      <c r="G40" s="1" t="n"/>
      <c r="H40" s="1" t="n"/>
      <c r="I40" s="1" t="n"/>
      <c r="J40" s="1" t="n"/>
      <c r="K40" s="1" t="n"/>
      <c r="L40" s="1" t="n"/>
    </row>
    <row r="41">
      <c r="A41" s="1" t="n"/>
      <c r="B41" s="13" t="inlineStr">
        <is>
          <t>Footnote / metadata</t>
        </is>
      </c>
      <c r="C41" s="13" t="inlineStr">
        <is>
          <t>Söhne</t>
        </is>
      </c>
      <c r="D41" s="145" t="inlineStr">
        <is>
          <t>8</t>
        </is>
      </c>
      <c r="E41" s="1" t="n"/>
      <c r="F41" s="162" t="inlineStr">
        <is>
          <t>Sources: cell-level citations on the Sources tab.</t>
        </is>
      </c>
      <c r="G41" s="1" t="n"/>
      <c r="H41" s="1" t="n"/>
      <c r="I41" s="1" t="n"/>
      <c r="J41" s="1" t="n"/>
      <c r="K41" s="1" t="n"/>
      <c r="L41" s="1" t="n"/>
    </row>
    <row r="42">
      <c r="A42" s="1" t="n"/>
      <c r="B42" s="143" t="inlineStr">
        <is>
          <t>Söhne is licensed (Klim Type Foundry) — it must be installed locally; documents shared outside the team fall back to the viewer's default sans.</t>
        </is>
      </c>
      <c r="C42" s="1" t="n"/>
      <c r="D42" s="1" t="n"/>
      <c r="E42" s="1" t="n"/>
      <c r="F42" s="1" t="n"/>
      <c r="G42" s="1" t="n"/>
      <c r="H42" s="1" t="n"/>
      <c r="I42" s="1" t="n"/>
      <c r="J42" s="1" t="n"/>
      <c r="K42" s="1" t="n"/>
      <c r="L42" s="1" t="n"/>
    </row>
    <row r="43">
      <c r="A43" s="1" t="n"/>
      <c r="B43" s="1" t="n"/>
      <c r="C43" s="1" t="n"/>
      <c r="D43" s="1" t="n"/>
      <c r="E43" s="1" t="n"/>
      <c r="F43" s="1" t="n"/>
      <c r="G43" s="1" t="n"/>
      <c r="H43" s="1" t="n"/>
      <c r="I43" s="1" t="n"/>
      <c r="J43" s="1" t="n"/>
      <c r="K43" s="1" t="n"/>
      <c r="L43" s="1" t="n"/>
    </row>
    <row r="44">
      <c r="A44" s="1" t="n"/>
      <c r="B44" s="1" t="n"/>
      <c r="C44" s="1" t="n"/>
      <c r="D44" s="1" t="n"/>
      <c r="E44" s="1" t="n"/>
      <c r="F44" s="1" t="n"/>
      <c r="G44" s="1" t="n"/>
      <c r="H44" s="1" t="n"/>
      <c r="I44" s="1" t="n"/>
      <c r="J44" s="1" t="n"/>
      <c r="K44" s="1" t="n"/>
      <c r="L44" s="1" t="n"/>
    </row>
    <row r="45" ht="17" customHeight="1">
      <c r="A45" s="1" t="n"/>
      <c r="B45" s="142" t="inlineStr">
        <is>
          <t>03 — CELL STYLES · REPLACE THE M365 DEFAULTS</t>
        </is>
      </c>
      <c r="C45" s="23" t="n"/>
      <c r="D45" s="23" t="n"/>
      <c r="E45" s="23" t="n"/>
      <c r="F45" s="23" t="n"/>
      <c r="G45" s="23" t="n"/>
      <c r="H45" s="23" t="n"/>
      <c r="I45" s="23" t="n"/>
      <c r="J45" s="23" t="n"/>
      <c r="K45" s="23" t="n"/>
      <c r="L45" s="1" t="n"/>
    </row>
    <row r="46">
      <c r="A46" s="1" t="n"/>
      <c r="B46" s="143" t="inlineStr">
        <is>
          <t>Each example cell below is formatted as its own spec — register via Home → Cell Styles, or pull the full set into new files via Merge Styles…</t>
        </is>
      </c>
      <c r="C46" s="1" t="n"/>
      <c r="D46" s="1" t="n"/>
      <c r="E46" s="1" t="n"/>
      <c r="F46" s="1" t="n"/>
      <c r="G46" s="1" t="n"/>
      <c r="H46" s="1" t="n"/>
      <c r="I46" s="1" t="n"/>
      <c r="J46" s="1" t="n"/>
      <c r="K46" s="1" t="n"/>
      <c r="L46" s="1" t="n"/>
    </row>
    <row r="47">
      <c r="A47" s="1" t="n"/>
      <c r="B47" s="144" t="inlineStr">
        <is>
          <t>Style</t>
        </is>
      </c>
      <c r="C47" s="144" t="inlineStr">
        <is>
          <t>Replaces (M365)</t>
        </is>
      </c>
      <c r="D47" s="144" t="inlineStr">
        <is>
          <t>Example</t>
        </is>
      </c>
      <c r="E47" s="1" t="n"/>
      <c r="F47" s="144" t="inlineStr">
        <is>
          <t>Specification</t>
        </is>
      </c>
      <c r="G47" s="1" t="n"/>
      <c r="H47" s="1" t="n"/>
      <c r="I47" s="1" t="n"/>
      <c r="J47" s="1" t="n"/>
      <c r="K47" s="1" t="n"/>
      <c r="L47" s="1" t="n"/>
    </row>
    <row r="48">
      <c r="A48" s="1" t="n"/>
      <c r="B48" s="13" t="inlineStr">
        <is>
          <t>Normal</t>
        </is>
      </c>
      <c r="C48" s="163" t="inlineStr">
        <is>
          <t>Normal</t>
        </is>
      </c>
      <c r="D48" s="13" t="inlineStr">
        <is>
          <t>Body text</t>
        </is>
      </c>
      <c r="E48" s="1" t="n"/>
      <c r="F48" s="13" t="inlineStr">
        <is>
          <t>Söhne 9 · Ink #141413 · on Cream canvas · zeros as “–”, negatives in parentheses</t>
        </is>
      </c>
      <c r="G48" s="1" t="n"/>
      <c r="H48" s="1" t="n"/>
      <c r="I48" s="1" t="n"/>
      <c r="J48" s="1" t="n"/>
      <c r="K48" s="1" t="n"/>
      <c r="L48" s="1" t="n"/>
    </row>
    <row r="49">
      <c r="A49" s="1" t="n"/>
      <c r="B49" s="13" t="inlineStr">
        <is>
          <t>Title</t>
        </is>
      </c>
      <c r="C49" s="163" t="inlineStr">
        <is>
          <t>Title</t>
        </is>
      </c>
      <c r="D49" s="164" t="inlineStr">
        <is>
          <t>TITLE</t>
        </is>
      </c>
      <c r="E49" s="1" t="n"/>
      <c r="F49" s="13" t="inlineStr">
        <is>
          <t>Söhne Fett 22–30 · Cream on Char #282826 card · cover/title cards only</t>
        </is>
      </c>
      <c r="G49" s="1" t="n"/>
      <c r="H49" s="1" t="n"/>
      <c r="I49" s="1" t="n"/>
      <c r="J49" s="1" t="n"/>
      <c r="K49" s="1" t="n"/>
      <c r="L49" s="1" t="n"/>
    </row>
    <row r="50">
      <c r="A50" s="1" t="n"/>
      <c r="B50" s="13" t="inlineStr">
        <is>
          <t>Heading 1</t>
        </is>
      </c>
      <c r="C50" s="163" t="inlineStr">
        <is>
          <t>Heading 1</t>
        </is>
      </c>
      <c r="D50" s="165" t="inlineStr">
        <is>
          <t>SECTION</t>
        </is>
      </c>
      <c r="E50" s="1" t="n"/>
      <c r="F50" s="13" t="inlineStr">
        <is>
          <t>Söhne Kräftig 9 · Cream on Slate Char band · thin Ink rule above, THICK Ink rule below · vertically centered, 17pt row — bands read quiet next to the 16pt sheet title</t>
        </is>
      </c>
      <c r="G50" s="1" t="n"/>
      <c r="H50" s="1" t="n"/>
      <c r="I50" s="1" t="n"/>
      <c r="J50" s="1" t="n"/>
      <c r="K50" s="1" t="n"/>
      <c r="L50" s="1" t="n"/>
    </row>
    <row r="51">
      <c r="A51" s="1" t="n"/>
      <c r="B51" s="13" t="inlineStr">
        <is>
          <t>Heading 2</t>
        </is>
      </c>
      <c r="C51" s="163" t="inlineStr">
        <is>
          <t>Heading 2</t>
        </is>
      </c>
      <c r="D51" s="166" t="inlineStr">
        <is>
          <t>Subhead</t>
        </is>
      </c>
      <c r="E51" s="1" t="n"/>
      <c r="F51" s="13" t="inlineStr">
        <is>
          <t>Söhne Kräftig 11 · Ink · thin rule below in Slate Char</t>
        </is>
      </c>
      <c r="G51" s="1" t="n"/>
      <c r="H51" s="1" t="n"/>
      <c r="I51" s="1" t="n"/>
      <c r="J51" s="1" t="n"/>
      <c r="K51" s="1" t="n"/>
      <c r="L51" s="1" t="n"/>
    </row>
    <row r="52">
      <c r="A52" s="1" t="n"/>
      <c r="B52" s="13" t="inlineStr">
        <is>
          <t>Heading 3</t>
        </is>
      </c>
      <c r="C52" s="163" t="inlineStr">
        <is>
          <t>Heading 3</t>
        </is>
      </c>
      <c r="D52" s="167" t="inlineStr">
        <is>
          <t>FY2030E</t>
        </is>
      </c>
      <c r="E52" s="1" t="n"/>
      <c r="F52" s="13" t="inlineStr">
        <is>
          <t>Söhne 8–9 · Slate Char · thin rule below in Stone · column headers, years as text</t>
        </is>
      </c>
      <c r="G52" s="1" t="n"/>
      <c r="H52" s="1" t="n"/>
      <c r="I52" s="1" t="n"/>
      <c r="J52" s="1" t="n"/>
      <c r="K52" s="1" t="n"/>
      <c r="L52" s="1" t="n"/>
    </row>
    <row r="53">
      <c r="A53" s="1" t="n"/>
      <c r="B53" s="13" t="inlineStr">
        <is>
          <t>Input</t>
        </is>
      </c>
      <c r="C53" s="163" t="inlineStr">
        <is>
          <t>Input</t>
        </is>
      </c>
      <c r="D53" s="168" t="inlineStr">
        <is>
          <t>0.155</t>
        </is>
      </c>
      <c r="E53" s="1" t="n"/>
      <c r="F53" s="13" t="inlineStr">
        <is>
          <t>Söhne Mono 9 · Deep Blue on Oat · the only cells a reader should ever type into</t>
        </is>
      </c>
      <c r="G53" s="1" t="n"/>
      <c r="H53" s="1" t="n"/>
      <c r="I53" s="1" t="n"/>
      <c r="J53" s="1" t="n"/>
      <c r="K53" s="1" t="n"/>
      <c r="L53" s="1" t="n"/>
    </row>
    <row r="54">
      <c r="A54" s="1" t="n"/>
      <c r="B54" s="13" t="inlineStr">
        <is>
          <t>Calculation</t>
        </is>
      </c>
      <c r="C54" s="163" t="inlineStr">
        <is>
          <t>Calculation</t>
        </is>
      </c>
      <c r="D54" s="145">
        <f>C24-C25</f>
        <v/>
      </c>
      <c r="E54" s="1" t="n"/>
      <c r="F54" s="13" t="inlineStr">
        <is>
          <t>Söhne Mono 9 · Ink #141413 · no fill. Every derived figure. Never overwrite with a constant.</t>
        </is>
      </c>
      <c r="G54" s="1" t="n"/>
      <c r="H54" s="1" t="n"/>
      <c r="I54" s="1" t="n"/>
      <c r="J54" s="1" t="n"/>
      <c r="K54" s="1" t="n"/>
      <c r="L54" s="1" t="n"/>
    </row>
    <row r="55">
      <c r="A55" s="1" t="n"/>
      <c r="B55" s="13" t="inlineStr">
        <is>
          <t>Linked Cell</t>
        </is>
      </c>
      <c r="C55" s="163" t="inlineStr">
        <is>
          <t>Linked Cell</t>
        </is>
      </c>
      <c r="D55" s="169">
        <f>Summary!C6</f>
        <v/>
      </c>
      <c r="E55" s="1" t="n"/>
      <c r="F55" s="13" t="inlineStr">
        <is>
          <t>Söhne Mono 9 · Olive Ink #5C6B47 · no fill. Values pulled from another tab in this workbook.</t>
        </is>
      </c>
      <c r="G55" s="1" t="n"/>
      <c r="H55" s="1" t="n"/>
      <c r="I55" s="1" t="n"/>
      <c r="J55" s="1" t="n"/>
      <c r="K55" s="1" t="n"/>
      <c r="L55" s="1" t="n"/>
    </row>
    <row r="56">
      <c r="A56" s="1" t="n"/>
      <c r="B56" s="13" t="inlineStr">
        <is>
          <t>Total</t>
        </is>
      </c>
      <c r="C56" s="163" t="inlineStr">
        <is>
          <t>Total</t>
        </is>
      </c>
      <c r="D56" s="160" t="inlineStr">
        <is>
          <t>$108.6B</t>
        </is>
      </c>
      <c r="E56" s="1" t="n"/>
      <c r="F56" s="13" t="inlineStr">
        <is>
          <t>Söhne Mono Kräftig 9 · Ink #141413 · thin top rule #141413. Headline figures and column totals.</t>
        </is>
      </c>
      <c r="G56" s="1" t="n"/>
      <c r="H56" s="1" t="n"/>
      <c r="I56" s="1" t="n"/>
      <c r="J56" s="1" t="n"/>
      <c r="K56" s="1" t="n"/>
      <c r="L56" s="1" t="n"/>
    </row>
    <row r="57">
      <c r="A57" s="1" t="n"/>
      <c r="B57" s="13" t="inlineStr">
        <is>
          <t>Note</t>
        </is>
      </c>
      <c r="C57" s="163" t="inlineStr">
        <is>
          <t>Note</t>
        </is>
      </c>
      <c r="D57" s="161" t="inlineStr">
        <is>
          <t>Annotation</t>
        </is>
      </c>
      <c r="E57" s="1" t="n"/>
      <c r="F57" s="13" t="inlineStr">
        <is>
          <t>Söhne Kursiv 8 · Slate Char #3D3D3A · optional Ivory #F0EEE6 fill. Caveats, methods, editorial asides.</t>
        </is>
      </c>
      <c r="G57" s="1" t="n"/>
      <c r="H57" s="1" t="n"/>
      <c r="I57" s="1" t="n"/>
      <c r="J57" s="1" t="n"/>
      <c r="K57" s="1" t="n"/>
      <c r="L57" s="1" t="n"/>
    </row>
    <row r="58">
      <c r="A58" s="1" t="n"/>
      <c r="B58" s="13" t="inlineStr">
        <is>
          <t>Good</t>
        </is>
      </c>
      <c r="C58" s="163" t="inlineStr">
        <is>
          <t>Good</t>
        </is>
      </c>
      <c r="D58" s="169" t="inlineStr">
        <is>
          <t>PASS</t>
        </is>
      </c>
      <c r="E58" s="1" t="n"/>
      <c r="F58" s="13" t="inlineStr">
        <is>
          <t>Söhne Mono 9 · Olive Ink #5C6B47. Checks that pass, healthy covenants, favorable deltas.</t>
        </is>
      </c>
      <c r="G58" s="1" t="n"/>
      <c r="H58" s="1" t="n"/>
      <c r="I58" s="1" t="n"/>
      <c r="J58" s="1" t="n"/>
      <c r="K58" s="1" t="n"/>
      <c r="L58" s="1" t="n"/>
    </row>
    <row r="59">
      <c r="A59" s="1" t="n"/>
      <c r="B59" s="13" t="inlineStr">
        <is>
          <t>Bad</t>
        </is>
      </c>
      <c r="C59" s="163" t="inlineStr">
        <is>
          <t>Bad</t>
        </is>
      </c>
      <c r="D59" s="170" t="inlineStr">
        <is>
          <t>BREACH</t>
        </is>
      </c>
      <c r="E59" s="1" t="n"/>
      <c r="F59" s="13" t="inlineStr">
        <is>
          <t>Söhne Mono 9 · Clay Ink #A24F33 · optional Blush #EBC7C7 fill. Failed checks, negatives, alerts.</t>
        </is>
      </c>
      <c r="G59" s="1" t="n"/>
      <c r="H59" s="1" t="n"/>
      <c r="I59" s="1" t="n"/>
      <c r="J59" s="1" t="n"/>
      <c r="K59" s="1" t="n"/>
      <c r="L59" s="1" t="n"/>
    </row>
    <row r="60">
      <c r="A60" s="1" t="n"/>
      <c r="B60" s="13" t="inlineStr">
        <is>
          <t>Neutral</t>
        </is>
      </c>
      <c r="C60" s="163" t="inlineStr">
        <is>
          <t>Neutral</t>
        </is>
      </c>
      <c r="D60" s="171" t="inlineStr">
        <is>
          <t>n/a</t>
        </is>
      </c>
      <c r="E60" s="1" t="n"/>
      <c r="F60" s="13" t="inlineStr">
        <is>
          <t>Söhne Mono 9 · Stone Ink #6B6B63. Immaterial, suppressed, or not-applicable values.</t>
        </is>
      </c>
      <c r="G60" s="1" t="n"/>
      <c r="H60" s="1" t="n"/>
      <c r="I60" s="1" t="n"/>
      <c r="J60" s="1" t="n"/>
      <c r="K60" s="1" t="n"/>
      <c r="L60" s="1" t="n"/>
    </row>
    <row r="61">
      <c r="A61" s="1" t="n"/>
      <c r="B61" s="143" t="inlineStr">
        <is>
          <t>Styles are workbook-scoped: this file regenerates them from src/workbook/design.py — the module is the master, this sheet is the rendered spec.</t>
        </is>
      </c>
      <c r="C61" s="1" t="n"/>
      <c r="D61" s="1" t="n"/>
      <c r="E61" s="1" t="n"/>
      <c r="F61" s="1" t="n"/>
      <c r="G61" s="1" t="n"/>
      <c r="H61" s="1" t="n"/>
      <c r="I61" s="1" t="n"/>
      <c r="J61" s="1" t="n"/>
      <c r="K61" s="1" t="n"/>
      <c r="L61" s="1" t="n"/>
    </row>
    <row r="62">
      <c r="A62" s="1" t="n"/>
      <c r="B62" s="1" t="n"/>
      <c r="C62" s="1" t="n"/>
      <c r="D62" s="1" t="n"/>
      <c r="E62" s="1" t="n"/>
      <c r="F62" s="1" t="n"/>
      <c r="G62" s="1" t="n"/>
      <c r="H62" s="1" t="n"/>
      <c r="I62" s="1" t="n"/>
      <c r="J62" s="1" t="n"/>
      <c r="K62" s="1" t="n"/>
      <c r="L62" s="1" t="n"/>
    </row>
    <row r="63">
      <c r="A63" s="1" t="n"/>
      <c r="B63" s="1" t="n"/>
      <c r="C63" s="1" t="n"/>
      <c r="D63" s="1" t="n"/>
      <c r="E63" s="1" t="n"/>
      <c r="F63" s="1" t="n"/>
      <c r="G63" s="1" t="n"/>
      <c r="H63" s="1" t="n"/>
      <c r="I63" s="1" t="n"/>
      <c r="J63" s="1" t="n"/>
      <c r="K63" s="1" t="n"/>
      <c r="L63" s="1" t="n"/>
    </row>
    <row r="64" ht="17" customHeight="1">
      <c r="A64" s="1" t="n"/>
      <c r="B64" s="142" t="inlineStr">
        <is>
          <t>04 — EXTENDED PALETTE · OFF-THEME, DO NOT LOSE</t>
        </is>
      </c>
      <c r="C64" s="23" t="n"/>
      <c r="D64" s="23" t="n"/>
      <c r="E64" s="23" t="n"/>
      <c r="F64" s="23" t="n"/>
      <c r="G64" s="23" t="n"/>
      <c r="H64" s="23" t="n"/>
      <c r="I64" s="23" t="n"/>
      <c r="J64" s="23" t="n"/>
      <c r="K64" s="23" t="n"/>
      <c r="L64" s="1" t="n"/>
    </row>
    <row r="65">
      <c r="A65" s="1" t="n"/>
      <c r="B65" s="143" t="inlineStr">
        <is>
          <t>The Office theme caps at 12 slots. These working colors live only in this registry — they will NOT travel with the saved theme. Copy hexes from here.</t>
        </is>
      </c>
      <c r="C65" s="1" t="n"/>
      <c r="D65" s="1" t="n"/>
      <c r="E65" s="1" t="n"/>
      <c r="F65" s="1" t="n"/>
      <c r="G65" s="1" t="n"/>
      <c r="H65" s="1" t="n"/>
      <c r="I65" s="1" t="n"/>
      <c r="J65" s="1" t="n"/>
      <c r="K65" s="1" t="n"/>
      <c r="L65" s="1" t="n"/>
    </row>
    <row r="66">
      <c r="A66" s="1" t="n"/>
      <c r="B66" s="172" t="inlineStr">
        <is>
          <t>Name</t>
        </is>
      </c>
      <c r="C66" s="172" t="inlineStr">
        <is>
          <t>Hex</t>
        </is>
      </c>
      <c r="D66" s="172" t="inlineStr">
        <is>
          <t>Swatch</t>
        </is>
      </c>
      <c r="E66" s="1" t="n"/>
      <c r="F66" s="172" t="inlineStr">
        <is>
          <t>Role</t>
        </is>
      </c>
      <c r="G66" s="1" t="n"/>
      <c r="H66" s="1" t="n"/>
      <c r="I66" s="1" t="n"/>
      <c r="J66" s="1" t="n"/>
      <c r="K66" s="1" t="n"/>
      <c r="L66" s="1" t="n"/>
    </row>
    <row r="67">
      <c r="A67" s="1" t="n"/>
      <c r="B67" s="13" t="inlineStr">
        <is>
          <t>Amber</t>
        </is>
      </c>
      <c r="C67" s="145" t="inlineStr">
        <is>
          <t>#FAB85B</t>
        </is>
      </c>
      <c r="D67" s="173" t="n"/>
      <c r="E67" s="1" t="n"/>
      <c r="F67" s="13" t="inlineStr">
        <is>
          <t>Chart series when the six accents run out; the example graph's hero bar.</t>
        </is>
      </c>
      <c r="G67" s="1" t="n"/>
      <c r="H67" s="1" t="n"/>
      <c r="I67" s="1" t="n"/>
      <c r="J67" s="1" t="n"/>
      <c r="K67" s="1" t="n"/>
      <c r="L67" s="1" t="n"/>
    </row>
    <row r="68">
      <c r="A68" s="1" t="n"/>
      <c r="B68" s="13" t="inlineStr">
        <is>
          <t>Mint</t>
        </is>
      </c>
      <c r="C68" s="145" t="inlineStr">
        <is>
          <t>#ADD6C8</t>
        </is>
      </c>
      <c r="D68" s="174" t="n"/>
      <c r="E68" s="1" t="n"/>
      <c r="F68" s="13" t="inlineStr">
        <is>
          <t>Secondary cool series; softer alternative to Cactus in dense charts.</t>
        </is>
      </c>
      <c r="G68" s="1" t="n"/>
      <c r="H68" s="1" t="n"/>
      <c r="I68" s="1" t="n"/>
      <c r="J68" s="1" t="n"/>
      <c r="K68" s="1" t="n"/>
      <c r="L68" s="1" t="n"/>
    </row>
    <row r="69">
      <c r="A69" s="1" t="n"/>
      <c r="B69" s="13" t="inlineStr">
        <is>
          <t>Stone</t>
        </is>
      </c>
      <c r="C69" s="145" t="inlineStr">
        <is>
          <t>#B6B6AB</t>
        </is>
      </c>
      <c r="D69" s="175" t="n"/>
      <c r="E69" s="1" t="n"/>
      <c r="F69" s="13" t="inlineStr">
        <is>
          <t>Muted labels on dark cards, light table rules, neutral/suppressed figures.</t>
        </is>
      </c>
      <c r="G69" s="1" t="n"/>
      <c r="H69" s="1" t="n"/>
      <c r="I69" s="1" t="n"/>
      <c r="J69" s="1" t="n"/>
      <c r="K69" s="1" t="n"/>
      <c r="L69" s="1" t="n"/>
    </row>
    <row r="70">
      <c r="A70" s="1" t="n"/>
      <c r="B70" s="13" t="inlineStr">
        <is>
          <t>Blush</t>
        </is>
      </c>
      <c r="C70" s="145" t="inlineStr">
        <is>
          <t>#EBC7C7</t>
        </is>
      </c>
      <c r="D70" s="176" t="n"/>
      <c r="E70" s="1" t="n"/>
      <c r="F70" s="13" t="inlineStr">
        <is>
          <t>Soft negative shading — alert fills behind Bad text, light end of risk scales.</t>
        </is>
      </c>
      <c r="G70" s="1" t="n"/>
      <c r="H70" s="1" t="n"/>
      <c r="I70" s="1" t="n"/>
      <c r="J70" s="1" t="n"/>
      <c r="K70" s="1" t="n"/>
      <c r="L70" s="1" t="n"/>
    </row>
    <row r="71">
      <c r="A71" s="1" t="n"/>
      <c r="B71" s="13" t="inlineStr">
        <is>
          <t>Ivory</t>
        </is>
      </c>
      <c r="C71" s="145" t="inlineStr">
        <is>
          <t>#F0EEE6</t>
        </is>
      </c>
      <c r="D71" s="177" t="n"/>
      <c r="E71" s="1" t="n"/>
      <c r="F71" s="13" t="inlineStr">
        <is>
          <t>Panel headers, diverging-ramp midpoint, note fills — the quiet layer between Cream and Oatmilk.</t>
        </is>
      </c>
      <c r="G71" s="1" t="n"/>
      <c r="H71" s="1" t="n"/>
      <c r="I71" s="1" t="n"/>
      <c r="J71" s="1" t="n"/>
      <c r="K71" s="1" t="n"/>
      <c r="L71" s="1" t="n"/>
    </row>
    <row r="72">
      <c r="A72" s="1" t="n"/>
      <c r="B72" s="13" t="inlineStr">
        <is>
          <t>Dark Olive</t>
        </is>
      </c>
      <c r="C72" s="145" t="inlineStr">
        <is>
          <t>#56673F</t>
        </is>
      </c>
      <c r="D72" s="178" t="n"/>
      <c r="E72" s="1" t="n"/>
      <c r="F72" s="13" t="inlineStr">
        <is>
          <t>Tab strip only: Olive #788C5D sits on Excel's tab-text threshold and renders black; this depth guarantees white.</t>
        </is>
      </c>
      <c r="G72" s="1" t="n"/>
      <c r="H72" s="1" t="n"/>
      <c r="I72" s="1" t="n"/>
      <c r="J72" s="1" t="n"/>
      <c r="K72" s="1" t="n"/>
      <c r="L72" s="1" t="n"/>
    </row>
    <row r="73">
      <c r="A73" s="1" t="n"/>
      <c r="B73" s="13" t="inlineStr">
        <is>
          <t>Char</t>
        </is>
      </c>
      <c r="C73" s="145" t="inlineStr">
        <is>
          <t>#282826</t>
        </is>
      </c>
      <c r="D73" s="2" t="n"/>
      <c r="E73" s="1" t="n"/>
      <c r="F73" s="13" t="inlineStr">
        <is>
          <t>Title cards ONLY — the gravitas layer between Ink and Slate Char. Ink stays reserved for banding on top of it.</t>
        </is>
      </c>
      <c r="G73" s="1" t="n"/>
      <c r="H73" s="1" t="n"/>
      <c r="I73" s="1" t="n"/>
      <c r="J73" s="1" t="n"/>
      <c r="K73" s="1" t="n"/>
      <c r="L73" s="1" t="n"/>
    </row>
    <row r="74">
      <c r="A74" s="1" t="n"/>
      <c r="B74" s="13" t="inlineStr">
        <is>
          <t>Stone Dark</t>
        </is>
      </c>
      <c r="C74" s="145" t="inlineStr">
        <is>
          <t>#76766F</t>
        </is>
      </c>
      <c r="D74" s="179" t="n"/>
      <c r="E74" s="1" t="n"/>
      <c r="F74" s="13" t="inlineStr">
        <is>
          <t>Monotone tab tier for operating-detail sheets; mid step between Slate Char and Stone.</t>
        </is>
      </c>
      <c r="G74" s="1" t="n"/>
      <c r="H74" s="1" t="n"/>
      <c r="I74" s="1" t="n"/>
      <c r="J74" s="1" t="n"/>
      <c r="K74" s="1" t="n"/>
      <c r="L74" s="1" t="n"/>
    </row>
    <row r="75">
      <c r="A75" s="1" t="n"/>
      <c r="B75" s="1" t="n"/>
      <c r="C75" s="1" t="n"/>
      <c r="D75" s="1" t="n"/>
      <c r="E75" s="1" t="n"/>
      <c r="F75" s="1" t="n"/>
      <c r="G75" s="1" t="n"/>
      <c r="H75" s="1" t="n"/>
      <c r="I75" s="1" t="n"/>
      <c r="J75" s="1" t="n"/>
      <c r="K75" s="1" t="n"/>
      <c r="L75" s="1" t="n"/>
    </row>
    <row r="76" ht="17" customHeight="1">
      <c r="A76" s="1" t="n"/>
      <c r="B76" s="142" t="inlineStr">
        <is>
          <t>05 — DATA RAMPS &amp; HEAT MAPS</t>
        </is>
      </c>
      <c r="C76" s="23" t="n"/>
      <c r="D76" s="23" t="n"/>
      <c r="E76" s="23" t="n"/>
      <c r="F76" s="23" t="n"/>
      <c r="G76" s="23" t="n"/>
      <c r="H76" s="23" t="n"/>
      <c r="I76" s="23" t="n"/>
      <c r="J76" s="23" t="n"/>
      <c r="K76" s="23" t="n"/>
      <c r="L76" s="1" t="n"/>
    </row>
    <row r="77">
      <c r="A77" s="1" t="n"/>
      <c r="B77" s="1" t="n"/>
      <c r="C77" s="1" t="n"/>
      <c r="D77" s="1" t="n"/>
      <c r="E77" s="1" t="n"/>
      <c r="F77" s="1" t="n"/>
      <c r="G77" s="1" t="n"/>
      <c r="H77" s="1" t="n"/>
      <c r="I77" s="1" t="n"/>
      <c r="J77" s="1" t="n"/>
      <c r="K77" s="1" t="n"/>
      <c r="L77" s="1" t="n"/>
    </row>
    <row r="78">
      <c r="A78" s="1" t="n"/>
      <c r="B78" s="13" t="inlineStr">
        <is>
          <t>Warm sequential</t>
        </is>
      </c>
      <c r="C78" s="180" t="inlineStr">
        <is>
          <t>#C6613F</t>
        </is>
      </c>
      <c r="D78" s="181" t="inlineStr">
        <is>
          <t>#D97757</t>
        </is>
      </c>
      <c r="E78" s="182" t="inlineStr">
        <is>
          <t>#EB8360</t>
        </is>
      </c>
      <c r="F78" s="183" t="inlineStr">
        <is>
          <t>#F3E2C4</t>
        </is>
      </c>
      <c r="G78" s="1" t="n"/>
      <c r="H78" s="1" t="n"/>
      <c r="I78" s="1" t="n"/>
      <c r="J78" s="1" t="n"/>
      <c r="K78" s="1" t="n"/>
      <c r="L78" s="1" t="n"/>
    </row>
    <row r="79">
      <c r="A79" s="1" t="n"/>
      <c r="B79" s="13" t="inlineStr">
        <is>
          <t>Cool / secondary</t>
        </is>
      </c>
      <c r="C79" s="184" t="inlineStr">
        <is>
          <t>#1C63AF</t>
        </is>
      </c>
      <c r="D79" s="185" t="inlineStr">
        <is>
          <t>#788C5D</t>
        </is>
      </c>
      <c r="E79" s="186" t="inlineStr">
        <is>
          <t>#BCD1CA</t>
        </is>
      </c>
      <c r="F79" s="187" t="inlineStr">
        <is>
          <t>#F0EEE6</t>
        </is>
      </c>
      <c r="G79" s="1" t="n"/>
      <c r="H79" s="1" t="n"/>
      <c r="I79" s="1" t="n"/>
      <c r="J79" s="1" t="n"/>
      <c r="K79" s="1" t="n"/>
      <c r="L79" s="1" t="n"/>
    </row>
    <row r="80">
      <c r="A80" s="1" t="n"/>
      <c r="B80" s="13" t="inlineStr">
        <is>
          <t>Diverging</t>
        </is>
      </c>
      <c r="C80" s="180" t="inlineStr">
        <is>
          <t>#C6613F</t>
        </is>
      </c>
      <c r="D80" s="187" t="inlineStr">
        <is>
          <t>#F0EEE6</t>
        </is>
      </c>
      <c r="E80" s="184" t="inlineStr">
        <is>
          <t>#1C63AF</t>
        </is>
      </c>
      <c r="F80" s="1" t="n"/>
      <c r="G80" s="1" t="n"/>
      <c r="H80" s="1" t="n"/>
      <c r="I80" s="1" t="n"/>
      <c r="J80" s="1" t="n"/>
      <c r="K80" s="1" t="n"/>
      <c r="L80" s="1" t="n"/>
    </row>
    <row r="81">
      <c r="A81" s="1" t="n"/>
      <c r="B81" s="1" t="n"/>
      <c r="C81" s="1" t="n"/>
      <c r="D81" s="1" t="n"/>
      <c r="E81" s="1" t="n"/>
      <c r="F81" s="1" t="n"/>
      <c r="G81" s="1" t="n"/>
      <c r="H81" s="1" t="n"/>
      <c r="I81" s="1" t="n"/>
      <c r="J81" s="1" t="n"/>
      <c r="K81" s="1" t="n"/>
      <c r="L81" s="1" t="n"/>
    </row>
    <row r="82">
      <c r="A82" s="1" t="n"/>
      <c r="B82" s="143" t="inlineStr">
        <is>
          <t>Heat maps: two-sided tables (sensitivities, deltas vs base) take the diverging ramp Deep Clay → Ivory → Mint (#C6613F → #F0EEE6 → #ADD6C8); swap Mint for Deep Blue when the positive side needs more weight. One-sided intensity matrices take the warm sequential ramp, Cream → Oat → Deep Clay. Hairline Cream separators inside grids; never rainbow scales.</t>
        </is>
      </c>
      <c r="C82" s="1" t="n"/>
      <c r="D82" s="1" t="n"/>
      <c r="E82" s="1" t="n"/>
      <c r="F82" s="1" t="n"/>
      <c r="G82" s="1" t="n"/>
      <c r="H82" s="1" t="n"/>
      <c r="I82" s="1" t="n"/>
      <c r="J82" s="1" t="n"/>
      <c r="K82" s="1" t="n"/>
      <c r="L82" s="1" t="n"/>
    </row>
    <row r="83">
      <c r="A83" s="1" t="n"/>
      <c r="B83" s="143" t="inlineStr">
        <is>
          <t>Charts: titles in REGULAR Söhne 11 Deep Clay — never bold/Kräftig. Line series label the terminal point only; single-series bars take the warm sequential by value rank. Series order — lines: Deep Clay → Deep Blue → Olive → Amber; stacks: Oat → Salmon → Anthropic Clay → Deep Clay. Chart background fill #E8E6E9 (owner update); axis text Slate Char; gridlines Oatmilk; 4–7 major-unit intervals, locked.</t>
        </is>
      </c>
      <c r="C83" s="1" t="n"/>
      <c r="D83" s="1" t="n"/>
      <c r="E83" s="1" t="n"/>
      <c r="F83" s="1" t="n"/>
      <c r="G83" s="1" t="n"/>
      <c r="H83" s="1" t="n"/>
      <c r="I83" s="1" t="n"/>
      <c r="J83" s="1" t="n"/>
      <c r="K83" s="1" t="n"/>
      <c r="L83" s="1" t="n"/>
    </row>
    <row r="84">
      <c r="A84" s="1" t="n"/>
      <c r="B84" s="1" t="n"/>
      <c r="C84" s="1" t="n"/>
      <c r="D84" s="1" t="n"/>
      <c r="E84" s="1" t="n"/>
      <c r="F84" s="1" t="n"/>
      <c r="G84" s="1" t="n"/>
      <c r="H84" s="1" t="n"/>
      <c r="I84" s="1" t="n"/>
      <c r="J84" s="1" t="n"/>
      <c r="K84" s="1" t="n"/>
      <c r="L84" s="1" t="n"/>
    </row>
    <row r="85">
      <c r="A85" s="1" t="n"/>
      <c r="B85" s="1" t="n"/>
      <c r="C85" s="1" t="n"/>
      <c r="D85" s="1" t="n"/>
      <c r="E85" s="1" t="n"/>
      <c r="F85" s="1" t="n"/>
      <c r="G85" s="1" t="n"/>
      <c r="H85" s="1" t="n"/>
      <c r="I85" s="1" t="n"/>
      <c r="J85" s="1" t="n"/>
      <c r="K85" s="1" t="n"/>
      <c r="L85" s="1" t="n"/>
    </row>
    <row r="86" ht="17" customHeight="1">
      <c r="A86" s="1" t="n"/>
      <c r="B86" s="142" t="inlineStr">
        <is>
          <t>06 — STRUCTURAL CONVENTIONS</t>
        </is>
      </c>
      <c r="C86" s="23" t="n"/>
      <c r="D86" s="23" t="n"/>
      <c r="E86" s="23" t="n"/>
      <c r="F86" s="23" t="n"/>
      <c r="G86" s="23" t="n"/>
      <c r="H86" s="23" t="n"/>
      <c r="I86" s="23" t="n"/>
      <c r="J86" s="23" t="n"/>
      <c r="K86" s="23" t="n"/>
      <c r="L86" s="1" t="n"/>
    </row>
    <row r="87">
      <c r="A87" s="1" t="n"/>
      <c r="B87" s="1" t="n"/>
      <c r="C87" s="1" t="n"/>
      <c r="D87" s="1" t="n"/>
      <c r="E87" s="1" t="n"/>
      <c r="F87" s="1" t="n"/>
      <c r="G87" s="1" t="n"/>
      <c r="H87" s="1" t="n"/>
      <c r="I87" s="1" t="n"/>
      <c r="J87" s="1" t="n"/>
      <c r="K87" s="1" t="n"/>
      <c r="L87" s="1" t="n"/>
    </row>
    <row r="88">
      <c r="A88" s="1" t="n"/>
      <c r="B88" s="13" t="inlineStr">
        <is>
          <t>1.  Canvas: every sheet painted Cream #FAF9F5, gridlines OFF. Content starts at B2; column A stays empty as a narrow gutter.</t>
        </is>
      </c>
      <c r="C88" s="1" t="n"/>
      <c r="D88" s="1" t="n"/>
      <c r="E88" s="1" t="n"/>
      <c r="F88" s="1" t="n"/>
      <c r="G88" s="1" t="n"/>
      <c r="H88" s="1" t="n"/>
      <c r="I88" s="1" t="n"/>
      <c r="J88" s="1" t="n"/>
      <c r="K88" s="1" t="n"/>
      <c r="L88" s="1" t="n"/>
    </row>
    <row r="89">
      <c r="A89" s="1" t="n"/>
      <c r="B89" s="13" t="inlineStr">
        <is>
          <t>2.  Dark surfaces, three depths: Slate Char #3D3D3A is the working dark (heading bands); Char #282826 is reserved for title cards; Ink #141413 is reserved for banding that must pop on an already-dark surface (see the Cover card header) — and for text.</t>
        </is>
      </c>
      <c r="C89" s="1" t="n"/>
      <c r="D89" s="1" t="n"/>
      <c r="E89" s="1" t="n"/>
      <c r="F89" s="1" t="n"/>
      <c r="G89" s="1" t="n"/>
      <c r="H89" s="1" t="n"/>
      <c r="I89" s="1" t="n"/>
      <c r="J89" s="1" t="n"/>
      <c r="K89" s="1" t="n"/>
      <c r="L89" s="1" t="n"/>
    </row>
    <row r="90">
      <c r="A90" s="1" t="n"/>
      <c r="B90" s="13" t="inlineStr">
        <is>
          <t>3.  Cover card: full-bleed Char #282826 block — 30pt spaced Söhne Leicht display title, pipe-separated scope line, metadata stack, live =TEXT() headline stats, source note, Ink band for the computed block.</t>
        </is>
      </c>
      <c r="C90" s="1" t="n"/>
      <c r="D90" s="1" t="n"/>
      <c r="E90" s="1" t="n"/>
      <c r="F90" s="1" t="n"/>
      <c r="G90" s="1" t="n"/>
      <c r="H90" s="1" t="n"/>
      <c r="I90" s="1" t="n"/>
      <c r="J90" s="1" t="n"/>
      <c r="K90" s="1" t="n"/>
      <c r="L90" s="1" t="n"/>
    </row>
    <row r="91">
      <c r="A91" s="1" t="n"/>
      <c r="B91" s="13" t="inlineStr">
        <is>
          <t>4.  Title rows: B2 in Söhne Fett 16 Ink, a thin Ink rule on the BOTTOM of row 2 across the content width, subtitle in italic Söhne 9 Slate Char, indented one level, underneath the rule. Sharp weight and size contrast against 9pt bands is the hierarchy; hero numerals answer in Söhne Leicht.</t>
        </is>
      </c>
      <c r="C91" s="1" t="n"/>
      <c r="D91" s="1" t="n"/>
      <c r="E91" s="1" t="n"/>
      <c r="F91" s="1" t="n"/>
      <c r="G91" s="1" t="n"/>
      <c r="H91" s="1" t="n"/>
      <c r="I91" s="1" t="n"/>
      <c r="J91" s="1" t="n"/>
      <c r="K91" s="1" t="n"/>
      <c r="L91" s="1" t="n"/>
    </row>
    <row r="92">
      <c r="A92" s="1" t="n"/>
      <c r="B92" s="13" t="inlineStr">
        <is>
          <t>5.  Heading bands: Söhne Kräftig 9 Cream on Slate Char, vertically centered in a 17pt row, thin Ink rule on top + THICK Ink rule below. Bands are wayfinding, not headlines — they stay quiet.</t>
        </is>
      </c>
      <c r="C92" s="1" t="n"/>
      <c r="D92" s="1" t="n"/>
      <c r="E92" s="1" t="n"/>
      <c r="F92" s="1" t="n"/>
      <c r="G92" s="1" t="n"/>
      <c r="H92" s="1" t="n"/>
      <c r="I92" s="1" t="n"/>
      <c r="J92" s="1" t="n"/>
      <c r="K92" s="1" t="n"/>
      <c r="L92" s="1" t="n"/>
    </row>
    <row r="93">
      <c r="A93" s="1" t="n"/>
      <c r="B93" s="13" t="inlineStr">
        <is>
          <t>6.  Tabs: monotone tiers with varied hue — Ink/Char bookends (Cover, Design); Slate Char for the core engines; Stone Dark #76766F for operating detail; Stone for registries &amp; QA. Accent pops ONLY where analysis becomes recommendation: Summary and Portfolio Deep Clay, Assumptions Deep Blue, and the analysis cluster graded along the warm ramp (Risk Oat → Credit Salmon → MonteCarlo Anthropic Clay → Sensitivity Deep Clay).</t>
        </is>
      </c>
      <c r="C93" s="1" t="n"/>
      <c r="D93" s="1" t="n"/>
      <c r="E93" s="1" t="n"/>
      <c r="F93" s="1" t="n"/>
      <c r="G93" s="1" t="n"/>
      <c r="H93" s="1" t="n"/>
      <c r="I93" s="1" t="n"/>
      <c r="J93" s="1" t="n"/>
      <c r="K93" s="1" t="n"/>
      <c r="L93" s="1" t="n"/>
    </row>
    <row r="94">
      <c r="A94" s="1" t="n"/>
      <c r="B94" s="13" t="inlineStr">
        <is>
          <t>7.  ZERO merged cells, ever. A merged-cell effect = select the span, format the lead cell Horizontal alignment: Center Across Selection. Merges break sorting, fills, and structured selection.</t>
        </is>
      </c>
      <c r="C94" s="1" t="n"/>
      <c r="D94" s="1" t="n"/>
      <c r="E94" s="1" t="n"/>
      <c r="F94" s="1" t="n"/>
      <c r="G94" s="1" t="n"/>
      <c r="H94" s="1" t="n"/>
      <c r="I94" s="1" t="n"/>
      <c r="J94" s="1" t="n"/>
      <c r="K94" s="1" t="n"/>
      <c r="L94" s="1" t="n"/>
    </row>
    <row r="95">
      <c r="A95" s="1" t="n"/>
      <c r="B95" s="13" t="inlineStr">
        <is>
          <t>8.  Label/value spacing: never widen a label column to push values right. Keep columns normal width, place the value a few columns over, and let the label bleed invisibly across the empty cells between.</t>
        </is>
      </c>
      <c r="C95" s="1" t="n"/>
      <c r="D95" s="1" t="n"/>
      <c r="E95" s="1" t="n"/>
      <c r="F95" s="1" t="n"/>
      <c r="G95" s="1" t="n"/>
      <c r="H95" s="1" t="n"/>
      <c r="I95" s="1" t="n"/>
      <c r="J95" s="1" t="n"/>
      <c r="K95" s="1" t="n"/>
      <c r="L95" s="1" t="n"/>
    </row>
    <row r="96">
      <c r="A96" s="1" t="n"/>
      <c r="B96" s="13" t="inlineStr">
        <is>
          <t>9.  Long sheets freeze label column + header rows. Year/period headers live on Ivory #F0EEE6 strips.</t>
        </is>
      </c>
      <c r="C96" s="1" t="n"/>
      <c r="D96" s="1" t="n"/>
      <c r="E96" s="1" t="n"/>
      <c r="F96" s="1" t="n"/>
      <c r="G96" s="1" t="n"/>
      <c r="H96" s="1" t="n"/>
      <c r="I96" s="1" t="n"/>
      <c r="J96" s="1" t="n"/>
      <c r="K96" s="1" t="n"/>
      <c r="L96" s="1" t="n"/>
    </row>
    <row r="97">
      <c r="A97" s="1" t="n"/>
      <c r="B97" s="13" t="inlineStr">
        <is>
          <t>10. Numbers: zeros render as “-”, negatives in parentheses, units declared in headers (“$mm”, “GW”, “$/MTok”), years stored as text, multiples as 0.0x.</t>
        </is>
      </c>
      <c r="C97" s="1" t="n"/>
      <c r="D97" s="1" t="n"/>
      <c r="E97" s="1" t="n"/>
      <c r="F97" s="1" t="n"/>
      <c r="G97" s="1" t="n"/>
      <c r="H97" s="1" t="n"/>
      <c r="I97" s="1" t="n"/>
      <c r="J97" s="1" t="n"/>
      <c r="K97" s="1" t="n"/>
      <c r="L97" s="1" t="n"/>
    </row>
    <row r="98">
      <c r="A98" s="1" t="n"/>
      <c r="B98" s="13" t="inlineStr">
        <is>
          <t>11. Every assumption sits in a labeled Input cell referenced by formula — no magic numbers inside formulas; external figures carry cell-level source citations on Sources.</t>
        </is>
      </c>
      <c r="C98" s="1" t="n"/>
      <c r="D98" s="1" t="n"/>
      <c r="E98" s="1" t="n"/>
      <c r="F98" s="1" t="n"/>
      <c r="G98" s="1" t="n"/>
      <c r="H98" s="1" t="n"/>
      <c r="I98" s="1" t="n"/>
      <c r="J98" s="1" t="n"/>
      <c r="K98" s="1" t="n"/>
      <c r="L98" s="1" t="n"/>
    </row>
    <row r="99">
      <c r="A99" s="1" t="n"/>
      <c r="B99" s="13" t="inlineStr">
        <is>
          <t>12. Charts: regular-weight titles, terminal-point labels on lines, value-ranked warm ramp on single-series bars, legends below the plot — never overlapping it.</t>
        </is>
      </c>
      <c r="C99" s="1" t="n"/>
      <c r="D99" s="1" t="n"/>
      <c r="E99" s="1" t="n"/>
      <c r="F99" s="1" t="n"/>
      <c r="G99" s="1" t="n"/>
      <c r="H99" s="1" t="n"/>
      <c r="I99" s="1" t="n"/>
      <c r="J99" s="1" t="n"/>
      <c r="K99" s="1" t="n"/>
      <c r="L99" s="1" t="n"/>
    </row>
    <row r="100">
      <c r="A100" s="1" t="n"/>
      <c r="B100" s="13" t="inlineStr">
        <is>
          <t>13. Negative space is a feature: one blank row between blocks, thin #B6B6AB rules instead of boxes, no borders around whole tables.</t>
        </is>
      </c>
      <c r="C100" s="1" t="n"/>
      <c r="D100" s="1" t="n"/>
      <c r="E100" s="1" t="n"/>
      <c r="F100" s="1" t="n"/>
      <c r="G100" s="1" t="n"/>
      <c r="H100" s="1" t="n"/>
      <c r="I100" s="1" t="n"/>
      <c r="J100" s="1" t="n"/>
      <c r="K100" s="1" t="n"/>
      <c r="L100" s="1" t="n"/>
    </row>
    <row r="101">
      <c r="A101" s="1" t="n"/>
      <c r="B101" s="1" t="n"/>
      <c r="C101" s="1" t="n"/>
      <c r="D101" s="1" t="n"/>
      <c r="E101" s="1" t="n"/>
      <c r="F101" s="1" t="n"/>
      <c r="G101" s="1" t="n"/>
      <c r="H101" s="1" t="n"/>
      <c r="I101" s="1" t="n"/>
      <c r="J101" s="1" t="n"/>
      <c r="K101" s="1" t="n"/>
      <c r="L101" s="1" t="n"/>
    </row>
    <row r="102">
      <c r="A102" s="1" t="n"/>
      <c r="B102" s="143" t="inlineStr">
        <is>
          <t>This sheet is generated from src/workbook/design.py (ported from dday's styled copy, 2026-06-12). When the system changes, change the module.</t>
        </is>
      </c>
      <c r="C102" s="1" t="n"/>
      <c r="D102" s="1" t="n"/>
      <c r="E102" s="1" t="n"/>
      <c r="F102" s="1" t="n"/>
      <c r="G102" s="1" t="n"/>
      <c r="H102" s="1" t="n"/>
      <c r="I102" s="1" t="n"/>
      <c r="J102" s="1" t="n"/>
      <c r="K102" s="1" t="n"/>
      <c r="L102" s="1" t="n"/>
    </row>
    <row r="103">
      <c r="A103" s="1" t="n"/>
      <c r="B103" s="1" t="n"/>
      <c r="C103" s="1" t="n"/>
      <c r="D103" s="1" t="n"/>
      <c r="E103" s="1" t="n"/>
      <c r="F103" s="1" t="n"/>
      <c r="G103" s="1" t="n"/>
      <c r="H103" s="1" t="n"/>
      <c r="I103" s="1" t="n"/>
      <c r="J103" s="1" t="n"/>
      <c r="K103" s="1" t="n"/>
      <c r="L103" s="1" t="n"/>
    </row>
    <row r="104">
      <c r="A104" s="1" t="n"/>
      <c r="B104" s="1" t="n"/>
      <c r="C104" s="1" t="n"/>
      <c r="D104" s="1" t="n"/>
      <c r="E104" s="1" t="n"/>
      <c r="F104" s="1" t="n"/>
      <c r="G104" s="1" t="n"/>
      <c r="H104" s="1" t="n"/>
      <c r="I104" s="1" t="n"/>
      <c r="J104" s="1" t="n"/>
      <c r="K104" s="1" t="n"/>
      <c r="L104" s="1" t="n"/>
    </row>
    <row r="105">
      <c r="A105" s="1" t="n"/>
      <c r="B105" s="1" t="n"/>
      <c r="C105" s="1" t="n"/>
      <c r="D105" s="1" t="n"/>
      <c r="E105" s="1" t="n"/>
      <c r="F105" s="1" t="n"/>
      <c r="G105" s="1" t="n"/>
      <c r="H105" s="1" t="n"/>
      <c r="I105" s="1" t="n"/>
      <c r="J105" s="1" t="n"/>
      <c r="K105" s="1" t="n"/>
      <c r="L105" s="1" t="n"/>
    </row>
    <row r="106">
      <c r="A106" s="1" t="n"/>
      <c r="B106" s="1" t="n"/>
      <c r="C106" s="1" t="n"/>
      <c r="D106" s="1" t="n"/>
      <c r="E106" s="1" t="n"/>
      <c r="F106" s="1" t="n"/>
      <c r="G106" s="1" t="n"/>
      <c r="H106" s="1" t="n"/>
      <c r="I106" s="1" t="n"/>
      <c r="J106" s="1" t="n"/>
      <c r="K106" s="1" t="n"/>
      <c r="L106" s="1" t="n"/>
    </row>
    <row r="107">
      <c r="A107" s="1" t="n"/>
      <c r="B107" s="1" t="n"/>
      <c r="C107" s="1" t="n"/>
      <c r="D107" s="1" t="n"/>
      <c r="E107" s="1" t="n"/>
      <c r="F107" s="1" t="n"/>
      <c r="G107" s="1" t="n"/>
      <c r="H107" s="1" t="n"/>
      <c r="I107" s="1" t="n"/>
      <c r="J107" s="1" t="n"/>
      <c r="K107" s="1" t="n"/>
      <c r="L107" s="1" t="n"/>
    </row>
  </sheetData>
  <pageMargins left="0.4" right="0.4" top="0.5" bottom="0.5" header="0.3" footer="0.3"/>
  <pageSetup orientation="landscape" fitToHeight="0" fitToWidth="1"/>
</worksheet>
</file>

<file path=xl/worksheets/sheet3.xml><?xml version="1.0" encoding="utf-8"?>
<worksheet xmlns="http://schemas.openxmlformats.org/spreadsheetml/2006/main">
  <sheetPr>
    <tabColor rgb="00C6613F"/>
    <outlinePr summaryBelow="1" summaryRight="1"/>
    <pageSetUpPr fitToPage="1"/>
  </sheetPr>
  <dimension ref="A1:AB64"/>
  <sheetViews>
    <sheetView showGridLines="0" workbookViewId="0">
      <selection activeCell="A1" sqref="A1"/>
    </sheetView>
  </sheetViews>
  <sheetFormatPr baseColWidth="8" defaultRowHeight="15"/>
  <cols>
    <col width="2.5" customWidth="1" min="1" max="1"/>
    <col width="46" customWidth="1" min="2" max="2"/>
    <col width="9.4" customWidth="1" min="3" max="3"/>
    <col width="9.4" customWidth="1" min="4" max="4"/>
    <col width="9.4" customWidth="1" min="5" max="5"/>
    <col width="9.4" customWidth="1" min="6" max="6"/>
    <col width="9.4" customWidth="1" min="7" max="7"/>
    <col width="9.4" customWidth="1" min="8" max="8"/>
    <col width="9.4" customWidth="1" min="9" max="9"/>
    <col width="9.4" customWidth="1" min="10" max="10"/>
    <col width="9.4" customWidth="1" min="11" max="11"/>
    <col width="9.4" customWidth="1" min="12" max="12"/>
    <col width="9.4" customWidth="1" min="13" max="13"/>
    <col width="9.4" customWidth="1" min="14" max="14"/>
    <col width="9.4" customWidth="1" min="15" max="15"/>
    <col width="9.4" customWidth="1" min="16" max="16"/>
    <col width="9.4" customWidth="1" min="17" max="17"/>
    <col width="9.4" customWidth="1" min="18" max="18"/>
    <col width="9.4" customWidth="1" min="19" max="19"/>
    <col width="9.4" customWidth="1" min="20" max="20"/>
    <col width="62" customWidth="1" min="22" max="22"/>
  </cols>
  <sheetData>
    <row r="1" ht="9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</row>
    <row r="2" ht="22" customHeight="1">
      <c r="A2" s="1" t="n"/>
      <c r="B2" s="17" t="inlineStr">
        <is>
          <t>Portfolio</t>
        </is>
      </c>
      <c r="C2" s="18" t="n"/>
      <c r="D2" s="18" t="n"/>
      <c r="E2" s="18" t="n"/>
      <c r="F2" s="18" t="n"/>
      <c r="G2" s="18" t="n"/>
      <c r="H2" s="18" t="n"/>
      <c r="I2" s="18" t="n"/>
      <c r="J2" s="18" t="n"/>
      <c r="K2" s="18" t="n"/>
      <c r="L2" s="18" t="n"/>
      <c r="M2" s="18" t="n"/>
      <c r="N2" s="18" t="n"/>
      <c r="O2" s="18" t="n"/>
      <c r="P2" s="18" t="n"/>
      <c r="Q2" s="18" t="n"/>
      <c r="R2" s="18" t="n"/>
      <c r="S2" s="18" t="n"/>
      <c r="T2" s="18" t="n"/>
      <c r="U2" s="1" t="n"/>
      <c r="V2" s="1" t="n"/>
      <c r="W2" s="1" t="n"/>
      <c r="X2" s="1" t="n"/>
      <c r="Y2" s="1" t="n"/>
      <c r="Z2" s="1" t="n"/>
      <c r="AA2" s="1" t="n"/>
      <c r="AB2" s="1" t="n"/>
    </row>
    <row r="3">
      <c r="A3" s="1" t="n"/>
      <c r="B3" s="19" t="inlineStr">
        <is>
          <t>Capacity fills by merit order, but availability caps decide how much each source can actually deliver each year.</t>
        </is>
      </c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  <c r="M3" s="1" t="n"/>
      <c r="N3" s="1" t="n"/>
      <c r="O3" s="1" t="n"/>
      <c r="P3" s="1" t="n"/>
      <c r="Q3" s="1" t="n"/>
      <c r="R3" s="1" t="n"/>
      <c r="S3" s="1" t="n"/>
      <c r="T3" s="1" t="n"/>
      <c r="U3" s="1" t="n"/>
      <c r="V3" s="1" t="n"/>
      <c r="W3" s="1" t="n"/>
      <c r="X3" s="1" t="n"/>
      <c r="Y3" s="1" t="n"/>
      <c r="Z3" s="1" t="n"/>
      <c r="AA3" s="1" t="n"/>
      <c r="AB3" s="1" t="n"/>
    </row>
    <row r="4" ht="6" customHeight="1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  <c r="K4" s="1" t="n"/>
      <c r="L4" s="1" t="n"/>
      <c r="M4" s="1" t="n"/>
      <c r="N4" s="1" t="n"/>
      <c r="O4" s="1" t="n"/>
      <c r="P4" s="1" t="n"/>
      <c r="Q4" s="1" t="n"/>
      <c r="R4" s="1" t="n"/>
      <c r="S4" s="1" t="n"/>
      <c r="T4" s="1" t="n"/>
      <c r="U4" s="1" t="n"/>
      <c r="V4" s="1" t="n"/>
      <c r="W4" s="1" t="n"/>
      <c r="X4" s="1" t="n"/>
      <c r="Y4" s="1" t="n"/>
      <c r="Z4" s="1" t="n"/>
      <c r="AA4" s="1" t="n"/>
      <c r="AB4" s="1" t="n"/>
    </row>
    <row r="5">
      <c r="A5" s="1" t="n"/>
      <c r="B5" s="1" t="n"/>
      <c r="C5" s="38" t="n">
        <v>2023</v>
      </c>
      <c r="D5" s="38" t="n">
        <v>2024</v>
      </c>
      <c r="E5" s="38" t="n">
        <v>2025</v>
      </c>
      <c r="F5" s="38" t="n">
        <v>2026</v>
      </c>
      <c r="G5" s="38" t="n">
        <v>2027</v>
      </c>
      <c r="H5" s="38" t="n">
        <v>2028</v>
      </c>
      <c r="I5" s="38" t="n">
        <v>2029</v>
      </c>
      <c r="J5" s="38" t="n">
        <v>2030</v>
      </c>
      <c r="K5" s="38" t="n">
        <v>2031</v>
      </c>
      <c r="L5" s="38" t="n">
        <v>2032</v>
      </c>
      <c r="M5" s="38" t="n">
        <v>2033</v>
      </c>
      <c r="N5" s="38" t="n">
        <v>2034</v>
      </c>
      <c r="O5" s="38" t="n">
        <v>2035</v>
      </c>
      <c r="P5" s="38" t="n">
        <v>2036</v>
      </c>
      <c r="Q5" s="38" t="n">
        <v>2037</v>
      </c>
      <c r="R5" s="38" t="n">
        <v>2038</v>
      </c>
      <c r="S5" s="38" t="n">
        <v>2039</v>
      </c>
      <c r="T5" s="38" t="n">
        <v>2040</v>
      </c>
      <c r="U5" s="1" t="n"/>
      <c r="V5" s="1" t="n"/>
      <c r="W5" s="1" t="n"/>
      <c r="X5" s="1" t="n"/>
      <c r="Y5" s="1" t="n"/>
      <c r="Z5" s="1" t="n"/>
      <c r="AA5" s="1" t="n"/>
      <c r="AB5" s="1" t="n"/>
    </row>
    <row r="6" ht="17" customHeight="1">
      <c r="A6" s="1" t="n"/>
      <c r="B6" s="22" t="inlineStr">
        <is>
          <t>Deliverable capacity by source</t>
        </is>
      </c>
      <c r="C6" s="23" t="n"/>
      <c r="D6" s="23" t="n"/>
      <c r="E6" s="23" t="n"/>
      <c r="F6" s="23" t="n"/>
      <c r="G6" s="23" t="n"/>
      <c r="H6" s="23" t="n"/>
      <c r="I6" s="23" t="n"/>
      <c r="J6" s="23" t="n"/>
      <c r="K6" s="23" t="n"/>
      <c r="L6" s="23" t="n"/>
      <c r="M6" s="23" t="n"/>
      <c r="N6" s="23" t="n"/>
      <c r="O6" s="23" t="n"/>
      <c r="P6" s="23" t="n"/>
      <c r="Q6" s="23" t="n"/>
      <c r="R6" s="23" t="n"/>
      <c r="S6" s="23" t="n"/>
      <c r="T6" s="23" t="n"/>
      <c r="U6" s="1" t="n"/>
      <c r="V6" s="1" t="n"/>
      <c r="W6" s="1" t="n"/>
      <c r="X6" s="1" t="n"/>
      <c r="Y6" s="1" t="n"/>
      <c r="Z6" s="1" t="n"/>
      <c r="AA6" s="1" t="n"/>
      <c r="AB6" s="1" t="n"/>
    </row>
    <row r="7" ht="14" customHeight="1">
      <c r="A7" s="1" t="n"/>
      <c r="B7" s="39" t="inlineStr"/>
      <c r="C7" s="40" t="inlineStr">
        <is>
          <t>FY'23</t>
        </is>
      </c>
      <c r="D7" s="40" t="inlineStr">
        <is>
          <t>FY'24</t>
        </is>
      </c>
      <c r="E7" s="40" t="inlineStr">
        <is>
          <t>FY'25</t>
        </is>
      </c>
      <c r="F7" s="41" t="inlineStr">
        <is>
          <t>FY'26</t>
        </is>
      </c>
      <c r="G7" s="41" t="inlineStr">
        <is>
          <t>FY'27</t>
        </is>
      </c>
      <c r="H7" s="41" t="inlineStr">
        <is>
          <t>FY'28</t>
        </is>
      </c>
      <c r="I7" s="41" t="inlineStr">
        <is>
          <t>FY'29</t>
        </is>
      </c>
      <c r="J7" s="41" t="inlineStr">
        <is>
          <t>FY'30</t>
        </is>
      </c>
      <c r="K7" s="41" t="inlineStr">
        <is>
          <t>FY'31</t>
        </is>
      </c>
      <c r="L7" s="41" t="inlineStr">
        <is>
          <t>FY'32</t>
        </is>
      </c>
      <c r="M7" s="41" t="inlineStr">
        <is>
          <t>FY'33</t>
        </is>
      </c>
      <c r="N7" s="41" t="inlineStr">
        <is>
          <t>FY'34</t>
        </is>
      </c>
      <c r="O7" s="41" t="inlineStr">
        <is>
          <t>FY'35</t>
        </is>
      </c>
      <c r="P7" s="41" t="inlineStr">
        <is>
          <t>FY'36</t>
        </is>
      </c>
      <c r="Q7" s="41" t="inlineStr">
        <is>
          <t>FY'37</t>
        </is>
      </c>
      <c r="R7" s="41" t="inlineStr">
        <is>
          <t>FY'38</t>
        </is>
      </c>
      <c r="S7" s="41" t="inlineStr">
        <is>
          <t>FY'39</t>
        </is>
      </c>
      <c r="T7" s="41" t="inlineStr">
        <is>
          <t>FY'40</t>
        </is>
      </c>
      <c r="U7" s="1" t="n"/>
      <c r="V7" s="1" t="n"/>
      <c r="W7" s="1" t="n"/>
      <c r="X7" s="1" t="n"/>
      <c r="Y7" s="1" t="n"/>
      <c r="Z7" s="1" t="n"/>
      <c r="AA7" s="1" t="n"/>
      <c r="AB7" s="1" t="n"/>
    </row>
    <row r="8">
      <c r="A8" s="1" t="n"/>
      <c r="B8" s="29" t="inlineStr">
        <is>
          <t>Direct PPA, validated transfer (GW cap)</t>
        </is>
      </c>
      <c r="C8" s="1" t="n"/>
      <c r="D8" s="1" t="n"/>
      <c r="E8" s="1" t="n"/>
      <c r="F8" s="42">
        <f>IF(F$5&lt;nCapPpaStart,0,MIN(nCapPpaMax,nCapPpaRate*(F$5-nCapPpaStart+1)))</f>
        <v/>
      </c>
      <c r="G8" s="42">
        <f>IF(G$5&lt;nCapPpaStart,0,MIN(nCapPpaMax,nCapPpaRate*(G$5-nCapPpaStart+1)))</f>
        <v/>
      </c>
      <c r="H8" s="42">
        <f>IF(H$5&lt;nCapPpaStart,0,MIN(nCapPpaMax,nCapPpaRate*(H$5-nCapPpaStart+1)))</f>
        <v/>
      </c>
      <c r="I8" s="42">
        <f>IF(I$5&lt;nCapPpaStart,0,MIN(nCapPpaMax,nCapPpaRate*(I$5-nCapPpaStart+1)))</f>
        <v/>
      </c>
      <c r="J8" s="42">
        <f>IF(J$5&lt;nCapPpaStart,0,MIN(nCapPpaMax,nCapPpaRate*(J$5-nCapPpaStart+1)))</f>
        <v/>
      </c>
      <c r="K8" s="42">
        <f>IF(K$5&lt;nCapPpaStart,0,MIN(nCapPpaMax,nCapPpaRate*(K$5-nCapPpaStart+1)))</f>
        <v/>
      </c>
      <c r="L8" s="42">
        <f>IF(L$5&lt;nCapPpaStart,0,MIN(nCapPpaMax,nCapPpaRate*(L$5-nCapPpaStart+1)))</f>
        <v/>
      </c>
      <c r="M8" s="42">
        <f>IF(M$5&lt;nCapPpaStart,0,MIN(nCapPpaMax,nCapPpaRate*(M$5-nCapPpaStart+1)))</f>
        <v/>
      </c>
      <c r="N8" s="42">
        <f>IF(N$5&lt;nCapPpaStart,0,MIN(nCapPpaMax,nCapPpaRate*(N$5-nCapPpaStart+1)))</f>
        <v/>
      </c>
      <c r="O8" s="42">
        <f>IF(O$5&lt;nCapPpaStart,0,MIN(nCapPpaMax,nCapPpaRate*(O$5-nCapPpaStart+1)))</f>
        <v/>
      </c>
      <c r="P8" s="42">
        <f>IF(P$5&lt;nCapPpaStart,0,MIN(nCapPpaMax,nCapPpaRate*(P$5-nCapPpaStart+1)))</f>
        <v/>
      </c>
      <c r="Q8" s="42">
        <f>IF(Q$5&lt;nCapPpaStart,0,MIN(nCapPpaMax,nCapPpaRate*(Q$5-nCapPpaStart+1)))</f>
        <v/>
      </c>
      <c r="R8" s="42">
        <f>IF(R$5&lt;nCapPpaStart,0,MIN(nCapPpaMax,nCapPpaRate*(R$5-nCapPpaStart+1)))</f>
        <v/>
      </c>
      <c r="S8" s="42">
        <f>IF(S$5&lt;nCapPpaStart,0,MIN(nCapPpaMax,nCapPpaRate*(S$5-nCapPpaStart+1)))</f>
        <v/>
      </c>
      <c r="T8" s="42">
        <f>IF(T$5&lt;nCapPpaStart,0,MIN(nCapPpaMax,nCapPpaRate*(T$5-nCapPpaStart+1)))</f>
        <v/>
      </c>
      <c r="U8" s="1" t="n"/>
      <c r="V8" s="43" t="inlineStr">
        <is>
          <t>Caps are stated deliverability judgments at stage; no cap is a contract. Measured capacity, power, and N-SMR series bound them, and the residual is finite and reprices with utilization.</t>
        </is>
      </c>
      <c r="W8" s="1" t="n"/>
      <c r="X8" s="1" t="n"/>
      <c r="Y8" s="1" t="n"/>
      <c r="Z8" s="1" t="n"/>
      <c r="AA8" s="1" t="n"/>
      <c r="AB8" s="1" t="n"/>
    </row>
    <row r="9">
      <c r="A9" s="1" t="n"/>
      <c r="B9" s="29" t="inlineStr">
        <is>
          <t>Stranded/curtailed capture (GW cap)</t>
        </is>
      </c>
      <c r="C9" s="1" t="n"/>
      <c r="D9" s="1" t="n"/>
      <c r="E9" s="1" t="n"/>
      <c r="F9" s="42">
        <f>IF(F$5&lt;2027,0,MIN(nCapStrMax,nCapStrRate*(F$5-2026)))</f>
        <v/>
      </c>
      <c r="G9" s="42">
        <f>IF(G$5&lt;2027,0,MIN(nCapStrMax,nCapStrRate*(G$5-2026)))</f>
        <v/>
      </c>
      <c r="H9" s="42">
        <f>IF(H$5&lt;2027,0,MIN(nCapStrMax,nCapStrRate*(H$5-2026)))</f>
        <v/>
      </c>
      <c r="I9" s="42">
        <f>IF(I$5&lt;2027,0,MIN(nCapStrMax,nCapStrRate*(I$5-2026)))</f>
        <v/>
      </c>
      <c r="J9" s="42">
        <f>IF(J$5&lt;2027,0,MIN(nCapStrMax,nCapStrRate*(J$5-2026)))</f>
        <v/>
      </c>
      <c r="K9" s="42">
        <f>IF(K$5&lt;2027,0,MIN(nCapStrMax,nCapStrRate*(K$5-2026)))</f>
        <v/>
      </c>
      <c r="L9" s="42">
        <f>IF(L$5&lt;2027,0,MIN(nCapStrMax,nCapStrRate*(L$5-2026)))</f>
        <v/>
      </c>
      <c r="M9" s="42">
        <f>IF(M$5&lt;2027,0,MIN(nCapStrMax,nCapStrRate*(M$5-2026)))</f>
        <v/>
      </c>
      <c r="N9" s="42">
        <f>IF(N$5&lt;2027,0,MIN(nCapStrMax,nCapStrRate*(N$5-2026)))</f>
        <v/>
      </c>
      <c r="O9" s="42">
        <f>IF(O$5&lt;2027,0,MIN(nCapStrMax,nCapStrRate*(O$5-2026)))</f>
        <v/>
      </c>
      <c r="P9" s="42">
        <f>IF(P$5&lt;2027,0,MIN(nCapStrMax,nCapStrRate*(P$5-2026)))</f>
        <v/>
      </c>
      <c r="Q9" s="42">
        <f>IF(Q$5&lt;2027,0,MIN(nCapStrMax,nCapStrRate*(Q$5-2026)))</f>
        <v/>
      </c>
      <c r="R9" s="42">
        <f>IF(R$5&lt;2027,0,MIN(nCapStrMax,nCapStrRate*(R$5-2026)))</f>
        <v/>
      </c>
      <c r="S9" s="42">
        <f>IF(S$5&lt;2027,0,MIN(nCapStrMax,nCapStrRate*(S$5-2026)))</f>
        <v/>
      </c>
      <c r="T9" s="42">
        <f>IF(T$5&lt;2027,0,MIN(nCapStrMax,nCapStrRate*(T$5-2026)))</f>
        <v/>
      </c>
      <c r="U9" s="1" t="n"/>
      <c r="V9" s="1" t="n"/>
      <c r="W9" s="1" t="n"/>
      <c r="X9" s="1" t="n"/>
      <c r="Y9" s="1" t="n"/>
      <c r="Z9" s="1" t="n"/>
      <c r="AA9" s="1" t="n"/>
      <c r="AB9" s="1" t="n"/>
    </row>
    <row r="10">
      <c r="A10" s="1" t="n"/>
      <c r="B10" s="29" t="inlineStr">
        <is>
          <t>N-SMR fleet (GW cap)</t>
        </is>
      </c>
      <c r="C10" s="1" t="n"/>
      <c r="D10" s="1" t="n"/>
      <c r="E10" s="1" t="n"/>
      <c r="F10" s="42">
        <f>MIN(nNsmrFleetMax,IF(F$5&lt;sNsmrCodU1,0,IF(F$5&lt;sNsmrCodU2,1,2+MAX(0,F$5-sNsmrCodU2-1)*nNsmrFleetRate)))*sNsmrUnitMw/1000</f>
        <v/>
      </c>
      <c r="G10" s="42">
        <f>MIN(nNsmrFleetMax,IF(G$5&lt;sNsmrCodU1,0,IF(G$5&lt;sNsmrCodU2,1,2+MAX(0,G$5-sNsmrCodU2-1)*nNsmrFleetRate)))*sNsmrUnitMw/1000</f>
        <v/>
      </c>
      <c r="H10" s="42">
        <f>MIN(nNsmrFleetMax,IF(H$5&lt;sNsmrCodU1,0,IF(H$5&lt;sNsmrCodU2,1,2+MAX(0,H$5-sNsmrCodU2-1)*nNsmrFleetRate)))*sNsmrUnitMw/1000</f>
        <v/>
      </c>
      <c r="I10" s="42">
        <f>MIN(nNsmrFleetMax,IF(I$5&lt;sNsmrCodU1,0,IF(I$5&lt;sNsmrCodU2,1,2+MAX(0,I$5-sNsmrCodU2-1)*nNsmrFleetRate)))*sNsmrUnitMw/1000</f>
        <v/>
      </c>
      <c r="J10" s="42">
        <f>MIN(nNsmrFleetMax,IF(J$5&lt;sNsmrCodU1,0,IF(J$5&lt;sNsmrCodU2,1,2+MAX(0,J$5-sNsmrCodU2-1)*nNsmrFleetRate)))*sNsmrUnitMw/1000</f>
        <v/>
      </c>
      <c r="K10" s="42">
        <f>MIN(nNsmrFleetMax,IF(K$5&lt;sNsmrCodU1,0,IF(K$5&lt;sNsmrCodU2,1,2+MAX(0,K$5-sNsmrCodU2-1)*nNsmrFleetRate)))*sNsmrUnitMw/1000</f>
        <v/>
      </c>
      <c r="L10" s="42">
        <f>MIN(nNsmrFleetMax,IF(L$5&lt;sNsmrCodU1,0,IF(L$5&lt;sNsmrCodU2,1,2+MAX(0,L$5-sNsmrCodU2-1)*nNsmrFleetRate)))*sNsmrUnitMw/1000</f>
        <v/>
      </c>
      <c r="M10" s="42">
        <f>MIN(nNsmrFleetMax,IF(M$5&lt;sNsmrCodU1,0,IF(M$5&lt;sNsmrCodU2,1,2+MAX(0,M$5-sNsmrCodU2-1)*nNsmrFleetRate)))*sNsmrUnitMw/1000</f>
        <v/>
      </c>
      <c r="N10" s="42">
        <f>MIN(nNsmrFleetMax,IF(N$5&lt;sNsmrCodU1,0,IF(N$5&lt;sNsmrCodU2,1,2+MAX(0,N$5-sNsmrCodU2-1)*nNsmrFleetRate)))*sNsmrUnitMw/1000</f>
        <v/>
      </c>
      <c r="O10" s="42">
        <f>MIN(nNsmrFleetMax,IF(O$5&lt;sNsmrCodU1,0,IF(O$5&lt;sNsmrCodU2,1,2+MAX(0,O$5-sNsmrCodU2-1)*nNsmrFleetRate)))*sNsmrUnitMw/1000</f>
        <v/>
      </c>
      <c r="P10" s="42">
        <f>MIN(nNsmrFleetMax,IF(P$5&lt;sNsmrCodU1,0,IF(P$5&lt;sNsmrCodU2,1,2+MAX(0,P$5-sNsmrCodU2-1)*nNsmrFleetRate)))*sNsmrUnitMw/1000</f>
        <v/>
      </c>
      <c r="Q10" s="42">
        <f>MIN(nNsmrFleetMax,IF(Q$5&lt;sNsmrCodU1,0,IF(Q$5&lt;sNsmrCodU2,1,2+MAX(0,Q$5-sNsmrCodU2-1)*nNsmrFleetRate)))*sNsmrUnitMw/1000</f>
        <v/>
      </c>
      <c r="R10" s="42">
        <f>MIN(nNsmrFleetMax,IF(R$5&lt;sNsmrCodU1,0,IF(R$5&lt;sNsmrCodU2,1,2+MAX(0,R$5-sNsmrCodU2-1)*nNsmrFleetRate)))*sNsmrUnitMw/1000</f>
        <v/>
      </c>
      <c r="S10" s="42">
        <f>MIN(nNsmrFleetMax,IF(S$5&lt;sNsmrCodU1,0,IF(S$5&lt;sNsmrCodU2,1,2+MAX(0,S$5-sNsmrCodU2-1)*nNsmrFleetRate)))*sNsmrUnitMw/1000</f>
        <v/>
      </c>
      <c r="T10" s="42">
        <f>MIN(nNsmrFleetMax,IF(T$5&lt;sNsmrCodU1,0,IF(T$5&lt;sNsmrCodU2,1,2+MAX(0,T$5-sNsmrCodU2-1)*nNsmrFleetRate)))*sNsmrUnitMw/1000</f>
        <v/>
      </c>
      <c r="U10" s="1" t="n"/>
      <c r="V10" s="1" t="n"/>
      <c r="W10" s="1" t="n"/>
      <c r="X10" s="1" t="n"/>
      <c r="Y10" s="1" t="n"/>
      <c r="Z10" s="1" t="n"/>
      <c r="AA10" s="1" t="n"/>
      <c r="AB10" s="1" t="n"/>
    </row>
    <row r="11">
      <c r="A11" s="1" t="n"/>
      <c r="B11" s="29" t="inlineStr">
        <is>
          <t>Residual grid-blended capacity (GW cap)</t>
        </is>
      </c>
      <c r="C11" s="1" t="n"/>
      <c r="D11" s="1" t="n"/>
      <c r="E11" s="1" t="n"/>
      <c r="F11" s="42">
        <f>MAX(0,10.000000-SUM(F8:F10))</f>
        <v/>
      </c>
      <c r="G11" s="42">
        <f>MAX(0,10.000000-SUM(G8:G10))</f>
        <v/>
      </c>
      <c r="H11" s="42">
        <f>MAX(0,10.000000-SUM(H8:H10))</f>
        <v/>
      </c>
      <c r="I11" s="42">
        <f>MAX(0,3.000000-SUM(I8:I10))</f>
        <v/>
      </c>
      <c r="J11" s="42">
        <f>MAX(0,4.650000-SUM(J8:J10))</f>
        <v/>
      </c>
      <c r="K11" s="42">
        <f>MAX(0,5.350000-SUM(K8:K10))</f>
        <v/>
      </c>
      <c r="L11" s="42">
        <f>MAX(0,6.450000-SUM(L8:L10))</f>
        <v/>
      </c>
      <c r="M11" s="42">
        <f>MAX(0,7.650000-SUM(M8:M10))</f>
        <v/>
      </c>
      <c r="N11" s="42">
        <f>MAX(0,9.650000-SUM(N8:N10))</f>
        <v/>
      </c>
      <c r="O11" s="42">
        <f>MAX(0,12.300000-SUM(O8:O10))</f>
        <v/>
      </c>
      <c r="P11" s="42">
        <f>MAX(0,14.100000-SUM(P8:P10))</f>
        <v/>
      </c>
      <c r="Q11" s="42">
        <f>MAX(0,15.900000-SUM(Q8:Q10))</f>
        <v/>
      </c>
      <c r="R11" s="42">
        <f>MAX(0,15.900000-SUM(R8:R10))</f>
        <v/>
      </c>
      <c r="S11" s="42">
        <f>MAX(0,15.900000-SUM(S8:S10))</f>
        <v/>
      </c>
      <c r="T11" s="42">
        <f>MAX(0,22.250000-SUM(T8:T10))</f>
        <v/>
      </c>
      <c r="U11" s="1" t="n"/>
      <c r="V11" s="1" t="n"/>
      <c r="W11" s="1" t="n"/>
      <c r="X11" s="1" t="n"/>
      <c r="Y11" s="1" t="n"/>
      <c r="Z11" s="1" t="n"/>
      <c r="AA11" s="1" t="n"/>
      <c r="AB11" s="1" t="n"/>
    </row>
    <row r="12">
      <c r="A12" s="1" t="n"/>
      <c r="B12" s="20" t="inlineStr">
        <is>
          <t>Demand, serving load (GW)</t>
        </is>
      </c>
      <c r="C12" s="1" t="n"/>
      <c r="D12" s="1" t="n"/>
      <c r="E12" s="1" t="n"/>
      <c r="F12" s="44">
        <f>Anthropic!F14</f>
        <v/>
      </c>
      <c r="G12" s="44">
        <f>Anthropic!G14</f>
        <v/>
      </c>
      <c r="H12" s="44">
        <f>Anthropic!H14</f>
        <v/>
      </c>
      <c r="I12" s="44">
        <f>Anthropic!I14</f>
        <v/>
      </c>
      <c r="J12" s="44">
        <f>Anthropic!J14</f>
        <v/>
      </c>
      <c r="K12" s="44">
        <f>Anthropic!K14</f>
        <v/>
      </c>
      <c r="L12" s="44">
        <f>Anthropic!L14</f>
        <v/>
      </c>
      <c r="M12" s="44">
        <f>Anthropic!M14</f>
        <v/>
      </c>
      <c r="N12" s="44">
        <f>Anthropic!N14</f>
        <v/>
      </c>
      <c r="O12" s="44">
        <f>Anthropic!O14</f>
        <v/>
      </c>
      <c r="P12" s="44">
        <f>Anthropic!P14</f>
        <v/>
      </c>
      <c r="Q12" s="44">
        <f>Anthropic!Q14</f>
        <v/>
      </c>
      <c r="R12" s="44">
        <f>Anthropic!R14</f>
        <v/>
      </c>
      <c r="S12" s="44">
        <f>Anthropic!S14</f>
        <v/>
      </c>
      <c r="T12" s="44">
        <f>Anthropic!T14</f>
        <v/>
      </c>
      <c r="U12" s="1" t="n"/>
      <c r="V12" s="1" t="n"/>
      <c r="W12" s="1" t="n"/>
      <c r="X12" s="1" t="n"/>
      <c r="Y12" s="1" t="n"/>
      <c r="Z12" s="1" t="n"/>
      <c r="AA12" s="1" t="n"/>
      <c r="AB12" s="1" t="n"/>
    </row>
    <row r="13">
      <c r="A13" s="1" t="n"/>
      <c r="B13" s="1" t="n"/>
      <c r="C13" s="1" t="n"/>
      <c r="D13" s="1" t="n"/>
      <c r="E13" s="1" t="n"/>
      <c r="F13" s="1" t="n"/>
      <c r="G13" s="1" t="n"/>
      <c r="H13" s="1" t="n"/>
      <c r="I13" s="1" t="n"/>
      <c r="J13" s="1" t="n"/>
      <c r="K13" s="1" t="n"/>
      <c r="L13" s="1" t="n"/>
      <c r="M13" s="1" t="n"/>
      <c r="N13" s="1" t="n"/>
      <c r="O13" s="1" t="n"/>
      <c r="P13" s="1" t="n"/>
      <c r="Q13" s="1" t="n"/>
      <c r="R13" s="1" t="n"/>
      <c r="S13" s="1" t="n"/>
      <c r="T13" s="1" t="n"/>
      <c r="U13" s="1" t="n"/>
      <c r="V13" s="1" t="n"/>
      <c r="W13" s="1" t="n"/>
      <c r="X13" s="1" t="n"/>
      <c r="Y13" s="1" t="n"/>
      <c r="Z13" s="1" t="n"/>
      <c r="AA13" s="1" t="n"/>
      <c r="AB13" s="1" t="n"/>
    </row>
    <row r="14" ht="17" customHeight="1">
      <c r="A14" s="1" t="n"/>
      <c r="B14" s="22" t="inlineStr">
        <is>
          <t>Merit order under the caps</t>
        </is>
      </c>
      <c r="C14" s="23" t="n"/>
      <c r="D14" s="23" t="n"/>
      <c r="E14" s="23" t="n"/>
      <c r="F14" s="23" t="n"/>
      <c r="G14" s="23" t="n"/>
      <c r="H14" s="23" t="n"/>
      <c r="I14" s="23" t="n"/>
      <c r="J14" s="23" t="n"/>
      <c r="K14" s="23" t="n"/>
      <c r="L14" s="23" t="n"/>
      <c r="M14" s="23" t="n"/>
      <c r="N14" s="23" t="n"/>
      <c r="O14" s="23" t="n"/>
      <c r="P14" s="23" t="n"/>
      <c r="Q14" s="23" t="n"/>
      <c r="R14" s="23" t="n"/>
      <c r="S14" s="23" t="n"/>
      <c r="T14" s="23" t="n"/>
      <c r="U14" s="1" t="n"/>
      <c r="V14" s="1" t="n"/>
      <c r="W14" s="1" t="n"/>
      <c r="X14" s="1" t="n"/>
      <c r="Y14" s="1" t="n"/>
      <c r="Z14" s="1" t="n"/>
      <c r="AA14" s="1" t="n"/>
      <c r="AB14" s="1" t="n"/>
    </row>
    <row r="15" ht="14" customHeight="1">
      <c r="A15" s="1" t="n"/>
      <c r="B15" s="39" t="inlineStr"/>
      <c r="C15" s="40" t="inlineStr">
        <is>
          <t>FY'23</t>
        </is>
      </c>
      <c r="D15" s="40" t="inlineStr">
        <is>
          <t>FY'24</t>
        </is>
      </c>
      <c r="E15" s="40" t="inlineStr">
        <is>
          <t>FY'25</t>
        </is>
      </c>
      <c r="F15" s="41" t="inlineStr">
        <is>
          <t>FY'26</t>
        </is>
      </c>
      <c r="G15" s="41" t="inlineStr">
        <is>
          <t>FY'27</t>
        </is>
      </c>
      <c r="H15" s="41" t="inlineStr">
        <is>
          <t>FY'28</t>
        </is>
      </c>
      <c r="I15" s="41" t="inlineStr">
        <is>
          <t>FY'29</t>
        </is>
      </c>
      <c r="J15" s="41" t="inlineStr">
        <is>
          <t>FY'30</t>
        </is>
      </c>
      <c r="K15" s="41" t="inlineStr">
        <is>
          <t>FY'31</t>
        </is>
      </c>
      <c r="L15" s="41" t="inlineStr">
        <is>
          <t>FY'32</t>
        </is>
      </c>
      <c r="M15" s="41" t="inlineStr">
        <is>
          <t>FY'33</t>
        </is>
      </c>
      <c r="N15" s="41" t="inlineStr">
        <is>
          <t>FY'34</t>
        </is>
      </c>
      <c r="O15" s="41" t="inlineStr">
        <is>
          <t>FY'35</t>
        </is>
      </c>
      <c r="P15" s="41" t="inlineStr">
        <is>
          <t>FY'36</t>
        </is>
      </c>
      <c r="Q15" s="41" t="inlineStr">
        <is>
          <t>FY'37</t>
        </is>
      </c>
      <c r="R15" s="41" t="inlineStr">
        <is>
          <t>FY'38</t>
        </is>
      </c>
      <c r="S15" s="41" t="inlineStr">
        <is>
          <t>FY'39</t>
        </is>
      </c>
      <c r="T15" s="41" t="inlineStr">
        <is>
          <t>FY'40</t>
        </is>
      </c>
      <c r="U15" s="1" t="n"/>
      <c r="V15" s="1" t="n"/>
      <c r="W15" s="1" t="n"/>
      <c r="X15" s="1" t="n"/>
      <c r="Y15" s="1" t="n"/>
      <c r="Z15" s="1" t="n"/>
      <c r="AA15" s="1" t="n"/>
      <c r="AB15" s="1" t="n"/>
    </row>
    <row r="16">
      <c r="A16" s="1" t="n"/>
      <c r="B16" s="29" t="inlineStr">
        <is>
          <t>Direct PPA, effective ($/MWh)</t>
        </is>
      </c>
      <c r="C16" s="1" t="n"/>
      <c r="D16" s="1" t="n"/>
      <c r="E16" s="1" t="n"/>
      <c r="F16" s="45">
        <f>IF(F8&lt;=0,9000+1,Anthropic!F27+1*0.0001)</f>
        <v/>
      </c>
      <c r="G16" s="45">
        <f>IF(G8&lt;=0,9000+1,Anthropic!G27+1*0.0001)</f>
        <v/>
      </c>
      <c r="H16" s="45">
        <f>IF(H8&lt;=0,9000+1,Anthropic!H27+1*0.0001)</f>
        <v/>
      </c>
      <c r="I16" s="45">
        <f>IF(I8&lt;=0,9000+1,Anthropic!I27+1*0.0001)</f>
        <v/>
      </c>
      <c r="J16" s="45">
        <f>IF(J8&lt;=0,9000+1,Anthropic!J27+1*0.0001)</f>
        <v/>
      </c>
      <c r="K16" s="45">
        <f>IF(K8&lt;=0,9000+1,Anthropic!K27+1*0.0001)</f>
        <v/>
      </c>
      <c r="L16" s="45">
        <f>IF(L8&lt;=0,9000+1,Anthropic!L27+1*0.0001)</f>
        <v/>
      </c>
      <c r="M16" s="45">
        <f>IF(M8&lt;=0,9000+1,Anthropic!M27+1*0.0001)</f>
        <v/>
      </c>
      <c r="N16" s="45">
        <f>IF(N8&lt;=0,9000+1,Anthropic!N27+1*0.0001)</f>
        <v/>
      </c>
      <c r="O16" s="45">
        <f>IF(O8&lt;=0,9000+1,Anthropic!O27+1*0.0001)</f>
        <v/>
      </c>
      <c r="P16" s="45">
        <f>IF(P8&lt;=0,9000+1,Anthropic!P27+1*0.0001)</f>
        <v/>
      </c>
      <c r="Q16" s="45">
        <f>IF(Q8&lt;=0,9000+1,Anthropic!Q27+1*0.0001)</f>
        <v/>
      </c>
      <c r="R16" s="45">
        <f>IF(R8&lt;=0,9000+1,Anthropic!R27+1*0.0001)</f>
        <v/>
      </c>
      <c r="S16" s="45">
        <f>IF(S8&lt;=0,9000+1,Anthropic!S27+1*0.0001)</f>
        <v/>
      </c>
      <c r="T16" s="45">
        <f>IF(T8&lt;=0,9000+1,Anthropic!T27+1*0.0001)</f>
        <v/>
      </c>
      <c r="U16" s="1" t="n"/>
      <c r="V16" s="1" t="n"/>
      <c r="W16" s="1" t="n"/>
      <c r="X16" s="1" t="n"/>
      <c r="Y16" s="1" t="n"/>
      <c r="Z16" s="1" t="n"/>
      <c r="AA16" s="1" t="n"/>
      <c r="AB16" s="1" t="n"/>
    </row>
    <row r="17">
      <c r="A17" s="1" t="n"/>
      <c r="B17" s="29" t="inlineStr">
        <is>
          <t>Stranded/curtailed, effective ($/MWh)</t>
        </is>
      </c>
      <c r="C17" s="1" t="n"/>
      <c r="D17" s="1" t="n"/>
      <c r="E17" s="1" t="n"/>
      <c r="F17" s="45">
        <f>IF(F9&lt;=0,9000+2,Anthropic!F28+2*0.0001)</f>
        <v/>
      </c>
      <c r="G17" s="45">
        <f>IF(G9&lt;=0,9000+2,Anthropic!G28+2*0.0001)</f>
        <v/>
      </c>
      <c r="H17" s="45">
        <f>IF(H9&lt;=0,9000+2,Anthropic!H28+2*0.0001)</f>
        <v/>
      </c>
      <c r="I17" s="45">
        <f>IF(I9&lt;=0,9000+2,Anthropic!I28+2*0.0001)</f>
        <v/>
      </c>
      <c r="J17" s="45">
        <f>IF(J9&lt;=0,9000+2,Anthropic!J28+2*0.0001)</f>
        <v/>
      </c>
      <c r="K17" s="45">
        <f>IF(K9&lt;=0,9000+2,Anthropic!K28+2*0.0001)</f>
        <v/>
      </c>
      <c r="L17" s="45">
        <f>IF(L9&lt;=0,9000+2,Anthropic!L28+2*0.0001)</f>
        <v/>
      </c>
      <c r="M17" s="45">
        <f>IF(M9&lt;=0,9000+2,Anthropic!M28+2*0.0001)</f>
        <v/>
      </c>
      <c r="N17" s="45">
        <f>IF(N9&lt;=0,9000+2,Anthropic!N28+2*0.0001)</f>
        <v/>
      </c>
      <c r="O17" s="45">
        <f>IF(O9&lt;=0,9000+2,Anthropic!O28+2*0.0001)</f>
        <v/>
      </c>
      <c r="P17" s="45">
        <f>IF(P9&lt;=0,9000+2,Anthropic!P28+2*0.0001)</f>
        <v/>
      </c>
      <c r="Q17" s="45">
        <f>IF(Q9&lt;=0,9000+2,Anthropic!Q28+2*0.0001)</f>
        <v/>
      </c>
      <c r="R17" s="45">
        <f>IF(R9&lt;=0,9000+2,Anthropic!R28+2*0.0001)</f>
        <v/>
      </c>
      <c r="S17" s="45">
        <f>IF(S9&lt;=0,9000+2,Anthropic!S28+2*0.0001)</f>
        <v/>
      </c>
      <c r="T17" s="45">
        <f>IF(T9&lt;=0,9000+2,Anthropic!T28+2*0.0001)</f>
        <v/>
      </c>
      <c r="U17" s="1" t="n"/>
      <c r="V17" s="1" t="n"/>
      <c r="W17" s="1" t="n"/>
      <c r="X17" s="1" t="n"/>
      <c r="Y17" s="1" t="n"/>
      <c r="Z17" s="1" t="n"/>
      <c r="AA17" s="1" t="n"/>
      <c r="AB17" s="1" t="n"/>
    </row>
    <row r="18">
      <c r="A18" s="1" t="n"/>
      <c r="B18" s="29" t="inlineStr">
        <is>
          <t>N-SMR all-in, effective ($/MWh)</t>
        </is>
      </c>
      <c r="C18" s="1" t="n"/>
      <c r="D18" s="1" t="n"/>
      <c r="E18" s="1" t="n"/>
      <c r="F18" s="45">
        <f>IF(F10&lt;=0,9000+3,Anthropic!F29+3*0.0001)</f>
        <v/>
      </c>
      <c r="G18" s="45">
        <f>IF(G10&lt;=0,9000+3,Anthropic!G29+3*0.0001)</f>
        <v/>
      </c>
      <c r="H18" s="45">
        <f>IF(H10&lt;=0,9000+3,Anthropic!H29+3*0.0001)</f>
        <v/>
      </c>
      <c r="I18" s="45">
        <f>IF(I10&lt;=0,9000+3,Anthropic!I29+3*0.0001)</f>
        <v/>
      </c>
      <c r="J18" s="45">
        <f>IF(J10&lt;=0,9000+3,Anthropic!J29+3*0.0001)</f>
        <v/>
      </c>
      <c r="K18" s="45">
        <f>IF(K10&lt;=0,9000+3,Anthropic!K29+3*0.0001)</f>
        <v/>
      </c>
      <c r="L18" s="45">
        <f>IF(L10&lt;=0,9000+3,Anthropic!L29+3*0.0001)</f>
        <v/>
      </c>
      <c r="M18" s="45">
        <f>IF(M10&lt;=0,9000+3,Anthropic!M29+3*0.0001)</f>
        <v/>
      </c>
      <c r="N18" s="45">
        <f>IF(N10&lt;=0,9000+3,Anthropic!N29+3*0.0001)</f>
        <v/>
      </c>
      <c r="O18" s="45">
        <f>IF(O10&lt;=0,9000+3,Anthropic!O29+3*0.0001)</f>
        <v/>
      </c>
      <c r="P18" s="45">
        <f>IF(P10&lt;=0,9000+3,Anthropic!P29+3*0.0001)</f>
        <v/>
      </c>
      <c r="Q18" s="45">
        <f>IF(Q10&lt;=0,9000+3,Anthropic!Q29+3*0.0001)</f>
        <v/>
      </c>
      <c r="R18" s="45">
        <f>IF(R10&lt;=0,9000+3,Anthropic!R29+3*0.0001)</f>
        <v/>
      </c>
      <c r="S18" s="45">
        <f>IF(S10&lt;=0,9000+3,Anthropic!S29+3*0.0001)</f>
        <v/>
      </c>
      <c r="T18" s="45">
        <f>IF(T10&lt;=0,9000+3,Anthropic!T29+3*0.0001)</f>
        <v/>
      </c>
      <c r="U18" s="1" t="n"/>
      <c r="V18" s="1" t="n"/>
      <c r="W18" s="1" t="n"/>
      <c r="X18" s="1" t="n"/>
      <c r="Y18" s="1" t="n"/>
      <c r="Z18" s="1" t="n"/>
      <c r="AA18" s="1" t="n"/>
      <c r="AB18" s="1" t="n"/>
    </row>
    <row r="19">
      <c r="A19" s="1" t="n"/>
      <c r="B19" s="29" t="inlineStr">
        <is>
          <t>Residual grid-blended capacity, effective ($/MWh)</t>
        </is>
      </c>
      <c r="C19" s="1" t="n"/>
      <c r="D19" s="1" t="n"/>
      <c r="E19" s="1" t="n"/>
      <c r="F19" s="45">
        <f>IF(F11&lt;=0,9000+4,Anthropic!F26*(1+nResidualBasisMarkup+nScarcityAlpha*POWER(MIN(F12,F11)/F11,nScarcityGamma))+4*0.0001)</f>
        <v/>
      </c>
      <c r="G19" s="45">
        <f>IF(G11&lt;=0,9000+4,Anthropic!G26*(1+nResidualBasisMarkup+nScarcityAlpha*POWER(MIN(G12,G11)/G11,nScarcityGamma))+4*0.0001)</f>
        <v/>
      </c>
      <c r="H19" s="45">
        <f>IF(H11&lt;=0,9000+4,Anthropic!H26*(1+nResidualBasisMarkup+nScarcityAlpha*POWER(MIN(H12,H11)/H11,nScarcityGamma))+4*0.0001)</f>
        <v/>
      </c>
      <c r="I19" s="45">
        <f>IF(I11&lt;=0,9000+4,Anthropic!I26*(1+nResidualBasisMarkup+nScarcityAlpha*POWER(MIN(I12,I11)/I11,nScarcityGamma))+4*0.0001)</f>
        <v/>
      </c>
      <c r="J19" s="45">
        <f>IF(J11&lt;=0,9000+4,Anthropic!J26*(1+nResidualBasisMarkup+nScarcityAlpha*POWER(MIN(J12,J11)/J11,nScarcityGamma))+4*0.0001)</f>
        <v/>
      </c>
      <c r="K19" s="45">
        <f>IF(K11&lt;=0,9000+4,Anthropic!K26*(1+nResidualBasisMarkup+nScarcityAlpha*POWER(MIN(K12,K11)/K11,nScarcityGamma))+4*0.0001)</f>
        <v/>
      </c>
      <c r="L19" s="45">
        <f>IF(L11&lt;=0,9000+4,Anthropic!L26*(1+nResidualBasisMarkup+nScarcityAlpha*POWER(MIN(L12,L11)/L11,nScarcityGamma))+4*0.0001)</f>
        <v/>
      </c>
      <c r="M19" s="45">
        <f>IF(M11&lt;=0,9000+4,Anthropic!M26*(1+nResidualBasisMarkup+nScarcityAlpha*POWER(MIN(M12,M11)/M11,nScarcityGamma))+4*0.0001)</f>
        <v/>
      </c>
      <c r="N19" s="45">
        <f>IF(N11&lt;=0,9000+4,Anthropic!N26*(1+nResidualBasisMarkup+nScarcityAlpha*POWER(MIN(N12,N11)/N11,nScarcityGamma))+4*0.0001)</f>
        <v/>
      </c>
      <c r="O19" s="45">
        <f>IF(O11&lt;=0,9000+4,Anthropic!O26*(1+nResidualBasisMarkup+nScarcityAlpha*POWER(MIN(O12,O11)/O11,nScarcityGamma))+4*0.0001)</f>
        <v/>
      </c>
      <c r="P19" s="45">
        <f>IF(P11&lt;=0,9000+4,Anthropic!P26*(1+nResidualBasisMarkup+nScarcityAlpha*POWER(MIN(P12,P11)/P11,nScarcityGamma))+4*0.0001)</f>
        <v/>
      </c>
      <c r="Q19" s="45">
        <f>IF(Q11&lt;=0,9000+4,Anthropic!Q26*(1+nResidualBasisMarkup+nScarcityAlpha*POWER(MIN(Q12,Q11)/Q11,nScarcityGamma))+4*0.0001)</f>
        <v/>
      </c>
      <c r="R19" s="45">
        <f>IF(R11&lt;=0,9000+4,Anthropic!R26*(1+nResidualBasisMarkup+nScarcityAlpha*POWER(MIN(R12,R11)/R11,nScarcityGamma))+4*0.0001)</f>
        <v/>
      </c>
      <c r="S19" s="45">
        <f>IF(S11&lt;=0,9000+4,Anthropic!S26*(1+nResidualBasisMarkup+nScarcityAlpha*POWER(MIN(S12,S11)/S11,nScarcityGamma))+4*0.0001)</f>
        <v/>
      </c>
      <c r="T19" s="45">
        <f>IF(T11&lt;=0,9000+4,Anthropic!T26*(1+nResidualBasisMarkup+nScarcityAlpha*POWER(MIN(T12,T11)/T11,nScarcityGamma))+4*0.0001)</f>
        <v/>
      </c>
      <c r="U19" s="1" t="n"/>
      <c r="V19" s="1" t="n"/>
      <c r="W19" s="1" t="n"/>
      <c r="X19" s="1" t="n"/>
      <c r="Y19" s="1" t="n"/>
      <c r="Z19" s="1" t="n"/>
      <c r="AA19" s="1" t="n"/>
      <c r="AB19" s="1" t="n"/>
    </row>
    <row r="20">
      <c r="A20" s="1" t="n"/>
      <c r="B20" s="29" t="inlineStr">
        <is>
          <t>First slot price ($/MWh)</t>
        </is>
      </c>
      <c r="C20" s="1" t="n"/>
      <c r="D20" s="1" t="n"/>
      <c r="E20" s="1" t="n"/>
      <c r="F20" s="45">
        <f>SMALL(F16:F19,1)</f>
        <v/>
      </c>
      <c r="G20" s="45">
        <f>SMALL(G16:G19,1)</f>
        <v/>
      </c>
      <c r="H20" s="45">
        <f>SMALL(H16:H19,1)</f>
        <v/>
      </c>
      <c r="I20" s="45">
        <f>SMALL(I16:I19,1)</f>
        <v/>
      </c>
      <c r="J20" s="45">
        <f>SMALL(J16:J19,1)</f>
        <v/>
      </c>
      <c r="K20" s="45">
        <f>SMALL(K16:K19,1)</f>
        <v/>
      </c>
      <c r="L20" s="45">
        <f>SMALL(L16:L19,1)</f>
        <v/>
      </c>
      <c r="M20" s="45">
        <f>SMALL(M16:M19,1)</f>
        <v/>
      </c>
      <c r="N20" s="45">
        <f>SMALL(N16:N19,1)</f>
        <v/>
      </c>
      <c r="O20" s="45">
        <f>SMALL(O16:O19,1)</f>
        <v/>
      </c>
      <c r="P20" s="45">
        <f>SMALL(P16:P19,1)</f>
        <v/>
      </c>
      <c r="Q20" s="45">
        <f>SMALL(Q16:Q19,1)</f>
        <v/>
      </c>
      <c r="R20" s="45">
        <f>SMALL(R16:R19,1)</f>
        <v/>
      </c>
      <c r="S20" s="45">
        <f>SMALL(S16:S19,1)</f>
        <v/>
      </c>
      <c r="T20" s="45">
        <f>SMALL(T16:T19,1)</f>
        <v/>
      </c>
      <c r="U20" s="1" t="n"/>
      <c r="V20" s="1" t="n"/>
      <c r="W20" s="1" t="n"/>
      <c r="X20" s="1" t="n"/>
      <c r="Y20" s="1" t="n"/>
      <c r="Z20" s="1" t="n"/>
      <c r="AA20" s="1" t="n"/>
      <c r="AB20" s="1" t="n"/>
    </row>
    <row r="21">
      <c r="A21" s="1" t="n"/>
      <c r="B21" s="29" t="inlineStr">
        <is>
          <t>Second slot price ($/MWh)</t>
        </is>
      </c>
      <c r="C21" s="1" t="n"/>
      <c r="D21" s="1" t="n"/>
      <c r="E21" s="1" t="n"/>
      <c r="F21" s="45">
        <f>SMALL(F16:F19,2)</f>
        <v/>
      </c>
      <c r="G21" s="45">
        <f>SMALL(G16:G19,2)</f>
        <v/>
      </c>
      <c r="H21" s="45">
        <f>SMALL(H16:H19,2)</f>
        <v/>
      </c>
      <c r="I21" s="45">
        <f>SMALL(I16:I19,2)</f>
        <v/>
      </c>
      <c r="J21" s="45">
        <f>SMALL(J16:J19,2)</f>
        <v/>
      </c>
      <c r="K21" s="45">
        <f>SMALL(K16:K19,2)</f>
        <v/>
      </c>
      <c r="L21" s="45">
        <f>SMALL(L16:L19,2)</f>
        <v/>
      </c>
      <c r="M21" s="45">
        <f>SMALL(M16:M19,2)</f>
        <v/>
      </c>
      <c r="N21" s="45">
        <f>SMALL(N16:N19,2)</f>
        <v/>
      </c>
      <c r="O21" s="45">
        <f>SMALL(O16:O19,2)</f>
        <v/>
      </c>
      <c r="P21" s="45">
        <f>SMALL(P16:P19,2)</f>
        <v/>
      </c>
      <c r="Q21" s="45">
        <f>SMALL(Q16:Q19,2)</f>
        <v/>
      </c>
      <c r="R21" s="45">
        <f>SMALL(R16:R19,2)</f>
        <v/>
      </c>
      <c r="S21" s="45">
        <f>SMALL(S16:S19,2)</f>
        <v/>
      </c>
      <c r="T21" s="45">
        <f>SMALL(T16:T19,2)</f>
        <v/>
      </c>
      <c r="U21" s="1" t="n"/>
      <c r="V21" s="1" t="n"/>
      <c r="W21" s="1" t="n"/>
      <c r="X21" s="1" t="n"/>
      <c r="Y21" s="1" t="n"/>
      <c r="Z21" s="1" t="n"/>
      <c r="AA21" s="1" t="n"/>
      <c r="AB21" s="1" t="n"/>
    </row>
    <row r="22">
      <c r="A22" s="1" t="n"/>
      <c r="B22" s="29" t="inlineStr">
        <is>
          <t>Third slot price ($/MWh)</t>
        </is>
      </c>
      <c r="C22" s="1" t="n"/>
      <c r="D22" s="1" t="n"/>
      <c r="E22" s="1" t="n"/>
      <c r="F22" s="45">
        <f>SMALL(F16:F19,3)</f>
        <v/>
      </c>
      <c r="G22" s="45">
        <f>SMALL(G16:G19,3)</f>
        <v/>
      </c>
      <c r="H22" s="45">
        <f>SMALL(H16:H19,3)</f>
        <v/>
      </c>
      <c r="I22" s="45">
        <f>SMALL(I16:I19,3)</f>
        <v/>
      </c>
      <c r="J22" s="45">
        <f>SMALL(J16:J19,3)</f>
        <v/>
      </c>
      <c r="K22" s="45">
        <f>SMALL(K16:K19,3)</f>
        <v/>
      </c>
      <c r="L22" s="45">
        <f>SMALL(L16:L19,3)</f>
        <v/>
      </c>
      <c r="M22" s="45">
        <f>SMALL(M16:M19,3)</f>
        <v/>
      </c>
      <c r="N22" s="45">
        <f>SMALL(N16:N19,3)</f>
        <v/>
      </c>
      <c r="O22" s="45">
        <f>SMALL(O16:O19,3)</f>
        <v/>
      </c>
      <c r="P22" s="45">
        <f>SMALL(P16:P19,3)</f>
        <v/>
      </c>
      <c r="Q22" s="45">
        <f>SMALL(Q16:Q19,3)</f>
        <v/>
      </c>
      <c r="R22" s="45">
        <f>SMALL(R16:R19,3)</f>
        <v/>
      </c>
      <c r="S22" s="45">
        <f>SMALL(S16:S19,3)</f>
        <v/>
      </c>
      <c r="T22" s="45">
        <f>SMALL(T16:T19,3)</f>
        <v/>
      </c>
      <c r="U22" s="1" t="n"/>
      <c r="V22" s="1" t="n"/>
      <c r="W22" s="1" t="n"/>
      <c r="X22" s="1" t="n"/>
      <c r="Y22" s="1" t="n"/>
      <c r="Z22" s="1" t="n"/>
      <c r="AA22" s="1" t="n"/>
      <c r="AB22" s="1" t="n"/>
    </row>
    <row r="23">
      <c r="A23" s="1" t="n"/>
      <c r="B23" s="29" t="inlineStr">
        <is>
          <t>Fourth slot price ($/MWh)</t>
        </is>
      </c>
      <c r="C23" s="1" t="n"/>
      <c r="D23" s="1" t="n"/>
      <c r="E23" s="1" t="n"/>
      <c r="F23" s="45">
        <f>SMALL(F16:F19,4)</f>
        <v/>
      </c>
      <c r="G23" s="45">
        <f>SMALL(G16:G19,4)</f>
        <v/>
      </c>
      <c r="H23" s="45">
        <f>SMALL(H16:H19,4)</f>
        <v/>
      </c>
      <c r="I23" s="45">
        <f>SMALL(I16:I19,4)</f>
        <v/>
      </c>
      <c r="J23" s="45">
        <f>SMALL(J16:J19,4)</f>
        <v/>
      </c>
      <c r="K23" s="45">
        <f>SMALL(K16:K19,4)</f>
        <v/>
      </c>
      <c r="L23" s="45">
        <f>SMALL(L16:L19,4)</f>
        <v/>
      </c>
      <c r="M23" s="45">
        <f>SMALL(M16:M19,4)</f>
        <v/>
      </c>
      <c r="N23" s="45">
        <f>SMALL(N16:N19,4)</f>
        <v/>
      </c>
      <c r="O23" s="45">
        <f>SMALL(O16:O19,4)</f>
        <v/>
      </c>
      <c r="P23" s="45">
        <f>SMALL(P16:P19,4)</f>
        <v/>
      </c>
      <c r="Q23" s="45">
        <f>SMALL(Q16:Q19,4)</f>
        <v/>
      </c>
      <c r="R23" s="45">
        <f>SMALL(R16:R19,4)</f>
        <v/>
      </c>
      <c r="S23" s="45">
        <f>SMALL(S16:S19,4)</f>
        <v/>
      </c>
      <c r="T23" s="45">
        <f>SMALL(T16:T19,4)</f>
        <v/>
      </c>
      <c r="U23" s="1" t="n"/>
      <c r="V23" s="1" t="n"/>
      <c r="W23" s="1" t="n"/>
      <c r="X23" s="1" t="n"/>
      <c r="Y23" s="1" t="n"/>
      <c r="Z23" s="1" t="n"/>
      <c r="AA23" s="1" t="n"/>
      <c r="AB23" s="1" t="n"/>
    </row>
    <row r="24">
      <c r="A24" s="1" t="n"/>
      <c r="B24" s="29" t="inlineStr">
        <is>
          <t>First slot allocated (GW)</t>
        </is>
      </c>
      <c r="C24" s="1" t="n"/>
      <c r="D24" s="1" t="n"/>
      <c r="E24" s="1" t="n"/>
      <c r="F24" s="42">
        <f>MIN(INDEX(F8:F11,MATCH(F20,F16:F19,0)),MAX(0,F12))</f>
        <v/>
      </c>
      <c r="G24" s="42">
        <f>MIN(INDEX(G8:G11,MATCH(G20,G16:G19,0)),MAX(0,G12))</f>
        <v/>
      </c>
      <c r="H24" s="42">
        <f>MIN(INDEX(H8:H11,MATCH(H20,H16:H19,0)),MAX(0,H12))</f>
        <v/>
      </c>
      <c r="I24" s="42">
        <f>MIN(INDEX(I8:I11,MATCH(I20,I16:I19,0)),MAX(0,I12))</f>
        <v/>
      </c>
      <c r="J24" s="42">
        <f>MIN(INDEX(J8:J11,MATCH(J20,J16:J19,0)),MAX(0,J12))</f>
        <v/>
      </c>
      <c r="K24" s="42">
        <f>MIN(INDEX(K8:K11,MATCH(K20,K16:K19,0)),MAX(0,K12))</f>
        <v/>
      </c>
      <c r="L24" s="42">
        <f>MIN(INDEX(L8:L11,MATCH(L20,L16:L19,0)),MAX(0,L12))</f>
        <v/>
      </c>
      <c r="M24" s="42">
        <f>MIN(INDEX(M8:M11,MATCH(M20,M16:M19,0)),MAX(0,M12))</f>
        <v/>
      </c>
      <c r="N24" s="42">
        <f>MIN(INDEX(N8:N11,MATCH(N20,N16:N19,0)),MAX(0,N12))</f>
        <v/>
      </c>
      <c r="O24" s="42">
        <f>MIN(INDEX(O8:O11,MATCH(O20,O16:O19,0)),MAX(0,O12))</f>
        <v/>
      </c>
      <c r="P24" s="42">
        <f>MIN(INDEX(P8:P11,MATCH(P20,P16:P19,0)),MAX(0,P12))</f>
        <v/>
      </c>
      <c r="Q24" s="42">
        <f>MIN(INDEX(Q8:Q11,MATCH(Q20,Q16:Q19,0)),MAX(0,Q12))</f>
        <v/>
      </c>
      <c r="R24" s="42">
        <f>MIN(INDEX(R8:R11,MATCH(R20,R16:R19,0)),MAX(0,R12))</f>
        <v/>
      </c>
      <c r="S24" s="42">
        <f>MIN(INDEX(S8:S11,MATCH(S20,S16:S19,0)),MAX(0,S12))</f>
        <v/>
      </c>
      <c r="T24" s="42">
        <f>MIN(INDEX(T8:T11,MATCH(T20,T16:T19,0)),MAX(0,T12))</f>
        <v/>
      </c>
      <c r="U24" s="1" t="n"/>
      <c r="V24" s="1" t="n"/>
      <c r="W24" s="1" t="n"/>
      <c r="X24" s="1" t="n"/>
      <c r="Y24" s="1" t="n"/>
      <c r="Z24" s="1" t="n"/>
      <c r="AA24" s="1" t="n"/>
      <c r="AB24" s="1" t="n"/>
    </row>
    <row r="25">
      <c r="A25" s="1" t="n"/>
      <c r="B25" s="29" t="inlineStr">
        <is>
          <t>Second slot allocated (GW)</t>
        </is>
      </c>
      <c r="C25" s="1" t="n"/>
      <c r="D25" s="1" t="n"/>
      <c r="E25" s="1" t="n"/>
      <c r="F25" s="42">
        <f>MIN(INDEX(F8:F11,MATCH(F21,F16:F19,0)),MAX(0,F12-F24))</f>
        <v/>
      </c>
      <c r="G25" s="42">
        <f>MIN(INDEX(G8:G11,MATCH(G21,G16:G19,0)),MAX(0,G12-G24))</f>
        <v/>
      </c>
      <c r="H25" s="42">
        <f>MIN(INDEX(H8:H11,MATCH(H21,H16:H19,0)),MAX(0,H12-H24))</f>
        <v/>
      </c>
      <c r="I25" s="42">
        <f>MIN(INDEX(I8:I11,MATCH(I21,I16:I19,0)),MAX(0,I12-I24))</f>
        <v/>
      </c>
      <c r="J25" s="42">
        <f>MIN(INDEX(J8:J11,MATCH(J21,J16:J19,0)),MAX(0,J12-J24))</f>
        <v/>
      </c>
      <c r="K25" s="42">
        <f>MIN(INDEX(K8:K11,MATCH(K21,K16:K19,0)),MAX(0,K12-K24))</f>
        <v/>
      </c>
      <c r="L25" s="42">
        <f>MIN(INDEX(L8:L11,MATCH(L21,L16:L19,0)),MAX(0,L12-L24))</f>
        <v/>
      </c>
      <c r="M25" s="42">
        <f>MIN(INDEX(M8:M11,MATCH(M21,M16:M19,0)),MAX(0,M12-M24))</f>
        <v/>
      </c>
      <c r="N25" s="42">
        <f>MIN(INDEX(N8:N11,MATCH(N21,N16:N19,0)),MAX(0,N12-N24))</f>
        <v/>
      </c>
      <c r="O25" s="42">
        <f>MIN(INDEX(O8:O11,MATCH(O21,O16:O19,0)),MAX(0,O12-O24))</f>
        <v/>
      </c>
      <c r="P25" s="42">
        <f>MIN(INDEX(P8:P11,MATCH(P21,P16:P19,0)),MAX(0,P12-P24))</f>
        <v/>
      </c>
      <c r="Q25" s="42">
        <f>MIN(INDEX(Q8:Q11,MATCH(Q21,Q16:Q19,0)),MAX(0,Q12-Q24))</f>
        <v/>
      </c>
      <c r="R25" s="42">
        <f>MIN(INDEX(R8:R11,MATCH(R21,R16:R19,0)),MAX(0,R12-R24))</f>
        <v/>
      </c>
      <c r="S25" s="42">
        <f>MIN(INDEX(S8:S11,MATCH(S21,S16:S19,0)),MAX(0,S12-S24))</f>
        <v/>
      </c>
      <c r="T25" s="42">
        <f>MIN(INDEX(T8:T11,MATCH(T21,T16:T19,0)),MAX(0,T12-T24))</f>
        <v/>
      </c>
      <c r="U25" s="1" t="n"/>
      <c r="V25" s="1" t="n"/>
      <c r="W25" s="1" t="n"/>
      <c r="X25" s="1" t="n"/>
      <c r="Y25" s="1" t="n"/>
      <c r="Z25" s="1" t="n"/>
      <c r="AA25" s="1" t="n"/>
      <c r="AB25" s="1" t="n"/>
    </row>
    <row r="26">
      <c r="A26" s="1" t="n"/>
      <c r="B26" s="29" t="inlineStr">
        <is>
          <t>Third slot allocated (GW)</t>
        </is>
      </c>
      <c r="C26" s="1" t="n"/>
      <c r="D26" s="1" t="n"/>
      <c r="E26" s="1" t="n"/>
      <c r="F26" s="42">
        <f>MIN(INDEX(F8:F11,MATCH(F22,F16:F19,0)),MAX(0,F12-F24-F25))</f>
        <v/>
      </c>
      <c r="G26" s="42">
        <f>MIN(INDEX(G8:G11,MATCH(G22,G16:G19,0)),MAX(0,G12-G24-G25))</f>
        <v/>
      </c>
      <c r="H26" s="42">
        <f>MIN(INDEX(H8:H11,MATCH(H22,H16:H19,0)),MAX(0,H12-H24-H25))</f>
        <v/>
      </c>
      <c r="I26" s="42">
        <f>MIN(INDEX(I8:I11,MATCH(I22,I16:I19,0)),MAX(0,I12-I24-I25))</f>
        <v/>
      </c>
      <c r="J26" s="42">
        <f>MIN(INDEX(J8:J11,MATCH(J22,J16:J19,0)),MAX(0,J12-J24-J25))</f>
        <v/>
      </c>
      <c r="K26" s="42">
        <f>MIN(INDEX(K8:K11,MATCH(K22,K16:K19,0)),MAX(0,K12-K24-K25))</f>
        <v/>
      </c>
      <c r="L26" s="42">
        <f>MIN(INDEX(L8:L11,MATCH(L22,L16:L19,0)),MAX(0,L12-L24-L25))</f>
        <v/>
      </c>
      <c r="M26" s="42">
        <f>MIN(INDEX(M8:M11,MATCH(M22,M16:M19,0)),MAX(0,M12-M24-M25))</f>
        <v/>
      </c>
      <c r="N26" s="42">
        <f>MIN(INDEX(N8:N11,MATCH(N22,N16:N19,0)),MAX(0,N12-N24-N25))</f>
        <v/>
      </c>
      <c r="O26" s="42">
        <f>MIN(INDEX(O8:O11,MATCH(O22,O16:O19,0)),MAX(0,O12-O24-O25))</f>
        <v/>
      </c>
      <c r="P26" s="42">
        <f>MIN(INDEX(P8:P11,MATCH(P22,P16:P19,0)),MAX(0,P12-P24-P25))</f>
        <v/>
      </c>
      <c r="Q26" s="42">
        <f>MIN(INDEX(Q8:Q11,MATCH(Q22,Q16:Q19,0)),MAX(0,Q12-Q24-Q25))</f>
        <v/>
      </c>
      <c r="R26" s="42">
        <f>MIN(INDEX(R8:R11,MATCH(R22,R16:R19,0)),MAX(0,R12-R24-R25))</f>
        <v/>
      </c>
      <c r="S26" s="42">
        <f>MIN(INDEX(S8:S11,MATCH(S22,S16:S19,0)),MAX(0,S12-S24-S25))</f>
        <v/>
      </c>
      <c r="T26" s="42">
        <f>MIN(INDEX(T8:T11,MATCH(T22,T16:T19,0)),MAX(0,T12-T24-T25))</f>
        <v/>
      </c>
      <c r="U26" s="1" t="n"/>
      <c r="V26" s="1" t="n"/>
      <c r="W26" s="1" t="n"/>
      <c r="X26" s="1" t="n"/>
      <c r="Y26" s="1" t="n"/>
      <c r="Z26" s="1" t="n"/>
      <c r="AA26" s="1" t="n"/>
      <c r="AB26" s="1" t="n"/>
    </row>
    <row r="27">
      <c r="A27" s="1" t="n"/>
      <c r="B27" s="29" t="inlineStr">
        <is>
          <t>Fourth slot allocated (GW)</t>
        </is>
      </c>
      <c r="C27" s="1" t="n"/>
      <c r="D27" s="1" t="n"/>
      <c r="E27" s="1" t="n"/>
      <c r="F27" s="42">
        <f>MIN(INDEX(F8:F11,MATCH(F23,F16:F19,0)),MAX(0,F12-F24-F25-F26))</f>
        <v/>
      </c>
      <c r="G27" s="42">
        <f>MIN(INDEX(G8:G11,MATCH(G23,G16:G19,0)),MAX(0,G12-G24-G25-G26))</f>
        <v/>
      </c>
      <c r="H27" s="42">
        <f>MIN(INDEX(H8:H11,MATCH(H23,H16:H19,0)),MAX(0,H12-H24-H25-H26))</f>
        <v/>
      </c>
      <c r="I27" s="42">
        <f>MIN(INDEX(I8:I11,MATCH(I23,I16:I19,0)),MAX(0,I12-I24-I25-I26))</f>
        <v/>
      </c>
      <c r="J27" s="42">
        <f>MIN(INDEX(J8:J11,MATCH(J23,J16:J19,0)),MAX(0,J12-J24-J25-J26))</f>
        <v/>
      </c>
      <c r="K27" s="42">
        <f>MIN(INDEX(K8:K11,MATCH(K23,K16:K19,0)),MAX(0,K12-K24-K25-K26))</f>
        <v/>
      </c>
      <c r="L27" s="42">
        <f>MIN(INDEX(L8:L11,MATCH(L23,L16:L19,0)),MAX(0,L12-L24-L25-L26))</f>
        <v/>
      </c>
      <c r="M27" s="42">
        <f>MIN(INDEX(M8:M11,MATCH(M23,M16:M19,0)),MAX(0,M12-M24-M25-M26))</f>
        <v/>
      </c>
      <c r="N27" s="42">
        <f>MIN(INDEX(N8:N11,MATCH(N23,N16:N19,0)),MAX(0,N12-N24-N25-N26))</f>
        <v/>
      </c>
      <c r="O27" s="42">
        <f>MIN(INDEX(O8:O11,MATCH(O23,O16:O19,0)),MAX(0,O12-O24-O25-O26))</f>
        <v/>
      </c>
      <c r="P27" s="42">
        <f>MIN(INDEX(P8:P11,MATCH(P23,P16:P19,0)),MAX(0,P12-P24-P25-P26))</f>
        <v/>
      </c>
      <c r="Q27" s="42">
        <f>MIN(INDEX(Q8:Q11,MATCH(Q23,Q16:Q19,0)),MAX(0,Q12-Q24-Q25-Q26))</f>
        <v/>
      </c>
      <c r="R27" s="42">
        <f>MIN(INDEX(R8:R11,MATCH(R23,R16:R19,0)),MAX(0,R12-R24-R25-R26))</f>
        <v/>
      </c>
      <c r="S27" s="42">
        <f>MIN(INDEX(S8:S11,MATCH(S23,S16:S19,0)),MAX(0,S12-S24-S25-S26))</f>
        <v/>
      </c>
      <c r="T27" s="42">
        <f>MIN(INDEX(T8:T11,MATCH(T23,T16:T19,0)),MAX(0,T12-T24-T25-T26))</f>
        <v/>
      </c>
      <c r="U27" s="1" t="n"/>
      <c r="V27" s="1" t="n"/>
      <c r="W27" s="1" t="n"/>
      <c r="X27" s="1" t="n"/>
      <c r="Y27" s="1" t="n"/>
      <c r="Z27" s="1" t="n"/>
      <c r="AA27" s="1" t="n"/>
      <c r="AB27" s="1" t="n"/>
    </row>
    <row r="28">
      <c r="A28" s="1" t="n"/>
      <c r="B28" s="29" t="inlineStr">
        <is>
          <t>PPA leg takes (GW)</t>
        </is>
      </c>
      <c r="C28" s="1" t="n"/>
      <c r="D28" s="1" t="n"/>
      <c r="E28" s="1" t="n"/>
      <c r="F28" s="42">
        <f>INDEX(F24:F27,MATCH(F16,F20:F23,0))</f>
        <v/>
      </c>
      <c r="G28" s="42">
        <f>INDEX(G24:G27,MATCH(G16,G20:G23,0))</f>
        <v/>
      </c>
      <c r="H28" s="42">
        <f>INDEX(H24:H27,MATCH(H16,H20:H23,0))</f>
        <v/>
      </c>
      <c r="I28" s="42">
        <f>INDEX(I24:I27,MATCH(I16,I20:I23,0))</f>
        <v/>
      </c>
      <c r="J28" s="42">
        <f>INDEX(J24:J27,MATCH(J16,J20:J23,0))</f>
        <v/>
      </c>
      <c r="K28" s="42">
        <f>INDEX(K24:K27,MATCH(K16,K20:K23,0))</f>
        <v/>
      </c>
      <c r="L28" s="42">
        <f>INDEX(L24:L27,MATCH(L16,L20:L23,0))</f>
        <v/>
      </c>
      <c r="M28" s="42">
        <f>INDEX(M24:M27,MATCH(M16,M20:M23,0))</f>
        <v/>
      </c>
      <c r="N28" s="42">
        <f>INDEX(N24:N27,MATCH(N16,N20:N23,0))</f>
        <v/>
      </c>
      <c r="O28" s="42">
        <f>INDEX(O24:O27,MATCH(O16,O20:O23,0))</f>
        <v/>
      </c>
      <c r="P28" s="42">
        <f>INDEX(P24:P27,MATCH(P16,P20:P23,0))</f>
        <v/>
      </c>
      <c r="Q28" s="42">
        <f>INDEX(Q24:Q27,MATCH(Q16,Q20:Q23,0))</f>
        <v/>
      </c>
      <c r="R28" s="42">
        <f>INDEX(R24:R27,MATCH(R16,R20:R23,0))</f>
        <v/>
      </c>
      <c r="S28" s="42">
        <f>INDEX(S24:S27,MATCH(S16,S20:S23,0))</f>
        <v/>
      </c>
      <c r="T28" s="42">
        <f>INDEX(T24:T27,MATCH(T16,T20:T23,0))</f>
        <v/>
      </c>
      <c r="U28" s="1" t="n"/>
      <c r="V28" s="1" t="n"/>
      <c r="W28" s="1" t="n"/>
      <c r="X28" s="1" t="n"/>
      <c r="Y28" s="1" t="n"/>
      <c r="Z28" s="1" t="n"/>
      <c r="AA28" s="1" t="n"/>
      <c r="AB28" s="1" t="n"/>
    </row>
    <row r="29">
      <c r="A29" s="1" t="n"/>
      <c r="B29" s="29" t="inlineStr">
        <is>
          <t>Stranded-capture takes (GW)</t>
        </is>
      </c>
      <c r="C29" s="1" t="n"/>
      <c r="D29" s="1" t="n"/>
      <c r="E29" s="1" t="n"/>
      <c r="F29" s="42">
        <f>INDEX(F24:F27,MATCH(F17,F20:F23,0))</f>
        <v/>
      </c>
      <c r="G29" s="42">
        <f>INDEX(G24:G27,MATCH(G17,G20:G23,0))</f>
        <v/>
      </c>
      <c r="H29" s="42">
        <f>INDEX(H24:H27,MATCH(H17,H20:H23,0))</f>
        <v/>
      </c>
      <c r="I29" s="42">
        <f>INDEX(I24:I27,MATCH(I17,I20:I23,0))</f>
        <v/>
      </c>
      <c r="J29" s="42">
        <f>INDEX(J24:J27,MATCH(J17,J20:J23,0))</f>
        <v/>
      </c>
      <c r="K29" s="42">
        <f>INDEX(K24:K27,MATCH(K17,K20:K23,0))</f>
        <v/>
      </c>
      <c r="L29" s="42">
        <f>INDEX(L24:L27,MATCH(L17,L20:L23,0))</f>
        <v/>
      </c>
      <c r="M29" s="42">
        <f>INDEX(M24:M27,MATCH(M17,M20:M23,0))</f>
        <v/>
      </c>
      <c r="N29" s="42">
        <f>INDEX(N24:N27,MATCH(N17,N20:N23,0))</f>
        <v/>
      </c>
      <c r="O29" s="42">
        <f>INDEX(O24:O27,MATCH(O17,O20:O23,0))</f>
        <v/>
      </c>
      <c r="P29" s="42">
        <f>INDEX(P24:P27,MATCH(P17,P20:P23,0))</f>
        <v/>
      </c>
      <c r="Q29" s="42">
        <f>INDEX(Q24:Q27,MATCH(Q17,Q20:Q23,0))</f>
        <v/>
      </c>
      <c r="R29" s="42">
        <f>INDEX(R24:R27,MATCH(R17,R20:R23,0))</f>
        <v/>
      </c>
      <c r="S29" s="42">
        <f>INDEX(S24:S27,MATCH(S17,S20:S23,0))</f>
        <v/>
      </c>
      <c r="T29" s="42">
        <f>INDEX(T24:T27,MATCH(T17,T20:T23,0))</f>
        <v/>
      </c>
      <c r="U29" s="1" t="n"/>
      <c r="V29" s="1" t="n"/>
      <c r="W29" s="1" t="n"/>
      <c r="X29" s="1" t="n"/>
      <c r="Y29" s="1" t="n"/>
      <c r="Z29" s="1" t="n"/>
      <c r="AA29" s="1" t="n"/>
      <c r="AB29" s="1" t="n"/>
    </row>
    <row r="30">
      <c r="A30" s="1" t="n"/>
      <c r="B30" s="29" t="inlineStr">
        <is>
          <t>N-SMR takes (GW)</t>
        </is>
      </c>
      <c r="C30" s="1" t="n"/>
      <c r="D30" s="1" t="n"/>
      <c r="E30" s="1" t="n"/>
      <c r="F30" s="42">
        <f>INDEX(F24:F27,MATCH(F18,F20:F23,0))</f>
        <v/>
      </c>
      <c r="G30" s="42">
        <f>INDEX(G24:G27,MATCH(G18,G20:G23,0))</f>
        <v/>
      </c>
      <c r="H30" s="42">
        <f>INDEX(H24:H27,MATCH(H18,H20:H23,0))</f>
        <v/>
      </c>
      <c r="I30" s="42">
        <f>INDEX(I24:I27,MATCH(I18,I20:I23,0))</f>
        <v/>
      </c>
      <c r="J30" s="42">
        <f>INDEX(J24:J27,MATCH(J18,J20:J23,0))</f>
        <v/>
      </c>
      <c r="K30" s="42">
        <f>INDEX(K24:K27,MATCH(K18,K20:K23,0))</f>
        <v/>
      </c>
      <c r="L30" s="42">
        <f>INDEX(L24:L27,MATCH(L18,L20:L23,0))</f>
        <v/>
      </c>
      <c r="M30" s="42">
        <f>INDEX(M24:M27,MATCH(M18,M20:M23,0))</f>
        <v/>
      </c>
      <c r="N30" s="42">
        <f>INDEX(N24:N27,MATCH(N18,N20:N23,0))</f>
        <v/>
      </c>
      <c r="O30" s="42">
        <f>INDEX(O24:O27,MATCH(O18,O20:O23,0))</f>
        <v/>
      </c>
      <c r="P30" s="42">
        <f>INDEX(P24:P27,MATCH(P18,P20:P23,0))</f>
        <v/>
      </c>
      <c r="Q30" s="42">
        <f>INDEX(Q24:Q27,MATCH(Q18,Q20:Q23,0))</f>
        <v/>
      </c>
      <c r="R30" s="42">
        <f>INDEX(R24:R27,MATCH(R18,R20:R23,0))</f>
        <v/>
      </c>
      <c r="S30" s="42">
        <f>INDEX(S24:S27,MATCH(S18,S20:S23,0))</f>
        <v/>
      </c>
      <c r="T30" s="42">
        <f>INDEX(T24:T27,MATCH(T18,T20:T23,0))</f>
        <v/>
      </c>
      <c r="U30" s="1" t="n"/>
      <c r="V30" s="1" t="n"/>
      <c r="W30" s="1" t="n"/>
      <c r="X30" s="1" t="n"/>
      <c r="Y30" s="1" t="n"/>
      <c r="Z30" s="1" t="n"/>
      <c r="AA30" s="1" t="n"/>
      <c r="AB30" s="1" t="n"/>
    </row>
    <row r="31">
      <c r="A31" s="1" t="n"/>
      <c r="B31" s="29" t="inlineStr">
        <is>
          <t>Grid-blended residual takes (GW)</t>
        </is>
      </c>
      <c r="C31" s="1" t="n"/>
      <c r="D31" s="1" t="n"/>
      <c r="E31" s="1" t="n"/>
      <c r="F31" s="42">
        <f>INDEX(F24:F27,MATCH(F19,F20:F23,0))</f>
        <v/>
      </c>
      <c r="G31" s="42">
        <f>INDEX(G24:G27,MATCH(G19,G20:G23,0))</f>
        <v/>
      </c>
      <c r="H31" s="42">
        <f>INDEX(H24:H27,MATCH(H19,H20:H23,0))</f>
        <v/>
      </c>
      <c r="I31" s="42">
        <f>INDEX(I24:I27,MATCH(I19,I20:I23,0))</f>
        <v/>
      </c>
      <c r="J31" s="42">
        <f>INDEX(J24:J27,MATCH(J19,J20:J23,0))</f>
        <v/>
      </c>
      <c r="K31" s="42">
        <f>INDEX(K24:K27,MATCH(K19,K20:K23,0))</f>
        <v/>
      </c>
      <c r="L31" s="42">
        <f>INDEX(L24:L27,MATCH(L19,L20:L23,0))</f>
        <v/>
      </c>
      <c r="M31" s="42">
        <f>INDEX(M24:M27,MATCH(M19,M20:M23,0))</f>
        <v/>
      </c>
      <c r="N31" s="42">
        <f>INDEX(N24:N27,MATCH(N19,N20:N23,0))</f>
        <v/>
      </c>
      <c r="O31" s="42">
        <f>INDEX(O24:O27,MATCH(O19,O20:O23,0))</f>
        <v/>
      </c>
      <c r="P31" s="42">
        <f>INDEX(P24:P27,MATCH(P19,P20:P23,0))</f>
        <v/>
      </c>
      <c r="Q31" s="42">
        <f>INDEX(Q24:Q27,MATCH(Q19,Q20:Q23,0))</f>
        <v/>
      </c>
      <c r="R31" s="42">
        <f>INDEX(R24:R27,MATCH(R19,R20:R23,0))</f>
        <v/>
      </c>
      <c r="S31" s="42">
        <f>INDEX(S24:S27,MATCH(S19,S20:S23,0))</f>
        <v/>
      </c>
      <c r="T31" s="42">
        <f>INDEX(T24:T27,MATCH(T19,T20:T23,0))</f>
        <v/>
      </c>
      <c r="U31" s="1" t="n"/>
      <c r="V31" s="1" t="n"/>
      <c r="W31" s="1" t="n"/>
      <c r="X31" s="1" t="n"/>
      <c r="Y31" s="1" t="n"/>
      <c r="Z31" s="1" t="n"/>
      <c r="AA31" s="1" t="n"/>
      <c r="AB31" s="1" t="n"/>
    </row>
    <row r="32">
      <c r="A32" s="1" t="n"/>
      <c r="B32" s="20" t="inlineStr">
        <is>
          <t>Portfolio blended cost ($/MWh)</t>
        </is>
      </c>
      <c r="C32" s="46" t="n"/>
      <c r="D32" s="46" t="n"/>
      <c r="E32" s="46" t="n"/>
      <c r="F32" s="47">
        <f>(F28*Anthropic!F27+F29*Anthropic!F28+F30*Anthropic!F29+F31*Anthropic!F26*(1+nResidualBasisMarkup+nScarcityAlpha*POWER(IF(F11=0,0,F31/F11),nScarcityGamma)))/MAX(0.0001,SUM(F28:F31))</f>
        <v/>
      </c>
      <c r="G32" s="47">
        <f>(G28*Anthropic!G27+G29*Anthropic!G28+G30*Anthropic!G29+G31*Anthropic!G26*(1+nResidualBasisMarkup+nScarcityAlpha*POWER(IF(G11=0,0,G31/G11),nScarcityGamma)))/MAX(0.0001,SUM(G28:G31))</f>
        <v/>
      </c>
      <c r="H32" s="47">
        <f>(H28*Anthropic!H27+H29*Anthropic!H28+H30*Anthropic!H29+H31*Anthropic!H26*(1+nResidualBasisMarkup+nScarcityAlpha*POWER(IF(H11=0,0,H31/H11),nScarcityGamma)))/MAX(0.0001,SUM(H28:H31))</f>
        <v/>
      </c>
      <c r="I32" s="47">
        <f>(I28*Anthropic!I27+I29*Anthropic!I28+I30*Anthropic!I29+I31*Anthropic!I26*(1+nResidualBasisMarkup+nScarcityAlpha*POWER(IF(I11=0,0,I31/I11),nScarcityGamma)))/MAX(0.0001,SUM(I28:I31))</f>
        <v/>
      </c>
      <c r="J32" s="47">
        <f>(J28*Anthropic!J27+J29*Anthropic!J28+J30*Anthropic!J29+J31*Anthropic!J26*(1+nResidualBasisMarkup+nScarcityAlpha*POWER(IF(J11=0,0,J31/J11),nScarcityGamma)))/MAX(0.0001,SUM(J28:J31))</f>
        <v/>
      </c>
      <c r="K32" s="47">
        <f>(K28*Anthropic!K27+K29*Anthropic!K28+K30*Anthropic!K29+K31*Anthropic!K26*(1+nResidualBasisMarkup+nScarcityAlpha*POWER(IF(K11=0,0,K31/K11),nScarcityGamma)))/MAX(0.0001,SUM(K28:K31))</f>
        <v/>
      </c>
      <c r="L32" s="47">
        <f>(L28*Anthropic!L27+L29*Anthropic!L28+L30*Anthropic!L29+L31*Anthropic!L26*(1+nResidualBasisMarkup+nScarcityAlpha*POWER(IF(L11=0,0,L31/L11),nScarcityGamma)))/MAX(0.0001,SUM(L28:L31))</f>
        <v/>
      </c>
      <c r="M32" s="47">
        <f>(M28*Anthropic!M27+M29*Anthropic!M28+M30*Anthropic!M29+M31*Anthropic!M26*(1+nResidualBasisMarkup+nScarcityAlpha*POWER(IF(M11=0,0,M31/M11),nScarcityGamma)))/MAX(0.0001,SUM(M28:M31))</f>
        <v/>
      </c>
      <c r="N32" s="47">
        <f>(N28*Anthropic!N27+N29*Anthropic!N28+N30*Anthropic!N29+N31*Anthropic!N26*(1+nResidualBasisMarkup+nScarcityAlpha*POWER(IF(N11=0,0,N31/N11),nScarcityGamma)))/MAX(0.0001,SUM(N28:N31))</f>
        <v/>
      </c>
      <c r="O32" s="47">
        <f>(O28*Anthropic!O27+O29*Anthropic!O28+O30*Anthropic!O29+O31*Anthropic!O26*(1+nResidualBasisMarkup+nScarcityAlpha*POWER(IF(O11=0,0,O31/O11),nScarcityGamma)))/MAX(0.0001,SUM(O28:O31))</f>
        <v/>
      </c>
      <c r="P32" s="47">
        <f>(P28*Anthropic!P27+P29*Anthropic!P28+P30*Anthropic!P29+P31*Anthropic!P26*(1+nResidualBasisMarkup+nScarcityAlpha*POWER(IF(P11=0,0,P31/P11),nScarcityGamma)))/MAX(0.0001,SUM(P28:P31))</f>
        <v/>
      </c>
      <c r="Q32" s="47">
        <f>(Q28*Anthropic!Q27+Q29*Anthropic!Q28+Q30*Anthropic!Q29+Q31*Anthropic!Q26*(1+nResidualBasisMarkup+nScarcityAlpha*POWER(IF(Q11=0,0,Q31/Q11),nScarcityGamma)))/MAX(0.0001,SUM(Q28:Q31))</f>
        <v/>
      </c>
      <c r="R32" s="47">
        <f>(R28*Anthropic!R27+R29*Anthropic!R28+R30*Anthropic!R29+R31*Anthropic!R26*(1+nResidualBasisMarkup+nScarcityAlpha*POWER(IF(R11=0,0,R31/R11),nScarcityGamma)))/MAX(0.0001,SUM(R28:R31))</f>
        <v/>
      </c>
      <c r="S32" s="47">
        <f>(S28*Anthropic!S27+S29*Anthropic!S28+S30*Anthropic!S29+S31*Anthropic!S26*(1+nResidualBasisMarkup+nScarcityAlpha*POWER(IF(S11=0,0,S31/S11),nScarcityGamma)))/MAX(0.0001,SUM(S28:S31))</f>
        <v/>
      </c>
      <c r="T32" s="47">
        <f>(T28*Anthropic!T27+T29*Anthropic!T28+T30*Anthropic!T29+T31*Anthropic!T26*(1+nResidualBasisMarkup+nScarcityAlpha*POWER(IF(T11=0,0,T31/T11),nScarcityGamma)))/MAX(0.0001,SUM(T28:T31))</f>
        <v/>
      </c>
      <c r="U32" s="1" t="n"/>
      <c r="V32" s="43" t="inlineStr">
        <is>
          <t>Cheapest deliverable capacity fills first until its cap binds. Residual grid-blended capacity is finite; any load above all deliverable caps is unmet.</t>
        </is>
      </c>
      <c r="W32" s="1" t="n"/>
      <c r="X32" s="1" t="n"/>
      <c r="Y32" s="1" t="n"/>
      <c r="Z32" s="1" t="n"/>
      <c r="AA32" s="1" t="n"/>
      <c r="AB32" s="1" t="n"/>
    </row>
    <row r="33">
      <c r="A33" s="1" t="n"/>
      <c r="B33" s="29" t="inlineStr">
        <is>
          <t>Residual utilization</t>
        </is>
      </c>
      <c r="C33" s="1" t="n"/>
      <c r="D33" s="1" t="n"/>
      <c r="E33" s="1" t="n"/>
      <c r="F33" s="48">
        <f>IF(F11=0,0,F31/F11)</f>
        <v/>
      </c>
      <c r="G33" s="48">
        <f>IF(G11=0,0,G31/G11)</f>
        <v/>
      </c>
      <c r="H33" s="48">
        <f>IF(H11=0,0,H31/H11)</f>
        <v/>
      </c>
      <c r="I33" s="48">
        <f>IF(I11=0,0,I31/I11)</f>
        <v/>
      </c>
      <c r="J33" s="48">
        <f>IF(J11=0,0,J31/J11)</f>
        <v/>
      </c>
      <c r="K33" s="48">
        <f>IF(K11=0,0,K31/K11)</f>
        <v/>
      </c>
      <c r="L33" s="48">
        <f>IF(L11=0,0,L31/L11)</f>
        <v/>
      </c>
      <c r="M33" s="48">
        <f>IF(M11=0,0,M31/M11)</f>
        <v/>
      </c>
      <c r="N33" s="48">
        <f>IF(N11=0,0,N31/N11)</f>
        <v/>
      </c>
      <c r="O33" s="48">
        <f>IF(O11=0,0,O31/O11)</f>
        <v/>
      </c>
      <c r="P33" s="48">
        <f>IF(P11=0,0,P31/P11)</f>
        <v/>
      </c>
      <c r="Q33" s="48">
        <f>IF(Q11=0,0,Q31/Q11)</f>
        <v/>
      </c>
      <c r="R33" s="48">
        <f>IF(R11=0,0,R31/R11)</f>
        <v/>
      </c>
      <c r="S33" s="48">
        <f>IF(S11=0,0,S31/S11)</f>
        <v/>
      </c>
      <c r="T33" s="48">
        <f>IF(T11=0,0,T31/T11)</f>
        <v/>
      </c>
      <c r="U33" s="1" t="n"/>
      <c r="V33" s="1" t="n"/>
      <c r="W33" s="1" t="n"/>
      <c r="X33" s="1" t="n"/>
      <c r="Y33" s="1" t="n"/>
      <c r="Z33" s="1" t="n"/>
      <c r="AA33" s="1" t="n"/>
      <c r="AB33" s="1" t="n"/>
    </row>
    <row r="34">
      <c r="A34" s="1" t="n"/>
      <c r="B34" s="29" t="inlineStr">
        <is>
          <t>Unmet demand (GW)</t>
        </is>
      </c>
      <c r="C34" s="1" t="n"/>
      <c r="D34" s="1" t="n"/>
      <c r="E34" s="1" t="n"/>
      <c r="F34" s="42">
        <f>MAX(0,F12-SUM(F28:F31))</f>
        <v/>
      </c>
      <c r="G34" s="42">
        <f>MAX(0,G12-SUM(G28:G31))</f>
        <v/>
      </c>
      <c r="H34" s="42">
        <f>MAX(0,H12-SUM(H28:H31))</f>
        <v/>
      </c>
      <c r="I34" s="42">
        <f>MAX(0,I12-SUM(I28:I31))</f>
        <v/>
      </c>
      <c r="J34" s="42">
        <f>MAX(0,J12-SUM(J28:J31))</f>
        <v/>
      </c>
      <c r="K34" s="42">
        <f>MAX(0,K12-SUM(K28:K31))</f>
        <v/>
      </c>
      <c r="L34" s="42">
        <f>MAX(0,L12-SUM(L28:L31))</f>
        <v/>
      </c>
      <c r="M34" s="42">
        <f>MAX(0,M12-SUM(M28:M31))</f>
        <v/>
      </c>
      <c r="N34" s="42">
        <f>MAX(0,N12-SUM(N28:N31))</f>
        <v/>
      </c>
      <c r="O34" s="42">
        <f>MAX(0,O12-SUM(O28:O31))</f>
        <v/>
      </c>
      <c r="P34" s="42">
        <f>MAX(0,P12-SUM(P28:P31))</f>
        <v/>
      </c>
      <c r="Q34" s="42">
        <f>MAX(0,Q12-SUM(Q28:Q31))</f>
        <v/>
      </c>
      <c r="R34" s="42">
        <f>MAX(0,R12-SUM(R28:R31))</f>
        <v/>
      </c>
      <c r="S34" s="42">
        <f>MAX(0,S12-SUM(S28:S31))</f>
        <v/>
      </c>
      <c r="T34" s="42">
        <f>MAX(0,T12-SUM(T28:T31))</f>
        <v/>
      </c>
      <c r="U34" s="1" t="n"/>
      <c r="V34" s="1" t="n"/>
      <c r="W34" s="1" t="n"/>
      <c r="X34" s="1" t="n"/>
      <c r="Y34" s="1" t="n"/>
      <c r="Z34" s="1" t="n"/>
      <c r="AA34" s="1" t="n"/>
      <c r="AB34" s="1" t="n"/>
    </row>
    <row r="35">
      <c r="A35" s="1" t="n"/>
      <c r="B35" s="29" t="inlineStr">
        <is>
          <t>Development-stage share (stranded + N-SMR)</t>
        </is>
      </c>
      <c r="C35" s="1" t="n"/>
      <c r="D35" s="1" t="n"/>
      <c r="E35" s="1" t="n"/>
      <c r="F35" s="48">
        <f>(F29+F30)/MAX(0.0001,SUM(F28:F31))</f>
        <v/>
      </c>
      <c r="G35" s="48">
        <f>(G29+G30)/MAX(0.0001,SUM(G28:G31))</f>
        <v/>
      </c>
      <c r="H35" s="48">
        <f>(H29+H30)/MAX(0.0001,SUM(H28:H31))</f>
        <v/>
      </c>
      <c r="I35" s="48">
        <f>(I29+I30)/MAX(0.0001,SUM(I28:I31))</f>
        <v/>
      </c>
      <c r="J35" s="48">
        <f>(J29+J30)/MAX(0.0001,SUM(J28:J31))</f>
        <v/>
      </c>
      <c r="K35" s="48">
        <f>(K29+K30)/MAX(0.0001,SUM(K28:K31))</f>
        <v/>
      </c>
      <c r="L35" s="48">
        <f>(L29+L30)/MAX(0.0001,SUM(L28:L31))</f>
        <v/>
      </c>
      <c r="M35" s="48">
        <f>(M29+M30)/MAX(0.0001,SUM(M28:M31))</f>
        <v/>
      </c>
      <c r="N35" s="48">
        <f>(N29+N30)/MAX(0.0001,SUM(N28:N31))</f>
        <v/>
      </c>
      <c r="O35" s="48">
        <f>(O29+O30)/MAX(0.0001,SUM(O28:O31))</f>
        <v/>
      </c>
      <c r="P35" s="48">
        <f>(P29+P30)/MAX(0.0001,SUM(P28:P31))</f>
        <v/>
      </c>
      <c r="Q35" s="48">
        <f>(Q29+Q30)/MAX(0.0001,SUM(Q28:Q31))</f>
        <v/>
      </c>
      <c r="R35" s="48">
        <f>(R29+R30)/MAX(0.0001,SUM(R28:R31))</f>
        <v/>
      </c>
      <c r="S35" s="48">
        <f>(S29+S30)/MAX(0.0001,SUM(S28:S31))</f>
        <v/>
      </c>
      <c r="T35" s="48">
        <f>(T29+T30)/MAX(0.0001,SUM(T28:T31))</f>
        <v/>
      </c>
      <c r="U35" s="1" t="n"/>
      <c r="V35" s="1" t="n"/>
      <c r="W35" s="1" t="n"/>
      <c r="X35" s="1" t="n"/>
      <c r="Y35" s="1" t="n"/>
      <c r="Z35" s="1" t="n"/>
      <c r="AA35" s="1" t="n"/>
      <c r="AB35" s="1" t="n"/>
    </row>
    <row r="36" ht="17" customHeight="1">
      <c r="A36" s="1" t="n"/>
      <c r="B36" s="22" t="inlineStr">
        <is>
          <t>Portfolio value</t>
        </is>
      </c>
      <c r="C36" s="23" t="n"/>
      <c r="D36" s="23" t="n"/>
      <c r="E36" s="23" t="n"/>
      <c r="F36" s="23" t="n"/>
      <c r="G36" s="23" t="n"/>
      <c r="H36" s="23" t="n"/>
      <c r="I36" s="23" t="n"/>
      <c r="J36" s="23" t="n"/>
      <c r="K36" s="23" t="n"/>
      <c r="L36" s="23" t="n"/>
      <c r="M36" s="23" t="n"/>
      <c r="N36" s="23" t="n"/>
      <c r="O36" s="23" t="n"/>
      <c r="P36" s="23" t="n"/>
      <c r="Q36" s="23" t="n"/>
      <c r="R36" s="23" t="n"/>
      <c r="S36" s="23" t="n"/>
      <c r="T36" s="23" t="n"/>
      <c r="U36" s="1" t="n"/>
      <c r="V36" s="1" t="n"/>
      <c r="W36" s="1" t="n"/>
      <c r="X36" s="1" t="n"/>
      <c r="Y36" s="1" t="n"/>
      <c r="Z36" s="1" t="n"/>
      <c r="AA36" s="1" t="n"/>
      <c r="AB36" s="1" t="n"/>
    </row>
    <row r="37" ht="14" customHeight="1">
      <c r="A37" s="1" t="n"/>
      <c r="B37" s="39" t="inlineStr"/>
      <c r="C37" s="40" t="inlineStr">
        <is>
          <t>FY'23</t>
        </is>
      </c>
      <c r="D37" s="40" t="inlineStr">
        <is>
          <t>FY'24</t>
        </is>
      </c>
      <c r="E37" s="40" t="inlineStr">
        <is>
          <t>FY'25</t>
        </is>
      </c>
      <c r="F37" s="41" t="inlineStr">
        <is>
          <t>FY'26</t>
        </is>
      </c>
      <c r="G37" s="41" t="inlineStr">
        <is>
          <t>FY'27</t>
        </is>
      </c>
      <c r="H37" s="41" t="inlineStr">
        <is>
          <t>FY'28</t>
        </is>
      </c>
      <c r="I37" s="41" t="inlineStr">
        <is>
          <t>FY'29</t>
        </is>
      </c>
      <c r="J37" s="41" t="inlineStr">
        <is>
          <t>FY'30</t>
        </is>
      </c>
      <c r="K37" s="41" t="inlineStr">
        <is>
          <t>FY'31</t>
        </is>
      </c>
      <c r="L37" s="41" t="inlineStr">
        <is>
          <t>FY'32</t>
        </is>
      </c>
      <c r="M37" s="41" t="inlineStr">
        <is>
          <t>FY'33</t>
        </is>
      </c>
      <c r="N37" s="41" t="inlineStr">
        <is>
          <t>FY'34</t>
        </is>
      </c>
      <c r="O37" s="41" t="inlineStr">
        <is>
          <t>FY'35</t>
        </is>
      </c>
      <c r="P37" s="41" t="inlineStr">
        <is>
          <t>FY'36</t>
        </is>
      </c>
      <c r="Q37" s="41" t="inlineStr">
        <is>
          <t>FY'37</t>
        </is>
      </c>
      <c r="R37" s="41" t="inlineStr">
        <is>
          <t>FY'38</t>
        </is>
      </c>
      <c r="S37" s="41" t="inlineStr">
        <is>
          <t>FY'39</t>
        </is>
      </c>
      <c r="T37" s="41" t="inlineStr">
        <is>
          <t>FY'40</t>
        </is>
      </c>
      <c r="U37" s="1" t="n"/>
      <c r="V37" s="1" t="n"/>
      <c r="W37" s="1" t="n"/>
      <c r="X37" s="1" t="n"/>
      <c r="Y37" s="1" t="n"/>
      <c r="Z37" s="1" t="n"/>
      <c r="AA37" s="1" t="n"/>
      <c r="AB37" s="1" t="n"/>
    </row>
    <row r="38">
      <c r="A38" s="1" t="n"/>
      <c r="B38" s="29" t="inlineStr">
        <is>
          <t>Portfolio power cost ($B)</t>
        </is>
      </c>
      <c r="C38" s="1" t="n"/>
      <c r="D38" s="1" t="n"/>
      <c r="E38" s="1" t="n"/>
      <c r="F38" s="45">
        <f>SUM(F28:F31)*8.760*F32/1000</f>
        <v/>
      </c>
      <c r="G38" s="45">
        <f>SUM(G28:G31)*8.760*G32/1000</f>
        <v/>
      </c>
      <c r="H38" s="45">
        <f>SUM(H28:H31)*8.760*H32/1000</f>
        <v/>
      </c>
      <c r="I38" s="45">
        <f>SUM(I28:I31)*8.760*I32/1000</f>
        <v/>
      </c>
      <c r="J38" s="45">
        <f>SUM(J28:J31)*8.760*J32/1000</f>
        <v/>
      </c>
      <c r="K38" s="45">
        <f>SUM(K28:K31)*8.760*K32/1000</f>
        <v/>
      </c>
      <c r="L38" s="45">
        <f>SUM(L28:L31)*8.760*L32/1000</f>
        <v/>
      </c>
      <c r="M38" s="45">
        <f>SUM(M28:M31)*8.760*M32/1000</f>
        <v/>
      </c>
      <c r="N38" s="45">
        <f>SUM(N28:N31)*8.760*N32/1000</f>
        <v/>
      </c>
      <c r="O38" s="45">
        <f>SUM(O28:O31)*8.760*O32/1000</f>
        <v/>
      </c>
      <c r="P38" s="45">
        <f>SUM(P28:P31)*8.760*P32/1000</f>
        <v/>
      </c>
      <c r="Q38" s="45">
        <f>SUM(Q28:Q31)*8.760*Q32/1000</f>
        <v/>
      </c>
      <c r="R38" s="45">
        <f>SUM(R28:R31)*8.760*R32/1000</f>
        <v/>
      </c>
      <c r="S38" s="45">
        <f>SUM(S28:S31)*8.760*S32/1000</f>
        <v/>
      </c>
      <c r="T38" s="45">
        <f>SUM(T28:T31)*8.760*T32/1000</f>
        <v/>
      </c>
      <c r="U38" s="1" t="n"/>
      <c r="V38" s="1" t="n"/>
      <c r="W38" s="1" t="n"/>
      <c r="X38" s="1" t="n"/>
      <c r="Y38" s="1" t="n"/>
      <c r="Z38" s="1" t="n"/>
      <c r="AA38" s="1" t="n"/>
      <c r="AB38" s="1" t="n"/>
    </row>
    <row r="39">
      <c r="A39" s="1" t="n"/>
      <c r="B39" s="20" t="inlineStr">
        <is>
          <t>Savings vs all-residual ($B)</t>
        </is>
      </c>
      <c r="C39" s="1" t="n"/>
      <c r="D39" s="1" t="n"/>
      <c r="E39" s="1" t="n"/>
      <c r="F39" s="49">
        <f>Anthropic!F35-F38</f>
        <v/>
      </c>
      <c r="G39" s="49">
        <f>Anthropic!G35-G38</f>
        <v/>
      </c>
      <c r="H39" s="49">
        <f>Anthropic!H35-H38</f>
        <v/>
      </c>
      <c r="I39" s="49">
        <f>Anthropic!I35-I38</f>
        <v/>
      </c>
      <c r="J39" s="49">
        <f>Anthropic!J35-J38</f>
        <v/>
      </c>
      <c r="K39" s="49">
        <f>Anthropic!K35-K38</f>
        <v/>
      </c>
      <c r="L39" s="49">
        <f>Anthropic!L35-L38</f>
        <v/>
      </c>
      <c r="M39" s="49">
        <f>Anthropic!M35-M38</f>
        <v/>
      </c>
      <c r="N39" s="49">
        <f>Anthropic!N35-N38</f>
        <v/>
      </c>
      <c r="O39" s="49">
        <f>Anthropic!O35-O38</f>
        <v/>
      </c>
      <c r="P39" s="49">
        <f>Anthropic!P35-P38</f>
        <v/>
      </c>
      <c r="Q39" s="49">
        <f>Anthropic!Q35-Q38</f>
        <v/>
      </c>
      <c r="R39" s="49">
        <f>Anthropic!R35-R38</f>
        <v/>
      </c>
      <c r="S39" s="49">
        <f>Anthropic!S35-S38</f>
        <v/>
      </c>
      <c r="T39" s="49">
        <f>Anthropic!T35-T38</f>
        <v/>
      </c>
      <c r="U39" s="1" t="n"/>
      <c r="V39" s="1" t="n"/>
      <c r="W39" s="1" t="n"/>
      <c r="X39" s="1" t="n"/>
      <c r="Y39" s="1" t="n"/>
      <c r="Z39" s="1" t="n"/>
      <c r="AA39" s="1" t="n"/>
      <c r="AB39" s="1" t="n"/>
    </row>
    <row r="40">
      <c r="A40" s="1" t="n"/>
      <c r="B40" s="29" t="inlineStr">
        <is>
          <t>Savings vs the stated policy mix ($B)</t>
        </is>
      </c>
      <c r="C40" s="1" t="n"/>
      <c r="D40" s="1" t="n"/>
      <c r="E40" s="1" t="n"/>
      <c r="F40" s="45">
        <f>Anthropic!F34-F38</f>
        <v/>
      </c>
      <c r="G40" s="45">
        <f>Anthropic!G34-G38</f>
        <v/>
      </c>
      <c r="H40" s="45">
        <f>Anthropic!H34-H38</f>
        <v/>
      </c>
      <c r="I40" s="45">
        <f>Anthropic!I34-I38</f>
        <v/>
      </c>
      <c r="J40" s="45">
        <f>Anthropic!J34-J38</f>
        <v/>
      </c>
      <c r="K40" s="45">
        <f>Anthropic!K34-K38</f>
        <v/>
      </c>
      <c r="L40" s="45">
        <f>Anthropic!L34-L38</f>
        <v/>
      </c>
      <c r="M40" s="45">
        <f>Anthropic!M34-M38</f>
        <v/>
      </c>
      <c r="N40" s="45">
        <f>Anthropic!N34-N38</f>
        <v/>
      </c>
      <c r="O40" s="45">
        <f>Anthropic!O34-O38</f>
        <v/>
      </c>
      <c r="P40" s="45">
        <f>Anthropic!P34-P38</f>
        <v/>
      </c>
      <c r="Q40" s="45">
        <f>Anthropic!Q34-Q38</f>
        <v/>
      </c>
      <c r="R40" s="45">
        <f>Anthropic!R34-R38</f>
        <v/>
      </c>
      <c r="S40" s="45">
        <f>Anthropic!S34-S38</f>
        <v/>
      </c>
      <c r="T40" s="45">
        <f>Anthropic!T34-T38</f>
        <v/>
      </c>
      <c r="U40" s="1" t="n"/>
      <c r="V40" s="1" t="n"/>
      <c r="W40" s="1" t="n"/>
      <c r="X40" s="1" t="n"/>
      <c r="Y40" s="1" t="n"/>
      <c r="Z40" s="1" t="n"/>
      <c r="AA40" s="1" t="n"/>
      <c r="AB40" s="1" t="n"/>
    </row>
    <row r="41">
      <c r="A41" s="1" t="n"/>
      <c r="B41" s="1" t="n"/>
      <c r="C41" s="1" t="n"/>
      <c r="D41" s="1" t="n"/>
      <c r="E41" s="1" t="n"/>
      <c r="F41" s="1" t="n"/>
      <c r="G41" s="1" t="n"/>
      <c r="H41" s="1" t="n"/>
      <c r="I41" s="1" t="n"/>
      <c r="J41" s="1" t="n"/>
      <c r="K41" s="1" t="n"/>
      <c r="L41" s="1" t="n"/>
      <c r="M41" s="1" t="n"/>
      <c r="N41" s="1" t="n"/>
      <c r="O41" s="1" t="n"/>
      <c r="P41" s="1" t="n"/>
      <c r="Q41" s="1" t="n"/>
      <c r="R41" s="1" t="n"/>
      <c r="S41" s="1" t="n"/>
      <c r="T41" s="1" t="n"/>
      <c r="U41" s="1" t="n"/>
      <c r="V41" s="1" t="n"/>
      <c r="W41" s="1" t="n"/>
      <c r="X41" s="1" t="n"/>
      <c r="Y41" s="1" t="n"/>
      <c r="Z41" s="1" t="n"/>
      <c r="AA41" s="1" t="n"/>
      <c r="AB41" s="1" t="n"/>
    </row>
    <row r="42">
      <c r="A42" s="1" t="n"/>
      <c r="B42" s="20" t="inlineStr">
        <is>
          <t>NPV of portfolio savings vs all-residual, FY2026-FY2040</t>
        </is>
      </c>
      <c r="C42" s="1" t="n"/>
      <c r="D42" s="50">
        <f>NPV(RaDisc,F39:T39)</f>
        <v/>
      </c>
      <c r="E42" s="1" t="n"/>
      <c r="F42" s="1" t="n"/>
      <c r="G42" s="1" t="n"/>
      <c r="H42" s="1" t="n"/>
      <c r="I42" s="1" t="n"/>
      <c r="J42" s="1" t="n"/>
      <c r="K42" s="1" t="n"/>
      <c r="L42" s="1" t="n"/>
      <c r="M42" s="1" t="n"/>
      <c r="N42" s="1" t="n"/>
      <c r="O42" s="1" t="n"/>
      <c r="P42" s="1" t="n"/>
      <c r="Q42" s="1" t="n"/>
      <c r="R42" s="1" t="n"/>
      <c r="S42" s="1" t="n"/>
      <c r="T42" s="1" t="n"/>
      <c r="U42" s="1" t="n"/>
      <c r="V42" s="1" t="n"/>
      <c r="W42" s="1" t="n"/>
      <c r="X42" s="1" t="n"/>
      <c r="Y42" s="1" t="n"/>
      <c r="Z42" s="1" t="n"/>
      <c r="AA42" s="1" t="n"/>
      <c r="AB42" s="1" t="n"/>
    </row>
    <row r="43">
      <c r="A43" s="1" t="n"/>
      <c r="B43" s="29" t="inlineStr">
        <is>
          <t>Deliverability premium embedded in the stated mix (NPV)</t>
        </is>
      </c>
      <c r="C43" s="1" t="n"/>
      <c r="D43" s="51">
        <f>NpvSavings-PortNpv</f>
        <v/>
      </c>
      <c r="E43" s="1" t="n"/>
      <c r="F43" s="1" t="n"/>
      <c r="G43" s="1" t="n"/>
      <c r="H43" s="1" t="n"/>
      <c r="I43" s="1" t="n"/>
      <c r="J43" s="1" t="n"/>
      <c r="K43" s="1" t="n"/>
      <c r="L43" s="1" t="n"/>
      <c r="M43" s="1" t="n"/>
      <c r="N43" s="1" t="n"/>
      <c r="O43" s="1" t="n"/>
      <c r="P43" s="1" t="n"/>
      <c r="Q43" s="1" t="n"/>
      <c r="R43" s="1" t="n"/>
      <c r="S43" s="1" t="n"/>
      <c r="T43" s="1" t="n"/>
      <c r="U43" s="1" t="n"/>
      <c r="V43" s="43" t="inlineStr">
        <is>
          <t>The stated mix books savings from gigawatts the caps cannot deliver; this value is the budget for raising validated-site throughput and N-SMR fleet rate.</t>
        </is>
      </c>
      <c r="W43" s="1" t="n"/>
      <c r="X43" s="1" t="n"/>
      <c r="Y43" s="1" t="n"/>
      <c r="Z43" s="1" t="n"/>
      <c r="AA43" s="1" t="n"/>
      <c r="AB43" s="1" t="n"/>
    </row>
    <row r="44">
      <c r="A44" s="1" t="n"/>
      <c r="B44" s="29" t="inlineStr">
        <is>
          <t>Deliverability the stated mix assumes beyond the caps, FY2030 (GW)</t>
        </is>
      </c>
      <c r="C44" s="1" t="n"/>
      <c r="D44" s="42">
        <f>MAX(0,Anthropic!J18*J12-J8)+MAX(0,Anthropic!J19*J12-J9)+MAX(0,Anthropic!J20*J12-J10)</f>
        <v/>
      </c>
      <c r="E44" s="1" t="n"/>
      <c r="F44" s="1" t="n"/>
      <c r="G44" s="1" t="n"/>
      <c r="H44" s="1" t="n"/>
      <c r="I44" s="1" t="n"/>
      <c r="J44" s="1" t="n"/>
      <c r="K44" s="1" t="n"/>
      <c r="L44" s="1" t="n"/>
      <c r="M44" s="1" t="n"/>
      <c r="N44" s="1" t="n"/>
      <c r="O44" s="1" t="n"/>
      <c r="P44" s="1" t="n"/>
      <c r="Q44" s="1" t="n"/>
      <c r="R44" s="1" t="n"/>
      <c r="S44" s="1" t="n"/>
      <c r="T44" s="1" t="n"/>
      <c r="U44" s="1" t="n"/>
      <c r="V44" s="43" t="inlineStr">
        <is>
          <t>Gigawatts the stated shares promise beyond what any cap can deliver.</t>
        </is>
      </c>
      <c r="W44" s="1" t="n"/>
      <c r="X44" s="1" t="n"/>
      <c r="Y44" s="1" t="n"/>
      <c r="Z44" s="1" t="n"/>
      <c r="AA44" s="1" t="n"/>
      <c r="AB44" s="1" t="n"/>
    </row>
    <row r="45">
      <c r="A45" s="1" t="n"/>
      <c r="B45" s="1" t="n"/>
      <c r="C45" s="1" t="n"/>
      <c r="D45" s="1" t="n"/>
      <c r="E45" s="1" t="n"/>
      <c r="F45" s="1" t="n"/>
      <c r="G45" s="1" t="n"/>
      <c r="H45" s="1" t="n"/>
      <c r="I45" s="1" t="n"/>
      <c r="J45" s="1" t="n"/>
      <c r="K45" s="1" t="n"/>
      <c r="L45" s="1" t="n"/>
      <c r="M45" s="1" t="n"/>
      <c r="N45" s="1" t="n"/>
      <c r="O45" s="1" t="n"/>
      <c r="P45" s="1" t="n"/>
      <c r="Q45" s="1" t="n"/>
      <c r="R45" s="1" t="n"/>
      <c r="S45" s="1" t="n"/>
      <c r="T45" s="1" t="n"/>
      <c r="U45" s="1" t="n"/>
      <c r="V45" s="1" t="n"/>
      <c r="W45" s="1" t="n"/>
      <c r="X45" s="1" t="n"/>
      <c r="Y45" s="1" t="n"/>
      <c r="Z45" s="1" t="n"/>
      <c r="AA45" s="1" t="n"/>
      <c r="AB45" s="1" t="n"/>
    </row>
    <row r="46" ht="17" customHeight="1">
      <c r="A46" s="1" t="n"/>
      <c r="B46" s="22" t="inlineStr">
        <is>
          <t>Frontier candidates</t>
        </is>
      </c>
      <c r="C46" s="23" t="n"/>
      <c r="D46" s="23" t="n"/>
      <c r="E46" s="23" t="n"/>
      <c r="F46" s="23" t="n"/>
      <c r="G46" s="23" t="n"/>
      <c r="H46" s="1" t="n"/>
      <c r="I46" s="1" t="n"/>
      <c r="J46" s="1" t="n"/>
      <c r="K46" s="1" t="n"/>
      <c r="L46" s="1" t="n"/>
      <c r="M46" s="1" t="n"/>
      <c r="N46" s="1" t="n"/>
      <c r="O46" s="1" t="n"/>
      <c r="P46" s="1" t="n"/>
      <c r="Q46" s="1" t="n"/>
      <c r="R46" s="1" t="n"/>
      <c r="S46" s="1" t="n"/>
      <c r="T46" s="1" t="n"/>
      <c r="U46" s="1" t="n"/>
      <c r="V46" s="1" t="n"/>
      <c r="W46" s="1" t="n"/>
      <c r="X46" s="1" t="n"/>
      <c r="Y46" s="1" t="n"/>
      <c r="Z46" s="1" t="n"/>
      <c r="AA46" s="1" t="n"/>
      <c r="AB46" s="1" t="n"/>
    </row>
    <row r="47" ht="26" customHeight="1">
      <c r="A47" s="1" t="n"/>
      <c r="B47" s="39" t="inlineStr">
        <is>
          <t>Candidate</t>
        </is>
      </c>
      <c r="C47" s="1" t="n"/>
      <c r="D47" s="52" t="inlineStr">
        <is>
          <t>NPV cost FY26-40 ($B)</t>
        </is>
      </c>
      <c r="E47" s="52" t="inlineStr">
        <is>
          <t>Blended FY2034 ($/MWh)</t>
        </is>
      </c>
      <c r="F47" s="52" t="inlineStr">
        <is>
          <t>Dev-stage share FY2030</t>
        </is>
      </c>
      <c r="G47" s="52" t="inlineStr">
        <is>
          <t>NPV savings ($B)</t>
        </is>
      </c>
      <c r="H47" s="1" t="n"/>
      <c r="I47" s="1" t="n"/>
      <c r="J47" s="1" t="n"/>
      <c r="K47" s="1" t="n"/>
      <c r="L47" s="1" t="n"/>
      <c r="M47" s="1" t="n"/>
      <c r="N47" s="1" t="n"/>
      <c r="O47" s="1" t="n"/>
      <c r="P47" s="1" t="n"/>
      <c r="Q47" s="1" t="n"/>
      <c r="R47" s="1" t="n"/>
      <c r="S47" s="1" t="n"/>
      <c r="T47" s="1" t="n"/>
      <c r="U47" s="1" t="n"/>
      <c r="V47" s="1" t="n"/>
      <c r="W47" s="1" t="n"/>
      <c r="X47" s="1" t="n"/>
      <c r="Y47" s="1" t="n"/>
      <c r="Z47" s="1" t="n"/>
      <c r="AA47" s="1" t="n"/>
      <c r="AB47" s="1" t="n"/>
    </row>
    <row r="48">
      <c r="A48" s="1" t="n"/>
      <c r="B48" s="53" t="inlineStr">
        <is>
          <t>All residual grid-blended</t>
        </is>
      </c>
      <c r="C48" s="1" t="n"/>
      <c r="D48" s="54">
        <f>NPV(RaDisc,Anthropic!F35:T35)</f>
        <v/>
      </c>
      <c r="E48" s="54">
        <f>Anthropic!N26*(1+nResidualBasisMarkup+nScarcityAlpha)</f>
        <v/>
      </c>
      <c r="F48" s="55" t="n">
        <v>0</v>
      </c>
      <c r="G48" s="56" t="n">
        <v>0</v>
      </c>
      <c r="H48" s="1" t="n"/>
      <c r="I48" s="1" t="n"/>
      <c r="J48" s="1" t="n"/>
      <c r="K48" s="1" t="n"/>
      <c r="L48" s="1" t="n"/>
      <c r="M48" s="1" t="n"/>
      <c r="N48" s="1" t="n"/>
      <c r="O48" s="1" t="n"/>
      <c r="P48" s="1" t="n"/>
      <c r="Q48" s="1" t="n"/>
      <c r="R48" s="1" t="n"/>
      <c r="S48" s="1" t="n"/>
      <c r="T48" s="1" t="n"/>
      <c r="U48" s="1" t="n"/>
      <c r="V48" s="1" t="n"/>
      <c r="W48" s="1" t="n"/>
      <c r="X48" s="1" t="n"/>
      <c r="Y48" s="1" t="n"/>
      <c r="Z48" s="1" t="n"/>
      <c r="AA48" s="1" t="n"/>
      <c r="AB48" s="1" t="n"/>
    </row>
    <row r="49">
      <c r="A49" s="1" t="n"/>
      <c r="B49" s="53" t="inlineStr">
        <is>
          <t>Stated policy mix</t>
        </is>
      </c>
      <c r="C49" s="1" t="n"/>
      <c r="D49" s="54">
        <f>NPV(RaDisc,Anthropic!F34:T34)</f>
        <v/>
      </c>
      <c r="E49" s="54">
        <f>Anthropic!N30</f>
        <v/>
      </c>
      <c r="F49" s="55">
        <f>Anthropic!J19+Anthropic!J20</f>
        <v/>
      </c>
      <c r="G49" s="57">
        <f>NpvSavings</f>
        <v/>
      </c>
      <c r="H49" s="1" t="n"/>
      <c r="I49" s="1" t="n"/>
      <c r="J49" s="1" t="n"/>
      <c r="K49" s="1" t="n"/>
      <c r="L49" s="1" t="n"/>
      <c r="M49" s="1" t="n"/>
      <c r="N49" s="1" t="n"/>
      <c r="O49" s="1" t="n"/>
      <c r="P49" s="1" t="n"/>
      <c r="Q49" s="1" t="n"/>
      <c r="R49" s="1" t="n"/>
      <c r="S49" s="1" t="n"/>
      <c r="T49" s="1" t="n"/>
      <c r="U49" s="1" t="n"/>
      <c r="V49" s="1" t="n"/>
      <c r="W49" s="1" t="n"/>
      <c r="X49" s="1" t="n"/>
      <c r="Y49" s="1" t="n"/>
      <c r="Z49" s="1" t="n"/>
      <c r="AA49" s="1" t="n"/>
      <c r="AB49" s="1" t="n"/>
    </row>
    <row r="50">
      <c r="A50" s="1" t="n"/>
      <c r="B50" s="58" t="inlineStr">
        <is>
          <t>Cap-constrained merit order</t>
        </is>
      </c>
      <c r="C50" s="1" t="n"/>
      <c r="D50" s="59">
        <f>NPV(RaDisc,F38:T38)</f>
        <v/>
      </c>
      <c r="E50" s="54">
        <f>N32</f>
        <v/>
      </c>
      <c r="F50" s="55">
        <f>DevShare2030</f>
        <v/>
      </c>
      <c r="G50" s="57">
        <f>PortNpv</f>
        <v/>
      </c>
      <c r="H50" s="1" t="n"/>
      <c r="I50" s="1" t="n"/>
      <c r="J50" s="1" t="n"/>
      <c r="K50" s="1" t="n"/>
      <c r="L50" s="1" t="n"/>
      <c r="M50" s="1" t="n"/>
      <c r="N50" s="1" t="n"/>
      <c r="O50" s="1" t="n"/>
      <c r="P50" s="1" t="n"/>
      <c r="Q50" s="1" t="n"/>
      <c r="R50" s="1" t="n"/>
      <c r="S50" s="1" t="n"/>
      <c r="T50" s="1" t="n"/>
      <c r="U50" s="1" t="n"/>
      <c r="V50" s="1" t="n"/>
      <c r="W50" s="1" t="n"/>
      <c r="X50" s="1" t="n"/>
      <c r="Y50" s="1" t="n"/>
      <c r="Z50" s="1" t="n"/>
      <c r="AA50" s="1" t="n"/>
      <c r="AB50" s="1" t="n"/>
    </row>
    <row r="51">
      <c r="A51" s="1" t="n"/>
      <c r="B51" s="1" t="n"/>
      <c r="C51" s="1" t="n"/>
      <c r="D51" s="1" t="n"/>
      <c r="E51" s="1" t="n"/>
      <c r="F51" s="1" t="n"/>
      <c r="G51" s="1" t="n"/>
      <c r="H51" s="1" t="n"/>
      <c r="I51" s="1" t="n"/>
      <c r="J51" s="1" t="n"/>
      <c r="K51" s="1" t="n"/>
      <c r="L51" s="1" t="n"/>
      <c r="M51" s="1" t="n"/>
      <c r="N51" s="1" t="n"/>
      <c r="O51" s="1" t="n"/>
      <c r="P51" s="1" t="n"/>
      <c r="Q51" s="1" t="n"/>
      <c r="R51" s="1" t="n"/>
      <c r="S51" s="1" t="n"/>
      <c r="T51" s="1" t="n"/>
      <c r="U51" s="1" t="n"/>
      <c r="V51" s="1" t="n"/>
      <c r="W51" s="1" t="n"/>
      <c r="X51" s="1" t="n"/>
      <c r="Y51" s="1" t="n"/>
      <c r="Z51" s="1" t="n"/>
      <c r="AA51" s="1" t="n"/>
      <c r="AB51" s="1" t="n"/>
    </row>
    <row r="52" ht="36" customHeight="1">
      <c r="A52" s="1" t="n"/>
      <c r="B52" s="28" t="inlineStr">
        <is>
          <t>The FY2030 trade is deliverability: residual-grid capacity carries an immediate-availability premium, while cheaper sources carry development-stage or construction-stage risk.</t>
        </is>
      </c>
      <c r="C52" s="1" t="n"/>
      <c r="D52" s="1" t="n"/>
      <c r="E52" s="1" t="n"/>
      <c r="F52" s="1" t="n"/>
      <c r="G52" s="1" t="n"/>
      <c r="H52" s="1" t="n"/>
      <c r="I52" s="1" t="n"/>
      <c r="J52" s="1" t="n"/>
      <c r="K52" s="1" t="n"/>
      <c r="L52" s="1" t="n"/>
      <c r="M52" s="1" t="n"/>
      <c r="N52" s="1" t="n"/>
      <c r="O52" s="1" t="n"/>
      <c r="P52" s="1" t="n"/>
      <c r="Q52" s="1" t="n"/>
      <c r="R52" s="1" t="n"/>
      <c r="S52" s="1" t="n"/>
      <c r="T52" s="1" t="n"/>
      <c r="U52" s="1" t="n"/>
      <c r="V52" s="1" t="n"/>
      <c r="W52" s="1" t="n"/>
      <c r="X52" s="1" t="n"/>
      <c r="Y52" s="1" t="n"/>
      <c r="Z52" s="1" t="n"/>
      <c r="AA52" s="1" t="n"/>
      <c r="AB52" s="1" t="n"/>
    </row>
    <row r="53">
      <c r="A53" s="1" t="n"/>
      <c r="B53" s="1" t="n"/>
      <c r="C53" s="1" t="n"/>
      <c r="D53" s="1" t="n"/>
      <c r="E53" s="1" t="n"/>
      <c r="F53" s="1" t="n"/>
      <c r="G53" s="1" t="n"/>
      <c r="H53" s="1" t="n"/>
      <c r="I53" s="1" t="n"/>
      <c r="J53" s="1" t="n"/>
      <c r="K53" s="1" t="n"/>
      <c r="L53" s="1" t="n"/>
      <c r="M53" s="1" t="n"/>
      <c r="N53" s="1" t="n"/>
      <c r="O53" s="1" t="n"/>
      <c r="P53" s="1" t="n"/>
      <c r="Q53" s="1" t="n"/>
      <c r="R53" s="1" t="n"/>
      <c r="S53" s="1" t="n"/>
      <c r="T53" s="1" t="n"/>
      <c r="U53" s="1" t="n"/>
      <c r="V53" s="1" t="n"/>
      <c r="W53" s="1" t="n"/>
      <c r="X53" s="1" t="n"/>
      <c r="Y53" s="1" t="n"/>
      <c r="Z53" s="1" t="n"/>
      <c r="AA53" s="1" t="n"/>
      <c r="AB53" s="1" t="n"/>
    </row>
    <row r="54">
      <c r="A54" s="1" t="n"/>
      <c r="B54" s="1" t="n"/>
      <c r="C54" s="1" t="n"/>
      <c r="D54" s="1" t="n"/>
      <c r="E54" s="1" t="n"/>
      <c r="F54" s="1" t="n"/>
      <c r="G54" s="1" t="n"/>
      <c r="H54" s="1" t="n"/>
      <c r="I54" s="1" t="n"/>
      <c r="J54" s="1" t="n"/>
      <c r="K54" s="1" t="n"/>
      <c r="L54" s="1" t="n"/>
      <c r="M54" s="1" t="n"/>
      <c r="N54" s="1" t="n"/>
      <c r="O54" s="1" t="n"/>
      <c r="P54" s="1" t="n"/>
      <c r="Q54" s="1" t="n"/>
      <c r="R54" s="1" t="n"/>
      <c r="S54" s="1" t="n"/>
      <c r="T54" s="1" t="n"/>
      <c r="U54" s="1" t="n"/>
      <c r="V54" s="1" t="n"/>
      <c r="W54" s="1" t="n"/>
      <c r="X54" s="1" t="n"/>
      <c r="Y54" s="1" t="n"/>
      <c r="Z54" s="1" t="n"/>
      <c r="AA54" s="1" t="n"/>
      <c r="AB54" s="1" t="n"/>
    </row>
    <row r="55">
      <c r="A55" s="1" t="n"/>
      <c r="B55" s="1" t="n"/>
      <c r="C55" s="1" t="n"/>
      <c r="D55" s="1" t="n"/>
      <c r="E55" s="1" t="n"/>
      <c r="F55" s="1" t="n"/>
      <c r="G55" s="1" t="n"/>
      <c r="H55" s="1" t="n"/>
      <c r="I55" s="1" t="n"/>
      <c r="J55" s="1" t="n"/>
      <c r="K55" s="1" t="n"/>
      <c r="L55" s="1" t="n"/>
      <c r="M55" s="1" t="n"/>
      <c r="N55" s="1" t="n"/>
      <c r="O55" s="1" t="n"/>
      <c r="P55" s="1" t="n"/>
      <c r="Q55" s="1" t="n"/>
      <c r="R55" s="1" t="n"/>
      <c r="S55" s="1" t="n"/>
      <c r="T55" s="1" t="n"/>
      <c r="U55" s="1" t="n"/>
      <c r="V55" s="1" t="n"/>
      <c r="W55" s="1" t="n"/>
      <c r="X55" s="1" t="n"/>
      <c r="Y55" s="1" t="n"/>
      <c r="Z55" s="1" t="n"/>
      <c r="AA55" s="1" t="n"/>
      <c r="AB55" s="1" t="n"/>
    </row>
    <row r="56">
      <c r="A56" s="1" t="n"/>
      <c r="B56" s="1" t="n"/>
      <c r="C56" s="1" t="n"/>
      <c r="D56" s="1" t="n"/>
      <c r="E56" s="1" t="n"/>
      <c r="F56" s="1" t="n"/>
      <c r="G56" s="1" t="n"/>
      <c r="H56" s="1" t="n"/>
      <c r="I56" s="1" t="n"/>
      <c r="J56" s="1" t="n"/>
      <c r="K56" s="1" t="n"/>
      <c r="L56" s="1" t="n"/>
      <c r="M56" s="1" t="n"/>
      <c r="N56" s="1" t="n"/>
      <c r="O56" s="1" t="n"/>
      <c r="P56" s="1" t="n"/>
      <c r="Q56" s="1" t="n"/>
      <c r="R56" s="1" t="n"/>
      <c r="S56" s="1" t="n"/>
      <c r="T56" s="1" t="n"/>
      <c r="U56" s="1" t="n"/>
      <c r="V56" s="1" t="n"/>
      <c r="W56" s="1" t="n"/>
      <c r="X56" s="1" t="n"/>
      <c r="Y56" s="1" t="n"/>
      <c r="Z56" s="1" t="n"/>
      <c r="AA56" s="1" t="n"/>
      <c r="AB56" s="1" t="n"/>
    </row>
    <row r="57">
      <c r="A57" s="1" t="n"/>
      <c r="B57" s="1" t="n"/>
      <c r="C57" s="1" t="n"/>
      <c r="D57" s="1" t="n"/>
      <c r="E57" s="1" t="n"/>
      <c r="F57" s="1" t="n"/>
      <c r="G57" s="1" t="n"/>
      <c r="H57" s="1" t="n"/>
      <c r="I57" s="1" t="n"/>
      <c r="J57" s="1" t="n"/>
      <c r="K57" s="1" t="n"/>
      <c r="L57" s="1" t="n"/>
      <c r="M57" s="1" t="n"/>
      <c r="N57" s="1" t="n"/>
      <c r="O57" s="1" t="n"/>
      <c r="P57" s="1" t="n"/>
      <c r="Q57" s="1" t="n"/>
      <c r="R57" s="1" t="n"/>
      <c r="S57" s="1" t="n"/>
      <c r="T57" s="1" t="n"/>
      <c r="U57" s="1" t="n"/>
      <c r="V57" s="1" t="n"/>
      <c r="W57" s="1" t="n"/>
      <c r="X57" s="1" t="n"/>
      <c r="Y57" s="1" t="n"/>
      <c r="Z57" s="1" t="n"/>
      <c r="AA57" s="1" t="n"/>
      <c r="AB57" s="1" t="n"/>
    </row>
    <row r="58">
      <c r="A58" s="1" t="n"/>
      <c r="B58" s="1" t="n"/>
      <c r="C58" s="1" t="n"/>
      <c r="D58" s="1" t="n"/>
      <c r="E58" s="1" t="n"/>
      <c r="F58" s="1" t="n"/>
      <c r="G58" s="1" t="n"/>
      <c r="H58" s="1" t="n"/>
      <c r="I58" s="1" t="n"/>
      <c r="J58" s="1" t="n"/>
      <c r="K58" s="1" t="n"/>
      <c r="L58" s="1" t="n"/>
      <c r="M58" s="1" t="n"/>
      <c r="N58" s="1" t="n"/>
      <c r="O58" s="1" t="n"/>
      <c r="P58" s="1" t="n"/>
      <c r="Q58" s="1" t="n"/>
      <c r="R58" s="1" t="n"/>
      <c r="S58" s="1" t="n"/>
      <c r="T58" s="1" t="n"/>
      <c r="U58" s="1" t="n"/>
      <c r="V58" s="1" t="n"/>
      <c r="W58" s="1" t="n"/>
      <c r="X58" s="1" t="n"/>
      <c r="Y58" s="1" t="n"/>
      <c r="Z58" s="1" t="n"/>
      <c r="AA58" s="1" t="n"/>
      <c r="AB58" s="1" t="n"/>
    </row>
    <row r="59">
      <c r="A59" s="1" t="n"/>
      <c r="B59" s="1" t="n"/>
      <c r="C59" s="1" t="n"/>
      <c r="D59" s="1" t="n"/>
      <c r="E59" s="1" t="n"/>
      <c r="F59" s="1" t="n"/>
      <c r="G59" s="1" t="n"/>
      <c r="H59" s="1" t="n"/>
      <c r="I59" s="1" t="n"/>
      <c r="J59" s="1" t="n"/>
      <c r="K59" s="1" t="n"/>
      <c r="L59" s="1" t="n"/>
      <c r="M59" s="1" t="n"/>
      <c r="N59" s="1" t="n"/>
      <c r="O59" s="1" t="n"/>
      <c r="P59" s="1" t="n"/>
      <c r="Q59" s="1" t="n"/>
      <c r="R59" s="1" t="n"/>
      <c r="S59" s="1" t="n"/>
      <c r="T59" s="1" t="n"/>
      <c r="U59" s="1" t="n"/>
      <c r="V59" s="1" t="n"/>
      <c r="W59" s="1" t="n"/>
      <c r="X59" s="1" t="n"/>
      <c r="Y59" s="1" t="n"/>
      <c r="Z59" s="1" t="n"/>
      <c r="AA59" s="1" t="n"/>
      <c r="AB59" s="1" t="n"/>
    </row>
    <row r="60">
      <c r="A60" s="1" t="n"/>
      <c r="B60" s="1" t="n"/>
      <c r="C60" s="1" t="n"/>
      <c r="D60" s="1" t="n"/>
      <c r="E60" s="1" t="n"/>
      <c r="F60" s="1" t="n"/>
      <c r="G60" s="1" t="n"/>
      <c r="H60" s="1" t="n"/>
      <c r="I60" s="1" t="n"/>
      <c r="J60" s="1" t="n"/>
      <c r="K60" s="1" t="n"/>
      <c r="L60" s="1" t="n"/>
      <c r="M60" s="1" t="n"/>
      <c r="N60" s="1" t="n"/>
      <c r="O60" s="1" t="n"/>
      <c r="P60" s="1" t="n"/>
      <c r="Q60" s="1" t="n"/>
      <c r="R60" s="1" t="n"/>
      <c r="S60" s="1" t="n"/>
      <c r="T60" s="1" t="n"/>
      <c r="U60" s="1" t="n"/>
      <c r="V60" s="1" t="n"/>
      <c r="W60" s="1" t="n"/>
      <c r="X60" s="1" t="n"/>
      <c r="Y60" s="1" t="n"/>
      <c r="Z60" s="1" t="n"/>
      <c r="AA60" s="1" t="n"/>
      <c r="AB60" s="1" t="n"/>
    </row>
    <row r="61">
      <c r="A61" s="1" t="n"/>
      <c r="B61" s="1" t="n"/>
      <c r="C61" s="1" t="n"/>
      <c r="D61" s="1" t="n"/>
      <c r="E61" s="1" t="n"/>
      <c r="F61" s="1" t="n"/>
      <c r="G61" s="1" t="n"/>
      <c r="H61" s="1" t="n"/>
      <c r="I61" s="1" t="n"/>
      <c r="J61" s="1" t="n"/>
      <c r="K61" s="1" t="n"/>
      <c r="L61" s="1" t="n"/>
      <c r="M61" s="1" t="n"/>
      <c r="N61" s="1" t="n"/>
      <c r="O61" s="1" t="n"/>
      <c r="P61" s="1" t="n"/>
      <c r="Q61" s="1" t="n"/>
      <c r="R61" s="1" t="n"/>
      <c r="S61" s="1" t="n"/>
      <c r="T61" s="1" t="n"/>
      <c r="U61" s="1" t="n"/>
      <c r="V61" s="1" t="n"/>
      <c r="W61" s="1" t="n"/>
      <c r="X61" s="1" t="n"/>
      <c r="Y61" s="1" t="n"/>
      <c r="Z61" s="1" t="n"/>
      <c r="AA61" s="1" t="n"/>
      <c r="AB61" s="1" t="n"/>
    </row>
    <row r="62">
      <c r="A62" s="1" t="n"/>
      <c r="B62" s="1" t="n"/>
      <c r="C62" s="1" t="n"/>
      <c r="D62" s="1" t="n"/>
      <c r="E62" s="1" t="n"/>
      <c r="F62" s="1" t="n"/>
      <c r="G62" s="1" t="n"/>
      <c r="H62" s="1" t="n"/>
      <c r="I62" s="1" t="n"/>
      <c r="J62" s="1" t="n"/>
      <c r="K62" s="1" t="n"/>
      <c r="L62" s="1" t="n"/>
      <c r="M62" s="1" t="n"/>
      <c r="N62" s="1" t="n"/>
      <c r="O62" s="1" t="n"/>
      <c r="P62" s="1" t="n"/>
      <c r="Q62" s="1" t="n"/>
      <c r="R62" s="1" t="n"/>
      <c r="S62" s="1" t="n"/>
      <c r="T62" s="1" t="n"/>
      <c r="U62" s="1" t="n"/>
      <c r="V62" s="1" t="n"/>
      <c r="W62" s="1" t="n"/>
      <c r="X62" s="1" t="n"/>
      <c r="Y62" s="1" t="n"/>
      <c r="Z62" s="1" t="n"/>
      <c r="AA62" s="1" t="n"/>
      <c r="AB62" s="1" t="n"/>
    </row>
    <row r="63">
      <c r="A63" s="1" t="n"/>
      <c r="B63" s="1" t="n"/>
      <c r="C63" s="1" t="n"/>
      <c r="D63" s="1" t="n"/>
      <c r="E63" s="1" t="n"/>
      <c r="F63" s="1" t="n"/>
      <c r="G63" s="1" t="n"/>
      <c r="H63" s="1" t="n"/>
      <c r="I63" s="1" t="n"/>
      <c r="J63" s="1" t="n"/>
      <c r="K63" s="1" t="n"/>
      <c r="L63" s="1" t="n"/>
      <c r="M63" s="1" t="n"/>
      <c r="N63" s="1" t="n"/>
      <c r="O63" s="1" t="n"/>
      <c r="P63" s="1" t="n"/>
      <c r="Q63" s="1" t="n"/>
      <c r="R63" s="1" t="n"/>
      <c r="S63" s="1" t="n"/>
      <c r="T63" s="1" t="n"/>
      <c r="U63" s="1" t="n"/>
      <c r="V63" s="1" t="n"/>
      <c r="W63" s="1" t="n"/>
      <c r="X63" s="1" t="n"/>
      <c r="Y63" s="1" t="n"/>
      <c r="Z63" s="1" t="n"/>
      <c r="AA63" s="1" t="n"/>
      <c r="AB63" s="1" t="n"/>
    </row>
    <row r="64">
      <c r="A64" s="1" t="n"/>
      <c r="B64" s="1" t="n"/>
      <c r="C64" s="1" t="n"/>
      <c r="D64" s="1" t="n"/>
      <c r="E64" s="1" t="n"/>
      <c r="F64" s="1" t="n"/>
      <c r="G64" s="1" t="n"/>
      <c r="H64" s="1" t="n"/>
      <c r="I64" s="1" t="n"/>
      <c r="J64" s="1" t="n"/>
      <c r="K64" s="1" t="n"/>
      <c r="L64" s="1" t="n"/>
      <c r="M64" s="1" t="n"/>
      <c r="N64" s="1" t="n"/>
      <c r="O64" s="1" t="n"/>
      <c r="P64" s="1" t="n"/>
      <c r="Q64" s="1" t="n"/>
      <c r="R64" s="1" t="n"/>
      <c r="S64" s="1" t="n"/>
      <c r="T64" s="1" t="n"/>
      <c r="U64" s="1" t="n"/>
      <c r="V64" s="1" t="n"/>
      <c r="W64" s="1" t="n"/>
      <c r="X64" s="1" t="n"/>
      <c r="Y64" s="1" t="n"/>
      <c r="Z64" s="1" t="n"/>
      <c r="AA64" s="1" t="n"/>
      <c r="AB64" s="1" t="n"/>
    </row>
  </sheetData>
  <pageMargins left="0.4" right="0.4" top="0.5" bottom="0.5" header="0.3" footer="0.3"/>
  <pageSetup orientation="landscape" fitToHeight="0" fitToWidth="1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tabColor rgb="003D3D3A"/>
    <outlinePr summaryBelow="1" summaryRight="1"/>
    <pageSetUpPr fitToPage="1"/>
  </sheetPr>
  <dimension ref="A1:AB41"/>
  <sheetViews>
    <sheetView showGridLines="0" workbookViewId="0">
      <selection activeCell="A1" sqref="A1"/>
    </sheetView>
  </sheetViews>
  <sheetFormatPr baseColWidth="8" defaultRowHeight="15"/>
  <cols>
    <col width="2.5" customWidth="1" min="1" max="1"/>
    <col width="40" customWidth="1" min="2" max="2"/>
    <col width="9.4" customWidth="1" min="3" max="3"/>
    <col width="9.4" customWidth="1" min="4" max="4"/>
    <col width="9.4" customWidth="1" min="5" max="5"/>
    <col width="9.4" customWidth="1" min="6" max="6"/>
    <col width="9.4" customWidth="1" min="7" max="7"/>
    <col width="9.4" customWidth="1" min="8" max="8"/>
    <col width="9.4" customWidth="1" min="9" max="9"/>
    <col width="9.4" customWidth="1" min="10" max="10"/>
    <col width="9.4" customWidth="1" min="11" max="11"/>
    <col width="9.4" customWidth="1" min="12" max="12"/>
    <col width="9.4" customWidth="1" min="13" max="13"/>
    <col width="9.4" customWidth="1" min="14" max="14"/>
    <col width="9.4" customWidth="1" min="15" max="15"/>
    <col width="9.4" customWidth="1" min="16" max="16"/>
    <col width="9.4" customWidth="1" min="17" max="17"/>
    <col width="9.4" customWidth="1" min="18" max="18"/>
    <col width="9.4" customWidth="1" min="19" max="19"/>
    <col width="9.4" customWidth="1" min="20" max="20"/>
    <col width="60" customWidth="1" min="22" max="22"/>
  </cols>
  <sheetData>
    <row r="1" ht="9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</row>
    <row r="2" ht="22" customHeight="1">
      <c r="A2" s="1" t="n"/>
      <c r="B2" s="17" t="inlineStr">
        <is>
          <t>Envelope Return</t>
        </is>
      </c>
      <c r="C2" s="18" t="n"/>
      <c r="D2" s="18" t="n"/>
      <c r="E2" s="18" t="n"/>
      <c r="F2" s="18" t="n"/>
      <c r="G2" s="18" t="n"/>
      <c r="H2" s="18" t="n"/>
      <c r="I2" s="18" t="n"/>
      <c r="J2" s="18" t="n"/>
      <c r="K2" s="18" t="n"/>
      <c r="L2" s="18" t="n"/>
      <c r="M2" s="18" t="n"/>
      <c r="N2" s="18" t="n"/>
      <c r="O2" s="18" t="n"/>
      <c r="P2" s="18" t="n"/>
      <c r="Q2" s="18" t="n"/>
      <c r="R2" s="18" t="n"/>
      <c r="S2" s="18" t="n"/>
      <c r="T2" s="18" t="n"/>
      <c r="U2" s="1" t="n"/>
      <c r="V2" s="1" t="n"/>
      <c r="W2" s="1" t="n"/>
      <c r="X2" s="1" t="n"/>
      <c r="Y2" s="1" t="n"/>
      <c r="Z2" s="1" t="n"/>
      <c r="AA2" s="1" t="n"/>
      <c r="AB2" s="1" t="n"/>
    </row>
    <row r="3">
      <c r="A3" s="1" t="n"/>
      <c r="B3" s="19" t="inlineStr">
        <is>
          <t>Revenue must cover serving load, the training floor, internal acceleration, and the capital tied up before useful capacity arrives.</t>
        </is>
      </c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  <c r="M3" s="1" t="n"/>
      <c r="N3" s="1" t="n"/>
      <c r="O3" s="1" t="n"/>
      <c r="P3" s="1" t="n"/>
      <c r="Q3" s="1" t="n"/>
      <c r="R3" s="1" t="n"/>
      <c r="S3" s="1" t="n"/>
      <c r="T3" s="1" t="n"/>
      <c r="U3" s="1" t="n"/>
      <c r="V3" s="1" t="n"/>
      <c r="W3" s="1" t="n"/>
      <c r="X3" s="1" t="n"/>
      <c r="Y3" s="1" t="n"/>
      <c r="Z3" s="1" t="n"/>
      <c r="AA3" s="1" t="n"/>
      <c r="AB3" s="1" t="n"/>
    </row>
    <row r="4" ht="6" customHeight="1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  <c r="K4" s="1" t="n"/>
      <c r="L4" s="1" t="n"/>
      <c r="M4" s="1" t="n"/>
      <c r="N4" s="1" t="n"/>
      <c r="O4" s="1" t="n"/>
      <c r="P4" s="1" t="n"/>
      <c r="Q4" s="1" t="n"/>
      <c r="R4" s="1" t="n"/>
      <c r="S4" s="1" t="n"/>
      <c r="T4" s="1" t="n"/>
      <c r="U4" s="1" t="n"/>
      <c r="V4" s="1" t="n"/>
      <c r="W4" s="1" t="n"/>
      <c r="X4" s="1" t="n"/>
      <c r="Y4" s="1" t="n"/>
      <c r="Z4" s="1" t="n"/>
      <c r="AA4" s="1" t="n"/>
      <c r="AB4" s="1" t="n"/>
    </row>
    <row r="5">
      <c r="A5" s="1" t="n"/>
      <c r="B5" s="1" t="n"/>
      <c r="C5" s="38" t="n">
        <v>2023</v>
      </c>
      <c r="D5" s="38" t="n">
        <v>2024</v>
      </c>
      <c r="E5" s="38" t="n">
        <v>2025</v>
      </c>
      <c r="F5" s="38" t="n">
        <v>2026</v>
      </c>
      <c r="G5" s="38" t="n">
        <v>2027</v>
      </c>
      <c r="H5" s="38" t="n">
        <v>2028</v>
      </c>
      <c r="I5" s="38" t="n">
        <v>2029</v>
      </c>
      <c r="J5" s="38" t="n">
        <v>2030</v>
      </c>
      <c r="K5" s="38" t="n">
        <v>2031</v>
      </c>
      <c r="L5" s="38" t="n">
        <v>2032</v>
      </c>
      <c r="M5" s="38" t="n">
        <v>2033</v>
      </c>
      <c r="N5" s="38" t="n">
        <v>2034</v>
      </c>
      <c r="O5" s="38" t="n">
        <v>2035</v>
      </c>
      <c r="P5" s="38" t="n">
        <v>2036</v>
      </c>
      <c r="Q5" s="38" t="n">
        <v>2037</v>
      </c>
      <c r="R5" s="38" t="n">
        <v>2038</v>
      </c>
      <c r="S5" s="38" t="n">
        <v>2039</v>
      </c>
      <c r="T5" s="38" t="n">
        <v>2040</v>
      </c>
      <c r="U5" s="1" t="n"/>
      <c r="V5" s="1" t="n"/>
      <c r="W5" s="1" t="n"/>
      <c r="X5" s="1" t="n"/>
      <c r="Y5" s="1" t="n"/>
      <c r="Z5" s="1" t="n"/>
      <c r="AA5" s="1" t="n"/>
      <c r="AB5" s="1" t="n"/>
    </row>
    <row r="6" ht="17" customHeight="1">
      <c r="A6" s="1" t="n"/>
      <c r="B6" s="22" t="inlineStr">
        <is>
          <t>Allocation starts with the training floor</t>
        </is>
      </c>
      <c r="C6" s="23" t="n"/>
      <c r="D6" s="23" t="n"/>
      <c r="E6" s="23" t="n"/>
      <c r="F6" s="23" t="n"/>
      <c r="G6" s="23" t="n"/>
      <c r="H6" s="23" t="n"/>
      <c r="I6" s="23" t="n"/>
      <c r="J6" s="23" t="n"/>
      <c r="K6" s="23" t="n"/>
      <c r="L6" s="23" t="n"/>
      <c r="M6" s="23" t="n"/>
      <c r="N6" s="23" t="n"/>
      <c r="O6" s="23" t="n"/>
      <c r="P6" s="23" t="n"/>
      <c r="Q6" s="23" t="n"/>
      <c r="R6" s="23" t="n"/>
      <c r="S6" s="23" t="n"/>
      <c r="T6" s="23" t="n"/>
      <c r="U6" s="1" t="n"/>
      <c r="V6" s="1" t="n"/>
      <c r="W6" s="1" t="n"/>
      <c r="X6" s="1" t="n"/>
      <c r="Y6" s="1" t="n"/>
      <c r="Z6" s="1" t="n"/>
      <c r="AA6" s="1" t="n"/>
      <c r="AB6" s="1" t="n"/>
    </row>
    <row r="7" ht="14" customHeight="1">
      <c r="A7" s="1" t="n"/>
      <c r="B7" s="39" t="inlineStr"/>
      <c r="C7" s="40" t="inlineStr">
        <is>
          <t>FY'23</t>
        </is>
      </c>
      <c r="D7" s="40" t="inlineStr">
        <is>
          <t>FY'24</t>
        </is>
      </c>
      <c r="E7" s="40" t="inlineStr">
        <is>
          <t>FY'25</t>
        </is>
      </c>
      <c r="F7" s="41" t="inlineStr">
        <is>
          <t>FY'26</t>
        </is>
      </c>
      <c r="G7" s="41" t="inlineStr">
        <is>
          <t>FY'27</t>
        </is>
      </c>
      <c r="H7" s="41" t="inlineStr">
        <is>
          <t>FY'28</t>
        </is>
      </c>
      <c r="I7" s="41" t="inlineStr">
        <is>
          <t>FY'29</t>
        </is>
      </c>
      <c r="J7" s="41" t="inlineStr">
        <is>
          <t>FY'30</t>
        </is>
      </c>
      <c r="K7" s="41" t="inlineStr">
        <is>
          <t>FY'31</t>
        </is>
      </c>
      <c r="L7" s="41" t="inlineStr">
        <is>
          <t>FY'32</t>
        </is>
      </c>
      <c r="M7" s="41" t="inlineStr">
        <is>
          <t>FY'33</t>
        </is>
      </c>
      <c r="N7" s="41" t="inlineStr">
        <is>
          <t>FY'34</t>
        </is>
      </c>
      <c r="O7" s="41" t="inlineStr">
        <is>
          <t>FY'35</t>
        </is>
      </c>
      <c r="P7" s="41" t="inlineStr">
        <is>
          <t>FY'36</t>
        </is>
      </c>
      <c r="Q7" s="41" t="inlineStr">
        <is>
          <t>FY'37</t>
        </is>
      </c>
      <c r="R7" s="41" t="inlineStr">
        <is>
          <t>FY'38</t>
        </is>
      </c>
      <c r="S7" s="41" t="inlineStr">
        <is>
          <t>FY'39</t>
        </is>
      </c>
      <c r="T7" s="41" t="inlineStr">
        <is>
          <t>FY'40</t>
        </is>
      </c>
      <c r="U7" s="1" t="n"/>
      <c r="V7" s="1" t="n"/>
      <c r="W7" s="1" t="n"/>
      <c r="X7" s="1" t="n"/>
      <c r="Y7" s="1" t="n"/>
      <c r="Z7" s="1" t="n"/>
      <c r="AA7" s="1" t="n"/>
      <c r="AB7" s="1" t="n"/>
    </row>
    <row r="8">
      <c r="A8" s="1" t="n"/>
      <c r="B8" s="29" t="inlineStr">
        <is>
          <t>Serving energy (TWh)</t>
        </is>
      </c>
      <c r="C8" s="1" t="n"/>
      <c r="D8" s="1" t="n"/>
      <c r="E8" s="1" t="n"/>
      <c r="F8" s="60">
        <f>Anthropic!F13</f>
        <v/>
      </c>
      <c r="G8" s="60">
        <f>Anthropic!G13</f>
        <v/>
      </c>
      <c r="H8" s="60">
        <f>Anthropic!H13</f>
        <v/>
      </c>
      <c r="I8" s="60">
        <f>Anthropic!I13</f>
        <v/>
      </c>
      <c r="J8" s="60">
        <f>Anthropic!J13</f>
        <v/>
      </c>
      <c r="K8" s="60">
        <f>Anthropic!K13</f>
        <v/>
      </c>
      <c r="L8" s="60">
        <f>Anthropic!L13</f>
        <v/>
      </c>
      <c r="M8" s="60">
        <f>Anthropic!M13</f>
        <v/>
      </c>
      <c r="N8" s="60">
        <f>Anthropic!N13</f>
        <v/>
      </c>
      <c r="O8" s="60">
        <f>Anthropic!O13</f>
        <v/>
      </c>
      <c r="P8" s="60">
        <f>Anthropic!P13</f>
        <v/>
      </c>
      <c r="Q8" s="60">
        <f>Anthropic!Q13</f>
        <v/>
      </c>
      <c r="R8" s="60">
        <f>Anthropic!R13</f>
        <v/>
      </c>
      <c r="S8" s="60">
        <f>Anthropic!S13</f>
        <v/>
      </c>
      <c r="T8" s="60">
        <f>Anthropic!T13</f>
        <v/>
      </c>
      <c r="U8" s="1" t="n"/>
      <c r="V8" s="43" t="inlineStr">
        <is>
          <t>Serving demand is priced first; the training floor and internal share gross it up to the full compute envelope.</t>
        </is>
      </c>
      <c r="W8" s="1" t="n"/>
      <c r="X8" s="1" t="n"/>
      <c r="Y8" s="1" t="n"/>
      <c r="Z8" s="1" t="n"/>
      <c r="AA8" s="1" t="n"/>
      <c r="AB8" s="1" t="n"/>
    </row>
    <row r="9">
      <c r="A9" s="1" t="n"/>
      <c r="B9" s="29" t="inlineStr">
        <is>
          <t>Total envelope (TWh)</t>
        </is>
      </c>
      <c r="C9" s="1" t="n"/>
      <c r="D9" s="1" t="n"/>
      <c r="E9" s="1" t="n"/>
      <c r="F9" s="61">
        <f>F8/nServingShare</f>
        <v/>
      </c>
      <c r="G9" s="61">
        <f>G8/nServingShare</f>
        <v/>
      </c>
      <c r="H9" s="61">
        <f>H8/nServingShare</f>
        <v/>
      </c>
      <c r="I9" s="61">
        <f>I8/nServingShare</f>
        <v/>
      </c>
      <c r="J9" s="61">
        <f>J8/nServingShare</f>
        <v/>
      </c>
      <c r="K9" s="61">
        <f>K8/nServingShare</f>
        <v/>
      </c>
      <c r="L9" s="61">
        <f>L8/nServingShare</f>
        <v/>
      </c>
      <c r="M9" s="61">
        <f>M8/nServingShare</f>
        <v/>
      </c>
      <c r="N9" s="61">
        <f>N8/nServingShare</f>
        <v/>
      </c>
      <c r="O9" s="61">
        <f>O8/nServingShare</f>
        <v/>
      </c>
      <c r="P9" s="61">
        <f>P8/nServingShare</f>
        <v/>
      </c>
      <c r="Q9" s="61">
        <f>Q8/nServingShare</f>
        <v/>
      </c>
      <c r="R9" s="61">
        <f>R8/nServingShare</f>
        <v/>
      </c>
      <c r="S9" s="61">
        <f>S8/nServingShare</f>
        <v/>
      </c>
      <c r="T9" s="61">
        <f>T8/nServingShare</f>
        <v/>
      </c>
      <c r="U9" s="1" t="n"/>
      <c r="V9" s="1" t="n"/>
      <c r="W9" s="1" t="n"/>
      <c r="X9" s="1" t="n"/>
      <c r="Y9" s="1" t="n"/>
      <c r="Z9" s="1" t="n"/>
      <c r="AA9" s="1" t="n"/>
      <c r="AB9" s="1" t="n"/>
    </row>
    <row r="10">
      <c r="A10" s="1" t="n"/>
      <c r="B10" s="29" t="inlineStr">
        <is>
          <t>Training floor (TWh)</t>
        </is>
      </c>
      <c r="C10" s="1" t="n"/>
      <c r="D10" s="1" t="n"/>
      <c r="E10" s="1" t="n"/>
      <c r="F10" s="61">
        <f>F9*nTrainFloor</f>
        <v/>
      </c>
      <c r="G10" s="61">
        <f>G9*nTrainFloor</f>
        <v/>
      </c>
      <c r="H10" s="61">
        <f>H9*nTrainFloor</f>
        <v/>
      </c>
      <c r="I10" s="61">
        <f>I9*nTrainFloor</f>
        <v/>
      </c>
      <c r="J10" s="61">
        <f>J9*nTrainFloor</f>
        <v/>
      </c>
      <c r="K10" s="61">
        <f>K9*nTrainFloor</f>
        <v/>
      </c>
      <c r="L10" s="61">
        <f>L9*nTrainFloor</f>
        <v/>
      </c>
      <c r="M10" s="61">
        <f>M9*nTrainFloor</f>
        <v/>
      </c>
      <c r="N10" s="61">
        <f>N9*nTrainFloor</f>
        <v/>
      </c>
      <c r="O10" s="61">
        <f>O9*nTrainFloor</f>
        <v/>
      </c>
      <c r="P10" s="61">
        <f>P9*nTrainFloor</f>
        <v/>
      </c>
      <c r="Q10" s="61">
        <f>Q9*nTrainFloor</f>
        <v/>
      </c>
      <c r="R10" s="61">
        <f>R9*nTrainFloor</f>
        <v/>
      </c>
      <c r="S10" s="61">
        <f>S9*nTrainFloor</f>
        <v/>
      </c>
      <c r="T10" s="61">
        <f>T9*nTrainFloor</f>
        <v/>
      </c>
      <c r="U10" s="1" t="n"/>
      <c r="V10" s="1" t="n"/>
      <c r="W10" s="1" t="n"/>
      <c r="X10" s="1" t="n"/>
      <c r="Y10" s="1" t="n"/>
      <c r="Z10" s="1" t="n"/>
      <c r="AA10" s="1" t="n"/>
      <c r="AB10" s="1" t="n"/>
    </row>
    <row r="11">
      <c r="A11" s="1" t="n"/>
      <c r="B11" s="29" t="inlineStr">
        <is>
          <t>Internal acceleration (TWh)</t>
        </is>
      </c>
      <c r="C11" s="1" t="n"/>
      <c r="D11" s="1" t="n"/>
      <c r="E11" s="1" t="n"/>
      <c r="F11" s="61">
        <f>F9*nInternalShare</f>
        <v/>
      </c>
      <c r="G11" s="61">
        <f>G9*nInternalShare</f>
        <v/>
      </c>
      <c r="H11" s="61">
        <f>H9*nInternalShare</f>
        <v/>
      </c>
      <c r="I11" s="61">
        <f>I9*nInternalShare</f>
        <v/>
      </c>
      <c r="J11" s="61">
        <f>J9*nInternalShare</f>
        <v/>
      </c>
      <c r="K11" s="61">
        <f>K9*nInternalShare</f>
        <v/>
      </c>
      <c r="L11" s="61">
        <f>L9*nInternalShare</f>
        <v/>
      </c>
      <c r="M11" s="61">
        <f>M9*nInternalShare</f>
        <v/>
      </c>
      <c r="N11" s="61">
        <f>N9*nInternalShare</f>
        <v/>
      </c>
      <c r="O11" s="61">
        <f>O9*nInternalShare</f>
        <v/>
      </c>
      <c r="P11" s="61">
        <f>P9*nInternalShare</f>
        <v/>
      </c>
      <c r="Q11" s="61">
        <f>Q9*nInternalShare</f>
        <v/>
      </c>
      <c r="R11" s="61">
        <f>R9*nInternalShare</f>
        <v/>
      </c>
      <c r="S11" s="61">
        <f>S9*nInternalShare</f>
        <v/>
      </c>
      <c r="T11" s="61">
        <f>T9*nInternalShare</f>
        <v/>
      </c>
      <c r="U11" s="1" t="n"/>
      <c r="V11" s="1" t="n"/>
      <c r="W11" s="1" t="n"/>
      <c r="X11" s="1" t="n"/>
      <c r="Y11" s="1" t="n"/>
      <c r="Z11" s="1" t="n"/>
      <c r="AA11" s="1" t="n"/>
      <c r="AB11" s="1" t="n"/>
    </row>
    <row r="12">
      <c r="A12" s="1" t="n"/>
      <c r="B12" s="20" t="inlineStr">
        <is>
          <t>Envelope load (GW)</t>
        </is>
      </c>
      <c r="C12" s="1" t="n"/>
      <c r="D12" s="1" t="n"/>
      <c r="E12" s="1" t="n"/>
      <c r="F12" s="62">
        <f>F9*1000/8760</f>
        <v/>
      </c>
      <c r="G12" s="62">
        <f>G9*1000/8760</f>
        <v/>
      </c>
      <c r="H12" s="62">
        <f>H9*1000/8760</f>
        <v/>
      </c>
      <c r="I12" s="62">
        <f>I9*1000/8760</f>
        <v/>
      </c>
      <c r="J12" s="62">
        <f>J9*1000/8760</f>
        <v/>
      </c>
      <c r="K12" s="62">
        <f>K9*1000/8760</f>
        <v/>
      </c>
      <c r="L12" s="62">
        <f>L9*1000/8760</f>
        <v/>
      </c>
      <c r="M12" s="62">
        <f>M9*1000/8760</f>
        <v/>
      </c>
      <c r="N12" s="62">
        <f>N9*1000/8760</f>
        <v/>
      </c>
      <c r="O12" s="62">
        <f>O9*1000/8760</f>
        <v/>
      </c>
      <c r="P12" s="62">
        <f>P9*1000/8760</f>
        <v/>
      </c>
      <c r="Q12" s="62">
        <f>Q9*1000/8760</f>
        <v/>
      </c>
      <c r="R12" s="62">
        <f>R9*1000/8760</f>
        <v/>
      </c>
      <c r="S12" s="62">
        <f>S9*1000/8760</f>
        <v/>
      </c>
      <c r="T12" s="62">
        <f>T9*1000/8760</f>
        <v/>
      </c>
      <c r="U12" s="1" t="n"/>
      <c r="V12" s="1" t="n"/>
      <c r="W12" s="1" t="n"/>
      <c r="X12" s="1" t="n"/>
      <c r="Y12" s="1" t="n"/>
      <c r="Z12" s="1" t="n"/>
      <c r="AA12" s="1" t="n"/>
      <c r="AB12" s="1" t="n"/>
    </row>
    <row r="13">
      <c r="A13" s="1" t="n"/>
      <c r="B13" s="1" t="n"/>
      <c r="C13" s="1" t="n"/>
      <c r="D13" s="1" t="n"/>
      <c r="E13" s="1" t="n"/>
      <c r="F13" s="1" t="n"/>
      <c r="G13" s="1" t="n"/>
      <c r="H13" s="1" t="n"/>
      <c r="I13" s="1" t="n"/>
      <c r="J13" s="1" t="n"/>
      <c r="K13" s="1" t="n"/>
      <c r="L13" s="1" t="n"/>
      <c r="M13" s="1" t="n"/>
      <c r="N13" s="1" t="n"/>
      <c r="O13" s="1" t="n"/>
      <c r="P13" s="1" t="n"/>
      <c r="Q13" s="1" t="n"/>
      <c r="R13" s="1" t="n"/>
      <c r="S13" s="1" t="n"/>
      <c r="T13" s="1" t="n"/>
      <c r="U13" s="1" t="n"/>
      <c r="V13" s="1" t="n"/>
      <c r="W13" s="1" t="n"/>
      <c r="X13" s="1" t="n"/>
      <c r="Y13" s="1" t="n"/>
      <c r="Z13" s="1" t="n"/>
      <c r="AA13" s="1" t="n"/>
      <c r="AB13" s="1" t="n"/>
    </row>
    <row r="14" ht="17" customHeight="1">
      <c r="A14" s="1" t="n"/>
      <c r="B14" s="22" t="inlineStr">
        <is>
          <t>Envelope return</t>
        </is>
      </c>
      <c r="C14" s="23" t="n"/>
      <c r="D14" s="23" t="n"/>
      <c r="E14" s="23" t="n"/>
      <c r="F14" s="23" t="n"/>
      <c r="G14" s="23" t="n"/>
      <c r="H14" s="23" t="n"/>
      <c r="I14" s="23" t="n"/>
      <c r="J14" s="23" t="n"/>
      <c r="K14" s="23" t="n"/>
      <c r="L14" s="23" t="n"/>
      <c r="M14" s="23" t="n"/>
      <c r="N14" s="23" t="n"/>
      <c r="O14" s="23" t="n"/>
      <c r="P14" s="23" t="n"/>
      <c r="Q14" s="23" t="n"/>
      <c r="R14" s="23" t="n"/>
      <c r="S14" s="23" t="n"/>
      <c r="T14" s="23" t="n"/>
      <c r="U14" s="1" t="n"/>
      <c r="V14" s="1" t="n"/>
      <c r="W14" s="1" t="n"/>
      <c r="X14" s="1" t="n"/>
      <c r="Y14" s="1" t="n"/>
      <c r="Z14" s="1" t="n"/>
      <c r="AA14" s="1" t="n"/>
      <c r="AB14" s="1" t="n"/>
    </row>
    <row r="15" ht="14" customHeight="1">
      <c r="A15" s="1" t="n"/>
      <c r="B15" s="39" t="inlineStr"/>
      <c r="C15" s="40" t="inlineStr">
        <is>
          <t>FY'23</t>
        </is>
      </c>
      <c r="D15" s="40" t="inlineStr">
        <is>
          <t>FY'24</t>
        </is>
      </c>
      <c r="E15" s="40" t="inlineStr">
        <is>
          <t>FY'25</t>
        </is>
      </c>
      <c r="F15" s="41" t="inlineStr">
        <is>
          <t>FY'26</t>
        </is>
      </c>
      <c r="G15" s="41" t="inlineStr">
        <is>
          <t>FY'27</t>
        </is>
      </c>
      <c r="H15" s="41" t="inlineStr">
        <is>
          <t>FY'28</t>
        </is>
      </c>
      <c r="I15" s="41" t="inlineStr">
        <is>
          <t>FY'29</t>
        </is>
      </c>
      <c r="J15" s="41" t="inlineStr">
        <is>
          <t>FY'30</t>
        </is>
      </c>
      <c r="K15" s="41" t="inlineStr">
        <is>
          <t>FY'31</t>
        </is>
      </c>
      <c r="L15" s="41" t="inlineStr">
        <is>
          <t>FY'32</t>
        </is>
      </c>
      <c r="M15" s="41" t="inlineStr">
        <is>
          <t>FY'33</t>
        </is>
      </c>
      <c r="N15" s="41" t="inlineStr">
        <is>
          <t>FY'34</t>
        </is>
      </c>
      <c r="O15" s="41" t="inlineStr">
        <is>
          <t>FY'35</t>
        </is>
      </c>
      <c r="P15" s="41" t="inlineStr">
        <is>
          <t>FY'36</t>
        </is>
      </c>
      <c r="Q15" s="41" t="inlineStr">
        <is>
          <t>FY'37</t>
        </is>
      </c>
      <c r="R15" s="41" t="inlineStr">
        <is>
          <t>FY'38</t>
        </is>
      </c>
      <c r="S15" s="41" t="inlineStr">
        <is>
          <t>FY'39</t>
        </is>
      </c>
      <c r="T15" s="41" t="inlineStr">
        <is>
          <t>FY'40</t>
        </is>
      </c>
      <c r="U15" s="1" t="n"/>
      <c r="V15" s="1" t="n"/>
      <c r="W15" s="1" t="n"/>
      <c r="X15" s="1" t="n"/>
      <c r="Y15" s="1" t="n"/>
      <c r="Z15" s="1" t="n"/>
      <c r="AA15" s="1" t="n"/>
      <c r="AB15" s="1" t="n"/>
    </row>
    <row r="16">
      <c r="A16" s="1" t="n"/>
      <c r="B16" s="29" t="inlineStr">
        <is>
          <t>Envelope tokens (B MTok)</t>
        </is>
      </c>
      <c r="C16" s="1" t="n"/>
      <c r="D16" s="1" t="n"/>
      <c r="E16" s="1" t="n"/>
      <c r="F16" s="61">
        <f>F9/(1000*Anthropic!F12)</f>
        <v/>
      </c>
      <c r="G16" s="61">
        <f>G9/(1000*Anthropic!G12)</f>
        <v/>
      </c>
      <c r="H16" s="61">
        <f>H9/(1000*Anthropic!H12)</f>
        <v/>
      </c>
      <c r="I16" s="61">
        <f>I9/(1000*Anthropic!I12)</f>
        <v/>
      </c>
      <c r="J16" s="61">
        <f>J9/(1000*Anthropic!J12)</f>
        <v/>
      </c>
      <c r="K16" s="61">
        <f>K9/(1000*Anthropic!K12)</f>
        <v/>
      </c>
      <c r="L16" s="61">
        <f>L9/(1000*Anthropic!L12)</f>
        <v/>
      </c>
      <c r="M16" s="61">
        <f>M9/(1000*Anthropic!M12)</f>
        <v/>
      </c>
      <c r="N16" s="61">
        <f>N9/(1000*Anthropic!N12)</f>
        <v/>
      </c>
      <c r="O16" s="61">
        <f>O9/(1000*Anthropic!O12)</f>
        <v/>
      </c>
      <c r="P16" s="61">
        <f>P9/(1000*Anthropic!P12)</f>
        <v/>
      </c>
      <c r="Q16" s="61">
        <f>Q9/(1000*Anthropic!Q12)</f>
        <v/>
      </c>
      <c r="R16" s="61">
        <f>R9/(1000*Anthropic!R12)</f>
        <v/>
      </c>
      <c r="S16" s="61">
        <f>S9/(1000*Anthropic!S12)</f>
        <v/>
      </c>
      <c r="T16" s="61">
        <f>T9/(1000*Anthropic!T12)</f>
        <v/>
      </c>
      <c r="U16" s="1" t="n"/>
      <c r="V16" s="1" t="n"/>
      <c r="W16" s="1" t="n"/>
      <c r="X16" s="1" t="n"/>
      <c r="Y16" s="1" t="n"/>
      <c r="Z16" s="1" t="n"/>
      <c r="AA16" s="1" t="n"/>
      <c r="AB16" s="1" t="n"/>
    </row>
    <row r="17">
      <c r="A17" s="1" t="n"/>
      <c r="B17" s="29" t="inlineStr">
        <is>
          <t>Envelope cost ($B)</t>
        </is>
      </c>
      <c r="C17" s="1" t="n"/>
      <c r="D17" s="1" t="n"/>
      <c r="E17" s="1" t="n"/>
      <c r="F17" s="63">
        <f>F16*CoiCost</f>
        <v/>
      </c>
      <c r="G17" s="63">
        <f>G16*CoiCost</f>
        <v/>
      </c>
      <c r="H17" s="63">
        <f>H16*CoiCost</f>
        <v/>
      </c>
      <c r="I17" s="63">
        <f>I16*CoiCost</f>
        <v/>
      </c>
      <c r="J17" s="63">
        <f>J16*CoiCost</f>
        <v/>
      </c>
      <c r="K17" s="63">
        <f>K16*CoiCost</f>
        <v/>
      </c>
      <c r="L17" s="63">
        <f>L16*CoiCost</f>
        <v/>
      </c>
      <c r="M17" s="63">
        <f>M16*CoiCost</f>
        <v/>
      </c>
      <c r="N17" s="63">
        <f>N16*CoiCost</f>
        <v/>
      </c>
      <c r="O17" s="63">
        <f>O16*CoiCost</f>
        <v/>
      </c>
      <c r="P17" s="63">
        <f>P16*CoiCost</f>
        <v/>
      </c>
      <c r="Q17" s="63">
        <f>Q16*CoiCost</f>
        <v/>
      </c>
      <c r="R17" s="63">
        <f>R16*CoiCost</f>
        <v/>
      </c>
      <c r="S17" s="63">
        <f>S16*CoiCost</f>
        <v/>
      </c>
      <c r="T17" s="63">
        <f>T16*CoiCost</f>
        <v/>
      </c>
      <c r="U17" s="1" t="n"/>
      <c r="V17" s="43" t="inlineStr">
        <is>
          <t>Each bucket is priced at the serving stack because the training floor still consumes scarce capacity.</t>
        </is>
      </c>
      <c r="W17" s="1" t="n"/>
      <c r="X17" s="1" t="n"/>
      <c r="Y17" s="1" t="n"/>
      <c r="Z17" s="1" t="n"/>
      <c r="AA17" s="1" t="n"/>
      <c r="AB17" s="1" t="n"/>
    </row>
    <row r="18">
      <c r="A18" s="1" t="n"/>
      <c r="B18" s="29" t="inlineStr">
        <is>
          <t>Revenue run-rate ($B)</t>
        </is>
      </c>
      <c r="C18" s="1" t="n"/>
      <c r="D18" s="1" t="n"/>
      <c r="E18" s="1" t="n"/>
      <c r="F18" s="64">
        <f>Anthropic!F8</f>
        <v/>
      </c>
      <c r="G18" s="64">
        <f>Anthropic!G8</f>
        <v/>
      </c>
      <c r="H18" s="64">
        <f>Anthropic!H8</f>
        <v/>
      </c>
      <c r="I18" s="64">
        <f>Anthropic!I8</f>
        <v/>
      </c>
      <c r="J18" s="64">
        <f>Anthropic!J8</f>
        <v/>
      </c>
      <c r="K18" s="64">
        <f>Anthropic!K8</f>
        <v/>
      </c>
      <c r="L18" s="64">
        <f>Anthropic!L8</f>
        <v/>
      </c>
      <c r="M18" s="64">
        <f>Anthropic!M8</f>
        <v/>
      </c>
      <c r="N18" s="64">
        <f>Anthropic!N8</f>
        <v/>
      </c>
      <c r="O18" s="64">
        <f>Anthropic!O8</f>
        <v/>
      </c>
      <c r="P18" s="64">
        <f>Anthropic!P8</f>
        <v/>
      </c>
      <c r="Q18" s="64">
        <f>Anthropic!Q8</f>
        <v/>
      </c>
      <c r="R18" s="64">
        <f>Anthropic!R8</f>
        <v/>
      </c>
      <c r="S18" s="64">
        <f>Anthropic!S8</f>
        <v/>
      </c>
      <c r="T18" s="64">
        <f>Anthropic!T8</f>
        <v/>
      </c>
      <c r="U18" s="1" t="n"/>
      <c r="V18" s="1" t="n"/>
      <c r="W18" s="1" t="n"/>
      <c r="X18" s="1" t="n"/>
      <c r="Y18" s="1" t="n"/>
      <c r="Z18" s="1" t="n"/>
      <c r="AA18" s="1" t="n"/>
      <c r="AB18" s="1" t="n"/>
    </row>
    <row r="19">
      <c r="A19" s="1" t="n"/>
      <c r="B19" s="29" t="inlineStr">
        <is>
          <t>Internal share at opportunity cost ($B)</t>
        </is>
      </c>
      <c r="C19" s="1" t="n"/>
      <c r="D19" s="1" t="n"/>
      <c r="E19" s="1" t="n"/>
      <c r="F19" s="63">
        <f>F11/(1000*Anthropic!F12)*Anthropic!F10</f>
        <v/>
      </c>
      <c r="G19" s="63">
        <f>G11/(1000*Anthropic!G12)*Anthropic!G10</f>
        <v/>
      </c>
      <c r="H19" s="63">
        <f>H11/(1000*Anthropic!H12)*Anthropic!H10</f>
        <v/>
      </c>
      <c r="I19" s="63">
        <f>I11/(1000*Anthropic!I12)*Anthropic!I10</f>
        <v/>
      </c>
      <c r="J19" s="63">
        <f>J11/(1000*Anthropic!J12)*Anthropic!J10</f>
        <v/>
      </c>
      <c r="K19" s="63">
        <f>K11/(1000*Anthropic!K12)*Anthropic!K10</f>
        <v/>
      </c>
      <c r="L19" s="63">
        <f>L11/(1000*Anthropic!L12)*Anthropic!L10</f>
        <v/>
      </c>
      <c r="M19" s="63">
        <f>M11/(1000*Anthropic!M12)*Anthropic!M10</f>
        <v/>
      </c>
      <c r="N19" s="63">
        <f>N11/(1000*Anthropic!N12)*Anthropic!N10</f>
        <v/>
      </c>
      <c r="O19" s="63">
        <f>O11/(1000*Anthropic!O12)*Anthropic!O10</f>
        <v/>
      </c>
      <c r="P19" s="63">
        <f>P11/(1000*Anthropic!P12)*Anthropic!P10</f>
        <v/>
      </c>
      <c r="Q19" s="63">
        <f>Q11/(1000*Anthropic!Q12)*Anthropic!Q10</f>
        <v/>
      </c>
      <c r="R19" s="63">
        <f>R11/(1000*Anthropic!R12)*Anthropic!R10</f>
        <v/>
      </c>
      <c r="S19" s="63">
        <f>S11/(1000*Anthropic!S12)*Anthropic!S10</f>
        <v/>
      </c>
      <c r="T19" s="63">
        <f>T11/(1000*Anthropic!T12)*Anthropic!T10</f>
        <v/>
      </c>
      <c r="U19" s="1" t="n"/>
      <c r="V19" s="43" t="inlineStr">
        <is>
          <t>This line shows the revenue the internal share could otherwise serve: an opportunity-cost view. No customer is charged this amount.</t>
        </is>
      </c>
      <c r="W19" s="1" t="n"/>
      <c r="X19" s="1" t="n"/>
      <c r="Y19" s="1" t="n"/>
      <c r="Z19" s="1" t="n"/>
      <c r="AA19" s="1" t="n"/>
      <c r="AB19" s="1" t="n"/>
    </row>
    <row r="20">
      <c r="A20" s="1" t="n"/>
      <c r="B20" s="20" t="inlineStr">
        <is>
          <t>Envelope ROI (×)</t>
        </is>
      </c>
      <c r="C20" s="46" t="n"/>
      <c r="D20" s="46" t="n"/>
      <c r="E20" s="46" t="n"/>
      <c r="F20" s="65">
        <f>F18/F17</f>
        <v/>
      </c>
      <c r="G20" s="65">
        <f>G18/G17</f>
        <v/>
      </c>
      <c r="H20" s="65">
        <f>H18/H17</f>
        <v/>
      </c>
      <c r="I20" s="65">
        <f>I18/I17</f>
        <v/>
      </c>
      <c r="J20" s="65">
        <f>J18/J17</f>
        <v/>
      </c>
      <c r="K20" s="65">
        <f>K18/K17</f>
        <v/>
      </c>
      <c r="L20" s="65">
        <f>L18/L17</f>
        <v/>
      </c>
      <c r="M20" s="65">
        <f>M18/M17</f>
        <v/>
      </c>
      <c r="N20" s="65">
        <f>N18/N17</f>
        <v/>
      </c>
      <c r="O20" s="65">
        <f>O18/O17</f>
        <v/>
      </c>
      <c r="P20" s="65">
        <f>P18/P17</f>
        <v/>
      </c>
      <c r="Q20" s="65">
        <f>Q18/Q17</f>
        <v/>
      </c>
      <c r="R20" s="65">
        <f>R18/R17</f>
        <v/>
      </c>
      <c r="S20" s="65">
        <f>S18/S17</f>
        <v/>
      </c>
      <c r="T20" s="65">
        <f>T18/T17</f>
        <v/>
      </c>
      <c r="U20" s="1" t="n"/>
      <c r="V20" s="43" t="inlineStr">
        <is>
          <t>A sub-1x return reflects allocation choices as well as economics; the serving-only line isolates that effect.</t>
        </is>
      </c>
      <c r="W20" s="1" t="n"/>
      <c r="X20" s="1" t="n"/>
      <c r="Y20" s="1" t="n"/>
      <c r="Z20" s="1" t="n"/>
      <c r="AA20" s="1" t="n"/>
      <c r="AB20" s="1" t="n"/>
    </row>
    <row r="21">
      <c r="A21" s="1" t="n"/>
      <c r="B21" s="29" t="inlineStr">
        <is>
          <t>Serving-only ROI (×)</t>
        </is>
      </c>
      <c r="C21" s="1" t="n"/>
      <c r="D21" s="1" t="n"/>
      <c r="E21" s="1" t="n"/>
      <c r="F21" s="66">
        <f>F20/nServingShare</f>
        <v/>
      </c>
      <c r="G21" s="66">
        <f>G20/nServingShare</f>
        <v/>
      </c>
      <c r="H21" s="66">
        <f>H20/nServingShare</f>
        <v/>
      </c>
      <c r="I21" s="66">
        <f>I20/nServingShare</f>
        <v/>
      </c>
      <c r="J21" s="66">
        <f>J20/nServingShare</f>
        <v/>
      </c>
      <c r="K21" s="66">
        <f>K20/nServingShare</f>
        <v/>
      </c>
      <c r="L21" s="66">
        <f>L20/nServingShare</f>
        <v/>
      </c>
      <c r="M21" s="66">
        <f>M20/nServingShare</f>
        <v/>
      </c>
      <c r="N21" s="66">
        <f>N20/nServingShare</f>
        <v/>
      </c>
      <c r="O21" s="66">
        <f>O20/nServingShare</f>
        <v/>
      </c>
      <c r="P21" s="66">
        <f>P20/nServingShare</f>
        <v/>
      </c>
      <c r="Q21" s="66">
        <f>Q20/nServingShare</f>
        <v/>
      </c>
      <c r="R21" s="66">
        <f>R20/nServingShare</f>
        <v/>
      </c>
      <c r="S21" s="66">
        <f>S20/nServingShare</f>
        <v/>
      </c>
      <c r="T21" s="66">
        <f>T20/nServingShare</f>
        <v/>
      </c>
      <c r="U21" s="1" t="n"/>
      <c r="V21" s="1" t="n"/>
      <c r="W21" s="1" t="n"/>
      <c r="X21" s="1" t="n"/>
      <c r="Y21" s="1" t="n"/>
      <c r="Z21" s="1" t="n"/>
      <c r="AA21" s="1" t="n"/>
      <c r="AB21" s="1" t="n"/>
    </row>
    <row r="22">
      <c r="A22" s="1" t="n"/>
      <c r="B22" s="1" t="n"/>
      <c r="C22" s="1" t="n"/>
      <c r="D22" s="1" t="n"/>
      <c r="E22" s="1" t="n"/>
      <c r="F22" s="1" t="n"/>
      <c r="G22" s="1" t="n"/>
      <c r="H22" s="1" t="n"/>
      <c r="I22" s="1" t="n"/>
      <c r="J22" s="1" t="n"/>
      <c r="K22" s="1" t="n"/>
      <c r="L22" s="1" t="n"/>
      <c r="M22" s="1" t="n"/>
      <c r="N22" s="1" t="n"/>
      <c r="O22" s="1" t="n"/>
      <c r="P22" s="1" t="n"/>
      <c r="Q22" s="1" t="n"/>
      <c r="R22" s="1" t="n"/>
      <c r="S22" s="1" t="n"/>
      <c r="T22" s="1" t="n"/>
      <c r="U22" s="1" t="n"/>
      <c r="V22" s="1" t="n"/>
      <c r="W22" s="1" t="n"/>
      <c r="X22" s="1" t="n"/>
      <c r="Y22" s="1" t="n"/>
      <c r="Z22" s="1" t="n"/>
      <c r="AA22" s="1" t="n"/>
      <c r="AB22" s="1" t="n"/>
    </row>
    <row r="23" ht="17" customHeight="1">
      <c r="A23" s="1" t="n"/>
      <c r="B23" s="22" t="inlineStr">
        <is>
          <t>KPIs</t>
        </is>
      </c>
      <c r="C23" s="23" t="n"/>
      <c r="D23" s="23" t="n"/>
      <c r="E23" s="23" t="n"/>
      <c r="F23" s="23" t="n"/>
      <c r="G23" s="23" t="n"/>
      <c r="H23" s="1" t="n"/>
      <c r="I23" s="1" t="n"/>
      <c r="J23" s="1" t="n"/>
      <c r="K23" s="1" t="n"/>
      <c r="L23" s="1" t="n"/>
      <c r="M23" s="1" t="n"/>
      <c r="N23" s="1" t="n"/>
      <c r="O23" s="1" t="n"/>
      <c r="P23" s="1" t="n"/>
      <c r="Q23" s="1" t="n"/>
      <c r="R23" s="1" t="n"/>
      <c r="S23" s="1" t="n"/>
      <c r="T23" s="1" t="n"/>
      <c r="U23" s="1" t="n"/>
      <c r="V23" s="1" t="n"/>
      <c r="W23" s="1" t="n"/>
      <c r="X23" s="1" t="n"/>
      <c r="Y23" s="1" t="n"/>
      <c r="Z23" s="1" t="n"/>
      <c r="AA23" s="1" t="n"/>
      <c r="AB23" s="1" t="n"/>
    </row>
    <row r="24">
      <c r="A24" s="1" t="n"/>
      <c r="B24" s="20" t="inlineStr">
        <is>
          <t>1. Compute-envelope return, FY2026 (×)</t>
        </is>
      </c>
      <c r="C24" s="1" t="n"/>
      <c r="D24" s="67">
        <f>EnvelopeRoi26</f>
        <v/>
      </c>
      <c r="E24" s="1" t="n"/>
      <c r="F24" s="1" t="n"/>
      <c r="G24" s="1" t="n"/>
      <c r="H24" s="1" t="n"/>
      <c r="I24" s="1" t="n"/>
      <c r="J24" s="1" t="n"/>
      <c r="K24" s="1" t="n"/>
      <c r="L24" s="1" t="n"/>
      <c r="M24" s="1" t="n"/>
      <c r="N24" s="1" t="n"/>
      <c r="O24" s="1" t="n"/>
      <c r="P24" s="1" t="n"/>
      <c r="Q24" s="1" t="n"/>
      <c r="R24" s="1" t="n"/>
      <c r="S24" s="1" t="n"/>
      <c r="T24" s="1" t="n"/>
      <c r="U24" s="1" t="n"/>
      <c r="V24" s="43" t="inlineStr">
        <is>
          <t>Revenue is compared with the full compute envelope, including training and internal allocation.</t>
        </is>
      </c>
      <c r="W24" s="1" t="n"/>
      <c r="X24" s="1" t="n"/>
      <c r="Y24" s="1" t="n"/>
      <c r="Z24" s="1" t="n"/>
      <c r="AA24" s="1" t="n"/>
      <c r="AB24" s="1" t="n"/>
    </row>
    <row r="25">
      <c r="A25" s="1" t="n"/>
      <c r="B25" s="29" t="inlineStr">
        <is>
          <t xml:space="preserve">      Shape of the return: FY2030 (×)</t>
        </is>
      </c>
      <c r="C25" s="1" t="n"/>
      <c r="D25" s="34">
        <f>EnvelopeRoi30</f>
        <v/>
      </c>
      <c r="E25" s="1" t="n"/>
      <c r="F25" s="1" t="n"/>
      <c r="G25" s="1" t="n"/>
      <c r="H25" s="1" t="n"/>
      <c r="I25" s="1" t="n"/>
      <c r="J25" s="1" t="n"/>
      <c r="K25" s="1" t="n"/>
      <c r="L25" s="1" t="n"/>
      <c r="M25" s="1" t="n"/>
      <c r="N25" s="1" t="n"/>
      <c r="O25" s="1" t="n"/>
      <c r="P25" s="1" t="n"/>
      <c r="Q25" s="1" t="n"/>
      <c r="R25" s="1" t="n"/>
      <c r="S25" s="1" t="n"/>
      <c r="T25" s="1" t="n"/>
      <c r="U25" s="1" t="n"/>
      <c r="V25" s="43" t="inlineStr">
        <is>
          <t>The shape matters as much as the level. A flat or rising path funds the next training run.</t>
        </is>
      </c>
      <c r="W25" s="1" t="n"/>
      <c r="X25" s="1" t="n"/>
      <c r="Y25" s="1" t="n"/>
      <c r="Z25" s="1" t="n"/>
      <c r="AA25" s="1" t="n"/>
      <c r="AB25" s="1" t="n"/>
    </row>
    <row r="26">
      <c r="A26" s="1" t="n"/>
      <c r="B26" s="20" t="inlineStr">
        <is>
          <t>2. Customer ROI: net dollar retention, annualized</t>
        </is>
      </c>
      <c r="C26" s="1" t="n"/>
      <c r="D26" s="25">
        <f>sAnthNdr/100</f>
        <v/>
      </c>
      <c r="E26" s="1" t="n"/>
      <c r="F26" s="1" t="n"/>
      <c r="G26" s="1" t="n"/>
      <c r="H26" s="1" t="n"/>
      <c r="I26" s="1" t="n"/>
      <c r="J26" s="1" t="n"/>
      <c r="K26" s="1" t="n"/>
      <c r="L26" s="1" t="n"/>
      <c r="M26" s="1" t="n"/>
      <c r="N26" s="1" t="n"/>
      <c r="O26" s="1" t="n"/>
      <c r="P26" s="1" t="n"/>
      <c r="Q26" s="1" t="n"/>
      <c r="R26" s="1" t="n"/>
      <c r="S26" s="1" t="n"/>
      <c r="T26" s="1" t="n"/>
      <c r="U26" s="1" t="n"/>
      <c r="V26" s="43" t="inlineStr">
        <is>
          <t>Customers deploying at scale and expanding; this cohort behavior drives the demand cone.</t>
        </is>
      </c>
      <c r="W26" s="1" t="n"/>
      <c r="X26" s="1" t="n"/>
      <c r="Y26" s="1" t="n"/>
      <c r="Z26" s="1" t="n"/>
      <c r="AA26" s="1" t="n"/>
      <c r="AB26" s="1" t="n"/>
    </row>
    <row r="27">
      <c r="A27" s="1" t="n"/>
      <c r="B27" s="29" t="inlineStr">
        <is>
          <t xml:space="preserve">      Fortune 10 customers (count)</t>
        </is>
      </c>
      <c r="C27" s="1" t="n"/>
      <c r="D27" s="31">
        <f>sAnthF10</f>
        <v/>
      </c>
      <c r="E27" s="1" t="n"/>
      <c r="F27" s="1" t="n"/>
      <c r="G27" s="1" t="n"/>
      <c r="H27" s="1" t="n"/>
      <c r="I27" s="1" t="n"/>
      <c r="J27" s="1" t="n"/>
      <c r="K27" s="1" t="n"/>
      <c r="L27" s="1" t="n"/>
      <c r="M27" s="1" t="n"/>
      <c r="N27" s="1" t="n"/>
      <c r="O27" s="1" t="n"/>
      <c r="P27" s="1" t="n"/>
      <c r="Q27" s="1" t="n"/>
      <c r="R27" s="1" t="n"/>
      <c r="S27" s="1" t="n"/>
      <c r="T27" s="1" t="n"/>
      <c r="U27" s="1" t="n"/>
      <c r="V27" s="43" t="inlineStr"/>
      <c r="W27" s="1" t="n"/>
      <c r="X27" s="1" t="n"/>
      <c r="Y27" s="1" t="n"/>
      <c r="Z27" s="1" t="n"/>
      <c r="AA27" s="1" t="n"/>
      <c r="AB27" s="1" t="n"/>
    </row>
    <row r="28">
      <c r="A28" s="1" t="n"/>
      <c r="B28" s="20" t="inlineStr">
        <is>
          <t>3. Future access: committed over the top of the cone, FY2030</t>
        </is>
      </c>
      <c r="C28" s="1" t="n"/>
      <c r="D28" s="25">
        <f>CommitGw2030/TopCone2030</f>
        <v/>
      </c>
      <c r="E28" s="1" t="n"/>
      <c r="F28" s="1" t="n"/>
      <c r="G28" s="1" t="n"/>
      <c r="H28" s="1" t="n"/>
      <c r="I28" s="1" t="n"/>
      <c r="J28" s="1" t="n"/>
      <c r="K28" s="1" t="n"/>
      <c r="L28" s="1" t="n"/>
      <c r="M28" s="1" t="n"/>
      <c r="N28" s="1" t="n"/>
      <c r="O28" s="1" t="n"/>
      <c r="P28" s="1" t="n"/>
      <c r="Q28" s="1" t="n"/>
      <c r="R28" s="1" t="n"/>
      <c r="S28" s="1" t="n"/>
      <c r="T28" s="1" t="n"/>
      <c r="U28" s="1" t="n"/>
      <c r="V28" s="43" t="inlineStr">
        <is>
          <t>External buying balanced against the demand the cone says could arrive.</t>
        </is>
      </c>
      <c r="W28" s="1" t="n"/>
      <c r="X28" s="1" t="n"/>
      <c r="Y28" s="1" t="n"/>
      <c r="Z28" s="1" t="n"/>
      <c r="AA28" s="1" t="n"/>
      <c r="AB28" s="1" t="n"/>
    </row>
    <row r="29">
      <c r="A29" s="1" t="n"/>
      <c r="B29" s="29" t="inlineStr">
        <is>
          <t xml:space="preserve">      Uncovered at the top of the cone, FY2030 (GW)</t>
        </is>
      </c>
      <c r="C29" s="1" t="n"/>
      <c r="D29" s="35">
        <f>Uncovered2030</f>
        <v/>
      </c>
      <c r="E29" s="1" t="n"/>
      <c r="F29" s="1" t="n"/>
      <c r="G29" s="1" t="n"/>
      <c r="H29" s="1" t="n"/>
      <c r="I29" s="1" t="n"/>
      <c r="J29" s="1" t="n"/>
      <c r="K29" s="1" t="n"/>
      <c r="L29" s="1" t="n"/>
      <c r="M29" s="1" t="n"/>
      <c r="N29" s="1" t="n"/>
      <c r="O29" s="1" t="n"/>
      <c r="P29" s="1" t="n"/>
      <c r="Q29" s="1" t="n"/>
      <c r="R29" s="1" t="n"/>
      <c r="S29" s="1" t="n"/>
      <c r="T29" s="1" t="n"/>
      <c r="U29" s="1" t="n"/>
      <c r="V29" s="43" t="inlineStr">
        <is>
          <t>The procurement decision, stated as a gap.</t>
        </is>
      </c>
      <c r="W29" s="1" t="n"/>
      <c r="X29" s="1" t="n"/>
      <c r="Y29" s="1" t="n"/>
      <c r="Z29" s="1" t="n"/>
      <c r="AA29" s="1" t="n"/>
      <c r="AB29" s="1" t="n"/>
    </row>
    <row r="30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  <c r="J30" s="1" t="n"/>
      <c r="K30" s="1" t="n"/>
      <c r="L30" s="1" t="n"/>
      <c r="M30" s="1" t="n"/>
      <c r="N30" s="1" t="n"/>
      <c r="O30" s="1" t="n"/>
      <c r="P30" s="1" t="n"/>
      <c r="Q30" s="1" t="n"/>
      <c r="R30" s="1" t="n"/>
      <c r="S30" s="1" t="n"/>
      <c r="T30" s="1" t="n"/>
      <c r="U30" s="1" t="n"/>
      <c r="V30" s="1" t="n"/>
      <c r="W30" s="1" t="n"/>
      <c r="X30" s="1" t="n"/>
      <c r="Y30" s="1" t="n"/>
      <c r="Z30" s="1" t="n"/>
      <c r="AA30" s="1" t="n"/>
      <c r="AB30" s="1" t="n"/>
    </row>
    <row r="31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  <c r="J31" s="1" t="n"/>
      <c r="K31" s="1" t="n"/>
      <c r="L31" s="1" t="n"/>
      <c r="M31" s="1" t="n"/>
      <c r="N31" s="1" t="n"/>
      <c r="O31" s="1" t="n"/>
      <c r="P31" s="1" t="n"/>
      <c r="Q31" s="1" t="n"/>
      <c r="R31" s="1" t="n"/>
      <c r="S31" s="1" t="n"/>
      <c r="T31" s="1" t="n"/>
      <c r="U31" s="1" t="n"/>
      <c r="V31" s="1" t="n"/>
      <c r="W31" s="1" t="n"/>
      <c r="X31" s="1" t="n"/>
      <c r="Y31" s="1" t="n"/>
      <c r="Z31" s="1" t="n"/>
      <c r="AA31" s="1" t="n"/>
      <c r="AB31" s="1" t="n"/>
    </row>
    <row r="32">
      <c r="A32" s="1" t="n"/>
      <c r="B32" s="1" t="n"/>
      <c r="C32" s="1" t="n"/>
      <c r="D32" s="1" t="n"/>
      <c r="E32" s="1" t="n"/>
      <c r="F32" s="1" t="n"/>
      <c r="G32" s="1" t="n"/>
      <c r="H32" s="1" t="n"/>
      <c r="I32" s="1" t="n"/>
      <c r="J32" s="1" t="n"/>
      <c r="K32" s="1" t="n"/>
      <c r="L32" s="1" t="n"/>
      <c r="M32" s="1" t="n"/>
      <c r="N32" s="1" t="n"/>
      <c r="O32" s="1" t="n"/>
      <c r="P32" s="1" t="n"/>
      <c r="Q32" s="1" t="n"/>
      <c r="R32" s="1" t="n"/>
      <c r="S32" s="1" t="n"/>
      <c r="T32" s="1" t="n"/>
      <c r="U32" s="1" t="n"/>
      <c r="V32" s="1" t="n"/>
      <c r="W32" s="1" t="n"/>
      <c r="X32" s="1" t="n"/>
      <c r="Y32" s="1" t="n"/>
      <c r="Z32" s="1" t="n"/>
      <c r="AA32" s="1" t="n"/>
      <c r="AB32" s="1" t="n"/>
    </row>
    <row r="33">
      <c r="A33" s="1" t="n"/>
      <c r="B33" s="1" t="n"/>
      <c r="C33" s="1" t="n"/>
      <c r="D33" s="1" t="n"/>
      <c r="E33" s="1" t="n"/>
      <c r="F33" s="1" t="n"/>
      <c r="G33" s="1" t="n"/>
      <c r="H33" s="1" t="n"/>
      <c r="I33" s="1" t="n"/>
      <c r="J33" s="1" t="n"/>
      <c r="K33" s="1" t="n"/>
      <c r="L33" s="1" t="n"/>
      <c r="M33" s="1" t="n"/>
      <c r="N33" s="1" t="n"/>
      <c r="O33" s="1" t="n"/>
      <c r="P33" s="1" t="n"/>
      <c r="Q33" s="1" t="n"/>
      <c r="R33" s="1" t="n"/>
      <c r="S33" s="1" t="n"/>
      <c r="T33" s="1" t="n"/>
      <c r="U33" s="1" t="n"/>
      <c r="V33" s="1" t="n"/>
      <c r="W33" s="1" t="n"/>
      <c r="X33" s="1" t="n"/>
      <c r="Y33" s="1" t="n"/>
      <c r="Z33" s="1" t="n"/>
      <c r="AA33" s="1" t="n"/>
      <c r="AB33" s="1" t="n"/>
    </row>
    <row r="34">
      <c r="A34" s="1" t="n"/>
      <c r="B34" s="1" t="n"/>
      <c r="C34" s="1" t="n"/>
      <c r="D34" s="1" t="n"/>
      <c r="E34" s="1" t="n"/>
      <c r="F34" s="1" t="n"/>
      <c r="G34" s="1" t="n"/>
      <c r="H34" s="1" t="n"/>
      <c r="I34" s="1" t="n"/>
      <c r="J34" s="1" t="n"/>
      <c r="K34" s="1" t="n"/>
      <c r="L34" s="1" t="n"/>
      <c r="M34" s="1" t="n"/>
      <c r="N34" s="1" t="n"/>
      <c r="O34" s="1" t="n"/>
      <c r="P34" s="1" t="n"/>
      <c r="Q34" s="1" t="n"/>
      <c r="R34" s="1" t="n"/>
      <c r="S34" s="1" t="n"/>
      <c r="T34" s="1" t="n"/>
      <c r="U34" s="1" t="n"/>
      <c r="V34" s="1" t="n"/>
      <c r="W34" s="1" t="n"/>
      <c r="X34" s="1" t="n"/>
      <c r="Y34" s="1" t="n"/>
      <c r="Z34" s="1" t="n"/>
      <c r="AA34" s="1" t="n"/>
      <c r="AB34" s="1" t="n"/>
    </row>
    <row r="35">
      <c r="A35" s="1" t="n"/>
      <c r="B35" s="1" t="n"/>
      <c r="C35" s="1" t="n"/>
      <c r="D35" s="1" t="n"/>
      <c r="E35" s="1" t="n"/>
      <c r="F35" s="1" t="n"/>
      <c r="G35" s="1" t="n"/>
      <c r="H35" s="1" t="n"/>
      <c r="I35" s="1" t="n"/>
      <c r="J35" s="1" t="n"/>
      <c r="K35" s="1" t="n"/>
      <c r="L35" s="1" t="n"/>
      <c r="M35" s="1" t="n"/>
      <c r="N35" s="1" t="n"/>
      <c r="O35" s="1" t="n"/>
      <c r="P35" s="1" t="n"/>
      <c r="Q35" s="1" t="n"/>
      <c r="R35" s="1" t="n"/>
      <c r="S35" s="1" t="n"/>
      <c r="T35" s="1" t="n"/>
      <c r="U35" s="1" t="n"/>
      <c r="V35" s="1" t="n"/>
      <c r="W35" s="1" t="n"/>
      <c r="X35" s="1" t="n"/>
      <c r="Y35" s="1" t="n"/>
      <c r="Z35" s="1" t="n"/>
      <c r="AA35" s="1" t="n"/>
      <c r="AB35" s="1" t="n"/>
    </row>
    <row r="36">
      <c r="A36" s="1" t="n"/>
      <c r="B36" s="1" t="n"/>
      <c r="C36" s="1" t="n"/>
      <c r="D36" s="1" t="n"/>
      <c r="E36" s="1" t="n"/>
      <c r="F36" s="1" t="n"/>
      <c r="G36" s="1" t="n"/>
      <c r="H36" s="1" t="n"/>
      <c r="I36" s="1" t="n"/>
      <c r="J36" s="1" t="n"/>
      <c r="K36" s="1" t="n"/>
      <c r="L36" s="1" t="n"/>
      <c r="M36" s="1" t="n"/>
      <c r="N36" s="1" t="n"/>
      <c r="O36" s="1" t="n"/>
      <c r="P36" s="1" t="n"/>
      <c r="Q36" s="1" t="n"/>
      <c r="R36" s="1" t="n"/>
      <c r="S36" s="1" t="n"/>
      <c r="T36" s="1" t="n"/>
      <c r="U36" s="1" t="n"/>
      <c r="V36" s="1" t="n"/>
      <c r="W36" s="1" t="n"/>
      <c r="X36" s="1" t="n"/>
      <c r="Y36" s="1" t="n"/>
      <c r="Z36" s="1" t="n"/>
      <c r="AA36" s="1" t="n"/>
      <c r="AB36" s="1" t="n"/>
    </row>
    <row r="37">
      <c r="A37" s="1" t="n"/>
      <c r="B37" s="1" t="n"/>
      <c r="C37" s="1" t="n"/>
      <c r="D37" s="1" t="n"/>
      <c r="E37" s="1" t="n"/>
      <c r="F37" s="1" t="n"/>
      <c r="G37" s="1" t="n"/>
      <c r="H37" s="1" t="n"/>
      <c r="I37" s="1" t="n"/>
      <c r="J37" s="1" t="n"/>
      <c r="K37" s="1" t="n"/>
      <c r="L37" s="1" t="n"/>
      <c r="M37" s="1" t="n"/>
      <c r="N37" s="1" t="n"/>
      <c r="O37" s="1" t="n"/>
      <c r="P37" s="1" t="n"/>
      <c r="Q37" s="1" t="n"/>
      <c r="R37" s="1" t="n"/>
      <c r="S37" s="1" t="n"/>
      <c r="T37" s="1" t="n"/>
      <c r="U37" s="1" t="n"/>
      <c r="V37" s="1" t="n"/>
      <c r="W37" s="1" t="n"/>
      <c r="X37" s="1" t="n"/>
      <c r="Y37" s="1" t="n"/>
      <c r="Z37" s="1" t="n"/>
      <c r="AA37" s="1" t="n"/>
      <c r="AB37" s="1" t="n"/>
    </row>
    <row r="38">
      <c r="A38" s="1" t="n"/>
      <c r="B38" s="1" t="n"/>
      <c r="C38" s="1" t="n"/>
      <c r="D38" s="1" t="n"/>
      <c r="E38" s="1" t="n"/>
      <c r="F38" s="1" t="n"/>
      <c r="G38" s="1" t="n"/>
      <c r="H38" s="1" t="n"/>
      <c r="I38" s="1" t="n"/>
      <c r="J38" s="1" t="n"/>
      <c r="K38" s="1" t="n"/>
      <c r="L38" s="1" t="n"/>
      <c r="M38" s="1" t="n"/>
      <c r="N38" s="1" t="n"/>
      <c r="O38" s="1" t="n"/>
      <c r="P38" s="1" t="n"/>
      <c r="Q38" s="1" t="n"/>
      <c r="R38" s="1" t="n"/>
      <c r="S38" s="1" t="n"/>
      <c r="T38" s="1" t="n"/>
      <c r="U38" s="1" t="n"/>
      <c r="V38" s="1" t="n"/>
      <c r="W38" s="1" t="n"/>
      <c r="X38" s="1" t="n"/>
      <c r="Y38" s="1" t="n"/>
      <c r="Z38" s="1" t="n"/>
      <c r="AA38" s="1" t="n"/>
      <c r="AB38" s="1" t="n"/>
    </row>
    <row r="39">
      <c r="A39" s="1" t="n"/>
      <c r="B39" s="1" t="n"/>
      <c r="C39" s="1" t="n"/>
      <c r="D39" s="1" t="n"/>
      <c r="E39" s="1" t="n"/>
      <c r="F39" s="1" t="n"/>
      <c r="G39" s="1" t="n"/>
      <c r="H39" s="1" t="n"/>
      <c r="I39" s="1" t="n"/>
      <c r="J39" s="1" t="n"/>
      <c r="K39" s="1" t="n"/>
      <c r="L39" s="1" t="n"/>
      <c r="M39" s="1" t="n"/>
      <c r="N39" s="1" t="n"/>
      <c r="O39" s="1" t="n"/>
      <c r="P39" s="1" t="n"/>
      <c r="Q39" s="1" t="n"/>
      <c r="R39" s="1" t="n"/>
      <c r="S39" s="1" t="n"/>
      <c r="T39" s="1" t="n"/>
      <c r="U39" s="1" t="n"/>
      <c r="V39" s="1" t="n"/>
      <c r="W39" s="1" t="n"/>
      <c r="X39" s="1" t="n"/>
      <c r="Y39" s="1" t="n"/>
      <c r="Z39" s="1" t="n"/>
      <c r="AA39" s="1" t="n"/>
      <c r="AB39" s="1" t="n"/>
    </row>
    <row r="40">
      <c r="A40" s="1" t="n"/>
      <c r="B40" s="1" t="n"/>
      <c r="C40" s="1" t="n"/>
      <c r="D40" s="1" t="n"/>
      <c r="E40" s="1" t="n"/>
      <c r="F40" s="1" t="n"/>
      <c r="G40" s="1" t="n"/>
      <c r="H40" s="1" t="n"/>
      <c r="I40" s="1" t="n"/>
      <c r="J40" s="1" t="n"/>
      <c r="K40" s="1" t="n"/>
      <c r="L40" s="1" t="n"/>
      <c r="M40" s="1" t="n"/>
      <c r="N40" s="1" t="n"/>
      <c r="O40" s="1" t="n"/>
      <c r="P40" s="1" t="n"/>
      <c r="Q40" s="1" t="n"/>
      <c r="R40" s="1" t="n"/>
      <c r="S40" s="1" t="n"/>
      <c r="T40" s="1" t="n"/>
      <c r="U40" s="1" t="n"/>
      <c r="V40" s="1" t="n"/>
      <c r="W40" s="1" t="n"/>
      <c r="X40" s="1" t="n"/>
      <c r="Y40" s="1" t="n"/>
      <c r="Z40" s="1" t="n"/>
      <c r="AA40" s="1" t="n"/>
      <c r="AB40" s="1" t="n"/>
    </row>
    <row r="41">
      <c r="A41" s="1" t="n"/>
      <c r="B41" s="1" t="n"/>
      <c r="C41" s="1" t="n"/>
      <c r="D41" s="1" t="n"/>
      <c r="E41" s="1" t="n"/>
      <c r="F41" s="1" t="n"/>
      <c r="G41" s="1" t="n"/>
      <c r="H41" s="1" t="n"/>
      <c r="I41" s="1" t="n"/>
      <c r="J41" s="1" t="n"/>
      <c r="K41" s="1" t="n"/>
      <c r="L41" s="1" t="n"/>
      <c r="M41" s="1" t="n"/>
      <c r="N41" s="1" t="n"/>
      <c r="O41" s="1" t="n"/>
      <c r="P41" s="1" t="n"/>
      <c r="Q41" s="1" t="n"/>
      <c r="R41" s="1" t="n"/>
      <c r="S41" s="1" t="n"/>
      <c r="T41" s="1" t="n"/>
      <c r="U41" s="1" t="n"/>
      <c r="V41" s="1" t="n"/>
      <c r="W41" s="1" t="n"/>
      <c r="X41" s="1" t="n"/>
      <c r="Y41" s="1" t="n"/>
      <c r="Z41" s="1" t="n"/>
      <c r="AA41" s="1" t="n"/>
      <c r="AB41" s="1" t="n"/>
    </row>
  </sheetData>
  <pageMargins left="0.4" right="0.4" top="0.5" bottom="0.5" header="0.3" footer="0.3"/>
  <pageSetup orientation="landscape" fitToHeight="0" fitToWidth="1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tabColor rgb="003D3D3A"/>
    <outlinePr summaryBelow="1" summaryRight="1"/>
    <pageSetUpPr fitToPage="1"/>
  </sheetPr>
  <dimension ref="A1:AB83"/>
  <sheetViews>
    <sheetView showGridLines="0" workbookViewId="0">
      <selection activeCell="A1" sqref="A1"/>
    </sheetView>
  </sheetViews>
  <sheetFormatPr baseColWidth="8" defaultRowHeight="15"/>
  <cols>
    <col width="2.5" customWidth="1" min="1" max="1"/>
    <col width="44" customWidth="1" min="2" max="2"/>
    <col width="9.4" customWidth="1" min="3" max="3"/>
    <col width="9.4" customWidth="1" min="4" max="4"/>
    <col width="9.4" customWidth="1" min="5" max="5"/>
    <col width="9.4" customWidth="1" min="6" max="6"/>
    <col width="9.4" customWidth="1" min="7" max="7"/>
    <col width="9.4" customWidth="1" min="8" max="8"/>
    <col width="9.4" customWidth="1" min="9" max="9"/>
    <col width="9.4" customWidth="1" min="10" max="10"/>
    <col width="9.4" customWidth="1" min="11" max="11"/>
    <col width="9.4" customWidth="1" min="12" max="12"/>
    <col width="9.4" customWidth="1" min="13" max="13"/>
    <col width="9.4" customWidth="1" min="14" max="14"/>
    <col width="9.4" customWidth="1" min="15" max="15"/>
    <col width="9.4" customWidth="1" min="16" max="16"/>
    <col width="9.4" customWidth="1" min="17" max="17"/>
    <col width="9.4" customWidth="1" min="18" max="18"/>
    <col width="9.4" customWidth="1" min="19" max="19"/>
    <col width="9.4" customWidth="1" min="20" max="20"/>
    <col width="60" customWidth="1" min="22" max="22"/>
  </cols>
  <sheetData>
    <row r="1" ht="9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</row>
    <row r="2" ht="22" customHeight="1">
      <c r="A2" s="1" t="n"/>
      <c r="B2" s="17" t="inlineStr">
        <is>
          <t>Cone vs Commitments</t>
        </is>
      </c>
      <c r="C2" s="18" t="n"/>
      <c r="D2" s="18" t="n"/>
      <c r="E2" s="18" t="n"/>
      <c r="F2" s="18" t="n"/>
      <c r="G2" s="18" t="n"/>
      <c r="H2" s="18" t="n"/>
      <c r="I2" s="18" t="n"/>
      <c r="J2" s="18" t="n"/>
      <c r="K2" s="18" t="n"/>
      <c r="L2" s="18" t="n"/>
      <c r="M2" s="18" t="n"/>
      <c r="N2" s="18" t="n"/>
      <c r="O2" s="18" t="n"/>
      <c r="P2" s="18" t="n"/>
      <c r="Q2" s="18" t="n"/>
      <c r="R2" s="18" t="n"/>
      <c r="S2" s="18" t="n"/>
      <c r="T2" s="18" t="n"/>
      <c r="U2" s="1" t="n"/>
      <c r="V2" s="1" t="n"/>
      <c r="W2" s="1" t="n"/>
      <c r="X2" s="1" t="n"/>
      <c r="Y2" s="1" t="n"/>
      <c r="Z2" s="1" t="n"/>
      <c r="AA2" s="1" t="n"/>
      <c r="AB2" s="1" t="n"/>
    </row>
    <row r="3">
      <c r="A3" s="1" t="n"/>
      <c r="B3" s="19" t="inlineStr">
        <is>
          <t>The cone compares demand under three futures with committed capacity and sizes the cost of overbuying or underbuying.</t>
        </is>
      </c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  <c r="M3" s="1" t="n"/>
      <c r="N3" s="1" t="n"/>
      <c r="O3" s="1" t="n"/>
      <c r="P3" s="1" t="n"/>
      <c r="Q3" s="1" t="n"/>
      <c r="R3" s="1" t="n"/>
      <c r="S3" s="1" t="n"/>
      <c r="T3" s="1" t="n"/>
      <c r="U3" s="1" t="n"/>
      <c r="V3" s="1" t="n"/>
      <c r="W3" s="1" t="n"/>
      <c r="X3" s="1" t="n"/>
      <c r="Y3" s="1" t="n"/>
      <c r="Z3" s="1" t="n"/>
      <c r="AA3" s="1" t="n"/>
      <c r="AB3" s="1" t="n"/>
    </row>
    <row r="4" ht="6" customHeight="1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  <c r="K4" s="1" t="n"/>
      <c r="L4" s="1" t="n"/>
      <c r="M4" s="1" t="n"/>
      <c r="N4" s="1" t="n"/>
      <c r="O4" s="1" t="n"/>
      <c r="P4" s="1" t="n"/>
      <c r="Q4" s="1" t="n"/>
      <c r="R4" s="1" t="n"/>
      <c r="S4" s="1" t="n"/>
      <c r="T4" s="1" t="n"/>
      <c r="U4" s="1" t="n"/>
      <c r="V4" s="1" t="n"/>
      <c r="W4" s="1" t="n"/>
      <c r="X4" s="1" t="n"/>
      <c r="Y4" s="1" t="n"/>
      <c r="Z4" s="1" t="n"/>
      <c r="AA4" s="1" t="n"/>
      <c r="AB4" s="1" t="n"/>
    </row>
    <row r="5">
      <c r="A5" s="1" t="n"/>
      <c r="B5" s="1" t="n"/>
      <c r="C5" s="38" t="n">
        <v>2023</v>
      </c>
      <c r="D5" s="38" t="n">
        <v>2024</v>
      </c>
      <c r="E5" s="38" t="n">
        <v>2025</v>
      </c>
      <c r="F5" s="38" t="n">
        <v>2026</v>
      </c>
      <c r="G5" s="38" t="n">
        <v>2027</v>
      </c>
      <c r="H5" s="38" t="n">
        <v>2028</v>
      </c>
      <c r="I5" s="38" t="n">
        <v>2029</v>
      </c>
      <c r="J5" s="38" t="n">
        <v>2030</v>
      </c>
      <c r="K5" s="38" t="n">
        <v>2031</v>
      </c>
      <c r="L5" s="38" t="n">
        <v>2032</v>
      </c>
      <c r="M5" s="38" t="n">
        <v>2033</v>
      </c>
      <c r="N5" s="38" t="n">
        <v>2034</v>
      </c>
      <c r="O5" s="38" t="n">
        <v>2035</v>
      </c>
      <c r="P5" s="38" t="n">
        <v>2036</v>
      </c>
      <c r="Q5" s="38" t="n">
        <v>2037</v>
      </c>
      <c r="R5" s="38" t="n">
        <v>2038</v>
      </c>
      <c r="S5" s="38" t="n">
        <v>2039</v>
      </c>
      <c r="T5" s="38" t="n">
        <v>2040</v>
      </c>
      <c r="U5" s="1" t="n"/>
      <c r="V5" s="1" t="n"/>
      <c r="W5" s="1" t="n"/>
      <c r="X5" s="1" t="n"/>
      <c r="Y5" s="1" t="n"/>
      <c r="Z5" s="1" t="n"/>
      <c r="AA5" s="1" t="n"/>
      <c r="AB5" s="1" t="n"/>
    </row>
    <row r="6" ht="17" customHeight="1">
      <c r="A6" s="1" t="n"/>
      <c r="B6" s="22" t="inlineStr">
        <is>
          <t>Demand cone</t>
        </is>
      </c>
      <c r="C6" s="23" t="n"/>
      <c r="D6" s="23" t="n"/>
      <c r="E6" s="23" t="n"/>
      <c r="F6" s="23" t="n"/>
      <c r="G6" s="23" t="n"/>
      <c r="H6" s="23" t="n"/>
      <c r="I6" s="23" t="n"/>
      <c r="J6" s="23" t="n"/>
      <c r="K6" s="23" t="n"/>
      <c r="L6" s="23" t="n"/>
      <c r="M6" s="23" t="n"/>
      <c r="N6" s="23" t="n"/>
      <c r="O6" s="23" t="n"/>
      <c r="P6" s="23" t="n"/>
      <c r="Q6" s="23" t="n"/>
      <c r="R6" s="23" t="n"/>
      <c r="S6" s="23" t="n"/>
      <c r="T6" s="23" t="n"/>
      <c r="U6" s="1" t="n"/>
      <c r="V6" s="1" t="n"/>
      <c r="W6" s="1" t="n"/>
      <c r="X6" s="1" t="n"/>
      <c r="Y6" s="1" t="n"/>
      <c r="Z6" s="1" t="n"/>
      <c r="AA6" s="1" t="n"/>
      <c r="AB6" s="1" t="n"/>
    </row>
    <row r="7" ht="14" customHeight="1">
      <c r="A7" s="1" t="n"/>
      <c r="B7" s="39" t="inlineStr"/>
      <c r="C7" s="40" t="inlineStr">
        <is>
          <t>FY'23</t>
        </is>
      </c>
      <c r="D7" s="40" t="inlineStr">
        <is>
          <t>FY'24</t>
        </is>
      </c>
      <c r="E7" s="40" t="inlineStr">
        <is>
          <t>FY'25</t>
        </is>
      </c>
      <c r="F7" s="41" t="inlineStr">
        <is>
          <t>FY'26</t>
        </is>
      </c>
      <c r="G7" s="41" t="inlineStr">
        <is>
          <t>FY'27</t>
        </is>
      </c>
      <c r="H7" s="41" t="inlineStr">
        <is>
          <t>FY'28</t>
        </is>
      </c>
      <c r="I7" s="41" t="inlineStr">
        <is>
          <t>FY'29</t>
        </is>
      </c>
      <c r="J7" s="41" t="inlineStr">
        <is>
          <t>FY'30</t>
        </is>
      </c>
      <c r="K7" s="41" t="inlineStr">
        <is>
          <t>FY'31</t>
        </is>
      </c>
      <c r="L7" s="41" t="inlineStr">
        <is>
          <t>FY'32</t>
        </is>
      </c>
      <c r="M7" s="41" t="inlineStr">
        <is>
          <t>FY'33</t>
        </is>
      </c>
      <c r="N7" s="41" t="inlineStr">
        <is>
          <t>FY'34</t>
        </is>
      </c>
      <c r="O7" s="41" t="inlineStr">
        <is>
          <t>FY'35</t>
        </is>
      </c>
      <c r="P7" s="41" t="inlineStr">
        <is>
          <t>FY'36</t>
        </is>
      </c>
      <c r="Q7" s="41" t="inlineStr">
        <is>
          <t>FY'37</t>
        </is>
      </c>
      <c r="R7" s="41" t="inlineStr">
        <is>
          <t>FY'38</t>
        </is>
      </c>
      <c r="S7" s="41" t="inlineStr">
        <is>
          <t>FY'39</t>
        </is>
      </c>
      <c r="T7" s="41" t="inlineStr">
        <is>
          <t>FY'40</t>
        </is>
      </c>
      <c r="U7" s="1" t="n"/>
      <c r="V7" s="1" t="n"/>
      <c r="W7" s="1" t="n"/>
      <c r="X7" s="1" t="n"/>
      <c r="Y7" s="1" t="n"/>
      <c r="Z7" s="1" t="n"/>
      <c r="AA7" s="1" t="n"/>
      <c r="AB7" s="1" t="n"/>
    </row>
    <row r="8">
      <c r="A8" s="1" t="n"/>
      <c r="B8" s="29" t="inlineStr">
        <is>
          <t>Bear: average load (GW)</t>
        </is>
      </c>
      <c r="C8" s="1" t="n"/>
      <c r="D8" s="1" t="n"/>
      <c r="E8" s="1" t="n"/>
      <c r="F8" s="35">
        <f>Anthropic!F47</f>
        <v/>
      </c>
      <c r="G8" s="35">
        <f>Anthropic!G47</f>
        <v/>
      </c>
      <c r="H8" s="35">
        <f>Anthropic!H47</f>
        <v/>
      </c>
      <c r="I8" s="35">
        <f>Anthropic!I47</f>
        <v/>
      </c>
      <c r="J8" s="35">
        <f>Anthropic!J47</f>
        <v/>
      </c>
      <c r="K8" s="35">
        <f>Anthropic!K47</f>
        <v/>
      </c>
      <c r="L8" s="35">
        <f>Anthropic!L47</f>
        <v/>
      </c>
      <c r="M8" s="35">
        <f>Anthropic!M47</f>
        <v/>
      </c>
      <c r="N8" s="35">
        <f>Anthropic!N47</f>
        <v/>
      </c>
      <c r="O8" s="35">
        <f>Anthropic!O47</f>
        <v/>
      </c>
      <c r="P8" s="35">
        <f>Anthropic!P47</f>
        <v/>
      </c>
      <c r="Q8" s="35">
        <f>Anthropic!Q47</f>
        <v/>
      </c>
      <c r="R8" s="35">
        <f>Anthropic!R47</f>
        <v/>
      </c>
      <c r="S8" s="35">
        <f>Anthropic!S47</f>
        <v/>
      </c>
      <c r="T8" s="35">
        <f>Anthropic!T47</f>
        <v/>
      </c>
      <c r="U8" s="1" t="n"/>
      <c r="V8" s="1" t="n"/>
      <c r="W8" s="1" t="n"/>
      <c r="X8" s="1" t="n"/>
      <c r="Y8" s="1" t="n"/>
      <c r="Z8" s="1" t="n"/>
      <c r="AA8" s="1" t="n"/>
      <c r="AB8" s="1" t="n"/>
    </row>
    <row r="9">
      <c r="A9" s="1" t="n"/>
      <c r="B9" s="29" t="inlineStr">
        <is>
          <t>Base: average load (GW)</t>
        </is>
      </c>
      <c r="C9" s="1" t="n"/>
      <c r="D9" s="1" t="n"/>
      <c r="E9" s="1" t="n"/>
      <c r="F9" s="35">
        <f>Anthropic!F51</f>
        <v/>
      </c>
      <c r="G9" s="35">
        <f>Anthropic!G51</f>
        <v/>
      </c>
      <c r="H9" s="35">
        <f>Anthropic!H51</f>
        <v/>
      </c>
      <c r="I9" s="35">
        <f>Anthropic!I51</f>
        <v/>
      </c>
      <c r="J9" s="35">
        <f>Anthropic!J51</f>
        <v/>
      </c>
      <c r="K9" s="35">
        <f>Anthropic!K51</f>
        <v/>
      </c>
      <c r="L9" s="35">
        <f>Anthropic!L51</f>
        <v/>
      </c>
      <c r="M9" s="35">
        <f>Anthropic!M51</f>
        <v/>
      </c>
      <c r="N9" s="35">
        <f>Anthropic!N51</f>
        <v/>
      </c>
      <c r="O9" s="35">
        <f>Anthropic!O51</f>
        <v/>
      </c>
      <c r="P9" s="35">
        <f>Anthropic!P51</f>
        <v/>
      </c>
      <c r="Q9" s="35">
        <f>Anthropic!Q51</f>
        <v/>
      </c>
      <c r="R9" s="35">
        <f>Anthropic!R51</f>
        <v/>
      </c>
      <c r="S9" s="35">
        <f>Anthropic!S51</f>
        <v/>
      </c>
      <c r="T9" s="35">
        <f>Anthropic!T51</f>
        <v/>
      </c>
      <c r="U9" s="1" t="n"/>
      <c r="V9" s="1" t="n"/>
      <c r="W9" s="1" t="n"/>
      <c r="X9" s="1" t="n"/>
      <c r="Y9" s="1" t="n"/>
      <c r="Z9" s="1" t="n"/>
      <c r="AA9" s="1" t="n"/>
      <c r="AB9" s="1" t="n"/>
    </row>
    <row r="10">
      <c r="A10" s="1" t="n"/>
      <c r="B10" s="29" t="inlineStr">
        <is>
          <t>Bull: average load (GW)</t>
        </is>
      </c>
      <c r="C10" s="1" t="n"/>
      <c r="D10" s="1" t="n"/>
      <c r="E10" s="1" t="n"/>
      <c r="F10" s="35">
        <f>Anthropic!F55</f>
        <v/>
      </c>
      <c r="G10" s="35">
        <f>Anthropic!G55</f>
        <v/>
      </c>
      <c r="H10" s="35">
        <f>Anthropic!H55</f>
        <v/>
      </c>
      <c r="I10" s="35">
        <f>Anthropic!I55</f>
        <v/>
      </c>
      <c r="J10" s="35">
        <f>Anthropic!J55</f>
        <v/>
      </c>
      <c r="K10" s="35">
        <f>Anthropic!K55</f>
        <v/>
      </c>
      <c r="L10" s="35">
        <f>Anthropic!L55</f>
        <v/>
      </c>
      <c r="M10" s="35">
        <f>Anthropic!M55</f>
        <v/>
      </c>
      <c r="N10" s="35">
        <f>Anthropic!N55</f>
        <v/>
      </c>
      <c r="O10" s="35">
        <f>Anthropic!O55</f>
        <v/>
      </c>
      <c r="P10" s="35">
        <f>Anthropic!P55</f>
        <v/>
      </c>
      <c r="Q10" s="35">
        <f>Anthropic!Q55</f>
        <v/>
      </c>
      <c r="R10" s="35">
        <f>Anthropic!R55</f>
        <v/>
      </c>
      <c r="S10" s="35">
        <f>Anthropic!S55</f>
        <v/>
      </c>
      <c r="T10" s="35">
        <f>Anthropic!T55</f>
        <v/>
      </c>
      <c r="U10" s="1" t="n"/>
      <c r="V10" s="1" t="n"/>
      <c r="W10" s="1" t="n"/>
      <c r="X10" s="1" t="n"/>
      <c r="Y10" s="1" t="n"/>
      <c r="Z10" s="1" t="n"/>
      <c r="AA10" s="1" t="n"/>
      <c r="AB10" s="1" t="n"/>
    </row>
    <row r="11">
      <c r="A11" s="1" t="n"/>
      <c r="B11" s="20" t="inlineStr">
        <is>
          <t>Plan-to level: the top of the cone (GW)</t>
        </is>
      </c>
      <c r="C11" s="1" t="n"/>
      <c r="D11" s="1" t="n"/>
      <c r="E11" s="1" t="n"/>
      <c r="F11" s="62">
        <f>F10</f>
        <v/>
      </c>
      <c r="G11" s="62">
        <f>G10</f>
        <v/>
      </c>
      <c r="H11" s="62">
        <f>H10</f>
        <v/>
      </c>
      <c r="I11" s="62">
        <f>I10</f>
        <v/>
      </c>
      <c r="J11" s="62">
        <f>J10</f>
        <v/>
      </c>
      <c r="K11" s="62">
        <f>K10</f>
        <v/>
      </c>
      <c r="L11" s="62">
        <f>L10</f>
        <v/>
      </c>
      <c r="M11" s="62">
        <f>M10</f>
        <v/>
      </c>
      <c r="N11" s="62">
        <f>N10</f>
        <v/>
      </c>
      <c r="O11" s="62">
        <f>O10</f>
        <v/>
      </c>
      <c r="P11" s="62">
        <f>P10</f>
        <v/>
      </c>
      <c r="Q11" s="62">
        <f>Q10</f>
        <v/>
      </c>
      <c r="R11" s="62">
        <f>R10</f>
        <v/>
      </c>
      <c r="S11" s="62">
        <f>S10</f>
        <v/>
      </c>
      <c r="T11" s="62">
        <f>T10</f>
        <v/>
      </c>
      <c r="U11" s="1" t="n"/>
      <c r="V11" s="43" t="inlineStr">
        <is>
          <t>Planning to the top of the cone protects capacity access; efficiency captures upside if a lower branch arrives.</t>
        </is>
      </c>
      <c r="W11" s="1" t="n"/>
      <c r="X11" s="1" t="n"/>
      <c r="Y11" s="1" t="n"/>
      <c r="Z11" s="1" t="n"/>
      <c r="AA11" s="1" t="n"/>
      <c r="AB11" s="1" t="n"/>
    </row>
    <row r="12">
      <c r="A12" s="1" t="n"/>
      <c r="B12" s="1" t="n"/>
      <c r="C12" s="1" t="n"/>
      <c r="D12" s="1" t="n"/>
      <c r="E12" s="1" t="n"/>
      <c r="F12" s="1" t="n"/>
      <c r="G12" s="1" t="n"/>
      <c r="H12" s="1" t="n"/>
      <c r="I12" s="1" t="n"/>
      <c r="J12" s="1" t="n"/>
      <c r="K12" s="1" t="n"/>
      <c r="L12" s="1" t="n"/>
      <c r="M12" s="1" t="n"/>
      <c r="N12" s="1" t="n"/>
      <c r="O12" s="1" t="n"/>
      <c r="P12" s="1" t="n"/>
      <c r="Q12" s="1" t="n"/>
      <c r="R12" s="1" t="n"/>
      <c r="S12" s="1" t="n"/>
      <c r="T12" s="1" t="n"/>
      <c r="U12" s="1" t="n"/>
      <c r="V12" s="1" t="n"/>
      <c r="W12" s="1" t="n"/>
      <c r="X12" s="1" t="n"/>
      <c r="Y12" s="1" t="n"/>
      <c r="Z12" s="1" t="n"/>
      <c r="AA12" s="1" t="n"/>
      <c r="AB12" s="1" t="n"/>
    </row>
    <row r="13" ht="17" customHeight="1">
      <c r="A13" s="1" t="n"/>
      <c r="B13" s="22" t="inlineStr">
        <is>
          <t>Committed capacity, gross announced</t>
        </is>
      </c>
      <c r="C13" s="23" t="n"/>
      <c r="D13" s="23" t="n"/>
      <c r="E13" s="23" t="n"/>
      <c r="F13" s="23" t="n"/>
      <c r="G13" s="23" t="n"/>
      <c r="H13" s="23" t="n"/>
      <c r="I13" s="23" t="n"/>
      <c r="J13" s="23" t="n"/>
      <c r="K13" s="23" t="n"/>
      <c r="L13" s="23" t="n"/>
      <c r="M13" s="23" t="n"/>
      <c r="N13" s="23" t="n"/>
      <c r="O13" s="23" t="n"/>
      <c r="P13" s="23" t="n"/>
      <c r="Q13" s="23" t="n"/>
      <c r="R13" s="23" t="n"/>
      <c r="S13" s="23" t="n"/>
      <c r="T13" s="23" t="n"/>
      <c r="U13" s="1" t="n"/>
      <c r="V13" s="1" t="n"/>
      <c r="W13" s="1" t="n"/>
      <c r="X13" s="1" t="n"/>
      <c r="Y13" s="1" t="n"/>
      <c r="Z13" s="1" t="n"/>
      <c r="AA13" s="1" t="n"/>
      <c r="AB13" s="1" t="n"/>
    </row>
    <row r="14" ht="14" customHeight="1">
      <c r="A14" s="1" t="n"/>
      <c r="B14" s="39" t="inlineStr"/>
      <c r="C14" s="40" t="inlineStr">
        <is>
          <t>FY'23</t>
        </is>
      </c>
      <c r="D14" s="40" t="inlineStr">
        <is>
          <t>FY'24</t>
        </is>
      </c>
      <c r="E14" s="40" t="inlineStr">
        <is>
          <t>FY'25</t>
        </is>
      </c>
      <c r="F14" s="41" t="inlineStr">
        <is>
          <t>FY'26</t>
        </is>
      </c>
      <c r="G14" s="41" t="inlineStr">
        <is>
          <t>FY'27</t>
        </is>
      </c>
      <c r="H14" s="41" t="inlineStr">
        <is>
          <t>FY'28</t>
        </is>
      </c>
      <c r="I14" s="41" t="inlineStr">
        <is>
          <t>FY'29</t>
        </is>
      </c>
      <c r="J14" s="41" t="inlineStr">
        <is>
          <t>FY'30</t>
        </is>
      </c>
      <c r="K14" s="41" t="inlineStr">
        <is>
          <t>FY'31</t>
        </is>
      </c>
      <c r="L14" s="41" t="inlineStr">
        <is>
          <t>FY'32</t>
        </is>
      </c>
      <c r="M14" s="41" t="inlineStr">
        <is>
          <t>FY'33</t>
        </is>
      </c>
      <c r="N14" s="41" t="inlineStr">
        <is>
          <t>FY'34</t>
        </is>
      </c>
      <c r="O14" s="41" t="inlineStr">
        <is>
          <t>FY'35</t>
        </is>
      </c>
      <c r="P14" s="41" t="inlineStr">
        <is>
          <t>FY'36</t>
        </is>
      </c>
      <c r="Q14" s="41" t="inlineStr">
        <is>
          <t>FY'37</t>
        </is>
      </c>
      <c r="R14" s="41" t="inlineStr">
        <is>
          <t>FY'38</t>
        </is>
      </c>
      <c r="S14" s="41" t="inlineStr">
        <is>
          <t>FY'39</t>
        </is>
      </c>
      <c r="T14" s="41" t="inlineStr">
        <is>
          <t>FY'40</t>
        </is>
      </c>
      <c r="U14" s="1" t="n"/>
      <c r="V14" s="1" t="n"/>
      <c r="W14" s="1" t="n"/>
      <c r="X14" s="1" t="n"/>
      <c r="Y14" s="1" t="n"/>
      <c r="Z14" s="1" t="n"/>
      <c r="AA14" s="1" t="n"/>
      <c r="AB14" s="1" t="n"/>
    </row>
    <row r="15">
      <c r="A15" s="1" t="n"/>
      <c r="B15" s="29" t="inlineStr">
        <is>
          <t>In fleet at the FY2026 anchor (average load, modeled; GW)</t>
        </is>
      </c>
      <c r="C15" s="1" t="n"/>
      <c r="D15" s="1" t="n"/>
      <c r="E15" s="1" t="n"/>
      <c r="F15" s="42">
        <f>Anthropic!$F$14</f>
        <v/>
      </c>
      <c r="G15" s="42">
        <f>Anthropic!$F$14</f>
        <v/>
      </c>
      <c r="H15" s="42">
        <f>Anthropic!$F$14</f>
        <v/>
      </c>
      <c r="I15" s="42">
        <f>Anthropic!$F$14</f>
        <v/>
      </c>
      <c r="J15" s="42">
        <f>Anthropic!$F$14</f>
        <v/>
      </c>
      <c r="K15" s="42">
        <f>Anthropic!$F$14</f>
        <v/>
      </c>
      <c r="L15" s="42">
        <f>Anthropic!$F$14</f>
        <v/>
      </c>
      <c r="M15" s="42">
        <f>Anthropic!$F$14</f>
        <v/>
      </c>
      <c r="N15" s="42">
        <f>Anthropic!$F$14</f>
        <v/>
      </c>
      <c r="O15" s="42">
        <f>Anthropic!$F$14</f>
        <v/>
      </c>
      <c r="P15" s="42">
        <f>Anthropic!$F$14</f>
        <v/>
      </c>
      <c r="Q15" s="42">
        <f>Anthropic!$F$14</f>
        <v/>
      </c>
      <c r="R15" s="42">
        <f>Anthropic!$F$14</f>
        <v/>
      </c>
      <c r="S15" s="42">
        <f>Anthropic!$F$14</f>
        <v/>
      </c>
      <c r="T15" s="42">
        <f>Anthropic!$F$14</f>
        <v/>
      </c>
      <c r="U15" s="1" t="n"/>
      <c r="V15" s="1" t="n"/>
      <c r="W15" s="1" t="n"/>
      <c r="X15" s="1" t="n"/>
      <c r="Y15" s="1" t="n"/>
      <c r="Z15" s="1" t="n"/>
      <c r="AA15" s="1" t="n"/>
      <c r="AB15" s="1" t="n"/>
    </row>
    <row r="16">
      <c r="A16" s="1" t="n"/>
      <c r="B16" s="29" t="inlineStr">
        <is>
          <t>Google/Broadcom TPU tranche, from 2027 (GW)</t>
        </is>
      </c>
      <c r="C16" s="1" t="n"/>
      <c r="D16" s="1" t="n"/>
      <c r="E16" s="1" t="n"/>
      <c r="F16" s="42">
        <f>IF(F$5&lt;2027,0,sAnthGwGoog/1000*MIN(1,(F$5-2026)/nCommitRampYrs))</f>
        <v/>
      </c>
      <c r="G16" s="42">
        <f>IF(G$5&lt;2027,0,sAnthGwGoog/1000*MIN(1,(G$5-2026)/nCommitRampYrs))</f>
        <v/>
      </c>
      <c r="H16" s="42">
        <f>IF(H$5&lt;2027,0,sAnthGwGoog/1000*MIN(1,(H$5-2026)/nCommitRampYrs))</f>
        <v/>
      </c>
      <c r="I16" s="42">
        <f>IF(I$5&lt;2027,0,sAnthGwGoog/1000*MIN(1,(I$5-2026)/nCommitRampYrs))</f>
        <v/>
      </c>
      <c r="J16" s="42">
        <f>IF(J$5&lt;2027,0,sAnthGwGoog/1000*MIN(1,(J$5-2026)/nCommitRampYrs))</f>
        <v/>
      </c>
      <c r="K16" s="42">
        <f>IF(K$5&lt;2027,0,sAnthGwGoog/1000*MIN(1,(K$5-2026)/nCommitRampYrs))</f>
        <v/>
      </c>
      <c r="L16" s="42">
        <f>IF(L$5&lt;2027,0,sAnthGwGoog/1000*MIN(1,(L$5-2026)/nCommitRampYrs))</f>
        <v/>
      </c>
      <c r="M16" s="42">
        <f>IF(M$5&lt;2027,0,sAnthGwGoog/1000*MIN(1,(M$5-2026)/nCommitRampYrs))</f>
        <v/>
      </c>
      <c r="N16" s="42">
        <f>IF(N$5&lt;2027,0,sAnthGwGoog/1000*MIN(1,(N$5-2026)/nCommitRampYrs))</f>
        <v/>
      </c>
      <c r="O16" s="42">
        <f>IF(O$5&lt;2027,0,sAnthGwGoog/1000*MIN(1,(O$5-2026)/nCommitRampYrs))</f>
        <v/>
      </c>
      <c r="P16" s="42">
        <f>IF(P$5&lt;2027,0,sAnthGwGoog/1000*MIN(1,(P$5-2026)/nCommitRampYrs))</f>
        <v/>
      </c>
      <c r="Q16" s="42">
        <f>IF(Q$5&lt;2027,0,sAnthGwGoog/1000*MIN(1,(Q$5-2026)/nCommitRampYrs))</f>
        <v/>
      </c>
      <c r="R16" s="42">
        <f>IF(R$5&lt;2027,0,sAnthGwGoog/1000*MIN(1,(R$5-2026)/nCommitRampYrs))</f>
        <v/>
      </c>
      <c r="S16" s="42">
        <f>IF(S$5&lt;2027,0,sAnthGwGoog/1000*MIN(1,(S$5-2026)/nCommitRampYrs))</f>
        <v/>
      </c>
      <c r="T16" s="42">
        <f>IF(T$5&lt;2027,0,sAnthGwGoog/1000*MIN(1,(T$5-2026)/nCommitRampYrs))</f>
        <v/>
      </c>
      <c r="U16" s="1" t="n"/>
      <c r="V16" s="43" t="inlineStr">
        <is>
          <t>The Amazon 'up to' is a decadal maximum; committed delivery runs lower. Deal capacity and average-load demand use different bases, so coverage reads optimistic by the utilization gap.</t>
        </is>
      </c>
      <c r="W16" s="1" t="n"/>
      <c r="X16" s="1" t="n"/>
      <c r="Y16" s="1" t="n"/>
      <c r="Z16" s="1" t="n"/>
      <c r="AA16" s="1" t="n"/>
      <c r="AB16" s="1" t="n"/>
    </row>
    <row r="17">
      <c r="A17" s="1" t="n"/>
      <c r="B17" s="29" t="inlineStr">
        <is>
          <t>Amazon Trainium tranche, 'up to' (GW)</t>
        </is>
      </c>
      <c r="C17" s="1" t="n"/>
      <c r="D17" s="1" t="n"/>
      <c r="E17" s="1" t="n"/>
      <c r="F17" s="42">
        <f>IF(F$5&lt;2027,0,sAnthGwAmzn/1000*MIN(1,(F$5-2026)/nCommitRampYrs))</f>
        <v/>
      </c>
      <c r="G17" s="42">
        <f>IF(G$5&lt;2027,0,sAnthGwAmzn/1000*MIN(1,(G$5-2026)/nCommitRampYrs))</f>
        <v/>
      </c>
      <c r="H17" s="42">
        <f>IF(H$5&lt;2027,0,sAnthGwAmzn/1000*MIN(1,(H$5-2026)/nCommitRampYrs))</f>
        <v/>
      </c>
      <c r="I17" s="42">
        <f>IF(I$5&lt;2027,0,sAnthGwAmzn/1000*MIN(1,(I$5-2026)/nCommitRampYrs))</f>
        <v/>
      </c>
      <c r="J17" s="42">
        <f>IF(J$5&lt;2027,0,sAnthGwAmzn/1000*MIN(1,(J$5-2026)/nCommitRampYrs))</f>
        <v/>
      </c>
      <c r="K17" s="42">
        <f>IF(K$5&lt;2027,0,sAnthGwAmzn/1000*MIN(1,(K$5-2026)/nCommitRampYrs))</f>
        <v/>
      </c>
      <c r="L17" s="42">
        <f>IF(L$5&lt;2027,0,sAnthGwAmzn/1000*MIN(1,(L$5-2026)/nCommitRampYrs))</f>
        <v/>
      </c>
      <c r="M17" s="42">
        <f>IF(M$5&lt;2027,0,sAnthGwAmzn/1000*MIN(1,(M$5-2026)/nCommitRampYrs))</f>
        <v/>
      </c>
      <c r="N17" s="42">
        <f>IF(N$5&lt;2027,0,sAnthGwAmzn/1000*MIN(1,(N$5-2026)/nCommitRampYrs))</f>
        <v/>
      </c>
      <c r="O17" s="42">
        <f>IF(O$5&lt;2027,0,sAnthGwAmzn/1000*MIN(1,(O$5-2026)/nCommitRampYrs))</f>
        <v/>
      </c>
      <c r="P17" s="42">
        <f>IF(P$5&lt;2027,0,sAnthGwAmzn/1000*MIN(1,(P$5-2026)/nCommitRampYrs))</f>
        <v/>
      </c>
      <c r="Q17" s="42">
        <f>IF(Q$5&lt;2027,0,sAnthGwAmzn/1000*MIN(1,(Q$5-2026)/nCommitRampYrs))</f>
        <v/>
      </c>
      <c r="R17" s="42">
        <f>IF(R$5&lt;2027,0,sAnthGwAmzn/1000*MIN(1,(R$5-2026)/nCommitRampYrs))</f>
        <v/>
      </c>
      <c r="S17" s="42">
        <f>IF(S$5&lt;2027,0,sAnthGwAmzn/1000*MIN(1,(S$5-2026)/nCommitRampYrs))</f>
        <v/>
      </c>
      <c r="T17" s="42">
        <f>IF(T$5&lt;2027,0,sAnthGwAmzn/1000*MIN(1,(T$5-2026)/nCommitRampYrs))</f>
        <v/>
      </c>
      <c r="U17" s="1" t="n"/>
      <c r="V17" s="1" t="n"/>
      <c r="W17" s="1" t="n"/>
      <c r="X17" s="1" t="n"/>
      <c r="Y17" s="1" t="n"/>
      <c r="Z17" s="1" t="n"/>
      <c r="AA17" s="1" t="n"/>
      <c r="AB17" s="1" t="n"/>
    </row>
    <row r="18">
      <c r="A18" s="1" t="n"/>
      <c r="B18" s="20" t="inlineStr">
        <is>
          <t>Committed, total (GW)</t>
        </is>
      </c>
      <c r="C18" s="46" t="n"/>
      <c r="D18" s="46" t="n"/>
      <c r="E18" s="46" t="n"/>
      <c r="F18" s="68">
        <f>SUM(F15:F17)</f>
        <v/>
      </c>
      <c r="G18" s="68">
        <f>SUM(G15:G17)</f>
        <v/>
      </c>
      <c r="H18" s="68">
        <f>SUM(H15:H17)</f>
        <v/>
      </c>
      <c r="I18" s="68">
        <f>SUM(I15:I17)</f>
        <v/>
      </c>
      <c r="J18" s="68">
        <f>SUM(J15:J17)</f>
        <v/>
      </c>
      <c r="K18" s="68">
        <f>SUM(K15:K17)</f>
        <v/>
      </c>
      <c r="L18" s="68">
        <f>SUM(L15:L17)</f>
        <v/>
      </c>
      <c r="M18" s="68">
        <f>SUM(M15:M17)</f>
        <v/>
      </c>
      <c r="N18" s="68">
        <f>SUM(N15:N17)</f>
        <v/>
      </c>
      <c r="O18" s="68">
        <f>SUM(O15:O17)</f>
        <v/>
      </c>
      <c r="P18" s="68">
        <f>SUM(P15:P17)</f>
        <v/>
      </c>
      <c r="Q18" s="68">
        <f>SUM(Q15:Q17)</f>
        <v/>
      </c>
      <c r="R18" s="68">
        <f>SUM(R15:R17)</f>
        <v/>
      </c>
      <c r="S18" s="68">
        <f>SUM(S15:S17)</f>
        <v/>
      </c>
      <c r="T18" s="68">
        <f>SUM(T15:T17)</f>
        <v/>
      </c>
      <c r="U18" s="1" t="n"/>
      <c r="V18" s="1" t="n"/>
      <c r="W18" s="1" t="n"/>
      <c r="X18" s="1" t="n"/>
      <c r="Y18" s="1" t="n"/>
      <c r="Z18" s="1" t="n"/>
      <c r="AA18" s="1" t="n"/>
      <c r="AB18" s="1" t="n"/>
    </row>
    <row r="19">
      <c r="A19" s="1" t="n"/>
      <c r="B19" s="29" t="inlineStr">
        <is>
          <t>Coverage of the Base path (×)</t>
        </is>
      </c>
      <c r="C19" s="1" t="n"/>
      <c r="D19" s="1" t="n"/>
      <c r="E19" s="1" t="n"/>
      <c r="F19" s="66">
        <f>F18/F9</f>
        <v/>
      </c>
      <c r="G19" s="66">
        <f>G18/G9</f>
        <v/>
      </c>
      <c r="H19" s="66">
        <f>H18/H9</f>
        <v/>
      </c>
      <c r="I19" s="66">
        <f>I18/I9</f>
        <v/>
      </c>
      <c r="J19" s="66">
        <f>J18/J9</f>
        <v/>
      </c>
      <c r="K19" s="66">
        <f>K18/K9</f>
        <v/>
      </c>
      <c r="L19" s="66">
        <f>L18/L9</f>
        <v/>
      </c>
      <c r="M19" s="66">
        <f>M18/M9</f>
        <v/>
      </c>
      <c r="N19" s="66">
        <f>N18/N9</f>
        <v/>
      </c>
      <c r="O19" s="66">
        <f>O18/O9</f>
        <v/>
      </c>
      <c r="P19" s="66">
        <f>P18/P9</f>
        <v/>
      </c>
      <c r="Q19" s="66">
        <f>Q18/Q9</f>
        <v/>
      </c>
      <c r="R19" s="66">
        <f>R18/R9</f>
        <v/>
      </c>
      <c r="S19" s="66">
        <f>S18/S9</f>
        <v/>
      </c>
      <c r="T19" s="66">
        <f>T18/T9</f>
        <v/>
      </c>
      <c r="U19" s="1" t="n"/>
      <c r="V19" s="1" t="n"/>
      <c r="W19" s="1" t="n"/>
      <c r="X19" s="1" t="n"/>
      <c r="Y19" s="1" t="n"/>
      <c r="Z19" s="1" t="n"/>
      <c r="AA19" s="1" t="n"/>
      <c r="AB19" s="1" t="n"/>
    </row>
    <row r="20">
      <c r="A20" s="1" t="n"/>
      <c r="B20" s="20" t="inlineStr">
        <is>
          <t>Uncovered against the cone top (GW)</t>
        </is>
      </c>
      <c r="C20" s="1" t="n"/>
      <c r="D20" s="1" t="n"/>
      <c r="E20" s="1" t="n"/>
      <c r="F20" s="62">
        <f>MAX(0,F10-F18)</f>
        <v/>
      </c>
      <c r="G20" s="62">
        <f>MAX(0,G10-G18)</f>
        <v/>
      </c>
      <c r="H20" s="62">
        <f>MAX(0,H10-H18)</f>
        <v/>
      </c>
      <c r="I20" s="62">
        <f>MAX(0,I10-I18)</f>
        <v/>
      </c>
      <c r="J20" s="62">
        <f>MAX(0,J10-J18)</f>
        <v/>
      </c>
      <c r="K20" s="62">
        <f>MAX(0,K10-K18)</f>
        <v/>
      </c>
      <c r="L20" s="62">
        <f>MAX(0,L10-L18)</f>
        <v/>
      </c>
      <c r="M20" s="62">
        <f>MAX(0,M10-M18)</f>
        <v/>
      </c>
      <c r="N20" s="62">
        <f>MAX(0,N10-N18)</f>
        <v/>
      </c>
      <c r="O20" s="62">
        <f>MAX(0,O10-O18)</f>
        <v/>
      </c>
      <c r="P20" s="62">
        <f>MAX(0,P10-P18)</f>
        <v/>
      </c>
      <c r="Q20" s="62">
        <f>MAX(0,Q10-Q18)</f>
        <v/>
      </c>
      <c r="R20" s="62">
        <f>MAX(0,R10-R18)</f>
        <v/>
      </c>
      <c r="S20" s="62">
        <f>MAX(0,S10-S18)</f>
        <v/>
      </c>
      <c r="T20" s="62">
        <f>MAX(0,T10-T18)</f>
        <v/>
      </c>
      <c r="U20" s="1" t="n"/>
      <c r="V20" s="1" t="n"/>
      <c r="W20" s="1" t="n"/>
      <c r="X20" s="1" t="n"/>
      <c r="Y20" s="1" t="n"/>
      <c r="Z20" s="1" t="n"/>
      <c r="AA20" s="1" t="n"/>
      <c r="AB20" s="1" t="n"/>
    </row>
    <row r="21">
      <c r="A21" s="1" t="n"/>
      <c r="B21" s="1" t="n"/>
      <c r="C21" s="1" t="n"/>
      <c r="D21" s="1" t="n"/>
      <c r="E21" s="1" t="n"/>
      <c r="F21" s="1" t="n"/>
      <c r="G21" s="1" t="n"/>
      <c r="H21" s="1" t="n"/>
      <c r="I21" s="1" t="n"/>
      <c r="J21" s="1" t="n"/>
      <c r="K21" s="1" t="n"/>
      <c r="L21" s="1" t="n"/>
      <c r="M21" s="1" t="n"/>
      <c r="N21" s="1" t="n"/>
      <c r="O21" s="1" t="n"/>
      <c r="P21" s="1" t="n"/>
      <c r="Q21" s="1" t="n"/>
      <c r="R21" s="1" t="n"/>
      <c r="S21" s="1" t="n"/>
      <c r="T21" s="1" t="n"/>
      <c r="U21" s="1" t="n"/>
      <c r="V21" s="1" t="n"/>
      <c r="W21" s="1" t="n"/>
      <c r="X21" s="1" t="n"/>
      <c r="Y21" s="1" t="n"/>
      <c r="Z21" s="1" t="n"/>
      <c r="AA21" s="1" t="n"/>
      <c r="AB21" s="1" t="n"/>
    </row>
    <row r="22" ht="17" customHeight="1">
      <c r="A22" s="1" t="n"/>
      <c r="B22" s="22" t="inlineStr">
        <is>
          <t>Capex per gigawatt</t>
        </is>
      </c>
      <c r="C22" s="23" t="n"/>
      <c r="D22" s="23" t="n"/>
      <c r="E22" s="23" t="n"/>
      <c r="F22" s="23" t="n"/>
      <c r="G22" s="23" t="n"/>
      <c r="H22" s="1" t="n"/>
      <c r="I22" s="1" t="n"/>
      <c r="J22" s="1" t="n"/>
      <c r="K22" s="1" t="n"/>
      <c r="L22" s="1" t="n"/>
      <c r="M22" s="1" t="n"/>
      <c r="N22" s="1" t="n"/>
      <c r="O22" s="1" t="n"/>
      <c r="P22" s="1" t="n"/>
      <c r="Q22" s="1" t="n"/>
      <c r="R22" s="1" t="n"/>
      <c r="S22" s="1" t="n"/>
      <c r="T22" s="1" t="n"/>
      <c r="U22" s="1" t="n"/>
      <c r="V22" s="1" t="n"/>
      <c r="W22" s="1" t="n"/>
      <c r="X22" s="1" t="n"/>
      <c r="Y22" s="1" t="n"/>
      <c r="Z22" s="1" t="n"/>
      <c r="AA22" s="1" t="n"/>
      <c r="AB22" s="1" t="n"/>
    </row>
    <row r="23">
      <c r="A23" s="1" t="n"/>
      <c r="B23" s="29" t="inlineStr">
        <is>
          <t>Stated all-in capex per GW ($B)</t>
        </is>
      </c>
      <c r="C23" s="1" t="n"/>
      <c r="D23" s="32">
        <f>sCapexPerGw/1000</f>
        <v/>
      </c>
      <c r="E23" s="1" t="n"/>
      <c r="F23" s="1" t="n"/>
      <c r="G23" s="1" t="n"/>
      <c r="H23" s="1" t="n"/>
      <c r="I23" s="1" t="n"/>
      <c r="J23" s="1" t="n"/>
      <c r="K23" s="1" t="n"/>
      <c r="L23" s="1" t="n"/>
      <c r="M23" s="1" t="n"/>
      <c r="N23" s="1" t="n"/>
      <c r="O23" s="1" t="n"/>
      <c r="P23" s="1" t="n"/>
      <c r="Q23" s="1" t="n"/>
      <c r="R23" s="1" t="n"/>
      <c r="S23" s="1" t="n"/>
      <c r="T23" s="1" t="n"/>
      <c r="U23" s="1" t="n"/>
      <c r="V23" s="43" t="inlineStr">
        <is>
          <t>One gigawatt is $70 billion, roughly half a million GPUs.</t>
        </is>
      </c>
      <c r="W23" s="1" t="n"/>
      <c r="X23" s="1" t="n"/>
      <c r="Y23" s="1" t="n"/>
      <c r="Z23" s="1" t="n"/>
      <c r="AA23" s="1" t="n"/>
      <c r="AB23" s="1" t="n"/>
    </row>
    <row r="24">
      <c r="A24" s="1" t="n"/>
      <c r="B24" s="29" t="inlineStr">
        <is>
          <t>Bottom-up cross-check ($B per GW)</t>
        </is>
      </c>
      <c r="C24" s="1" t="n"/>
      <c r="D24" s="32">
        <f>sCapexPerMw*1000/1000</f>
        <v/>
      </c>
      <c r="E24" s="1" t="n"/>
      <c r="F24" s="1" t="n"/>
      <c r="G24" s="1" t="n"/>
      <c r="H24" s="1" t="n"/>
      <c r="I24" s="1" t="n"/>
      <c r="J24" s="1" t="n"/>
      <c r="K24" s="1" t="n"/>
      <c r="L24" s="1" t="n"/>
      <c r="M24" s="1" t="n"/>
      <c r="N24" s="1" t="n"/>
      <c r="O24" s="1" t="n"/>
      <c r="P24" s="1" t="n"/>
      <c r="Q24" s="1" t="n"/>
      <c r="R24" s="1" t="n"/>
      <c r="S24" s="1" t="n"/>
      <c r="T24" s="1" t="n"/>
      <c r="U24" s="1" t="n"/>
      <c r="V24" s="43" t="inlineStr">
        <is>
          <t>$20M/MW site and power plus $40M/MW cluster; two buyers land within ~17%.</t>
        </is>
      </c>
      <c r="W24" s="1" t="n"/>
      <c r="X24" s="1" t="n"/>
      <c r="Y24" s="1" t="n"/>
      <c r="Z24" s="1" t="n"/>
      <c r="AA24" s="1" t="n"/>
      <c r="AB24" s="1" t="n"/>
    </row>
    <row r="25">
      <c r="A25" s="1" t="n"/>
      <c r="B25" s="29" t="inlineStr">
        <is>
          <t>GPUs to populate the FY2030 Base load (millions)</t>
        </is>
      </c>
      <c r="C25" s="1" t="n"/>
      <c r="D25" s="61">
        <f>LoadGw2030*sGpusPerGw/1000000</f>
        <v/>
      </c>
      <c r="E25" s="1" t="n"/>
      <c r="F25" s="1" t="n"/>
      <c r="G25" s="1" t="n"/>
      <c r="H25" s="1" t="n"/>
      <c r="I25" s="1" t="n"/>
      <c r="J25" s="1" t="n"/>
      <c r="K25" s="1" t="n"/>
      <c r="L25" s="1" t="n"/>
      <c r="M25" s="1" t="n"/>
      <c r="N25" s="1" t="n"/>
      <c r="O25" s="1" t="n"/>
      <c r="P25" s="1" t="n"/>
      <c r="Q25" s="1" t="n"/>
      <c r="R25" s="1" t="n"/>
      <c r="S25" s="1" t="n"/>
      <c r="T25" s="1" t="n"/>
      <c r="U25" s="1" t="n"/>
      <c r="V25" s="43" t="inlineStr"/>
      <c r="W25" s="1" t="n"/>
      <c r="X25" s="1" t="n"/>
      <c r="Y25" s="1" t="n"/>
      <c r="Z25" s="1" t="n"/>
      <c r="AA25" s="1" t="n"/>
      <c r="AB25" s="1" t="n"/>
    </row>
    <row r="26">
      <c r="A26" s="1" t="n"/>
      <c r="B26" s="20" t="inlineStr">
        <is>
          <t>All-in capex of the FY2030 Base load ($B)</t>
        </is>
      </c>
      <c r="C26" s="1" t="n"/>
      <c r="D26" s="69">
        <f>LoadGw2030*sCapexPerGw/1000</f>
        <v/>
      </c>
      <c r="E26" s="1" t="n"/>
      <c r="F26" s="1" t="n"/>
      <c r="G26" s="1" t="n"/>
      <c r="H26" s="1" t="n"/>
      <c r="I26" s="1" t="n"/>
      <c r="J26" s="1" t="n"/>
      <c r="K26" s="1" t="n"/>
      <c r="L26" s="1" t="n"/>
      <c r="M26" s="1" t="n"/>
      <c r="N26" s="1" t="n"/>
      <c r="O26" s="1" t="n"/>
      <c r="P26" s="1" t="n"/>
      <c r="Q26" s="1" t="n"/>
      <c r="R26" s="1" t="n"/>
      <c r="S26" s="1" t="n"/>
      <c r="T26" s="1" t="n"/>
      <c r="U26" s="1" t="n"/>
      <c r="V26" s="43" t="inlineStr"/>
      <c r="W26" s="1" t="n"/>
      <c r="X26" s="1" t="n"/>
      <c r="Y26" s="1" t="n"/>
      <c r="Z26" s="1" t="n"/>
      <c r="AA26" s="1" t="n"/>
      <c r="AB26" s="1" t="n"/>
    </row>
    <row r="27">
      <c r="A27" s="1" t="n"/>
      <c r="B27" s="29" t="inlineStr">
        <is>
          <t>Stated commitment, two deals ($B)</t>
        </is>
      </c>
      <c r="C27" s="1" t="n"/>
      <c r="D27" s="32">
        <f>sAnthCommit/1000</f>
        <v/>
      </c>
      <c r="E27" s="1" t="n"/>
      <c r="F27" s="1" t="n"/>
      <c r="G27" s="1" t="n"/>
      <c r="H27" s="1" t="n"/>
      <c r="I27" s="1" t="n"/>
      <c r="J27" s="1" t="n"/>
      <c r="K27" s="1" t="n"/>
      <c r="L27" s="1" t="n"/>
      <c r="M27" s="1" t="n"/>
      <c r="N27" s="1" t="n"/>
      <c r="O27" s="1" t="n"/>
      <c r="P27" s="1" t="n"/>
      <c r="Q27" s="1" t="n"/>
      <c r="R27" s="1" t="n"/>
      <c r="S27" s="1" t="n"/>
      <c r="T27" s="1" t="n"/>
      <c r="U27" s="1" t="n"/>
      <c r="V27" s="43" t="inlineStr"/>
      <c r="W27" s="1" t="n"/>
      <c r="X27" s="1" t="n"/>
      <c r="Y27" s="1" t="n"/>
      <c r="Z27" s="1" t="n"/>
      <c r="AA27" s="1" t="n"/>
      <c r="AB27" s="1" t="n"/>
    </row>
    <row r="28">
      <c r="A28" s="1" t="n"/>
      <c r="B28" s="20" t="inlineStr">
        <is>
          <t>Implied capex over the stated commitment (×)</t>
        </is>
      </c>
      <c r="C28" s="1" t="n"/>
      <c r="D28" s="70">
        <f>D26/D27</f>
        <v/>
      </c>
      <c r="E28" s="1" t="n"/>
      <c r="F28" s="1" t="n"/>
      <c r="G28" s="1" t="n"/>
      <c r="H28" s="1" t="n"/>
      <c r="I28" s="1" t="n"/>
      <c r="J28" s="1" t="n"/>
      <c r="K28" s="1" t="n"/>
      <c r="L28" s="1" t="n"/>
      <c r="M28" s="1" t="n"/>
      <c r="N28" s="1" t="n"/>
      <c r="O28" s="1" t="n"/>
      <c r="P28" s="1" t="n"/>
      <c r="Q28" s="1" t="n"/>
      <c r="R28" s="1" t="n"/>
      <c r="S28" s="1" t="n"/>
      <c r="T28" s="1" t="n"/>
      <c r="U28" s="1" t="n"/>
      <c r="V28" s="43" t="inlineStr">
        <is>
          <t>The same gigawatts at the stated constant cost a high multiple of the announced commitment; average load understates nameplate, so this is the conservative end.</t>
        </is>
      </c>
      <c r="W28" s="1" t="n"/>
      <c r="X28" s="1" t="n"/>
      <c r="Y28" s="1" t="n"/>
      <c r="Z28" s="1" t="n"/>
      <c r="AA28" s="1" t="n"/>
      <c r="AB28" s="1" t="n"/>
    </row>
    <row r="29">
      <c r="A29" s="1" t="n"/>
      <c r="B29" s="29" t="inlineStr">
        <is>
          <t>Annual refresh capex at the six-year life ($B/yr)</t>
        </is>
      </c>
      <c r="C29" s="1" t="n"/>
      <c r="D29" s="71">
        <f>D26/sCrwvLife</f>
        <v/>
      </c>
      <c r="E29" s="1" t="n"/>
      <c r="F29" s="1" t="n"/>
      <c r="G29" s="1" t="n"/>
      <c r="H29" s="1" t="n"/>
      <c r="I29" s="1" t="n"/>
      <c r="J29" s="1" t="n"/>
      <c r="K29" s="1" t="n"/>
      <c r="L29" s="1" t="n"/>
      <c r="M29" s="1" t="n"/>
      <c r="N29" s="1" t="n"/>
      <c r="O29" s="1" t="n"/>
      <c r="P29" s="1" t="n"/>
      <c r="Q29" s="1" t="n"/>
      <c r="R29" s="1" t="n"/>
      <c r="S29" s="1" t="n"/>
      <c r="T29" s="1" t="n"/>
      <c r="U29" s="1" t="n"/>
      <c r="V29" s="43" t="inlineStr">
        <is>
          <t>Six-year collateral life is the lender baseline; compressed design cycles push refresh sooner.</t>
        </is>
      </c>
      <c r="W29" s="1" t="n"/>
      <c r="X29" s="1" t="n"/>
      <c r="Y29" s="1" t="n"/>
      <c r="Z29" s="1" t="n"/>
      <c r="AA29" s="1" t="n"/>
      <c r="AB29" s="1" t="n"/>
    </row>
    <row r="30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  <c r="J30" s="1" t="n"/>
      <c r="K30" s="1" t="n"/>
      <c r="L30" s="1" t="n"/>
      <c r="M30" s="1" t="n"/>
      <c r="N30" s="1" t="n"/>
      <c r="O30" s="1" t="n"/>
      <c r="P30" s="1" t="n"/>
      <c r="Q30" s="1" t="n"/>
      <c r="R30" s="1" t="n"/>
      <c r="S30" s="1" t="n"/>
      <c r="T30" s="1" t="n"/>
      <c r="U30" s="1" t="n"/>
      <c r="V30" s="1" t="n"/>
      <c r="W30" s="1" t="n"/>
      <c r="X30" s="1" t="n"/>
      <c r="Y30" s="1" t="n"/>
      <c r="Z30" s="1" t="n"/>
      <c r="AA30" s="1" t="n"/>
      <c r="AB30" s="1" t="n"/>
    </row>
    <row r="31" ht="24" customHeight="1">
      <c r="A31" s="1" t="n"/>
      <c r="B31" s="28" t="inlineStr">
        <is>
          <t>Committed deals buy powered capacity through partner balance sheets; contracted operators carry delivery risk while power economics still map to source legs. That carry is the cost the portfolio mix is designed to measure.</t>
        </is>
      </c>
      <c r="C31" s="1" t="n"/>
      <c r="D31" s="1" t="n"/>
      <c r="E31" s="1" t="n"/>
      <c r="F31" s="1" t="n"/>
      <c r="G31" s="1" t="n"/>
      <c r="H31" s="1" t="n"/>
      <c r="I31" s="1" t="n"/>
      <c r="J31" s="1" t="n"/>
      <c r="K31" s="1" t="n"/>
      <c r="L31" s="1" t="n"/>
      <c r="M31" s="1" t="n"/>
      <c r="N31" s="1" t="n"/>
      <c r="O31" s="1" t="n"/>
      <c r="P31" s="1" t="n"/>
      <c r="Q31" s="1" t="n"/>
      <c r="R31" s="1" t="n"/>
      <c r="S31" s="1" t="n"/>
      <c r="T31" s="1" t="n"/>
      <c r="U31" s="1" t="n"/>
      <c r="V31" s="1" t="n"/>
      <c r="W31" s="1" t="n"/>
      <c r="X31" s="1" t="n"/>
      <c r="Y31" s="1" t="n"/>
      <c r="Z31" s="1" t="n"/>
      <c r="AA31" s="1" t="n"/>
      <c r="AB31" s="1" t="n"/>
    </row>
    <row r="32">
      <c r="A32" s="1" t="n"/>
      <c r="B32" s="1" t="n"/>
      <c r="C32" s="1" t="n"/>
      <c r="D32" s="1" t="n"/>
      <c r="E32" s="1" t="n"/>
      <c r="F32" s="1" t="n"/>
      <c r="G32" s="1" t="n"/>
      <c r="H32" s="1" t="n"/>
      <c r="I32" s="1" t="n"/>
      <c r="J32" s="1" t="n"/>
      <c r="K32" s="1" t="n"/>
      <c r="L32" s="1" t="n"/>
      <c r="M32" s="1" t="n"/>
      <c r="N32" s="1" t="n"/>
      <c r="O32" s="1" t="n"/>
      <c r="P32" s="1" t="n"/>
      <c r="Q32" s="1" t="n"/>
      <c r="R32" s="1" t="n"/>
      <c r="S32" s="1" t="n"/>
      <c r="T32" s="1" t="n"/>
      <c r="U32" s="1" t="n"/>
      <c r="V32" s="1" t="n"/>
      <c r="W32" s="1" t="n"/>
      <c r="X32" s="1" t="n"/>
      <c r="Y32" s="1" t="n"/>
      <c r="Z32" s="1" t="n"/>
      <c r="AA32" s="1" t="n"/>
      <c r="AB32" s="1" t="n"/>
    </row>
    <row r="33" ht="17" customHeight="1">
      <c r="A33" s="1" t="n"/>
      <c r="B33" s="22" t="inlineStr">
        <is>
          <t>Second demand read: revenue follows compute</t>
        </is>
      </c>
      <c r="C33" s="23" t="n"/>
      <c r="D33" s="23" t="n"/>
      <c r="E33" s="23" t="n"/>
      <c r="F33" s="23" t="n"/>
      <c r="G33" s="23" t="n"/>
      <c r="H33" s="23" t="n"/>
      <c r="I33" s="23" t="n"/>
      <c r="J33" s="23" t="n"/>
      <c r="K33" s="23" t="n"/>
      <c r="L33" s="23" t="n"/>
      <c r="M33" s="23" t="n"/>
      <c r="N33" s="23" t="n"/>
      <c r="O33" s="23" t="n"/>
      <c r="P33" s="23" t="n"/>
      <c r="Q33" s="23" t="n"/>
      <c r="R33" s="23" t="n"/>
      <c r="S33" s="23" t="n"/>
      <c r="T33" s="23" t="n"/>
      <c r="U33" s="1" t="n"/>
      <c r="V33" s="1" t="n"/>
      <c r="W33" s="1" t="n"/>
      <c r="X33" s="1" t="n"/>
      <c r="Y33" s="1" t="n"/>
      <c r="Z33" s="1" t="n"/>
      <c r="AA33" s="1" t="n"/>
      <c r="AB33" s="1" t="n"/>
    </row>
    <row r="34">
      <c r="A34" s="1" t="n"/>
      <c r="B34" s="20" t="inlineStr">
        <is>
          <t>Revenue per average GW-year, FY2026 calibration ($B/GW)</t>
        </is>
      </c>
      <c r="C34" s="1" t="n"/>
      <c r="D34" s="72">
        <f>nRev26/LoadGw2026</f>
        <v/>
      </c>
      <c r="E34" s="1" t="n"/>
      <c r="F34" s="1" t="n"/>
      <c r="G34" s="1" t="n"/>
      <c r="H34" s="1" t="n"/>
      <c r="I34" s="1" t="n"/>
      <c r="J34" s="1" t="n"/>
      <c r="K34" s="1" t="n"/>
      <c r="L34" s="1" t="n"/>
      <c r="M34" s="1" t="n"/>
      <c r="N34" s="1" t="n"/>
      <c r="O34" s="1" t="n"/>
      <c r="P34" s="1" t="n"/>
      <c r="Q34" s="1" t="n"/>
      <c r="R34" s="1" t="n"/>
      <c r="S34" s="1" t="n"/>
      <c r="T34" s="1" t="n"/>
      <c r="U34" s="1" t="n"/>
      <c r="V34" s="43" t="inlineStr">
        <is>
          <t>Revenue acts as a lagging meter on installed compute; tripling compute implies tripling revenue before compression and efficiency bend the path.</t>
        </is>
      </c>
      <c r="W34" s="1" t="n"/>
      <c r="X34" s="1" t="n"/>
      <c r="Y34" s="1" t="n"/>
      <c r="Z34" s="1" t="n"/>
      <c r="AA34" s="1" t="n"/>
      <c r="AB34" s="1" t="n"/>
    </row>
    <row r="35" ht="14" customHeight="1">
      <c r="A35" s="1" t="n"/>
      <c r="B35" s="39" t="inlineStr"/>
      <c r="C35" s="40" t="inlineStr">
        <is>
          <t>FY'23</t>
        </is>
      </c>
      <c r="D35" s="40" t="inlineStr">
        <is>
          <t>FY'24</t>
        </is>
      </c>
      <c r="E35" s="40" t="inlineStr">
        <is>
          <t>FY'25</t>
        </is>
      </c>
      <c r="F35" s="41" t="inlineStr">
        <is>
          <t>FY'26</t>
        </is>
      </c>
      <c r="G35" s="41" t="inlineStr">
        <is>
          <t>FY'27</t>
        </is>
      </c>
      <c r="H35" s="41" t="inlineStr">
        <is>
          <t>FY'28</t>
        </is>
      </c>
      <c r="I35" s="41" t="inlineStr">
        <is>
          <t>FY'29</t>
        </is>
      </c>
      <c r="J35" s="41" t="inlineStr">
        <is>
          <t>FY'30</t>
        </is>
      </c>
      <c r="K35" s="41" t="inlineStr">
        <is>
          <t>FY'31</t>
        </is>
      </c>
      <c r="L35" s="41" t="inlineStr">
        <is>
          <t>FY'32</t>
        </is>
      </c>
      <c r="M35" s="41" t="inlineStr">
        <is>
          <t>FY'33</t>
        </is>
      </c>
      <c r="N35" s="41" t="inlineStr">
        <is>
          <t>FY'34</t>
        </is>
      </c>
      <c r="O35" s="41" t="inlineStr">
        <is>
          <t>FY'35</t>
        </is>
      </c>
      <c r="P35" s="41" t="inlineStr">
        <is>
          <t>FY'36</t>
        </is>
      </c>
      <c r="Q35" s="41" t="inlineStr">
        <is>
          <t>FY'37</t>
        </is>
      </c>
      <c r="R35" s="41" t="inlineStr">
        <is>
          <t>FY'38</t>
        </is>
      </c>
      <c r="S35" s="41" t="inlineStr">
        <is>
          <t>FY'39</t>
        </is>
      </c>
      <c r="T35" s="41" t="inlineStr">
        <is>
          <t>FY'40</t>
        </is>
      </c>
      <c r="U35" s="1" t="n"/>
      <c r="V35" s="1" t="n"/>
      <c r="W35" s="1" t="n"/>
      <c r="X35" s="1" t="n"/>
      <c r="Y35" s="1" t="n"/>
      <c r="Z35" s="1" t="n"/>
      <c r="AA35" s="1" t="n"/>
      <c r="AB35" s="1" t="n"/>
    </row>
    <row r="36">
      <c r="A36" s="1" t="n"/>
      <c r="B36" s="29" t="inlineStr">
        <is>
          <t>Implied load, revenue rule (GW)</t>
        </is>
      </c>
      <c r="C36" s="1" t="n"/>
      <c r="D36" s="1" t="n"/>
      <c r="E36" s="1" t="n"/>
      <c r="F36" s="42">
        <f>Anthropic!F8/RevPerGw</f>
        <v/>
      </c>
      <c r="G36" s="42">
        <f>Anthropic!G8/RevPerGw</f>
        <v/>
      </c>
      <c r="H36" s="42">
        <f>Anthropic!H8/RevPerGw</f>
        <v/>
      </c>
      <c r="I36" s="42">
        <f>Anthropic!I8/RevPerGw</f>
        <v/>
      </c>
      <c r="J36" s="42">
        <f>Anthropic!J8/RevPerGw</f>
        <v/>
      </c>
      <c r="K36" s="42">
        <f>Anthropic!K8/RevPerGw</f>
        <v/>
      </c>
      <c r="L36" s="42">
        <f>Anthropic!L8/RevPerGw</f>
        <v/>
      </c>
      <c r="M36" s="42">
        <f>Anthropic!M8/RevPerGw</f>
        <v/>
      </c>
      <c r="N36" s="42">
        <f>Anthropic!N8/RevPerGw</f>
        <v/>
      </c>
      <c r="O36" s="42">
        <f>Anthropic!O8/RevPerGw</f>
        <v/>
      </c>
      <c r="P36" s="42">
        <f>Anthropic!P8/RevPerGw</f>
        <v/>
      </c>
      <c r="Q36" s="42">
        <f>Anthropic!Q8/RevPerGw</f>
        <v/>
      </c>
      <c r="R36" s="42">
        <f>Anthropic!R8/RevPerGw</f>
        <v/>
      </c>
      <c r="S36" s="42">
        <f>Anthropic!S8/RevPerGw</f>
        <v/>
      </c>
      <c r="T36" s="42">
        <f>Anthropic!T8/RevPerGw</f>
        <v/>
      </c>
      <c r="U36" s="1" t="n"/>
      <c r="V36" s="43" t="inlineStr">
        <is>
          <t>Both engines share the FY2026 anchor; the FY2030 spread is what compression and efficiency bend away from proportionality.</t>
        </is>
      </c>
      <c r="W36" s="1" t="n"/>
      <c r="X36" s="1" t="n"/>
      <c r="Y36" s="1" t="n"/>
      <c r="Z36" s="1" t="n"/>
      <c r="AA36" s="1" t="n"/>
      <c r="AB36" s="1" t="n"/>
    </row>
    <row r="37">
      <c r="A37" s="1" t="n"/>
      <c r="B37" s="29" t="inlineStr">
        <is>
          <t>Load, cone basis (GW)</t>
        </is>
      </c>
      <c r="C37" s="1" t="n"/>
      <c r="D37" s="1" t="n"/>
      <c r="E37" s="1" t="n"/>
      <c r="F37" s="35">
        <f>Anthropic!F14</f>
        <v/>
      </c>
      <c r="G37" s="35">
        <f>Anthropic!G14</f>
        <v/>
      </c>
      <c r="H37" s="35">
        <f>Anthropic!H14</f>
        <v/>
      </c>
      <c r="I37" s="35">
        <f>Anthropic!I14</f>
        <v/>
      </c>
      <c r="J37" s="35">
        <f>Anthropic!J14</f>
        <v/>
      </c>
      <c r="K37" s="35">
        <f>Anthropic!K14</f>
        <v/>
      </c>
      <c r="L37" s="35">
        <f>Anthropic!L14</f>
        <v/>
      </c>
      <c r="M37" s="35">
        <f>Anthropic!M14</f>
        <v/>
      </c>
      <c r="N37" s="35">
        <f>Anthropic!N14</f>
        <v/>
      </c>
      <c r="O37" s="35">
        <f>Anthropic!O14</f>
        <v/>
      </c>
      <c r="P37" s="35">
        <f>Anthropic!P14</f>
        <v/>
      </c>
      <c r="Q37" s="35">
        <f>Anthropic!Q14</f>
        <v/>
      </c>
      <c r="R37" s="35">
        <f>Anthropic!R14</f>
        <v/>
      </c>
      <c r="S37" s="35">
        <f>Anthropic!S14</f>
        <v/>
      </c>
      <c r="T37" s="35">
        <f>Anthropic!T14</f>
        <v/>
      </c>
      <c r="U37" s="1" t="n"/>
      <c r="V37" s="1" t="n"/>
      <c r="W37" s="1" t="n"/>
      <c r="X37" s="1" t="n"/>
      <c r="Y37" s="1" t="n"/>
      <c r="Z37" s="1" t="n"/>
      <c r="AA37" s="1" t="n"/>
      <c r="AB37" s="1" t="n"/>
    </row>
    <row r="38">
      <c r="A38" s="1" t="n"/>
      <c r="B38" s="20" t="inlineStr">
        <is>
          <t>Divergence (GW)</t>
        </is>
      </c>
      <c r="C38" s="1" t="n"/>
      <c r="D38" s="1" t="n"/>
      <c r="E38" s="1" t="n"/>
      <c r="F38" s="62">
        <f>F36-F37</f>
        <v/>
      </c>
      <c r="G38" s="62">
        <f>G36-G37</f>
        <v/>
      </c>
      <c r="H38" s="62">
        <f>H36-H37</f>
        <v/>
      </c>
      <c r="I38" s="62">
        <f>I36-I37</f>
        <v/>
      </c>
      <c r="J38" s="62">
        <f>J36-J37</f>
        <v/>
      </c>
      <c r="K38" s="62">
        <f>K36-K37</f>
        <v/>
      </c>
      <c r="L38" s="62">
        <f>L36-L37</f>
        <v/>
      </c>
      <c r="M38" s="62">
        <f>M36-M37</f>
        <v/>
      </c>
      <c r="N38" s="62">
        <f>N36-N37</f>
        <v/>
      </c>
      <c r="O38" s="62">
        <f>O36-O37</f>
        <v/>
      </c>
      <c r="P38" s="62">
        <f>P36-P37</f>
        <v/>
      </c>
      <c r="Q38" s="62">
        <f>Q36-Q37</f>
        <v/>
      </c>
      <c r="R38" s="62">
        <f>R36-R37</f>
        <v/>
      </c>
      <c r="S38" s="62">
        <f>S36-S37</f>
        <v/>
      </c>
      <c r="T38" s="62">
        <f>T36-T37</f>
        <v/>
      </c>
      <c r="U38" s="1" t="n"/>
      <c r="V38" s="1" t="n"/>
      <c r="W38" s="1" t="n"/>
      <c r="X38" s="1" t="n"/>
      <c r="Y38" s="1" t="n"/>
      <c r="Z38" s="1" t="n"/>
      <c r="AA38" s="1" t="n"/>
      <c r="AB38" s="1" t="n"/>
    </row>
    <row r="39">
      <c r="A39" s="1" t="n"/>
      <c r="B39" s="29" t="inlineStr">
        <is>
          <t>Inference share of compute (path to the stated supermajority)</t>
        </is>
      </c>
      <c r="C39" s="1" t="n"/>
      <c r="D39" s="1" t="n"/>
      <c r="E39" s="1" t="n"/>
      <c r="F39" s="48">
        <f>MIN(sOaiInfShare/100,nInfShare26+(sOaiInfShare/100-nInfShare26)*MAX(0,F$5-2026)/(nInfShareYr-2026))</f>
        <v/>
      </c>
      <c r="G39" s="48">
        <f>MIN(sOaiInfShare/100,nInfShare26+(sOaiInfShare/100-nInfShare26)*MAX(0,G$5-2026)/(nInfShareYr-2026))</f>
        <v/>
      </c>
      <c r="H39" s="48">
        <f>MIN(sOaiInfShare/100,nInfShare26+(sOaiInfShare/100-nInfShare26)*MAX(0,H$5-2026)/(nInfShareYr-2026))</f>
        <v/>
      </c>
      <c r="I39" s="48">
        <f>MIN(sOaiInfShare/100,nInfShare26+(sOaiInfShare/100-nInfShare26)*MAX(0,I$5-2026)/(nInfShareYr-2026))</f>
        <v/>
      </c>
      <c r="J39" s="48">
        <f>MIN(sOaiInfShare/100,nInfShare26+(sOaiInfShare/100-nInfShare26)*MAX(0,J$5-2026)/(nInfShareYr-2026))</f>
        <v/>
      </c>
      <c r="K39" s="48">
        <f>MIN(sOaiInfShare/100,nInfShare26+(sOaiInfShare/100-nInfShare26)*MAX(0,K$5-2026)/(nInfShareYr-2026))</f>
        <v/>
      </c>
      <c r="L39" s="48">
        <f>MIN(sOaiInfShare/100,nInfShare26+(sOaiInfShare/100-nInfShare26)*MAX(0,L$5-2026)/(nInfShareYr-2026))</f>
        <v/>
      </c>
      <c r="M39" s="48">
        <f>MIN(sOaiInfShare/100,nInfShare26+(sOaiInfShare/100-nInfShare26)*MAX(0,M$5-2026)/(nInfShareYr-2026))</f>
        <v/>
      </c>
      <c r="N39" s="48">
        <f>MIN(sOaiInfShare/100,nInfShare26+(sOaiInfShare/100-nInfShare26)*MAX(0,N$5-2026)/(nInfShareYr-2026))</f>
        <v/>
      </c>
      <c r="O39" s="48">
        <f>MIN(sOaiInfShare/100,nInfShare26+(sOaiInfShare/100-nInfShare26)*MAX(0,O$5-2026)/(nInfShareYr-2026))</f>
        <v/>
      </c>
      <c r="P39" s="48">
        <f>MIN(sOaiInfShare/100,nInfShare26+(sOaiInfShare/100-nInfShare26)*MAX(0,P$5-2026)/(nInfShareYr-2026))</f>
        <v/>
      </c>
      <c r="Q39" s="48">
        <f>MIN(sOaiInfShare/100,nInfShare26+(sOaiInfShare/100-nInfShare26)*MAX(0,Q$5-2026)/(nInfShareYr-2026))</f>
        <v/>
      </c>
      <c r="R39" s="48">
        <f>MIN(sOaiInfShare/100,nInfShare26+(sOaiInfShare/100-nInfShare26)*MAX(0,R$5-2026)/(nInfShareYr-2026))</f>
        <v/>
      </c>
      <c r="S39" s="48">
        <f>MIN(sOaiInfShare/100,nInfShare26+(sOaiInfShare/100-nInfShare26)*MAX(0,S$5-2026)/(nInfShareYr-2026))</f>
        <v/>
      </c>
      <c r="T39" s="48">
        <f>MIN(sOaiInfShare/100,nInfShare26+(sOaiInfShare/100-nInfShare26)*MAX(0,T$5-2026)/(nInfShareYr-2026))</f>
        <v/>
      </c>
      <c r="U39" s="1" t="n"/>
      <c r="V39" s="1" t="n"/>
      <c r="W39" s="1" t="n"/>
      <c r="X39" s="1" t="n"/>
      <c r="Y39" s="1" t="n"/>
      <c r="Z39" s="1" t="n"/>
      <c r="AA39" s="1" t="n"/>
      <c r="AB39" s="1" t="n"/>
    </row>
    <row r="40">
      <c r="A40" s="1" t="n"/>
      <c r="B40" s="1" t="n"/>
      <c r="C40" s="1" t="n"/>
      <c r="D40" s="1" t="n"/>
      <c r="E40" s="1" t="n"/>
      <c r="F40" s="1" t="n"/>
      <c r="G40" s="1" t="n"/>
      <c r="H40" s="1" t="n"/>
      <c r="I40" s="1" t="n"/>
      <c r="J40" s="1" t="n"/>
      <c r="K40" s="1" t="n"/>
      <c r="L40" s="1" t="n"/>
      <c r="M40" s="1" t="n"/>
      <c r="N40" s="1" t="n"/>
      <c r="O40" s="1" t="n"/>
      <c r="P40" s="1" t="n"/>
      <c r="Q40" s="1" t="n"/>
      <c r="R40" s="1" t="n"/>
      <c r="S40" s="1" t="n"/>
      <c r="T40" s="1" t="n"/>
      <c r="U40" s="1" t="n"/>
      <c r="V40" s="1" t="n"/>
      <c r="W40" s="1" t="n"/>
      <c r="X40" s="1" t="n"/>
      <c r="Y40" s="1" t="n"/>
      <c r="Z40" s="1" t="n"/>
      <c r="AA40" s="1" t="n"/>
      <c r="AB40" s="1" t="n"/>
    </row>
    <row r="41" ht="17" customHeight="1">
      <c r="A41" s="1" t="n"/>
      <c r="B41" s="22" t="inlineStr">
        <is>
          <t>Regret matrix, FY2030 ($B for the year)</t>
        </is>
      </c>
      <c r="C41" s="23" t="n"/>
      <c r="D41" s="23" t="n"/>
      <c r="E41" s="23" t="n"/>
      <c r="F41" s="23" t="n"/>
      <c r="G41" s="23" t="n"/>
      <c r="H41" s="1" t="n"/>
      <c r="I41" s="1" t="n"/>
      <c r="J41" s="1" t="n"/>
      <c r="K41" s="1" t="n"/>
      <c r="L41" s="1" t="n"/>
      <c r="M41" s="1" t="n"/>
      <c r="N41" s="1" t="n"/>
      <c r="O41" s="1" t="n"/>
      <c r="P41" s="1" t="n"/>
      <c r="Q41" s="1" t="n"/>
      <c r="R41" s="1" t="n"/>
      <c r="S41" s="1" t="n"/>
      <c r="T41" s="1" t="n"/>
      <c r="U41" s="1" t="n"/>
      <c r="V41" s="1" t="n"/>
      <c r="W41" s="1" t="n"/>
      <c r="X41" s="1" t="n"/>
      <c r="Y41" s="1" t="n"/>
      <c r="Z41" s="1" t="n"/>
      <c r="AA41" s="1" t="n"/>
      <c r="AB41" s="1" t="n"/>
    </row>
    <row r="42">
      <c r="A42" s="1" t="n"/>
      <c r="B42" s="29" t="inlineStr">
        <is>
          <t>Carry on an idle gigawatt ($B per GW-yr)</t>
        </is>
      </c>
      <c r="C42" s="1" t="n"/>
      <c r="D42" s="63">
        <f>sCapexPerGw/1000/sCrwvLife+Blend2030*8760000/1000000000</f>
        <v/>
      </c>
      <c r="E42" s="1" t="n"/>
      <c r="F42" s="1" t="n"/>
      <c r="G42" s="1" t="n"/>
      <c r="H42" s="1" t="n"/>
      <c r="I42" s="1" t="n"/>
      <c r="J42" s="1" t="n"/>
      <c r="K42" s="1" t="n"/>
      <c r="L42" s="1" t="n"/>
      <c r="M42" s="1" t="n"/>
      <c r="N42" s="1" t="n"/>
      <c r="O42" s="1" t="n"/>
      <c r="P42" s="1" t="n"/>
      <c r="Q42" s="1" t="n"/>
      <c r="R42" s="1" t="n"/>
      <c r="S42" s="1" t="n"/>
      <c r="T42" s="1" t="n"/>
      <c r="U42" s="1" t="n"/>
      <c r="V42" s="43" t="inlineStr">
        <is>
          <t>Amortized build plus the power bill on capacity nobody uses.</t>
        </is>
      </c>
      <c r="W42" s="1" t="n"/>
      <c r="X42" s="1" t="n"/>
      <c r="Y42" s="1" t="n"/>
      <c r="Z42" s="1" t="n"/>
      <c r="AA42" s="1" t="n"/>
      <c r="AB42" s="1" t="n"/>
    </row>
    <row r="43">
      <c r="A43" s="1" t="n"/>
      <c r="B43" s="29" t="inlineStr">
        <is>
          <t>Margin lost on an unserved gigawatt, frontier-adjusted ($B per GW-yr)</t>
        </is>
      </c>
      <c r="C43" s="1" t="n"/>
      <c r="D43" s="63">
        <f>8760000/(PowerIntensity*(1+nEffDrift)^4)*MAX(CoiMargin,0)/1000000000*nFrontierMult</f>
        <v/>
      </c>
      <c r="E43" s="1" t="n"/>
      <c r="F43" s="1" t="n"/>
      <c r="G43" s="1" t="n"/>
      <c r="H43" s="1" t="n"/>
      <c r="I43" s="1" t="n"/>
      <c r="J43" s="1" t="n"/>
      <c r="K43" s="1" t="n"/>
      <c r="L43" s="1" t="n"/>
      <c r="M43" s="1" t="n"/>
      <c r="N43" s="1" t="n"/>
      <c r="O43" s="1" t="n"/>
      <c r="P43" s="1" t="n"/>
      <c r="Q43" s="1" t="n"/>
      <c r="R43" s="1" t="n"/>
      <c r="S43" s="1" t="n"/>
      <c r="T43" s="1" t="n"/>
      <c r="U43" s="1" t="n"/>
      <c r="V43" s="43" t="inlineStr">
        <is>
          <t>Tokens the gigawatt would have served, at margin floored at zero, scaled by the frontier-loss multiplier. At negative serving margin the matrix charges nothing for an unserved gigawatt.</t>
        </is>
      </c>
      <c r="W43" s="1" t="n"/>
      <c r="X43" s="1" t="n"/>
      <c r="Y43" s="1" t="n"/>
      <c r="Z43" s="1" t="n"/>
      <c r="AA43" s="1" t="n"/>
      <c r="AB43" s="1" t="n"/>
    </row>
    <row r="44">
      <c r="A44" s="1" t="n"/>
      <c r="B44" s="1" t="n"/>
      <c r="C44" s="1" t="n"/>
      <c r="D44" s="1" t="n"/>
      <c r="E44" s="1" t="n"/>
      <c r="F44" s="1" t="n"/>
      <c r="G44" s="1" t="n"/>
      <c r="H44" s="1" t="n"/>
      <c r="I44" s="1" t="n"/>
      <c r="J44" s="1" t="n"/>
      <c r="K44" s="1" t="n"/>
      <c r="L44" s="1" t="n"/>
      <c r="M44" s="1" t="n"/>
      <c r="N44" s="1" t="n"/>
      <c r="O44" s="1" t="n"/>
      <c r="P44" s="1" t="n"/>
      <c r="Q44" s="1" t="n"/>
      <c r="R44" s="1" t="n"/>
      <c r="S44" s="1" t="n"/>
      <c r="T44" s="1" t="n"/>
      <c r="U44" s="1" t="n"/>
      <c r="V44" s="1" t="n"/>
      <c r="W44" s="1" t="n"/>
      <c r="X44" s="1" t="n"/>
      <c r="Y44" s="1" t="n"/>
      <c r="Z44" s="1" t="n"/>
      <c r="AA44" s="1" t="n"/>
      <c r="AB44" s="1" t="n"/>
    </row>
    <row r="45" ht="14" customHeight="1">
      <c r="A45" s="1" t="n"/>
      <c r="B45" s="39" t="inlineStr">
        <is>
          <t>The buy</t>
        </is>
      </c>
      <c r="C45" s="1" t="n"/>
      <c r="D45" s="40" t="inlineStr">
        <is>
          <t>Bear arrives</t>
        </is>
      </c>
      <c r="E45" s="40" t="inlineStr">
        <is>
          <t>Base arrives</t>
        </is>
      </c>
      <c r="F45" s="40" t="inlineStr">
        <is>
          <t>Bull arrives</t>
        </is>
      </c>
      <c r="G45" s="40" t="inlineStr">
        <is>
          <t>Worst case</t>
        </is>
      </c>
      <c r="H45" s="1" t="n"/>
      <c r="I45" s="1" t="n"/>
      <c r="J45" s="1" t="n"/>
      <c r="K45" s="1" t="n"/>
      <c r="L45" s="1" t="n"/>
      <c r="M45" s="1" t="n"/>
      <c r="N45" s="1" t="n"/>
      <c r="O45" s="1" t="n"/>
      <c r="P45" s="1" t="n"/>
      <c r="Q45" s="1" t="n"/>
      <c r="R45" s="1" t="n"/>
      <c r="S45" s="1" t="n"/>
      <c r="T45" s="1" t="n"/>
      <c r="U45" s="1" t="n"/>
      <c r="V45" s="1" t="n"/>
      <c r="W45" s="1" t="n"/>
      <c r="X45" s="1" t="n"/>
      <c r="Y45" s="1" t="n"/>
      <c r="Z45" s="1" t="n"/>
      <c r="AA45" s="1" t="n"/>
      <c r="AB45" s="1" t="n"/>
    </row>
    <row r="46">
      <c r="A46" s="1" t="n"/>
      <c r="B46" s="29" t="inlineStr">
        <is>
          <t>Lower-reference plan</t>
        </is>
      </c>
      <c r="C46" s="1" t="n"/>
      <c r="D46" s="73">
        <f>IF($J$8&gt;=$J$8,($J$8-$J$8)*IdleCarry,($J$8-$J$8)*LostMargin)</f>
        <v/>
      </c>
      <c r="E46" s="73">
        <f>IF($J$8&gt;=$J$9,($J$8-$J$9)*IdleCarry,($J$9-$J$8)*LostMargin)</f>
        <v/>
      </c>
      <c r="F46" s="73">
        <f>IF($J$8&gt;=$J$10,($J$8-$J$10)*IdleCarry,($J$10-$J$8)*LostMargin)</f>
        <v/>
      </c>
      <c r="G46" s="74">
        <f>MAX(D46:F46)</f>
        <v/>
      </c>
      <c r="H46" s="1" t="n"/>
      <c r="I46" s="1" t="n"/>
      <c r="J46" s="1" t="n"/>
      <c r="K46" s="1" t="n"/>
      <c r="L46" s="1" t="n"/>
      <c r="M46" s="1" t="n"/>
      <c r="N46" s="1" t="n"/>
      <c r="O46" s="1" t="n"/>
      <c r="P46" s="1" t="n"/>
      <c r="Q46" s="1" t="n"/>
      <c r="R46" s="1" t="n"/>
      <c r="S46" s="1" t="n"/>
      <c r="T46" s="1" t="n"/>
      <c r="U46" s="1" t="n"/>
      <c r="V46" s="1" t="n"/>
      <c r="W46" s="1" t="n"/>
      <c r="X46" s="1" t="n"/>
      <c r="Y46" s="1" t="n"/>
      <c r="Z46" s="1" t="n"/>
      <c r="AA46" s="1" t="n"/>
      <c r="AB46" s="1" t="n"/>
    </row>
    <row r="47">
      <c r="A47" s="1" t="n"/>
      <c r="B47" s="29" t="inlineStr">
        <is>
          <t>Central-forecast plan</t>
        </is>
      </c>
      <c r="C47" s="1" t="n"/>
      <c r="D47" s="73">
        <f>IF($J$9&gt;=$J$8,($J$9-$J$8)*IdleCarry,($J$8-$J$9)*LostMargin)</f>
        <v/>
      </c>
      <c r="E47" s="73">
        <f>IF($J$9&gt;=$J$9,($J$9-$J$9)*IdleCarry,($J$9-$J$9)*LostMargin)</f>
        <v/>
      </c>
      <c r="F47" s="73">
        <f>IF($J$9&gt;=$J$10,($J$9-$J$10)*IdleCarry,($J$10-$J$9)*LostMargin)</f>
        <v/>
      </c>
      <c r="G47" s="74">
        <f>MAX(D47:F47)</f>
        <v/>
      </c>
      <c r="H47" s="1" t="n"/>
      <c r="I47" s="1" t="n"/>
      <c r="J47" s="1" t="n"/>
      <c r="K47" s="1" t="n"/>
      <c r="L47" s="1" t="n"/>
      <c r="M47" s="1" t="n"/>
      <c r="N47" s="1" t="n"/>
      <c r="O47" s="1" t="n"/>
      <c r="P47" s="1" t="n"/>
      <c r="Q47" s="1" t="n"/>
      <c r="R47" s="1" t="n"/>
      <c r="S47" s="1" t="n"/>
      <c r="T47" s="1" t="n"/>
      <c r="U47" s="1" t="n"/>
      <c r="V47" s="1" t="n"/>
      <c r="W47" s="1" t="n"/>
      <c r="X47" s="1" t="n"/>
      <c r="Y47" s="1" t="n"/>
      <c r="Z47" s="1" t="n"/>
      <c r="AA47" s="1" t="n"/>
      <c r="AB47" s="1" t="n"/>
    </row>
    <row r="48">
      <c r="A48" s="1" t="n"/>
      <c r="B48" s="29" t="inlineStr">
        <is>
          <t>Upper-reference plan</t>
        </is>
      </c>
      <c r="C48" s="1" t="n"/>
      <c r="D48" s="73">
        <f>IF($J$10&gt;=$J$8,($J$10-$J$8)*IdleCarry,($J$8-$J$10)*LostMargin)</f>
        <v/>
      </c>
      <c r="E48" s="73">
        <f>IF($J$10&gt;=$J$9,($J$10-$J$9)*IdleCarry,($J$9-$J$10)*LostMargin)</f>
        <v/>
      </c>
      <c r="F48" s="73">
        <f>IF($J$10&gt;=$J$10,($J$10-$J$10)*IdleCarry,($J$10-$J$10)*LostMargin)</f>
        <v/>
      </c>
      <c r="G48" s="74">
        <f>MAX(D48:F48)</f>
        <v/>
      </c>
      <c r="H48" s="1" t="n"/>
      <c r="I48" s="1" t="n"/>
      <c r="J48" s="1" t="n"/>
      <c r="K48" s="1" t="n"/>
      <c r="L48" s="1" t="n"/>
      <c r="M48" s="1" t="n"/>
      <c r="N48" s="1" t="n"/>
      <c r="O48" s="1" t="n"/>
      <c r="P48" s="1" t="n"/>
      <c r="Q48" s="1" t="n"/>
      <c r="R48" s="1" t="n"/>
      <c r="S48" s="1" t="n"/>
      <c r="T48" s="1" t="n"/>
      <c r="U48" s="1" t="n"/>
      <c r="V48" s="1" t="n"/>
      <c r="W48" s="1" t="n"/>
      <c r="X48" s="1" t="n"/>
      <c r="Y48" s="1" t="n"/>
      <c r="Z48" s="1" t="n"/>
      <c r="AA48" s="1" t="n"/>
      <c r="AB48" s="1" t="n"/>
    </row>
    <row r="49">
      <c r="A49" s="1" t="n"/>
      <c r="B49" s="20" t="inlineStr">
        <is>
          <t>Lowest worst-case row</t>
        </is>
      </c>
      <c r="C49" s="1" t="n"/>
      <c r="D49" s="75">
        <f>INDEX(B46:B48,MATCH(MIN(G46:G48),G46:G48,0))</f>
        <v/>
      </c>
      <c r="E49" s="1" t="n"/>
      <c r="F49" s="1" t="n"/>
      <c r="G49" s="1" t="n"/>
      <c r="H49" s="1" t="n"/>
      <c r="I49" s="1" t="n"/>
      <c r="J49" s="1" t="n"/>
      <c r="K49" s="1" t="n"/>
      <c r="L49" s="1" t="n"/>
      <c r="M49" s="1" t="n"/>
      <c r="N49" s="1" t="n"/>
      <c r="O49" s="1" t="n"/>
      <c r="P49" s="1" t="n"/>
      <c r="Q49" s="1" t="n"/>
      <c r="R49" s="1" t="n"/>
      <c r="S49" s="1" t="n"/>
      <c r="T49" s="1" t="n"/>
      <c r="U49" s="1" t="n"/>
      <c r="V49" s="1" t="n"/>
      <c r="W49" s="1" t="n"/>
      <c r="X49" s="1" t="n"/>
      <c r="Y49" s="1" t="n"/>
      <c r="Z49" s="1" t="n"/>
      <c r="AA49" s="1" t="n"/>
      <c r="AB49" s="1" t="n"/>
    </row>
    <row r="50">
      <c r="A50" s="1" t="n"/>
      <c r="B50" s="1" t="n"/>
      <c r="C50" s="1" t="n"/>
      <c r="D50" s="1" t="n"/>
      <c r="E50" s="1" t="n"/>
      <c r="F50" s="1" t="n"/>
      <c r="G50" s="1" t="n"/>
      <c r="H50" s="1" t="n"/>
      <c r="I50" s="1" t="n"/>
      <c r="J50" s="1" t="n"/>
      <c r="K50" s="1" t="n"/>
      <c r="L50" s="1" t="n"/>
      <c r="M50" s="1" t="n"/>
      <c r="N50" s="1" t="n"/>
      <c r="O50" s="1" t="n"/>
      <c r="P50" s="1" t="n"/>
      <c r="Q50" s="1" t="n"/>
      <c r="R50" s="1" t="n"/>
      <c r="S50" s="1" t="n"/>
      <c r="T50" s="1" t="n"/>
      <c r="U50" s="1" t="n"/>
      <c r="V50" s="1" t="n"/>
      <c r="W50" s="1" t="n"/>
      <c r="X50" s="1" t="n"/>
      <c r="Y50" s="1" t="n"/>
      <c r="Z50" s="1" t="n"/>
      <c r="AA50" s="1" t="n"/>
      <c r="AB50" s="1" t="n"/>
    </row>
    <row r="51" ht="24" customHeight="1">
      <c r="A51" s="1" t="n"/>
      <c r="B51" s="28" t="inlineStr">
        <is>
          <t>Over-sizing idles capital; under-sizing surrenders frontier margin. The matrix moves toward the upper reference path once frontier loss prices above ~4x lost margin. The frontier-loss multiplier drives the sizing decision.</t>
        </is>
      </c>
      <c r="C51" s="1" t="n"/>
      <c r="D51" s="1" t="n"/>
      <c r="E51" s="1" t="n"/>
      <c r="F51" s="1" t="n"/>
      <c r="G51" s="1" t="n"/>
      <c r="H51" s="1" t="n"/>
      <c r="I51" s="1" t="n"/>
      <c r="J51" s="1" t="n"/>
      <c r="K51" s="1" t="n"/>
      <c r="L51" s="1" t="n"/>
      <c r="M51" s="1" t="n"/>
      <c r="N51" s="1" t="n"/>
      <c r="O51" s="1" t="n"/>
      <c r="P51" s="1" t="n"/>
      <c r="Q51" s="1" t="n"/>
      <c r="R51" s="1" t="n"/>
      <c r="S51" s="1" t="n"/>
      <c r="T51" s="1" t="n"/>
      <c r="U51" s="1" t="n"/>
      <c r="V51" s="1" t="n"/>
      <c r="W51" s="1" t="n"/>
      <c r="X51" s="1" t="n"/>
      <c r="Y51" s="1" t="n"/>
      <c r="Z51" s="1" t="n"/>
      <c r="AA51" s="1" t="n"/>
      <c r="AB51" s="1" t="n"/>
    </row>
    <row r="52">
      <c r="A52" s="1" t="n"/>
      <c r="B52" s="1" t="n"/>
      <c r="C52" s="1" t="n"/>
      <c r="D52" s="1" t="n"/>
      <c r="E52" s="1" t="n"/>
      <c r="F52" s="1" t="n"/>
      <c r="G52" s="1" t="n"/>
      <c r="H52" s="1" t="n"/>
      <c r="I52" s="1" t="n"/>
      <c r="J52" s="1" t="n"/>
      <c r="K52" s="1" t="n"/>
      <c r="L52" s="1" t="n"/>
      <c r="M52" s="1" t="n"/>
      <c r="N52" s="1" t="n"/>
      <c r="O52" s="1" t="n"/>
      <c r="P52" s="1" t="n"/>
      <c r="Q52" s="1" t="n"/>
      <c r="R52" s="1" t="n"/>
      <c r="S52" s="1" t="n"/>
      <c r="T52" s="1" t="n"/>
      <c r="U52" s="1" t="n"/>
      <c r="V52" s="1" t="n"/>
      <c r="W52" s="1" t="n"/>
      <c r="X52" s="1" t="n"/>
      <c r="Y52" s="1" t="n"/>
      <c r="Z52" s="1" t="n"/>
      <c r="AA52" s="1" t="n"/>
      <c r="AB52" s="1" t="n"/>
    </row>
    <row r="53">
      <c r="A53" s="1" t="n"/>
      <c r="B53" s="1" t="n"/>
      <c r="C53" s="1" t="n"/>
      <c r="D53" s="1" t="n"/>
      <c r="E53" s="1" t="n"/>
      <c r="F53" s="1" t="n"/>
      <c r="G53" s="1" t="n"/>
      <c r="H53" s="1" t="n"/>
      <c r="I53" s="1" t="n"/>
      <c r="J53" s="1" t="n"/>
      <c r="K53" s="1" t="n"/>
      <c r="L53" s="1" t="n"/>
      <c r="M53" s="1" t="n"/>
      <c r="N53" s="1" t="n"/>
      <c r="O53" s="1" t="n"/>
      <c r="P53" s="1" t="n"/>
      <c r="Q53" s="1" t="n"/>
      <c r="R53" s="1" t="n"/>
      <c r="S53" s="1" t="n"/>
      <c r="T53" s="1" t="n"/>
      <c r="U53" s="1" t="n"/>
      <c r="V53" s="1" t="n"/>
      <c r="W53" s="1" t="n"/>
      <c r="X53" s="1" t="n"/>
      <c r="Y53" s="1" t="n"/>
      <c r="Z53" s="1" t="n"/>
      <c r="AA53" s="1" t="n"/>
      <c r="AB53" s="1" t="n"/>
    </row>
    <row r="54" ht="17" customHeight="1">
      <c r="A54" s="1" t="n"/>
      <c r="B54" s="22" t="inlineStr">
        <is>
          <t>Historical stress storyboards</t>
        </is>
      </c>
      <c r="C54" s="23" t="n"/>
      <c r="D54" s="23" t="n"/>
      <c r="E54" s="23" t="n"/>
      <c r="F54" s="23" t="n"/>
      <c r="G54" s="23" t="n"/>
      <c r="H54" s="1" t="n"/>
      <c r="I54" s="1" t="n"/>
      <c r="J54" s="1" t="n"/>
      <c r="K54" s="1" t="n"/>
      <c r="L54" s="1" t="n"/>
      <c r="M54" s="1" t="n"/>
      <c r="N54" s="1" t="n"/>
      <c r="O54" s="1" t="n"/>
      <c r="P54" s="1" t="n"/>
      <c r="Q54" s="1" t="n"/>
      <c r="R54" s="1" t="n"/>
      <c r="S54" s="1" t="n"/>
      <c r="T54" s="1" t="n"/>
      <c r="U54" s="1" t="n"/>
      <c r="V54" s="1" t="n"/>
      <c r="W54" s="1" t="n"/>
      <c r="X54" s="1" t="n"/>
      <c r="Y54" s="1" t="n"/>
      <c r="Z54" s="1" t="n"/>
      <c r="AA54" s="1" t="n"/>
      <c r="AB54" s="1" t="n"/>
    </row>
    <row r="55" ht="26" customHeight="1">
      <c r="A55" s="1" t="n"/>
      <c r="B55" s="39" t="inlineStr">
        <is>
          <t>Storyboard</t>
        </is>
      </c>
      <c r="C55" s="52" t="inlineStr">
        <is>
          <t>Metric</t>
        </is>
      </c>
      <c r="D55" s="52" t="inlineStr">
        <is>
          <t>Historical read</t>
        </is>
      </c>
      <c r="E55" s="52" t="inlineStr">
        <is>
          <t>Cone pressure</t>
        </is>
      </c>
      <c r="F55" s="52" t="inlineStr">
        <is>
          <t>Decision trigger</t>
        </is>
      </c>
      <c r="G55" s="52" t="inlineStr">
        <is>
          <t>Boundary</t>
        </is>
      </c>
      <c r="H55" s="1" t="n"/>
      <c r="I55" s="1" t="n"/>
      <c r="J55" s="1" t="n"/>
      <c r="K55" s="1" t="n"/>
      <c r="L55" s="1" t="n"/>
      <c r="M55" s="1" t="n"/>
      <c r="N55" s="1" t="n"/>
      <c r="O55" s="1" t="n"/>
      <c r="P55" s="1" t="n"/>
      <c r="Q55" s="1" t="n"/>
      <c r="R55" s="1" t="n"/>
      <c r="S55" s="1" t="n"/>
      <c r="T55" s="1" t="n"/>
      <c r="U55" s="1" t="n"/>
      <c r="V55" s="1" t="n"/>
      <c r="W55" s="1" t="n"/>
      <c r="X55" s="1" t="n"/>
      <c r="Y55" s="1" t="n"/>
      <c r="Z55" s="1" t="n"/>
      <c r="AA55" s="1" t="n"/>
      <c r="AB55" s="1" t="n"/>
    </row>
    <row r="56" ht="42" customHeight="1">
      <c r="A56" s="1" t="n"/>
      <c r="B56" s="58" t="inlineStr">
        <is>
          <t>Absorption record</t>
        </is>
      </c>
      <c r="C56" s="53" t="inlineStr">
        <is>
          <t>AMZN + GOOGL + META + MSFT, 2017Q3-2026Q1</t>
        </is>
      </c>
      <c r="D56" s="76" t="inlineStr">
        <is>
          <t>Trailing-4Q capex is $434B; trend 26.2%/yr with 95% CI 21.6%-31.0%.</t>
        </is>
      </c>
      <c r="E56" s="76" t="inlineStr">
        <is>
          <t>The five-year capex-window max is 33.5%; base and bull sit above the record.</t>
        </is>
      </c>
      <c r="F56" s="76" t="inlineStr">
        <is>
          <t>Use the record as a plausibility test before treating the cone as deliverable capacity.</t>
        </is>
      </c>
      <c r="G56" s="76" t="inlineStr">
        <is>
          <t>Capex dollars proxy compute-demand growth; no $-to-GW conversion is made.</t>
        </is>
      </c>
      <c r="H56" s="1" t="n"/>
      <c r="I56" s="1" t="n"/>
      <c r="J56" s="1" t="n"/>
      <c r="K56" s="1" t="n"/>
      <c r="L56" s="1" t="n"/>
      <c r="M56" s="1" t="n"/>
      <c r="N56" s="1" t="n"/>
      <c r="O56" s="1" t="n"/>
      <c r="P56" s="1" t="n"/>
      <c r="Q56" s="1" t="n"/>
      <c r="R56" s="1" t="n"/>
      <c r="S56" s="1" t="n"/>
      <c r="T56" s="1" t="n"/>
      <c r="U56" s="1" t="n"/>
      <c r="V56" s="1" t="n"/>
      <c r="W56" s="1" t="n"/>
      <c r="X56" s="1" t="n"/>
      <c r="Y56" s="1" t="n"/>
      <c r="Z56" s="1" t="n"/>
      <c r="AA56" s="1" t="n"/>
      <c r="AB56" s="1" t="n"/>
    </row>
    <row r="57" ht="42" customHeight="1">
      <c r="A57" s="1" t="n"/>
      <c r="B57" s="53" t="inlineStr">
        <is>
          <t>Fuel / geopolitical shock</t>
        </is>
      </c>
      <c r="C57" s="53" t="inlineStr">
        <is>
          <t>Bear path 31.9%</t>
        </is>
      </c>
      <c r="D57" s="76" t="inlineStr">
        <is>
          <t>Active-base bear remains inside the historical record; own-drift bear moves above it.</t>
        </is>
      </c>
      <c r="E57" s="76" t="inlineStr">
        <is>
          <t>Fuel-linked supply turns the upper cone into a procurement-timing problem.</t>
        </is>
      </c>
      <c r="F57" s="76" t="inlineStr">
        <is>
          <t>Re-bid fuel-linked procurement or leave more residual-grid exposure when the upper band clears the record.</t>
        </is>
      </c>
      <c r="G57" s="76" t="inlineStr">
        <is>
          <t>Structure ranking remains sensitivity-dependent.</t>
        </is>
      </c>
      <c r="H57" s="1" t="n"/>
      <c r="I57" s="1" t="n"/>
      <c r="J57" s="1" t="n"/>
      <c r="K57" s="1" t="n"/>
      <c r="L57" s="1" t="n"/>
      <c r="M57" s="1" t="n"/>
      <c r="N57" s="1" t="n"/>
      <c r="O57" s="1" t="n"/>
      <c r="P57" s="1" t="n"/>
      <c r="Q57" s="1" t="n"/>
      <c r="R57" s="1" t="n"/>
      <c r="S57" s="1" t="n"/>
      <c r="T57" s="1" t="n"/>
      <c r="U57" s="1" t="n"/>
      <c r="V57" s="1" t="n"/>
      <c r="W57" s="1" t="n"/>
      <c r="X57" s="1" t="n"/>
      <c r="Y57" s="1" t="n"/>
      <c r="Z57" s="1" t="n"/>
      <c r="AA57" s="1" t="n"/>
      <c r="AB57" s="1" t="n"/>
    </row>
    <row r="58" ht="42" customHeight="1">
      <c r="A58" s="1" t="n"/>
      <c r="B58" s="53" t="inlineStr">
        <is>
          <t>Rate shock</t>
        </is>
      </c>
      <c r="C58" s="53" t="inlineStr">
        <is>
          <t>Trend CI high 31.0%</t>
        </is>
      </c>
      <c r="D58" s="76" t="inlineStr">
        <is>
          <t>Higher carry reprices gross announced capacity before it becomes powered capacity.</t>
        </is>
      </c>
      <c r="E58" s="76" t="inlineStr">
        <is>
          <t>The same megawatts need site, grid, contract, and financing clocks to align.</t>
        </is>
      </c>
      <c r="F58" s="76" t="inlineStr">
        <is>
          <t>Price schedule, delivery date, and carry should be negotiated together.</t>
        </is>
      </c>
      <c r="G58" s="76" t="inlineStr">
        <is>
          <t>C13 stays grid absorption pressure; it never becomes a standalone capacity scalar.</t>
        </is>
      </c>
      <c r="H58" s="1" t="n"/>
      <c r="I58" s="1" t="n"/>
      <c r="J58" s="1" t="n"/>
      <c r="K58" s="1" t="n"/>
      <c r="L58" s="1" t="n"/>
      <c r="M58" s="1" t="n"/>
      <c r="N58" s="1" t="n"/>
      <c r="O58" s="1" t="n"/>
      <c r="P58" s="1" t="n"/>
      <c r="Q58" s="1" t="n"/>
      <c r="R58" s="1" t="n"/>
      <c r="S58" s="1" t="n"/>
      <c r="T58" s="1" t="n"/>
      <c r="U58" s="1" t="n"/>
      <c r="V58" s="1" t="n"/>
      <c r="W58" s="1" t="n"/>
      <c r="X58" s="1" t="n"/>
      <c r="Y58" s="1" t="n"/>
      <c r="Z58" s="1" t="n"/>
      <c r="AA58" s="1" t="n"/>
      <c r="AB58" s="1" t="n"/>
    </row>
    <row r="59" ht="42" customHeight="1">
      <c r="A59" s="1" t="n"/>
      <c r="B59" s="53" t="inlineStr">
        <is>
          <t>Credit crunch</t>
        </is>
      </c>
      <c r="C59" s="53" t="inlineStr">
        <is>
          <t>Max drawdown 5.0%</t>
        </is>
      </c>
      <c r="D59" s="76" t="inlineStr">
        <is>
          <t>Longest trailing-4Q decline is 3 quarters.</t>
        </is>
      </c>
      <c r="E59" s="76" t="inlineStr">
        <is>
          <t>SPV and vendor-financed capacity fail first through liquidity and covenant stress.</t>
        </is>
      </c>
      <c r="F59" s="76" t="inlineStr">
        <is>
          <t>Stress funded and unfunded offsets before assuming the buildout gets absorbed.</t>
        </is>
      </c>
      <c r="G59" s="76" t="inlineStr">
        <is>
          <t>Unknown remains valid where debt, equity, or fair value has not been disclosed.</t>
        </is>
      </c>
      <c r="H59" s="1" t="n"/>
      <c r="I59" s="1" t="n"/>
      <c r="J59" s="1" t="n"/>
      <c r="K59" s="1" t="n"/>
      <c r="L59" s="1" t="n"/>
      <c r="M59" s="1" t="n"/>
      <c r="N59" s="1" t="n"/>
      <c r="O59" s="1" t="n"/>
      <c r="P59" s="1" t="n"/>
      <c r="Q59" s="1" t="n"/>
      <c r="R59" s="1" t="n"/>
      <c r="S59" s="1" t="n"/>
      <c r="T59" s="1" t="n"/>
      <c r="U59" s="1" t="n"/>
      <c r="V59" s="1" t="n"/>
      <c r="W59" s="1" t="n"/>
      <c r="X59" s="1" t="n"/>
      <c r="Y59" s="1" t="n"/>
      <c r="Z59" s="1" t="n"/>
      <c r="AA59" s="1" t="n"/>
      <c r="AB59" s="1" t="n"/>
    </row>
    <row r="60" ht="42" customHeight="1">
      <c r="A60" s="1" t="n"/>
      <c r="B60" s="53" t="inlineStr">
        <is>
          <t>Grid absorption pressure</t>
        </is>
      </c>
      <c r="C60" s="77">
        <f>sUsPipeline/1000</f>
        <v/>
      </c>
      <c r="D60" s="76" t="inlineStr">
        <is>
          <t>US hyperscaler pipeline is gross announced capacity; powered capacity runs far lower.</t>
        </is>
      </c>
      <c r="E60" s="76" t="inlineStr">
        <is>
          <t>Interconnection and energization date each megawatt; announcement year is not delivery year.</t>
        </is>
      </c>
      <c r="F60" s="76" t="inlineStr">
        <is>
          <t>Use queue conversion and grid-capacity stages before sizing procurement coverage.</t>
        </is>
      </c>
      <c r="G60" s="76" t="inlineStr">
        <is>
          <t>Treat gross announced capacity as timing context and powered capacity as the planning constraint.</t>
        </is>
      </c>
      <c r="H60" s="1" t="n"/>
      <c r="I60" s="1" t="n"/>
      <c r="J60" s="1" t="n"/>
      <c r="K60" s="1" t="n"/>
      <c r="L60" s="1" t="n"/>
      <c r="M60" s="1" t="n"/>
      <c r="N60" s="1" t="n"/>
      <c r="O60" s="1" t="n"/>
      <c r="P60" s="1" t="n"/>
      <c r="Q60" s="1" t="n"/>
      <c r="R60" s="1" t="n"/>
      <c r="S60" s="1" t="n"/>
      <c r="T60" s="1" t="n"/>
      <c r="U60" s="1" t="n"/>
      <c r="V60" s="1" t="n"/>
      <c r="W60" s="1" t="n"/>
      <c r="X60" s="1" t="n"/>
      <c r="Y60" s="1" t="n"/>
      <c r="Z60" s="1" t="n"/>
      <c r="AA60" s="1" t="n"/>
      <c r="AB60" s="1" t="n"/>
    </row>
    <row r="61">
      <c r="A61" s="1" t="n"/>
      <c r="B61" s="1" t="n"/>
      <c r="C61" s="1" t="n"/>
      <c r="D61" s="1" t="n"/>
      <c r="E61" s="1" t="n"/>
      <c r="F61" s="1" t="n"/>
      <c r="G61" s="1" t="n"/>
      <c r="H61" s="1" t="n"/>
      <c r="I61" s="1" t="n"/>
      <c r="J61" s="1" t="n"/>
      <c r="K61" s="1" t="n"/>
      <c r="L61" s="1" t="n"/>
      <c r="M61" s="1" t="n"/>
      <c r="N61" s="1" t="n"/>
      <c r="O61" s="1" t="n"/>
      <c r="P61" s="1" t="n"/>
      <c r="Q61" s="1" t="n"/>
      <c r="R61" s="1" t="n"/>
      <c r="S61" s="1" t="n"/>
      <c r="T61" s="1" t="n"/>
      <c r="U61" s="1" t="n"/>
      <c r="V61" s="1" t="n"/>
      <c r="W61" s="1" t="n"/>
      <c r="X61" s="1" t="n"/>
      <c r="Y61" s="1" t="n"/>
      <c r="Z61" s="1" t="n"/>
      <c r="AA61" s="1" t="n"/>
      <c r="AB61" s="1" t="n"/>
    </row>
    <row r="62">
      <c r="A62" s="1" t="n"/>
      <c r="B62" s="1" t="n"/>
      <c r="C62" s="1" t="n"/>
      <c r="D62" s="1" t="n"/>
      <c r="E62" s="1" t="n"/>
      <c r="F62" s="1" t="n"/>
      <c r="G62" s="1" t="n"/>
      <c r="H62" s="1" t="n"/>
      <c r="I62" s="1" t="n"/>
      <c r="J62" s="1" t="n"/>
      <c r="K62" s="1" t="n"/>
      <c r="L62" s="1" t="n"/>
      <c r="M62" s="1" t="n"/>
      <c r="N62" s="1" t="n"/>
      <c r="O62" s="1" t="n"/>
      <c r="P62" s="1" t="n"/>
      <c r="Q62" s="1" t="n"/>
      <c r="R62" s="1" t="n"/>
      <c r="S62" s="1" t="n"/>
      <c r="T62" s="1" t="n"/>
      <c r="U62" s="1" t="n"/>
      <c r="V62" s="1" t="n"/>
      <c r="W62" s="1" t="n"/>
      <c r="X62" s="1" t="n"/>
      <c r="Y62" s="1" t="n"/>
      <c r="Z62" s="1" t="n"/>
      <c r="AA62" s="1" t="n"/>
      <c r="AB62" s="1" t="n"/>
    </row>
    <row r="63" ht="17" customHeight="1">
      <c r="A63" s="1" t="n"/>
      <c r="B63" s="22" t="inlineStr">
        <is>
          <t>Monte Carlo percentile fan: risk-adjusted cost ($/MTok)</t>
        </is>
      </c>
      <c r="C63" s="23" t="n"/>
      <c r="D63" s="23" t="n"/>
      <c r="E63" s="23" t="n"/>
      <c r="F63" s="23" t="n"/>
      <c r="G63" s="23" t="n"/>
      <c r="H63" s="23" t="n"/>
      <c r="I63" s="23" t="n"/>
      <c r="J63" s="23" t="n"/>
      <c r="K63" s="23" t="n"/>
      <c r="L63" s="23" t="n"/>
      <c r="M63" s="23" t="n"/>
      <c r="N63" s="23" t="n"/>
      <c r="O63" s="23" t="n"/>
      <c r="P63" s="23" t="n"/>
      <c r="Q63" s="23" t="n"/>
      <c r="R63" s="23" t="n"/>
      <c r="S63" s="23" t="n"/>
      <c r="T63" s="23" t="n"/>
      <c r="U63" s="1" t="n"/>
      <c r="V63" s="1" t="n"/>
      <c r="W63" s="1" t="n"/>
      <c r="X63" s="1" t="n"/>
      <c r="Y63" s="1" t="n"/>
      <c r="Z63" s="1" t="n"/>
      <c r="AA63" s="1" t="n"/>
      <c r="AB63" s="1" t="n"/>
    </row>
    <row r="64" ht="14" customHeight="1">
      <c r="A64" s="1" t="n"/>
      <c r="B64" s="39" t="inlineStr"/>
      <c r="C64" s="40" t="inlineStr">
        <is>
          <t>FY'23</t>
        </is>
      </c>
      <c r="D64" s="40" t="inlineStr">
        <is>
          <t>FY'24</t>
        </is>
      </c>
      <c r="E64" s="40" t="inlineStr">
        <is>
          <t>FY'25</t>
        </is>
      </c>
      <c r="F64" s="41" t="inlineStr">
        <is>
          <t>FY'26</t>
        </is>
      </c>
      <c r="G64" s="41" t="inlineStr">
        <is>
          <t>FY'27</t>
        </is>
      </c>
      <c r="H64" s="41" t="inlineStr">
        <is>
          <t>FY'28</t>
        </is>
      </c>
      <c r="I64" s="41" t="inlineStr">
        <is>
          <t>FY'29</t>
        </is>
      </c>
      <c r="J64" s="41" t="inlineStr">
        <is>
          <t>FY'30</t>
        </is>
      </c>
      <c r="K64" s="41" t="inlineStr">
        <is>
          <t>FY'31</t>
        </is>
      </c>
      <c r="L64" s="41" t="inlineStr">
        <is>
          <t>FY'32</t>
        </is>
      </c>
      <c r="M64" s="41" t="inlineStr">
        <is>
          <t>FY'33</t>
        </is>
      </c>
      <c r="N64" s="41" t="inlineStr">
        <is>
          <t>FY'34</t>
        </is>
      </c>
      <c r="O64" s="41" t="inlineStr">
        <is>
          <t>FY'35</t>
        </is>
      </c>
      <c r="P64" s="41" t="inlineStr">
        <is>
          <t>FY'36</t>
        </is>
      </c>
      <c r="Q64" s="41" t="inlineStr">
        <is>
          <t>FY'37</t>
        </is>
      </c>
      <c r="R64" s="41" t="inlineStr">
        <is>
          <t>FY'38</t>
        </is>
      </c>
      <c r="S64" s="41" t="inlineStr">
        <is>
          <t>FY'39</t>
        </is>
      </c>
      <c r="T64" s="41" t="inlineStr">
        <is>
          <t>FY'40</t>
        </is>
      </c>
      <c r="U64" s="1" t="n"/>
      <c r="V64" s="1" t="n"/>
      <c r="W64" s="1" t="n"/>
      <c r="X64" s="1" t="n"/>
      <c r="Y64" s="1" t="n"/>
      <c r="Z64" s="1" t="n"/>
      <c r="AA64" s="1" t="n"/>
      <c r="AB64" s="1" t="n"/>
    </row>
    <row r="65">
      <c r="A65" s="1" t="n"/>
      <c r="B65" s="20" t="inlineStr">
        <is>
          <t>p95 upper confidence band</t>
        </is>
      </c>
      <c r="C65" s="1" t="n"/>
      <c r="D65" s="1" t="n"/>
      <c r="E65" s="1" t="n"/>
      <c r="F65" s="49" t="n">
        <v>3.6799</v>
      </c>
      <c r="G65" s="49" t="n">
        <v>3.8674</v>
      </c>
      <c r="H65" s="49" t="n">
        <v>4.0504</v>
      </c>
      <c r="I65" s="49" t="n">
        <v>4.2576</v>
      </c>
      <c r="J65" s="49" t="n">
        <v>4.3916</v>
      </c>
      <c r="K65" s="49" t="n">
        <v>4.5245</v>
      </c>
      <c r="L65" s="49" t="n">
        <v>4.7017</v>
      </c>
      <c r="M65" s="49" t="n">
        <v>4.891</v>
      </c>
      <c r="N65" s="49" t="n">
        <v>5.0747</v>
      </c>
      <c r="O65" s="49" t="n">
        <v>5.3011</v>
      </c>
      <c r="P65" s="49" t="n">
        <v>5.5229</v>
      </c>
      <c r="Q65" s="49" t="n">
        <v>5.7351</v>
      </c>
      <c r="R65" s="49" t="n">
        <v>5.968</v>
      </c>
      <c r="S65" s="49" t="n">
        <v>6.1678</v>
      </c>
      <c r="T65" s="49" t="n">
        <v>6.4537</v>
      </c>
      <c r="U65" s="1" t="n"/>
      <c r="V65" s="28" t="inlineStr">
        <is>
          <t>The fan uses 2,000 deterministic Monte Carlo draws. The upper band is the capitalization room the plan needs if power escalation and delivery timing break high.</t>
        </is>
      </c>
      <c r="W65" s="1" t="n"/>
      <c r="X65" s="1" t="n"/>
      <c r="Y65" s="1" t="n"/>
      <c r="Z65" s="1" t="n"/>
      <c r="AA65" s="1" t="n"/>
      <c r="AB65" s="1" t="n"/>
    </row>
    <row r="66">
      <c r="A66" s="1" t="n"/>
      <c r="B66" s="29" t="inlineStr">
        <is>
          <t>p90</t>
        </is>
      </c>
      <c r="C66" s="1" t="n"/>
      <c r="D66" s="1" t="n"/>
      <c r="E66" s="1" t="n"/>
      <c r="F66" s="45" t="n">
        <v>3.5624</v>
      </c>
      <c r="G66" s="45" t="n">
        <v>3.7305</v>
      </c>
      <c r="H66" s="45" t="n">
        <v>3.8822</v>
      </c>
      <c r="I66" s="45" t="n">
        <v>4.0766</v>
      </c>
      <c r="J66" s="45" t="n">
        <v>4.1938</v>
      </c>
      <c r="K66" s="45" t="n">
        <v>4.2991</v>
      </c>
      <c r="L66" s="45" t="n">
        <v>4.4565</v>
      </c>
      <c r="M66" s="45" t="n">
        <v>4.6126</v>
      </c>
      <c r="N66" s="45" t="n">
        <v>4.7693</v>
      </c>
      <c r="O66" s="45" t="n">
        <v>4.9557</v>
      </c>
      <c r="P66" s="45" t="n">
        <v>5.1317</v>
      </c>
      <c r="Q66" s="45" t="n">
        <v>5.3107</v>
      </c>
      <c r="R66" s="45" t="n">
        <v>5.4829</v>
      </c>
      <c r="S66" s="45" t="n">
        <v>5.6728</v>
      </c>
      <c r="T66" s="45" t="n">
        <v>5.9223</v>
      </c>
      <c r="U66" s="1" t="n"/>
      <c r="V66" s="1" t="n"/>
      <c r="W66" s="1" t="n"/>
      <c r="X66" s="1" t="n"/>
      <c r="Y66" s="1" t="n"/>
      <c r="Z66" s="1" t="n"/>
      <c r="AA66" s="1" t="n"/>
      <c r="AB66" s="1" t="n"/>
    </row>
    <row r="67">
      <c r="A67" s="1" t="n"/>
      <c r="B67" s="29" t="inlineStr">
        <is>
          <t>p75</t>
        </is>
      </c>
      <c r="C67" s="1" t="n"/>
      <c r="D67" s="1" t="n"/>
      <c r="E67" s="1" t="n"/>
      <c r="F67" s="45" t="n">
        <v>3.258</v>
      </c>
      <c r="G67" s="45" t="n">
        <v>3.3769</v>
      </c>
      <c r="H67" s="45" t="n">
        <v>3.4874</v>
      </c>
      <c r="I67" s="45" t="n">
        <v>3.6465</v>
      </c>
      <c r="J67" s="45" t="n">
        <v>3.7058</v>
      </c>
      <c r="K67" s="45" t="n">
        <v>3.7718</v>
      </c>
      <c r="L67" s="45" t="n">
        <v>3.8729</v>
      </c>
      <c r="M67" s="45" t="n">
        <v>3.9706</v>
      </c>
      <c r="N67" s="45" t="n">
        <v>4.0483</v>
      </c>
      <c r="O67" s="45" t="n">
        <v>4.1623</v>
      </c>
      <c r="P67" s="45" t="n">
        <v>4.2733</v>
      </c>
      <c r="Q67" s="45" t="n">
        <v>4.3788</v>
      </c>
      <c r="R67" s="45" t="n">
        <v>4.4974</v>
      </c>
      <c r="S67" s="45" t="n">
        <v>4.6085</v>
      </c>
      <c r="T67" s="45" t="n">
        <v>4.7521</v>
      </c>
      <c r="U67" s="1" t="n"/>
      <c r="V67" s="1" t="n"/>
      <c r="W67" s="1" t="n"/>
      <c r="X67" s="1" t="n"/>
      <c r="Y67" s="1" t="n"/>
      <c r="Z67" s="1" t="n"/>
      <c r="AA67" s="1" t="n"/>
      <c r="AB67" s="1" t="n"/>
    </row>
    <row r="68">
      <c r="A68" s="1" t="n"/>
      <c r="B68" s="20" t="inlineStr">
        <is>
          <t>p50 median draw</t>
        </is>
      </c>
      <c r="C68" s="1" t="n"/>
      <c r="D68" s="1" t="n"/>
      <c r="E68" s="1" t="n"/>
      <c r="F68" s="49" t="n">
        <v>2.7246</v>
      </c>
      <c r="G68" s="49" t="n">
        <v>2.7912</v>
      </c>
      <c r="H68" s="49" t="n">
        <v>2.8472</v>
      </c>
      <c r="I68" s="49" t="n">
        <v>2.976</v>
      </c>
      <c r="J68" s="49" t="n">
        <v>2.9667</v>
      </c>
      <c r="K68" s="49" t="n">
        <v>2.9789</v>
      </c>
      <c r="L68" s="49" t="n">
        <v>3.0126</v>
      </c>
      <c r="M68" s="49" t="n">
        <v>3.0295</v>
      </c>
      <c r="N68" s="49" t="n">
        <v>3.0139</v>
      </c>
      <c r="O68" s="49" t="n">
        <v>3.0373</v>
      </c>
      <c r="P68" s="49" t="n">
        <v>3.0619</v>
      </c>
      <c r="Q68" s="49" t="n">
        <v>3.0832</v>
      </c>
      <c r="R68" s="49" t="n">
        <v>3.1154</v>
      </c>
      <c r="S68" s="49" t="n">
        <v>3.1465</v>
      </c>
      <c r="T68" s="49" t="n">
        <v>3.1302</v>
      </c>
      <c r="U68" s="1" t="n"/>
      <c r="V68" s="1" t="n"/>
      <c r="W68" s="1" t="n"/>
      <c r="X68" s="1" t="n"/>
      <c r="Y68" s="1" t="n"/>
      <c r="Z68" s="1" t="n"/>
      <c r="AA68" s="1" t="n"/>
      <c r="AB68" s="1" t="n"/>
    </row>
    <row r="69">
      <c r="A69" s="1" t="n"/>
      <c r="B69" s="29" t="inlineStr">
        <is>
          <t>p25</t>
        </is>
      </c>
      <c r="C69" s="1" t="n"/>
      <c r="D69" s="1" t="n"/>
      <c r="E69" s="1" t="n"/>
      <c r="F69" s="45" t="n">
        <v>2.429</v>
      </c>
      <c r="G69" s="45" t="n">
        <v>2.465</v>
      </c>
      <c r="H69" s="45" t="n">
        <v>2.495</v>
      </c>
      <c r="I69" s="45" t="n">
        <v>2.6058</v>
      </c>
      <c r="J69" s="45" t="n">
        <v>2.5592</v>
      </c>
      <c r="K69" s="45" t="n">
        <v>2.5459</v>
      </c>
      <c r="L69" s="45" t="n">
        <v>2.5422</v>
      </c>
      <c r="M69" s="45" t="n">
        <v>2.5174</v>
      </c>
      <c r="N69" s="45" t="n">
        <v>2.4584</v>
      </c>
      <c r="O69" s="45" t="n">
        <v>2.4376</v>
      </c>
      <c r="P69" s="45" t="n">
        <v>2.4221</v>
      </c>
      <c r="Q69" s="45" t="n">
        <v>2.4041</v>
      </c>
      <c r="R69" s="45" t="n">
        <v>2.3968</v>
      </c>
      <c r="S69" s="45" t="n">
        <v>2.3924</v>
      </c>
      <c r="T69" s="45" t="n">
        <v>2.3155</v>
      </c>
      <c r="U69" s="1" t="n"/>
      <c r="V69" s="1" t="n"/>
      <c r="W69" s="1" t="n"/>
      <c r="X69" s="1" t="n"/>
      <c r="Y69" s="1" t="n"/>
      <c r="Z69" s="1" t="n"/>
      <c r="AA69" s="1" t="n"/>
      <c r="AB69" s="1" t="n"/>
    </row>
    <row r="70">
      <c r="A70" s="1" t="n"/>
      <c r="B70" s="29" t="inlineStr">
        <is>
          <t>p10</t>
        </is>
      </c>
      <c r="C70" s="1" t="n"/>
      <c r="D70" s="1" t="n"/>
      <c r="E70" s="1" t="n"/>
      <c r="F70" s="45" t="n">
        <v>2.263</v>
      </c>
      <c r="G70" s="45" t="n">
        <v>2.2852</v>
      </c>
      <c r="H70" s="45" t="n">
        <v>2.3067</v>
      </c>
      <c r="I70" s="45" t="n">
        <v>2.4115</v>
      </c>
      <c r="J70" s="45" t="n">
        <v>2.3467</v>
      </c>
      <c r="K70" s="45" t="n">
        <v>2.3196</v>
      </c>
      <c r="L70" s="45" t="n">
        <v>2.299</v>
      </c>
      <c r="M70" s="45" t="n">
        <v>2.2572</v>
      </c>
      <c r="N70" s="45" t="n">
        <v>2.1698</v>
      </c>
      <c r="O70" s="45" t="n">
        <v>2.1267</v>
      </c>
      <c r="P70" s="45" t="n">
        <v>2.0883</v>
      </c>
      <c r="Q70" s="45" t="n">
        <v>2.044</v>
      </c>
      <c r="R70" s="45" t="n">
        <v>2.0221</v>
      </c>
      <c r="S70" s="45" t="n">
        <v>2.0006</v>
      </c>
      <c r="T70" s="45" t="n">
        <v>1.8995</v>
      </c>
      <c r="U70" s="1" t="n"/>
      <c r="V70" s="1" t="n"/>
      <c r="W70" s="1" t="n"/>
      <c r="X70" s="1" t="n"/>
      <c r="Y70" s="1" t="n"/>
      <c r="Z70" s="1" t="n"/>
      <c r="AA70" s="1" t="n"/>
      <c r="AB70" s="1" t="n"/>
    </row>
    <row r="71">
      <c r="A71" s="1" t="n"/>
      <c r="B71" s="20" t="inlineStr">
        <is>
          <t>p05 lower confidence band</t>
        </is>
      </c>
      <c r="C71" s="1" t="n"/>
      <c r="D71" s="1" t="n"/>
      <c r="E71" s="1" t="n"/>
      <c r="F71" s="49" t="n">
        <v>2.2061</v>
      </c>
      <c r="G71" s="49" t="n">
        <v>2.2257</v>
      </c>
      <c r="H71" s="49" t="n">
        <v>2.241</v>
      </c>
      <c r="I71" s="49" t="n">
        <v>2.3417</v>
      </c>
      <c r="J71" s="49" t="n">
        <v>2.2731</v>
      </c>
      <c r="K71" s="49" t="n">
        <v>2.2397</v>
      </c>
      <c r="L71" s="49" t="n">
        <v>2.2132</v>
      </c>
      <c r="M71" s="49" t="n">
        <v>2.1627</v>
      </c>
      <c r="N71" s="49" t="n">
        <v>2.0726</v>
      </c>
      <c r="O71" s="49" t="n">
        <v>2.0189</v>
      </c>
      <c r="P71" s="49" t="n">
        <v>1.973</v>
      </c>
      <c r="Q71" s="49" t="n">
        <v>1.9235</v>
      </c>
      <c r="R71" s="49" t="n">
        <v>1.8942</v>
      </c>
      <c r="S71" s="49" t="n">
        <v>1.8607</v>
      </c>
      <c r="T71" s="49" t="n">
        <v>1.7477</v>
      </c>
      <c r="U71" s="1" t="n"/>
      <c r="V71" s="1" t="n"/>
      <c r="W71" s="1" t="n"/>
      <c r="X71" s="1" t="n"/>
      <c r="Y71" s="1" t="n"/>
      <c r="Z71" s="1" t="n"/>
      <c r="AA71" s="1" t="n"/>
      <c r="AB71" s="1" t="n"/>
    </row>
    <row r="72">
      <c r="A72" s="1" t="n"/>
      <c r="B72" s="1" t="n"/>
      <c r="C72" s="1" t="n"/>
      <c r="D72" s="1" t="n"/>
      <c r="E72" s="1" t="n"/>
      <c r="F72" s="1" t="n"/>
      <c r="G72" s="1" t="n"/>
      <c r="H72" s="1" t="n"/>
      <c r="I72" s="1" t="n"/>
      <c r="J72" s="1" t="n"/>
      <c r="K72" s="1" t="n"/>
      <c r="L72" s="1" t="n"/>
      <c r="M72" s="1" t="n"/>
      <c r="N72" s="1" t="n"/>
      <c r="O72" s="1" t="n"/>
      <c r="P72" s="1" t="n"/>
      <c r="Q72" s="1" t="n"/>
      <c r="R72" s="1" t="n"/>
      <c r="S72" s="1" t="n"/>
      <c r="T72" s="1" t="n"/>
      <c r="U72" s="1" t="n"/>
      <c r="V72" s="1" t="n"/>
      <c r="W72" s="1" t="n"/>
      <c r="X72" s="1" t="n"/>
      <c r="Y72" s="1" t="n"/>
      <c r="Z72" s="1" t="n"/>
      <c r="AA72" s="1" t="n"/>
      <c r="AB72" s="1" t="n"/>
    </row>
    <row r="73">
      <c r="A73" s="1" t="n"/>
      <c r="B73" s="1" t="n"/>
      <c r="C73" s="1" t="n"/>
      <c r="D73" s="1" t="n"/>
      <c r="E73" s="1" t="n"/>
      <c r="F73" s="1" t="n"/>
      <c r="G73" s="1" t="n"/>
      <c r="H73" s="1" t="n"/>
      <c r="I73" s="1" t="n"/>
      <c r="J73" s="1" t="n"/>
      <c r="K73" s="1" t="n"/>
      <c r="L73" s="1" t="n"/>
      <c r="M73" s="1" t="n"/>
      <c r="N73" s="1" t="n"/>
      <c r="O73" s="1" t="n"/>
      <c r="P73" s="1" t="n"/>
      <c r="Q73" s="1" t="n"/>
      <c r="R73" s="1" t="n"/>
      <c r="S73" s="1" t="n"/>
      <c r="T73" s="1" t="n"/>
      <c r="U73" s="1" t="n"/>
      <c r="V73" s="1" t="n"/>
      <c r="W73" s="1" t="n"/>
      <c r="X73" s="1" t="n"/>
      <c r="Y73" s="1" t="n"/>
      <c r="Z73" s="1" t="n"/>
      <c r="AA73" s="1" t="n"/>
      <c r="AB73" s="1" t="n"/>
    </row>
    <row r="74">
      <c r="A74" s="1" t="n"/>
      <c r="B74" s="1" t="n"/>
      <c r="C74" s="1" t="n"/>
      <c r="D74" s="1" t="n"/>
      <c r="E74" s="1" t="n"/>
      <c r="F74" s="1" t="n"/>
      <c r="G74" s="1" t="n"/>
      <c r="H74" s="1" t="n"/>
      <c r="I74" s="1" t="n"/>
      <c r="J74" s="1" t="n"/>
      <c r="K74" s="1" t="n"/>
      <c r="L74" s="1" t="n"/>
      <c r="M74" s="1" t="n"/>
      <c r="N74" s="1" t="n"/>
      <c r="O74" s="1" t="n"/>
      <c r="P74" s="1" t="n"/>
      <c r="Q74" s="1" t="n"/>
      <c r="R74" s="1" t="n"/>
      <c r="S74" s="1" t="n"/>
      <c r="T74" s="1" t="n"/>
      <c r="U74" s="1" t="n"/>
      <c r="V74" s="1" t="n"/>
      <c r="W74" s="1" t="n"/>
      <c r="X74" s="1" t="n"/>
      <c r="Y74" s="1" t="n"/>
      <c r="Z74" s="1" t="n"/>
      <c r="AA74" s="1" t="n"/>
      <c r="AB74" s="1" t="n"/>
    </row>
    <row r="75">
      <c r="A75" s="1" t="n"/>
      <c r="B75" s="1" t="n"/>
      <c r="C75" s="1" t="n"/>
      <c r="D75" s="1" t="n"/>
      <c r="E75" s="1" t="n"/>
      <c r="F75" s="1" t="n"/>
      <c r="G75" s="1" t="n"/>
      <c r="H75" s="1" t="n"/>
      <c r="I75" s="1" t="n"/>
      <c r="J75" s="1" t="n"/>
      <c r="K75" s="1" t="n"/>
      <c r="L75" s="1" t="n"/>
      <c r="M75" s="1" t="n"/>
      <c r="N75" s="1" t="n"/>
      <c r="O75" s="1" t="n"/>
      <c r="P75" s="1" t="n"/>
      <c r="Q75" s="1" t="n"/>
      <c r="R75" s="1" t="n"/>
      <c r="S75" s="1" t="n"/>
      <c r="T75" s="1" t="n"/>
      <c r="U75" s="1" t="n"/>
      <c r="V75" s="1" t="n"/>
      <c r="W75" s="1" t="n"/>
      <c r="X75" s="1" t="n"/>
      <c r="Y75" s="1" t="n"/>
      <c r="Z75" s="1" t="n"/>
      <c r="AA75" s="1" t="n"/>
      <c r="AB75" s="1" t="n"/>
    </row>
    <row r="76">
      <c r="A76" s="1" t="n"/>
      <c r="B76" s="1" t="n"/>
      <c r="C76" s="1" t="n"/>
      <c r="D76" s="1" t="n"/>
      <c r="E76" s="1" t="n"/>
      <c r="F76" s="1" t="n"/>
      <c r="G76" s="1" t="n"/>
      <c r="H76" s="1" t="n"/>
      <c r="I76" s="1" t="n"/>
      <c r="J76" s="1" t="n"/>
      <c r="K76" s="1" t="n"/>
      <c r="L76" s="1" t="n"/>
      <c r="M76" s="1" t="n"/>
      <c r="N76" s="1" t="n"/>
      <c r="O76" s="1" t="n"/>
      <c r="P76" s="1" t="n"/>
      <c r="Q76" s="1" t="n"/>
      <c r="R76" s="1" t="n"/>
      <c r="S76" s="1" t="n"/>
      <c r="T76" s="1" t="n"/>
      <c r="U76" s="1" t="n"/>
      <c r="V76" s="1" t="n"/>
      <c r="W76" s="1" t="n"/>
      <c r="X76" s="1" t="n"/>
      <c r="Y76" s="1" t="n"/>
      <c r="Z76" s="1" t="n"/>
      <c r="AA76" s="1" t="n"/>
      <c r="AB76" s="1" t="n"/>
    </row>
    <row r="77">
      <c r="A77" s="1" t="n"/>
      <c r="B77" s="1" t="n"/>
      <c r="C77" s="1" t="n"/>
      <c r="D77" s="1" t="n"/>
      <c r="E77" s="1" t="n"/>
      <c r="F77" s="1" t="n"/>
      <c r="G77" s="1" t="n"/>
      <c r="H77" s="1" t="n"/>
      <c r="I77" s="1" t="n"/>
      <c r="J77" s="1" t="n"/>
      <c r="K77" s="1" t="n"/>
      <c r="L77" s="1" t="n"/>
      <c r="M77" s="1" t="n"/>
      <c r="N77" s="1" t="n"/>
      <c r="O77" s="1" t="n"/>
      <c r="P77" s="1" t="n"/>
      <c r="Q77" s="1" t="n"/>
      <c r="R77" s="1" t="n"/>
      <c r="S77" s="1" t="n"/>
      <c r="T77" s="1" t="n"/>
      <c r="U77" s="1" t="n"/>
      <c r="V77" s="1" t="n"/>
      <c r="W77" s="1" t="n"/>
      <c r="X77" s="1" t="n"/>
      <c r="Y77" s="1" t="n"/>
      <c r="Z77" s="1" t="n"/>
      <c r="AA77" s="1" t="n"/>
      <c r="AB77" s="1" t="n"/>
    </row>
    <row r="78">
      <c r="A78" s="1" t="n"/>
      <c r="B78" s="1" t="n"/>
      <c r="C78" s="1" t="n"/>
      <c r="D78" s="1" t="n"/>
      <c r="E78" s="1" t="n"/>
      <c r="F78" s="1" t="n"/>
      <c r="G78" s="1" t="n"/>
      <c r="H78" s="1" t="n"/>
      <c r="I78" s="1" t="n"/>
      <c r="J78" s="1" t="n"/>
      <c r="K78" s="1" t="n"/>
      <c r="L78" s="1" t="n"/>
      <c r="M78" s="1" t="n"/>
      <c r="N78" s="1" t="n"/>
      <c r="O78" s="1" t="n"/>
      <c r="P78" s="1" t="n"/>
      <c r="Q78" s="1" t="n"/>
      <c r="R78" s="1" t="n"/>
      <c r="S78" s="1" t="n"/>
      <c r="T78" s="1" t="n"/>
      <c r="U78" s="1" t="n"/>
      <c r="V78" s="1" t="n"/>
      <c r="W78" s="1" t="n"/>
      <c r="X78" s="1" t="n"/>
      <c r="Y78" s="1" t="n"/>
      <c r="Z78" s="1" t="n"/>
      <c r="AA78" s="1" t="n"/>
      <c r="AB78" s="1" t="n"/>
    </row>
    <row r="79">
      <c r="A79" s="1" t="n"/>
      <c r="B79" s="1" t="n"/>
      <c r="C79" s="1" t="n"/>
      <c r="D79" s="1" t="n"/>
      <c r="E79" s="1" t="n"/>
      <c r="F79" s="1" t="n"/>
      <c r="G79" s="1" t="n"/>
      <c r="H79" s="1" t="n"/>
      <c r="I79" s="1" t="n"/>
      <c r="J79" s="1" t="n"/>
      <c r="K79" s="1" t="n"/>
      <c r="L79" s="1" t="n"/>
      <c r="M79" s="1" t="n"/>
      <c r="N79" s="1" t="n"/>
      <c r="O79" s="1" t="n"/>
      <c r="P79" s="1" t="n"/>
      <c r="Q79" s="1" t="n"/>
      <c r="R79" s="1" t="n"/>
      <c r="S79" s="1" t="n"/>
      <c r="T79" s="1" t="n"/>
      <c r="U79" s="1" t="n"/>
      <c r="V79" s="1" t="n"/>
      <c r="W79" s="1" t="n"/>
      <c r="X79" s="1" t="n"/>
      <c r="Y79" s="1" t="n"/>
      <c r="Z79" s="1" t="n"/>
      <c r="AA79" s="1" t="n"/>
      <c r="AB79" s="1" t="n"/>
    </row>
    <row r="80">
      <c r="A80" s="1" t="n"/>
      <c r="B80" s="1" t="n"/>
      <c r="C80" s="1" t="n"/>
      <c r="D80" s="1" t="n"/>
      <c r="E80" s="1" t="n"/>
      <c r="F80" s="1" t="n"/>
      <c r="G80" s="1" t="n"/>
      <c r="H80" s="1" t="n"/>
      <c r="I80" s="1" t="n"/>
      <c r="J80" s="1" t="n"/>
      <c r="K80" s="1" t="n"/>
      <c r="L80" s="1" t="n"/>
      <c r="M80" s="1" t="n"/>
      <c r="N80" s="1" t="n"/>
      <c r="O80" s="1" t="n"/>
      <c r="P80" s="1" t="n"/>
      <c r="Q80" s="1" t="n"/>
      <c r="R80" s="1" t="n"/>
      <c r="S80" s="1" t="n"/>
      <c r="T80" s="1" t="n"/>
      <c r="U80" s="1" t="n"/>
      <c r="V80" s="1" t="n"/>
      <c r="W80" s="1" t="n"/>
      <c r="X80" s="1" t="n"/>
      <c r="Y80" s="1" t="n"/>
      <c r="Z80" s="1" t="n"/>
      <c r="AA80" s="1" t="n"/>
      <c r="AB80" s="1" t="n"/>
    </row>
    <row r="81">
      <c r="A81" s="1" t="n"/>
      <c r="B81" s="1" t="n"/>
      <c r="C81" s="1" t="n"/>
      <c r="D81" s="1" t="n"/>
      <c r="E81" s="1" t="n"/>
      <c r="F81" s="1" t="n"/>
      <c r="G81" s="1" t="n"/>
      <c r="H81" s="1" t="n"/>
      <c r="I81" s="1" t="n"/>
      <c r="J81" s="1" t="n"/>
      <c r="K81" s="1" t="n"/>
      <c r="L81" s="1" t="n"/>
      <c r="M81" s="1" t="n"/>
      <c r="N81" s="1" t="n"/>
      <c r="O81" s="1" t="n"/>
      <c r="P81" s="1" t="n"/>
      <c r="Q81" s="1" t="n"/>
      <c r="R81" s="1" t="n"/>
      <c r="S81" s="1" t="n"/>
      <c r="T81" s="1" t="n"/>
      <c r="U81" s="1" t="n"/>
      <c r="V81" s="1" t="n"/>
      <c r="W81" s="1" t="n"/>
      <c r="X81" s="1" t="n"/>
      <c r="Y81" s="1" t="n"/>
      <c r="Z81" s="1" t="n"/>
      <c r="AA81" s="1" t="n"/>
      <c r="AB81" s="1" t="n"/>
    </row>
    <row r="82">
      <c r="A82" s="1" t="n"/>
      <c r="B82" s="1" t="n"/>
      <c r="C82" s="1" t="n"/>
      <c r="D82" s="1" t="n"/>
      <c r="E82" s="1" t="n"/>
      <c r="F82" s="1" t="n"/>
      <c r="G82" s="1" t="n"/>
      <c r="H82" s="1" t="n"/>
      <c r="I82" s="1" t="n"/>
      <c r="J82" s="1" t="n"/>
      <c r="K82" s="1" t="n"/>
      <c r="L82" s="1" t="n"/>
      <c r="M82" s="1" t="n"/>
      <c r="N82" s="1" t="n"/>
      <c r="O82" s="1" t="n"/>
      <c r="P82" s="1" t="n"/>
      <c r="Q82" s="1" t="n"/>
      <c r="R82" s="1" t="n"/>
      <c r="S82" s="1" t="n"/>
      <c r="T82" s="1" t="n"/>
      <c r="U82" s="1" t="n"/>
      <c r="V82" s="1" t="n"/>
      <c r="W82" s="1" t="n"/>
      <c r="X82" s="1" t="n"/>
      <c r="Y82" s="1" t="n"/>
      <c r="Z82" s="1" t="n"/>
      <c r="AA82" s="1" t="n"/>
      <c r="AB82" s="1" t="n"/>
    </row>
    <row r="83">
      <c r="A83" s="1" t="n"/>
      <c r="B83" s="1" t="n"/>
      <c r="C83" s="1" t="n"/>
      <c r="D83" s="1" t="n"/>
      <c r="E83" s="1" t="n"/>
      <c r="F83" s="1" t="n"/>
      <c r="G83" s="1" t="n"/>
      <c r="H83" s="1" t="n"/>
      <c r="I83" s="1" t="n"/>
      <c r="J83" s="1" t="n"/>
      <c r="K83" s="1" t="n"/>
      <c r="L83" s="1" t="n"/>
      <c r="M83" s="1" t="n"/>
      <c r="N83" s="1" t="n"/>
      <c r="O83" s="1" t="n"/>
      <c r="P83" s="1" t="n"/>
      <c r="Q83" s="1" t="n"/>
      <c r="R83" s="1" t="n"/>
      <c r="S83" s="1" t="n"/>
      <c r="T83" s="1" t="n"/>
      <c r="U83" s="1" t="n"/>
      <c r="V83" s="1" t="n"/>
      <c r="W83" s="1" t="n"/>
      <c r="X83" s="1" t="n"/>
      <c r="Y83" s="1" t="n"/>
      <c r="Z83" s="1" t="n"/>
      <c r="AA83" s="1" t="n"/>
      <c r="AB83" s="1" t="n"/>
    </row>
  </sheetData>
  <conditionalFormatting sqref="D46:F48">
    <cfRule type="colorScale" priority="1">
      <colorScale>
        <cfvo type="num" val="0"/>
        <cfvo type="percentile" val="50"/>
        <cfvo type="max"/>
        <color rgb="00FAF9F5"/>
        <color rgb="00F3E2C4"/>
        <color rgb="00C6613F"/>
      </colorScale>
    </cfRule>
  </conditionalFormatting>
  <pageMargins left="0.4" right="0.4" top="0.5" bottom="0.5" header="0.3" footer="0.3"/>
  <pageSetup orientation="landscape" fitToHeight="0" fitToWidth="1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>
    <tabColor rgb="003D3D3A"/>
    <outlinePr summaryBelow="1" summaryRight="1"/>
    <pageSetUpPr fitToPage="1"/>
  </sheetPr>
  <dimension ref="A1:Z87"/>
  <sheetViews>
    <sheetView showGridLines="0" workbookViewId="0">
      <selection activeCell="A1" sqref="A1"/>
    </sheetView>
  </sheetViews>
  <sheetFormatPr baseColWidth="8" defaultRowHeight="15"/>
  <cols>
    <col width="2.5" customWidth="1" min="1" max="1"/>
    <col width="36" customWidth="1" min="2" max="2"/>
    <col width="14" customWidth="1" min="3" max="3"/>
    <col width="12" customWidth="1" min="4" max="4"/>
    <col width="9.4" customWidth="1" min="5" max="5"/>
    <col width="13.5" customWidth="1" min="6" max="6"/>
    <col width="16" customWidth="1" min="7" max="7"/>
    <col width="9.4" customWidth="1" min="8" max="8"/>
    <col width="9.4" customWidth="1" min="9" max="9"/>
    <col width="9.4" customWidth="1" min="10" max="10"/>
    <col width="9.4" customWidth="1" min="11" max="11"/>
    <col width="9.4" customWidth="1" min="12" max="12"/>
    <col width="9.4" customWidth="1" min="13" max="13"/>
    <col width="9.4" customWidth="1" min="14" max="14"/>
    <col width="9.4" customWidth="1" min="15" max="15"/>
    <col width="9.4" customWidth="1" min="16" max="16"/>
    <col width="9.4" customWidth="1" min="17" max="17"/>
    <col width="9.4" customWidth="1" min="18" max="18"/>
    <col width="9.4" customWidth="1" min="19" max="19"/>
    <col width="9.4" customWidth="1" min="20" max="20"/>
  </cols>
  <sheetData>
    <row r="1" ht="9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</row>
    <row r="2" ht="22" customHeight="1">
      <c r="A2" s="1" t="n"/>
      <c r="B2" s="17" t="inlineStr">
        <is>
          <t>Anthropic Demand</t>
        </is>
      </c>
      <c r="C2" s="18" t="n"/>
      <c r="D2" s="18" t="n"/>
      <c r="E2" s="18" t="n"/>
      <c r="F2" s="18" t="n"/>
      <c r="G2" s="18" t="n"/>
      <c r="H2" s="18" t="n"/>
      <c r="I2" s="18" t="n"/>
      <c r="J2" s="18" t="n"/>
      <c r="K2" s="18" t="n"/>
      <c r="L2" s="18" t="n"/>
      <c r="M2" s="18" t="n"/>
      <c r="N2" s="18" t="n"/>
      <c r="O2" s="18" t="n"/>
      <c r="P2" s="18" t="n"/>
      <c r="Q2" s="18" t="n"/>
      <c r="R2" s="18" t="n"/>
      <c r="S2" s="18" t="n"/>
      <c r="T2" s="18" t="n"/>
      <c r="U2" s="1" t="n"/>
      <c r="V2" s="1" t="n"/>
      <c r="W2" s="1" t="n"/>
      <c r="X2" s="1" t="n"/>
      <c r="Y2" s="1" t="n"/>
      <c r="Z2" s="1" t="n"/>
    </row>
    <row r="3">
      <c r="A3" s="1" t="n"/>
      <c r="B3" s="19" t="inlineStr">
        <is>
          <t>Run-rate inputs become tokens, then megawatts, then delivered power and procurement cost; task intensity and price elasticity adjust the path. FY2027 forward is forecast.</t>
        </is>
      </c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  <c r="M3" s="1" t="n"/>
      <c r="N3" s="1" t="n"/>
      <c r="O3" s="1" t="n"/>
      <c r="P3" s="1" t="n"/>
      <c r="Q3" s="1" t="n"/>
      <c r="R3" s="1" t="n"/>
      <c r="S3" s="1" t="n"/>
      <c r="T3" s="1" t="n"/>
      <c r="U3" s="1" t="n"/>
      <c r="V3" s="1" t="n"/>
      <c r="W3" s="1" t="n"/>
      <c r="X3" s="1" t="n"/>
      <c r="Y3" s="1" t="n"/>
      <c r="Z3" s="1" t="n"/>
    </row>
    <row r="4" ht="6" customHeight="1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  <c r="K4" s="1" t="n"/>
      <c r="L4" s="1" t="n"/>
      <c r="M4" s="1" t="n"/>
      <c r="N4" s="1" t="n"/>
      <c r="O4" s="1" t="n"/>
      <c r="P4" s="1" t="n"/>
      <c r="Q4" s="1" t="n"/>
      <c r="R4" s="1" t="n"/>
      <c r="S4" s="1" t="n"/>
      <c r="T4" s="1" t="n"/>
      <c r="U4" s="1" t="n"/>
      <c r="V4" s="1" t="n"/>
      <c r="W4" s="1" t="n"/>
      <c r="X4" s="1" t="n"/>
      <c r="Y4" s="1" t="n"/>
      <c r="Z4" s="1" t="n"/>
    </row>
    <row r="5">
      <c r="A5" s="1" t="n"/>
      <c r="B5" s="1" t="n"/>
      <c r="C5" s="38" t="n">
        <v>2023</v>
      </c>
      <c r="D5" s="38" t="n">
        <v>2024</v>
      </c>
      <c r="E5" s="38" t="n">
        <v>2025</v>
      </c>
      <c r="F5" s="38" t="n">
        <v>2026</v>
      </c>
      <c r="G5" s="38" t="n">
        <v>2027</v>
      </c>
      <c r="H5" s="38" t="n">
        <v>2028</v>
      </c>
      <c r="I5" s="38" t="n">
        <v>2029</v>
      </c>
      <c r="J5" s="38" t="n">
        <v>2030</v>
      </c>
      <c r="K5" s="38" t="n">
        <v>2031</v>
      </c>
      <c r="L5" s="38" t="n">
        <v>2032</v>
      </c>
      <c r="M5" s="38" t="n">
        <v>2033</v>
      </c>
      <c r="N5" s="38" t="n">
        <v>2034</v>
      </c>
      <c r="O5" s="38" t="n">
        <v>2035</v>
      </c>
      <c r="P5" s="38" t="n">
        <v>2036</v>
      </c>
      <c r="Q5" s="38" t="n">
        <v>2037</v>
      </c>
      <c r="R5" s="38" t="n">
        <v>2038</v>
      </c>
      <c r="S5" s="38" t="n">
        <v>2039</v>
      </c>
      <c r="T5" s="38" t="n">
        <v>2040</v>
      </c>
      <c r="U5" s="1" t="n"/>
      <c r="V5" s="1" t="n"/>
      <c r="W5" s="1" t="n"/>
      <c r="X5" s="1" t="n"/>
      <c r="Y5" s="1" t="n"/>
      <c r="Z5" s="1" t="n"/>
    </row>
    <row r="6" ht="17" customHeight="1">
      <c r="A6" s="1" t="n"/>
      <c r="B6" s="22" t="inlineStr">
        <is>
          <t>The business on a run-rate basis</t>
        </is>
      </c>
      <c r="C6" s="23" t="n"/>
      <c r="D6" s="23" t="n"/>
      <c r="E6" s="23" t="n"/>
      <c r="F6" s="23" t="n"/>
      <c r="G6" s="23" t="n"/>
      <c r="H6" s="23" t="n"/>
      <c r="I6" s="23" t="n"/>
      <c r="J6" s="23" t="n"/>
      <c r="K6" s="23" t="n"/>
      <c r="L6" s="23" t="n"/>
      <c r="M6" s="23" t="n"/>
      <c r="N6" s="23" t="n"/>
      <c r="O6" s="23" t="n"/>
      <c r="P6" s="23" t="n"/>
      <c r="Q6" s="23" t="n"/>
      <c r="R6" s="23" t="n"/>
      <c r="S6" s="23" t="n"/>
      <c r="T6" s="23" t="n"/>
      <c r="U6" s="1" t="n"/>
      <c r="V6" s="1" t="n"/>
      <c r="W6" s="1" t="n"/>
      <c r="X6" s="1" t="n"/>
      <c r="Y6" s="1" t="n"/>
      <c r="Z6" s="1" t="n"/>
    </row>
    <row r="7" ht="14" customHeight="1">
      <c r="A7" s="1" t="n"/>
      <c r="B7" s="39" t="inlineStr"/>
      <c r="C7" s="40" t="inlineStr">
        <is>
          <t>FY'23</t>
        </is>
      </c>
      <c r="D7" s="40" t="inlineStr">
        <is>
          <t>FY'24</t>
        </is>
      </c>
      <c r="E7" s="40" t="inlineStr">
        <is>
          <t>FY'25</t>
        </is>
      </c>
      <c r="F7" s="41" t="inlineStr">
        <is>
          <t>FY'26</t>
        </is>
      </c>
      <c r="G7" s="41" t="inlineStr">
        <is>
          <t>FY'27</t>
        </is>
      </c>
      <c r="H7" s="41" t="inlineStr">
        <is>
          <t>FY'28</t>
        </is>
      </c>
      <c r="I7" s="41" t="inlineStr">
        <is>
          <t>FY'29</t>
        </is>
      </c>
      <c r="J7" s="41" t="inlineStr">
        <is>
          <t>FY'30</t>
        </is>
      </c>
      <c r="K7" s="41" t="inlineStr">
        <is>
          <t>FY'31</t>
        </is>
      </c>
      <c r="L7" s="41" t="inlineStr">
        <is>
          <t>FY'32</t>
        </is>
      </c>
      <c r="M7" s="41" t="inlineStr">
        <is>
          <t>FY'33</t>
        </is>
      </c>
      <c r="N7" s="41" t="inlineStr">
        <is>
          <t>FY'34</t>
        </is>
      </c>
      <c r="O7" s="41" t="inlineStr">
        <is>
          <t>FY'35</t>
        </is>
      </c>
      <c r="P7" s="41" t="inlineStr">
        <is>
          <t>FY'36</t>
        </is>
      </c>
      <c r="Q7" s="41" t="inlineStr">
        <is>
          <t>FY'37</t>
        </is>
      </c>
      <c r="R7" s="41" t="inlineStr">
        <is>
          <t>FY'38</t>
        </is>
      </c>
      <c r="S7" s="41" t="inlineStr">
        <is>
          <t>FY'39</t>
        </is>
      </c>
      <c r="T7" s="41" t="inlineStr">
        <is>
          <t>FY'40</t>
        </is>
      </c>
      <c r="U7" s="1" t="n"/>
      <c r="V7" s="1" t="n"/>
      <c r="W7" s="1" t="n"/>
      <c r="X7" s="1" t="n"/>
      <c r="Y7" s="1" t="n"/>
      <c r="Z7" s="1" t="n"/>
    </row>
    <row r="8">
      <c r="A8" s="1" t="n"/>
      <c r="B8" s="20" t="inlineStr">
        <is>
          <t>Revenue run-rate exit ($B)</t>
        </is>
      </c>
      <c r="C8" s="1" t="n"/>
      <c r="D8" s="64">
        <f>nRev24</f>
        <v/>
      </c>
      <c r="E8" s="64">
        <f>nRev25</f>
        <v/>
      </c>
      <c r="F8" s="64">
        <f>nRev26</f>
        <v/>
      </c>
      <c r="G8" s="50">
        <f>F8*(1+G9)</f>
        <v/>
      </c>
      <c r="H8" s="50">
        <f>G8*(1+H9)</f>
        <v/>
      </c>
      <c r="I8" s="50">
        <f>H8*(1+I9)</f>
        <v/>
      </c>
      <c r="J8" s="50">
        <f>I8*(1+J9)</f>
        <v/>
      </c>
      <c r="K8" s="50">
        <f>J8*(1+K9)</f>
        <v/>
      </c>
      <c r="L8" s="50">
        <f>K8*(1+L9)</f>
        <v/>
      </c>
      <c r="M8" s="50">
        <f>L8*(1+M9)</f>
        <v/>
      </c>
      <c r="N8" s="50">
        <f>M8*(1+N9)</f>
        <v/>
      </c>
      <c r="O8" s="50">
        <f>N8*(1+O9)</f>
        <v/>
      </c>
      <c r="P8" s="50">
        <f>O8*(1+P9)</f>
        <v/>
      </c>
      <c r="Q8" s="50">
        <f>P8*(1+Q9)</f>
        <v/>
      </c>
      <c r="R8" s="50">
        <f>Q8*(1+R9)</f>
        <v/>
      </c>
      <c r="S8" s="50">
        <f>R8*(1+S9)</f>
        <v/>
      </c>
      <c r="T8" s="50">
        <f>S8*(1+T9)</f>
        <v/>
      </c>
      <c r="U8" s="1" t="n"/>
      <c r="V8" s="1" t="n"/>
      <c r="W8" s="1" t="n"/>
      <c r="X8" s="1" t="n"/>
      <c r="Y8" s="1" t="n"/>
      <c r="Z8" s="1" t="n"/>
    </row>
    <row r="9">
      <c r="A9" s="1" t="n"/>
      <c r="B9" s="29" t="inlineStr">
        <is>
          <t>Growth (y/y)</t>
        </is>
      </c>
      <c r="C9" s="1" t="n"/>
      <c r="D9" s="1" t="n"/>
      <c r="E9" s="1" t="n"/>
      <c r="F9" s="1" t="n"/>
      <c r="G9" s="48">
        <f>nGrow27</f>
        <v/>
      </c>
      <c r="H9" s="48">
        <f>MAX(nGTerm,G9*nGDecay)</f>
        <v/>
      </c>
      <c r="I9" s="48">
        <f>MAX(nGTerm,H9*nGDecay)</f>
        <v/>
      </c>
      <c r="J9" s="48">
        <f>MAX(nGTerm,I9*nGDecay)</f>
        <v/>
      </c>
      <c r="K9" s="48">
        <f>MAX(nGTerm,J9*nGDecay)</f>
        <v/>
      </c>
      <c r="L9" s="48">
        <f>MAX(nGTerm,K9*nGDecay)</f>
        <v/>
      </c>
      <c r="M9" s="48">
        <f>MAX(nGTerm,L9*nGDecay)</f>
        <v/>
      </c>
      <c r="N9" s="48">
        <f>MAX(nGTerm,M9*nGDecay)</f>
        <v/>
      </c>
      <c r="O9" s="48">
        <f>MAX(nGTerm,N9*nGDecay)</f>
        <v/>
      </c>
      <c r="P9" s="48">
        <f>MAX(nGTerm,O9*nGDecay)</f>
        <v/>
      </c>
      <c r="Q9" s="48">
        <f>MAX(nGTerm,P9*nGDecay)</f>
        <v/>
      </c>
      <c r="R9" s="48">
        <f>MAX(nGTerm,Q9*nGDecay)</f>
        <v/>
      </c>
      <c r="S9" s="48">
        <f>MAX(nGTerm,R9*nGDecay)</f>
        <v/>
      </c>
      <c r="T9" s="48">
        <f>MAX(nGTerm,S9*nGDecay)</f>
        <v/>
      </c>
      <c r="U9" s="1" t="n"/>
      <c r="V9" s="1" t="n"/>
      <c r="W9" s="1" t="n"/>
      <c r="X9" s="1" t="n"/>
      <c r="Y9" s="1" t="n"/>
      <c r="Z9" s="1" t="n"/>
    </row>
    <row r="10">
      <c r="A10" s="1" t="n"/>
      <c r="B10" s="29" t="inlineStr">
        <is>
          <t>Realized price ($/MTok)</t>
        </is>
      </c>
      <c r="C10" s="1" t="n"/>
      <c r="D10" s="1" t="n"/>
      <c r="E10" s="1" t="n"/>
      <c r="F10" s="45">
        <f>CoiRevenue*(1+nPriceDrift)^(F$5-2026)</f>
        <v/>
      </c>
      <c r="G10" s="45">
        <f>CoiRevenue*(1+nPriceDrift)^(G$5-2026)</f>
        <v/>
      </c>
      <c r="H10" s="45">
        <f>CoiRevenue*(1+nPriceDrift)^(H$5-2026)</f>
        <v/>
      </c>
      <c r="I10" s="45">
        <f>CoiRevenue*(1+nPriceDrift)^(I$5-2026)</f>
        <v/>
      </c>
      <c r="J10" s="45">
        <f>CoiRevenue*(1+nPriceDrift)^(J$5-2026)</f>
        <v/>
      </c>
      <c r="K10" s="45">
        <f>CoiRevenue*(1+nPriceDrift)^(K$5-2026)</f>
        <v/>
      </c>
      <c r="L10" s="45">
        <f>CoiRevenue*(1+nPriceDrift)^(L$5-2026)</f>
        <v/>
      </c>
      <c r="M10" s="45">
        <f>CoiRevenue*(1+nPriceDrift)^(M$5-2026)</f>
        <v/>
      </c>
      <c r="N10" s="45">
        <f>CoiRevenue*(1+nPriceDrift)^(N$5-2026)</f>
        <v/>
      </c>
      <c r="O10" s="45">
        <f>CoiRevenue*(1+nPriceDrift)^(O$5-2026)</f>
        <v/>
      </c>
      <c r="P10" s="45">
        <f>CoiRevenue*(1+nPriceDrift)^(P$5-2026)</f>
        <v/>
      </c>
      <c r="Q10" s="45">
        <f>CoiRevenue*(1+nPriceDrift)^(Q$5-2026)</f>
        <v/>
      </c>
      <c r="R10" s="45">
        <f>CoiRevenue*(1+nPriceDrift)^(R$5-2026)</f>
        <v/>
      </c>
      <c r="S10" s="45">
        <f>CoiRevenue*(1+nPriceDrift)^(S$5-2026)</f>
        <v/>
      </c>
      <c r="T10" s="45">
        <f>CoiRevenue*(1+nPriceDrift)^(T$5-2026)</f>
        <v/>
      </c>
      <c r="U10" s="1" t="n"/>
      <c r="V10" s="1" t="n"/>
      <c r="W10" s="1" t="n"/>
      <c r="X10" s="1" t="n"/>
      <c r="Y10" s="1" t="n"/>
      <c r="Z10" s="1" t="n"/>
    </row>
    <row r="11">
      <c r="A11" s="1" t="n"/>
      <c r="B11" s="29" t="inlineStr">
        <is>
          <t>Revenue-rule tokens served (B MTok)</t>
        </is>
      </c>
      <c r="C11" s="1" t="n"/>
      <c r="D11" s="1" t="n"/>
      <c r="E11" s="1" t="n"/>
      <c r="F11" s="61">
        <f>F68</f>
        <v/>
      </c>
      <c r="G11" s="61">
        <f>G68</f>
        <v/>
      </c>
      <c r="H11" s="61">
        <f>H68</f>
        <v/>
      </c>
      <c r="I11" s="61">
        <f>I68</f>
        <v/>
      </c>
      <c r="J11" s="61">
        <f>J68</f>
        <v/>
      </c>
      <c r="K11" s="61">
        <f>K68</f>
        <v/>
      </c>
      <c r="L11" s="61">
        <f>L68</f>
        <v/>
      </c>
      <c r="M11" s="61">
        <f>M68</f>
        <v/>
      </c>
      <c r="N11" s="61">
        <f>N68</f>
        <v/>
      </c>
      <c r="O11" s="61">
        <f>O68</f>
        <v/>
      </c>
      <c r="P11" s="61">
        <f>P68</f>
        <v/>
      </c>
      <c r="Q11" s="61">
        <f>Q68</f>
        <v/>
      </c>
      <c r="R11" s="61">
        <f>R68</f>
        <v/>
      </c>
      <c r="S11" s="61">
        <f>S68</f>
        <v/>
      </c>
      <c r="T11" s="61">
        <f>T68</f>
        <v/>
      </c>
      <c r="U11" s="1" t="n"/>
      <c r="V11" s="1" t="n"/>
      <c r="W11" s="1" t="n"/>
      <c r="X11" s="1" t="n"/>
      <c r="Y11" s="1" t="n"/>
      <c r="Z11" s="1" t="n"/>
    </row>
    <row r="12">
      <c r="A12" s="1" t="n"/>
      <c r="B12" s="29" t="inlineStr">
        <is>
          <t>Power intensity (MWh/MTok)</t>
        </is>
      </c>
      <c r="C12" s="1" t="n"/>
      <c r="D12" s="1" t="n"/>
      <c r="E12" s="1" t="n"/>
      <c r="F12" s="78">
        <f>PowerIntensity*(1+nEffDrift)^(F$5-2026)</f>
        <v/>
      </c>
      <c r="G12" s="78">
        <f>PowerIntensity*(1+nEffDrift)^(G$5-2026)</f>
        <v/>
      </c>
      <c r="H12" s="78">
        <f>PowerIntensity*(1+nEffDrift)^(H$5-2026)</f>
        <v/>
      </c>
      <c r="I12" s="78">
        <f>PowerIntensity*(1+nEffDrift)^(I$5-2026)</f>
        <v/>
      </c>
      <c r="J12" s="78">
        <f>PowerIntensity*(1+nEffDrift)^(J$5-2026)</f>
        <v/>
      </c>
      <c r="K12" s="78">
        <f>PowerIntensity*(1+nEffDrift)^(K$5-2026)</f>
        <v/>
      </c>
      <c r="L12" s="78">
        <f>PowerIntensity*(1+nEffDrift)^(L$5-2026)</f>
        <v/>
      </c>
      <c r="M12" s="78">
        <f>PowerIntensity*(1+nEffDrift)^(M$5-2026)</f>
        <v/>
      </c>
      <c r="N12" s="78">
        <f>PowerIntensity*(1+nEffDrift)^(N$5-2026)</f>
        <v/>
      </c>
      <c r="O12" s="78">
        <f>PowerIntensity*(1+nEffDrift)^(O$5-2026)</f>
        <v/>
      </c>
      <c r="P12" s="78">
        <f>PowerIntensity*(1+nEffDrift)^(P$5-2026)</f>
        <v/>
      </c>
      <c r="Q12" s="78">
        <f>PowerIntensity*(1+nEffDrift)^(Q$5-2026)</f>
        <v/>
      </c>
      <c r="R12" s="78">
        <f>PowerIntensity*(1+nEffDrift)^(R$5-2026)</f>
        <v/>
      </c>
      <c r="S12" s="78">
        <f>PowerIntensity*(1+nEffDrift)^(S$5-2026)</f>
        <v/>
      </c>
      <c r="T12" s="78">
        <f>PowerIntensity*(1+nEffDrift)^(T$5-2026)</f>
        <v/>
      </c>
      <c r="U12" s="1" t="n"/>
      <c r="V12" s="1" t="n"/>
      <c r="W12" s="1" t="n"/>
      <c r="X12" s="1" t="n"/>
      <c r="Y12" s="1" t="n"/>
      <c r="Z12" s="1" t="n"/>
    </row>
    <row r="13">
      <c r="A13" s="1" t="n"/>
      <c r="B13" s="29" t="inlineStr">
        <is>
          <t>Energy (TWh)</t>
        </is>
      </c>
      <c r="C13" s="1" t="n"/>
      <c r="D13" s="1" t="n"/>
      <c r="E13" s="1" t="n"/>
      <c r="F13" s="61">
        <f>F11*F12*1000</f>
        <v/>
      </c>
      <c r="G13" s="61">
        <f>G11*G12*1000</f>
        <v/>
      </c>
      <c r="H13" s="61">
        <f>H11*H12*1000</f>
        <v/>
      </c>
      <c r="I13" s="61">
        <f>I11*I12*1000</f>
        <v/>
      </c>
      <c r="J13" s="61">
        <f>J11*J12*1000</f>
        <v/>
      </c>
      <c r="K13" s="61">
        <f>K11*K12*1000</f>
        <v/>
      </c>
      <c r="L13" s="61">
        <f>L11*L12*1000</f>
        <v/>
      </c>
      <c r="M13" s="61">
        <f>M11*M12*1000</f>
        <v/>
      </c>
      <c r="N13" s="61">
        <f>N11*N12*1000</f>
        <v/>
      </c>
      <c r="O13" s="61">
        <f>O11*O12*1000</f>
        <v/>
      </c>
      <c r="P13" s="61">
        <f>P11*P12*1000</f>
        <v/>
      </c>
      <c r="Q13" s="61">
        <f>Q11*Q12*1000</f>
        <v/>
      </c>
      <c r="R13" s="61">
        <f>R11*R12*1000</f>
        <v/>
      </c>
      <c r="S13" s="61">
        <f>S11*S12*1000</f>
        <v/>
      </c>
      <c r="T13" s="61">
        <f>T11*T12*1000</f>
        <v/>
      </c>
      <c r="U13" s="1" t="n"/>
      <c r="V13" s="1" t="n"/>
      <c r="W13" s="1" t="n"/>
      <c r="X13" s="1" t="n"/>
      <c r="Y13" s="1" t="n"/>
      <c r="Z13" s="1" t="n"/>
    </row>
    <row r="14">
      <c r="A14" s="1" t="n"/>
      <c r="B14" s="20" t="inlineStr">
        <is>
          <t>Average load (GW)</t>
        </is>
      </c>
      <c r="C14" s="1" t="n"/>
      <c r="D14" s="1" t="n"/>
      <c r="E14" s="1" t="n"/>
      <c r="F14" s="62">
        <f>F13*1000/8760</f>
        <v/>
      </c>
      <c r="G14" s="62">
        <f>G13*1000/8760</f>
        <v/>
      </c>
      <c r="H14" s="62">
        <f>H13*1000/8760</f>
        <v/>
      </c>
      <c r="I14" s="62">
        <f>I13*1000/8760</f>
        <v/>
      </c>
      <c r="J14" s="62">
        <f>J13*1000/8760</f>
        <v/>
      </c>
      <c r="K14" s="62">
        <f>K13*1000/8760</f>
        <v/>
      </c>
      <c r="L14" s="62">
        <f>L13*1000/8760</f>
        <v/>
      </c>
      <c r="M14" s="62">
        <f>M13*1000/8760</f>
        <v/>
      </c>
      <c r="N14" s="62">
        <f>N13*1000/8760</f>
        <v/>
      </c>
      <c r="O14" s="62">
        <f>O13*1000/8760</f>
        <v/>
      </c>
      <c r="P14" s="62">
        <f>P13*1000/8760</f>
        <v/>
      </c>
      <c r="Q14" s="62">
        <f>Q13*1000/8760</f>
        <v/>
      </c>
      <c r="R14" s="62">
        <f>R13*1000/8760</f>
        <v/>
      </c>
      <c r="S14" s="62">
        <f>S13*1000/8760</f>
        <v/>
      </c>
      <c r="T14" s="62">
        <f>T13*1000/8760</f>
        <v/>
      </c>
      <c r="U14" s="1" t="n"/>
      <c r="V14" s="1" t="n"/>
      <c r="W14" s="1" t="n"/>
      <c r="X14" s="1" t="n"/>
      <c r="Y14" s="1" t="n"/>
      <c r="Z14" s="1" t="n"/>
    </row>
    <row r="15">
      <c r="A15" s="1" t="n"/>
      <c r="B15" s="1" t="n"/>
      <c r="C15" s="1" t="n"/>
      <c r="D15" s="1" t="n"/>
      <c r="E15" s="1" t="n"/>
      <c r="F15" s="1" t="n"/>
      <c r="G15" s="1" t="n"/>
      <c r="H15" s="1" t="n"/>
      <c r="I15" s="1" t="n"/>
      <c r="J15" s="1" t="n"/>
      <c r="K15" s="1" t="n"/>
      <c r="L15" s="1" t="n"/>
      <c r="M15" s="1" t="n"/>
      <c r="N15" s="1" t="n"/>
      <c r="O15" s="1" t="n"/>
      <c r="P15" s="1" t="n"/>
      <c r="Q15" s="1" t="n"/>
      <c r="R15" s="1" t="n"/>
      <c r="S15" s="1" t="n"/>
      <c r="T15" s="1" t="n"/>
      <c r="U15" s="1" t="n"/>
      <c r="V15" s="1" t="n"/>
      <c r="W15" s="1" t="n"/>
      <c r="X15" s="1" t="n"/>
      <c r="Y15" s="1" t="n"/>
      <c r="Z15" s="1" t="n"/>
    </row>
    <row r="16" ht="17" customHeight="1">
      <c r="A16" s="1" t="n"/>
      <c r="B16" s="22" t="inlineStr">
        <is>
          <t>Mix targets before the capacity caps bind</t>
        </is>
      </c>
      <c r="C16" s="23" t="n"/>
      <c r="D16" s="23" t="n"/>
      <c r="E16" s="23" t="n"/>
      <c r="F16" s="23" t="n"/>
      <c r="G16" s="23" t="n"/>
      <c r="H16" s="23" t="n"/>
      <c r="I16" s="23" t="n"/>
      <c r="J16" s="23" t="n"/>
      <c r="K16" s="23" t="n"/>
      <c r="L16" s="23" t="n"/>
      <c r="M16" s="23" t="n"/>
      <c r="N16" s="23" t="n"/>
      <c r="O16" s="23" t="n"/>
      <c r="P16" s="23" t="n"/>
      <c r="Q16" s="23" t="n"/>
      <c r="R16" s="23" t="n"/>
      <c r="S16" s="23" t="n"/>
      <c r="T16" s="23" t="n"/>
      <c r="U16" s="1" t="n"/>
      <c r="V16" s="1" t="n"/>
      <c r="W16" s="1" t="n"/>
      <c r="X16" s="1" t="n"/>
      <c r="Y16" s="1" t="n"/>
      <c r="Z16" s="1" t="n"/>
    </row>
    <row r="17" ht="14" customHeight="1">
      <c r="A17" s="1" t="n"/>
      <c r="B17" s="39" t="inlineStr"/>
      <c r="C17" s="40" t="inlineStr">
        <is>
          <t>FY'23</t>
        </is>
      </c>
      <c r="D17" s="40" t="inlineStr">
        <is>
          <t>FY'24</t>
        </is>
      </c>
      <c r="E17" s="40" t="inlineStr">
        <is>
          <t>FY'25</t>
        </is>
      </c>
      <c r="F17" s="41" t="inlineStr">
        <is>
          <t>FY'26</t>
        </is>
      </c>
      <c r="G17" s="41" t="inlineStr">
        <is>
          <t>FY'27</t>
        </is>
      </c>
      <c r="H17" s="41" t="inlineStr">
        <is>
          <t>FY'28</t>
        </is>
      </c>
      <c r="I17" s="41" t="inlineStr">
        <is>
          <t>FY'29</t>
        </is>
      </c>
      <c r="J17" s="41" t="inlineStr">
        <is>
          <t>FY'30</t>
        </is>
      </c>
      <c r="K17" s="41" t="inlineStr">
        <is>
          <t>FY'31</t>
        </is>
      </c>
      <c r="L17" s="41" t="inlineStr">
        <is>
          <t>FY'32</t>
        </is>
      </c>
      <c r="M17" s="41" t="inlineStr">
        <is>
          <t>FY'33</t>
        </is>
      </c>
      <c r="N17" s="41" t="inlineStr">
        <is>
          <t>FY'34</t>
        </is>
      </c>
      <c r="O17" s="41" t="inlineStr">
        <is>
          <t>FY'35</t>
        </is>
      </c>
      <c r="P17" s="41" t="inlineStr">
        <is>
          <t>FY'36</t>
        </is>
      </c>
      <c r="Q17" s="41" t="inlineStr">
        <is>
          <t>FY'37</t>
        </is>
      </c>
      <c r="R17" s="41" t="inlineStr">
        <is>
          <t>FY'38</t>
        </is>
      </c>
      <c r="S17" s="41" t="inlineStr">
        <is>
          <t>FY'39</t>
        </is>
      </c>
      <c r="T17" s="41" t="inlineStr">
        <is>
          <t>FY'40</t>
        </is>
      </c>
      <c r="U17" s="1" t="n"/>
      <c r="V17" s="1" t="n"/>
      <c r="W17" s="1" t="n"/>
      <c r="X17" s="1" t="n"/>
      <c r="Y17" s="1" t="n"/>
      <c r="Z17" s="1" t="n"/>
    </row>
    <row r="18">
      <c r="A18" s="1" t="n"/>
      <c r="B18" s="29" t="inlineStr">
        <is>
          <t>Validated-site PPA share</t>
        </is>
      </c>
      <c r="C18" s="1" t="n"/>
      <c r="D18" s="1" t="n"/>
      <c r="E18" s="1" t="n"/>
      <c r="F18" s="48">
        <f>nMixPpa*MIN(1,MAX(0,(F$5-2026)/(nRampYr-2026)))</f>
        <v/>
      </c>
      <c r="G18" s="48">
        <f>nMixPpa*MIN(1,MAX(0,(G$5-2026)/(nRampYr-2026)))</f>
        <v/>
      </c>
      <c r="H18" s="48">
        <f>nMixPpa*MIN(1,MAX(0,(H$5-2026)/(nRampYr-2026)))</f>
        <v/>
      </c>
      <c r="I18" s="48">
        <f>nMixPpa*MIN(1,MAX(0,(I$5-2026)/(nRampYr-2026)))</f>
        <v/>
      </c>
      <c r="J18" s="48">
        <f>nMixPpa*MIN(1,MAX(0,(J$5-2026)/(nRampYr-2026)))</f>
        <v/>
      </c>
      <c r="K18" s="48">
        <f>nMixPpa*MIN(1,MAX(0,(K$5-2026)/(nRampYr-2026)))</f>
        <v/>
      </c>
      <c r="L18" s="48">
        <f>nMixPpa*MIN(1,MAX(0,(L$5-2026)/(nRampYr-2026)))</f>
        <v/>
      </c>
      <c r="M18" s="48">
        <f>nMixPpa*MIN(1,MAX(0,(M$5-2026)/(nRampYr-2026)))</f>
        <v/>
      </c>
      <c r="N18" s="48">
        <f>nMixPpa*MIN(1,MAX(0,(N$5-2026)/(nRampYr-2026)))</f>
        <v/>
      </c>
      <c r="O18" s="48">
        <f>nMixPpa*MIN(1,MAX(0,(O$5-2026)/(nRampYr-2026)))</f>
        <v/>
      </c>
      <c r="P18" s="48">
        <f>nMixPpa*MIN(1,MAX(0,(P$5-2026)/(nRampYr-2026)))</f>
        <v/>
      </c>
      <c r="Q18" s="48">
        <f>nMixPpa*MIN(1,MAX(0,(Q$5-2026)/(nRampYr-2026)))</f>
        <v/>
      </c>
      <c r="R18" s="48">
        <f>nMixPpa*MIN(1,MAX(0,(R$5-2026)/(nRampYr-2026)))</f>
        <v/>
      </c>
      <c r="S18" s="48">
        <f>nMixPpa*MIN(1,MAX(0,(S$5-2026)/(nRampYr-2026)))</f>
        <v/>
      </c>
      <c r="T18" s="48">
        <f>nMixPpa*MIN(1,MAX(0,(T$5-2026)/(nRampYr-2026)))</f>
        <v/>
      </c>
      <c r="U18" s="1" t="n"/>
      <c r="V18" s="1" t="n"/>
      <c r="W18" s="1" t="n"/>
      <c r="X18" s="1" t="n"/>
      <c r="Y18" s="1" t="n"/>
      <c r="Z18" s="1" t="n"/>
    </row>
    <row r="19">
      <c r="A19" s="1" t="n"/>
      <c r="B19" s="29" t="inlineStr">
        <is>
          <t>Stranded-capture share</t>
        </is>
      </c>
      <c r="C19" s="1" t="n"/>
      <c r="D19" s="1" t="n"/>
      <c r="E19" s="1" t="n"/>
      <c r="F19" s="48">
        <f>nMixStr*MIN(1,MAX(0,(F$5-2026)/(nRampYr-2026)))</f>
        <v/>
      </c>
      <c r="G19" s="48">
        <f>nMixStr*MIN(1,MAX(0,(G$5-2026)/(nRampYr-2026)))</f>
        <v/>
      </c>
      <c r="H19" s="48">
        <f>nMixStr*MIN(1,MAX(0,(H$5-2026)/(nRampYr-2026)))</f>
        <v/>
      </c>
      <c r="I19" s="48">
        <f>nMixStr*MIN(1,MAX(0,(I$5-2026)/(nRampYr-2026)))</f>
        <v/>
      </c>
      <c r="J19" s="48">
        <f>nMixStr*MIN(1,MAX(0,(J$5-2026)/(nRampYr-2026)))</f>
        <v/>
      </c>
      <c r="K19" s="48">
        <f>nMixStr*MIN(1,MAX(0,(K$5-2026)/(nRampYr-2026)))</f>
        <v/>
      </c>
      <c r="L19" s="48">
        <f>nMixStr*MIN(1,MAX(0,(L$5-2026)/(nRampYr-2026)))</f>
        <v/>
      </c>
      <c r="M19" s="48">
        <f>nMixStr*MIN(1,MAX(0,(M$5-2026)/(nRampYr-2026)))</f>
        <v/>
      </c>
      <c r="N19" s="48">
        <f>nMixStr*MIN(1,MAX(0,(N$5-2026)/(nRampYr-2026)))</f>
        <v/>
      </c>
      <c r="O19" s="48">
        <f>nMixStr*MIN(1,MAX(0,(O$5-2026)/(nRampYr-2026)))</f>
        <v/>
      </c>
      <c r="P19" s="48">
        <f>nMixStr*MIN(1,MAX(0,(P$5-2026)/(nRampYr-2026)))</f>
        <v/>
      </c>
      <c r="Q19" s="48">
        <f>nMixStr*MIN(1,MAX(0,(Q$5-2026)/(nRampYr-2026)))</f>
        <v/>
      </c>
      <c r="R19" s="48">
        <f>nMixStr*MIN(1,MAX(0,(R$5-2026)/(nRampYr-2026)))</f>
        <v/>
      </c>
      <c r="S19" s="48">
        <f>nMixStr*MIN(1,MAX(0,(S$5-2026)/(nRampYr-2026)))</f>
        <v/>
      </c>
      <c r="T19" s="48">
        <f>nMixStr*MIN(1,MAX(0,(T$5-2026)/(nRampYr-2026)))</f>
        <v/>
      </c>
      <c r="U19" s="1" t="n"/>
      <c r="V19" s="1" t="n"/>
      <c r="W19" s="1" t="n"/>
      <c r="X19" s="1" t="n"/>
      <c r="Y19" s="1" t="n"/>
      <c r="Z19" s="1" t="n"/>
    </row>
    <row r="20">
      <c r="A20" s="1" t="n"/>
      <c r="B20" s="29" t="inlineStr">
        <is>
          <t>N-SMR share</t>
        </is>
      </c>
      <c r="C20" s="1" t="n"/>
      <c r="D20" s="1" t="n"/>
      <c r="E20" s="1" t="n"/>
      <c r="F20" s="48">
        <f>IF(F$5&lt;sNsmrCodU1,0,nMixNsmr*MIN(1,(F$5-sNsmrCodU1+1)/nNsmrRampYrs))</f>
        <v/>
      </c>
      <c r="G20" s="48">
        <f>IF(G$5&lt;sNsmrCodU1,0,nMixNsmr*MIN(1,(G$5-sNsmrCodU1+1)/nNsmrRampYrs))</f>
        <v/>
      </c>
      <c r="H20" s="48">
        <f>IF(H$5&lt;sNsmrCodU1,0,nMixNsmr*MIN(1,(H$5-sNsmrCodU1+1)/nNsmrRampYrs))</f>
        <v/>
      </c>
      <c r="I20" s="48">
        <f>IF(I$5&lt;sNsmrCodU1,0,nMixNsmr*MIN(1,(I$5-sNsmrCodU1+1)/nNsmrRampYrs))</f>
        <v/>
      </c>
      <c r="J20" s="48">
        <f>IF(J$5&lt;sNsmrCodU1,0,nMixNsmr*MIN(1,(J$5-sNsmrCodU1+1)/nNsmrRampYrs))</f>
        <v/>
      </c>
      <c r="K20" s="48">
        <f>IF(K$5&lt;sNsmrCodU1,0,nMixNsmr*MIN(1,(K$5-sNsmrCodU1+1)/nNsmrRampYrs))</f>
        <v/>
      </c>
      <c r="L20" s="48">
        <f>IF(L$5&lt;sNsmrCodU1,0,nMixNsmr*MIN(1,(L$5-sNsmrCodU1+1)/nNsmrRampYrs))</f>
        <v/>
      </c>
      <c r="M20" s="48">
        <f>IF(M$5&lt;sNsmrCodU1,0,nMixNsmr*MIN(1,(M$5-sNsmrCodU1+1)/nNsmrRampYrs))</f>
        <v/>
      </c>
      <c r="N20" s="48">
        <f>IF(N$5&lt;sNsmrCodU1,0,nMixNsmr*MIN(1,(N$5-sNsmrCodU1+1)/nNsmrRampYrs))</f>
        <v/>
      </c>
      <c r="O20" s="48">
        <f>IF(O$5&lt;sNsmrCodU1,0,nMixNsmr*MIN(1,(O$5-sNsmrCodU1+1)/nNsmrRampYrs))</f>
        <v/>
      </c>
      <c r="P20" s="48">
        <f>IF(P$5&lt;sNsmrCodU1,0,nMixNsmr*MIN(1,(P$5-sNsmrCodU1+1)/nNsmrRampYrs))</f>
        <v/>
      </c>
      <c r="Q20" s="48">
        <f>IF(Q$5&lt;sNsmrCodU1,0,nMixNsmr*MIN(1,(Q$5-sNsmrCodU1+1)/nNsmrRampYrs))</f>
        <v/>
      </c>
      <c r="R20" s="48">
        <f>IF(R$5&lt;sNsmrCodU1,0,nMixNsmr*MIN(1,(R$5-sNsmrCodU1+1)/nNsmrRampYrs))</f>
        <v/>
      </c>
      <c r="S20" s="48">
        <f>IF(S$5&lt;sNsmrCodU1,0,nMixNsmr*MIN(1,(S$5-sNsmrCodU1+1)/nNsmrRampYrs))</f>
        <v/>
      </c>
      <c r="T20" s="48">
        <f>IF(T$5&lt;sNsmrCodU1,0,nMixNsmr*MIN(1,(T$5-sNsmrCodU1+1)/nNsmrRampYrs))</f>
        <v/>
      </c>
      <c r="U20" s="1" t="n"/>
      <c r="V20" s="1" t="n"/>
      <c r="W20" s="1" t="n"/>
      <c r="X20" s="1" t="n"/>
      <c r="Y20" s="1" t="n"/>
      <c r="Z20" s="1" t="n"/>
    </row>
    <row r="21">
      <c r="A21" s="1" t="n"/>
      <c r="B21" s="29" t="inlineStr">
        <is>
          <t>Grid residual share (policy bridge)</t>
        </is>
      </c>
      <c r="C21" s="1" t="n"/>
      <c r="D21" s="1" t="n"/>
      <c r="E21" s="1" t="n"/>
      <c r="F21" s="48">
        <f>1-F18-F19-F20</f>
        <v/>
      </c>
      <c r="G21" s="48">
        <f>1-G18-G19-G20</f>
        <v/>
      </c>
      <c r="H21" s="48">
        <f>1-H18-H19-H20</f>
        <v/>
      </c>
      <c r="I21" s="48">
        <f>1-I18-I19-I20</f>
        <v/>
      </c>
      <c r="J21" s="48">
        <f>1-J18-J19-J20</f>
        <v/>
      </c>
      <c r="K21" s="48">
        <f>1-K18-K19-K20</f>
        <v/>
      </c>
      <c r="L21" s="48">
        <f>1-L18-L19-L20</f>
        <v/>
      </c>
      <c r="M21" s="48">
        <f>1-M18-M19-M20</f>
        <v/>
      </c>
      <c r="N21" s="48">
        <f>1-N18-N19-N20</f>
        <v/>
      </c>
      <c r="O21" s="48">
        <f>1-O18-O19-O20</f>
        <v/>
      </c>
      <c r="P21" s="48">
        <f>1-P18-P19-P20</f>
        <v/>
      </c>
      <c r="Q21" s="48">
        <f>1-Q18-Q19-Q20</f>
        <v/>
      </c>
      <c r="R21" s="48">
        <f>1-R18-R19-R20</f>
        <v/>
      </c>
      <c r="S21" s="48">
        <f>1-S18-S19-S20</f>
        <v/>
      </c>
      <c r="T21" s="48">
        <f>1-T18-T19-T20</f>
        <v/>
      </c>
      <c r="U21" s="1" t="n"/>
      <c r="V21" s="1" t="n"/>
      <c r="W21" s="1" t="n"/>
      <c r="X21" s="1" t="n"/>
      <c r="Y21" s="1" t="n"/>
      <c r="Z21" s="1" t="n"/>
    </row>
    <row r="22">
      <c r="A22" s="1" t="n"/>
      <c r="B22" s="1" t="n"/>
      <c r="C22" s="1" t="n"/>
      <c r="D22" s="1" t="n"/>
      <c r="E22" s="1" t="n"/>
      <c r="F22" s="1" t="n"/>
      <c r="G22" s="1" t="n"/>
      <c r="H22" s="1" t="n"/>
      <c r="I22" s="1" t="n"/>
      <c r="J22" s="1" t="n"/>
      <c r="K22" s="1" t="n"/>
      <c r="L22" s="1" t="n"/>
      <c r="M22" s="1" t="n"/>
      <c r="N22" s="1" t="n"/>
      <c r="O22" s="1" t="n"/>
      <c r="P22" s="1" t="n"/>
      <c r="Q22" s="1" t="n"/>
      <c r="R22" s="1" t="n"/>
      <c r="S22" s="1" t="n"/>
      <c r="T22" s="1" t="n"/>
      <c r="U22" s="1" t="n"/>
      <c r="V22" s="1" t="n"/>
      <c r="W22" s="1" t="n"/>
      <c r="X22" s="1" t="n"/>
      <c r="Y22" s="1" t="n"/>
      <c r="Z22" s="1" t="n"/>
    </row>
    <row r="23" ht="17" customHeight="1">
      <c r="A23" s="1" t="n"/>
      <c r="B23" s="22" t="inlineStr">
        <is>
          <t>Source prices ($/MWh, active scenario)</t>
        </is>
      </c>
      <c r="C23" s="23" t="n"/>
      <c r="D23" s="23" t="n"/>
      <c r="E23" s="23" t="n"/>
      <c r="F23" s="23" t="n"/>
      <c r="G23" s="23" t="n"/>
      <c r="H23" s="23" t="n"/>
      <c r="I23" s="23" t="n"/>
      <c r="J23" s="23" t="n"/>
      <c r="K23" s="23" t="n"/>
      <c r="L23" s="23" t="n"/>
      <c r="M23" s="23" t="n"/>
      <c r="N23" s="23" t="n"/>
      <c r="O23" s="23" t="n"/>
      <c r="P23" s="23" t="n"/>
      <c r="Q23" s="23" t="n"/>
      <c r="R23" s="23" t="n"/>
      <c r="S23" s="23" t="n"/>
      <c r="T23" s="23" t="n"/>
      <c r="U23" s="1" t="n"/>
      <c r="V23" s="1" t="n"/>
      <c r="W23" s="1" t="n"/>
      <c r="X23" s="1" t="n"/>
      <c r="Y23" s="1" t="n"/>
      <c r="Z23" s="1" t="n"/>
    </row>
    <row r="24" ht="14" customHeight="1">
      <c r="A24" s="1" t="n"/>
      <c r="B24" s="39" t="inlineStr"/>
      <c r="C24" s="40" t="inlineStr">
        <is>
          <t>FY'23</t>
        </is>
      </c>
      <c r="D24" s="40" t="inlineStr">
        <is>
          <t>FY'24</t>
        </is>
      </c>
      <c r="E24" s="40" t="inlineStr">
        <is>
          <t>FY'25</t>
        </is>
      </c>
      <c r="F24" s="41" t="inlineStr">
        <is>
          <t>FY'26</t>
        </is>
      </c>
      <c r="G24" s="41" t="inlineStr">
        <is>
          <t>FY'27</t>
        </is>
      </c>
      <c r="H24" s="41" t="inlineStr">
        <is>
          <t>FY'28</t>
        </is>
      </c>
      <c r="I24" s="41" t="inlineStr">
        <is>
          <t>FY'29</t>
        </is>
      </c>
      <c r="J24" s="41" t="inlineStr">
        <is>
          <t>FY'30</t>
        </is>
      </c>
      <c r="K24" s="41" t="inlineStr">
        <is>
          <t>FY'31</t>
        </is>
      </c>
      <c r="L24" s="41" t="inlineStr">
        <is>
          <t>FY'32</t>
        </is>
      </c>
      <c r="M24" s="41" t="inlineStr">
        <is>
          <t>FY'33</t>
        </is>
      </c>
      <c r="N24" s="41" t="inlineStr">
        <is>
          <t>FY'34</t>
        </is>
      </c>
      <c r="O24" s="41" t="inlineStr">
        <is>
          <t>FY'35</t>
        </is>
      </c>
      <c r="P24" s="41" t="inlineStr">
        <is>
          <t>FY'36</t>
        </is>
      </c>
      <c r="Q24" s="41" t="inlineStr">
        <is>
          <t>FY'37</t>
        </is>
      </c>
      <c r="R24" s="41" t="inlineStr">
        <is>
          <t>FY'38</t>
        </is>
      </c>
      <c r="S24" s="41" t="inlineStr">
        <is>
          <t>FY'39</t>
        </is>
      </c>
      <c r="T24" s="41" t="inlineStr">
        <is>
          <t>FY'40</t>
        </is>
      </c>
      <c r="U24" s="1" t="n"/>
      <c r="V24" s="1" t="n"/>
      <c r="W24" s="1" t="n"/>
      <c r="X24" s="1" t="n"/>
      <c r="Y24" s="1" t="n"/>
      <c r="Z24" s="1" t="n"/>
    </row>
    <row r="25">
      <c r="A25" s="1" t="n"/>
      <c r="B25" s="29" t="inlineStr">
        <is>
          <t>Merchant reference</t>
        </is>
      </c>
      <c r="C25" s="1" t="n"/>
      <c r="D25" s="1" t="n"/>
      <c r="E25" s="1" t="n"/>
      <c r="F25" s="71">
        <f>nPower*(1+nPowerCagr)^(F$5-2026)</f>
        <v/>
      </c>
      <c r="G25" s="71">
        <f>nPower*(1+nPowerCagr)^(G$5-2026)</f>
        <v/>
      </c>
      <c r="H25" s="71">
        <f>nPower*(1+nPowerCagr)^(H$5-2026)</f>
        <v/>
      </c>
      <c r="I25" s="71">
        <f>nPower*(1+nPowerCagr)^(I$5-2026)</f>
        <v/>
      </c>
      <c r="J25" s="71">
        <f>nPower*(1+nPowerCagr)^(J$5-2026)</f>
        <v/>
      </c>
      <c r="K25" s="71">
        <f>nPower*(1+nPowerCagr)^(K$5-2026)</f>
        <v/>
      </c>
      <c r="L25" s="71">
        <f>nPower*(1+nPowerCagr)^(L$5-2026)</f>
        <v/>
      </c>
      <c r="M25" s="71">
        <f>nPower*(1+nPowerCagr)^(M$5-2026)</f>
        <v/>
      </c>
      <c r="N25" s="71">
        <f>nPower*(1+nPowerCagr)^(N$5-2026)</f>
        <v/>
      </c>
      <c r="O25" s="71">
        <f>nPower*(1+nPowerCagr)^(O$5-2026)</f>
        <v/>
      </c>
      <c r="P25" s="71">
        <f>nPower*(1+nPowerCagr)^(P$5-2026)</f>
        <v/>
      </c>
      <c r="Q25" s="71">
        <f>nPower*(1+nPowerCagr)^(Q$5-2026)</f>
        <v/>
      </c>
      <c r="R25" s="71">
        <f>nPower*(1+nPowerCagr)^(R$5-2026)</f>
        <v/>
      </c>
      <c r="S25" s="71">
        <f>nPower*(1+nPowerCagr)^(S$5-2026)</f>
        <v/>
      </c>
      <c r="T25" s="71">
        <f>nPower*(1+nPowerCagr)^(T$5-2026)</f>
        <v/>
      </c>
      <c r="U25" s="1" t="n"/>
      <c r="V25" s="1" t="n"/>
      <c r="W25" s="1" t="n"/>
      <c r="X25" s="1" t="n"/>
      <c r="Y25" s="1" t="n"/>
      <c r="Z25" s="1" t="n"/>
    </row>
    <row r="26">
      <c r="A26" s="1" t="n"/>
      <c r="B26" s="29" t="inlineStr">
        <is>
          <t>Grid-blended residual floor</t>
        </is>
      </c>
      <c r="C26" s="1" t="n"/>
      <c r="D26" s="1" t="n"/>
      <c r="E26" s="1" t="n"/>
      <c r="F26" s="71">
        <f>F25</f>
        <v/>
      </c>
      <c r="G26" s="71">
        <f>G25</f>
        <v/>
      </c>
      <c r="H26" s="71">
        <f>H25</f>
        <v/>
      </c>
      <c r="I26" s="71">
        <f>I25</f>
        <v/>
      </c>
      <c r="J26" s="71">
        <f>J25</f>
        <v/>
      </c>
      <c r="K26" s="71">
        <f>K25</f>
        <v/>
      </c>
      <c r="L26" s="71">
        <f>L25</f>
        <v/>
      </c>
      <c r="M26" s="71">
        <f>M25</f>
        <v/>
      </c>
      <c r="N26" s="71">
        <f>N25</f>
        <v/>
      </c>
      <c r="O26" s="71">
        <f>O25</f>
        <v/>
      </c>
      <c r="P26" s="71">
        <f>P25</f>
        <v/>
      </c>
      <c r="Q26" s="71">
        <f>Q25</f>
        <v/>
      </c>
      <c r="R26" s="71">
        <f>R25</f>
        <v/>
      </c>
      <c r="S26" s="71">
        <f>S25</f>
        <v/>
      </c>
      <c r="T26" s="71">
        <f>T25</f>
        <v/>
      </c>
      <c r="U26" s="1" t="n"/>
      <c r="V26" s="1" t="n"/>
      <c r="W26" s="1" t="n"/>
      <c r="X26" s="1" t="n"/>
      <c r="Y26" s="1" t="n"/>
      <c r="Z26" s="1" t="n"/>
    </row>
    <row r="27">
      <c r="A27" s="1" t="n"/>
      <c r="B27" s="29" t="inlineStr">
        <is>
          <t>PPA, validated site</t>
        </is>
      </c>
      <c r="C27" s="1" t="n"/>
      <c r="D27" s="1" t="n"/>
      <c r="E27" s="1" t="n"/>
      <c r="F27" s="71">
        <f>INDEX(StructTable,2,3)*(1+nInfl)^(F$5-2026)</f>
        <v/>
      </c>
      <c r="G27" s="71">
        <f>INDEX(StructTable,2,3)*(1+nInfl)^(G$5-2026)</f>
        <v/>
      </c>
      <c r="H27" s="71">
        <f>INDEX(StructTable,2,3)*(1+nInfl)^(H$5-2026)</f>
        <v/>
      </c>
      <c r="I27" s="71">
        <f>INDEX(StructTable,2,3)*(1+nInfl)^(I$5-2026)</f>
        <v/>
      </c>
      <c r="J27" s="71">
        <f>INDEX(StructTable,2,3)*(1+nInfl)^(J$5-2026)</f>
        <v/>
      </c>
      <c r="K27" s="71">
        <f>INDEX(StructTable,2,3)*(1+nInfl)^(K$5-2026)</f>
        <v/>
      </c>
      <c r="L27" s="71">
        <f>INDEX(StructTable,2,3)*(1+nInfl)^(L$5-2026)</f>
        <v/>
      </c>
      <c r="M27" s="71">
        <f>INDEX(StructTable,2,3)*(1+nInfl)^(M$5-2026)</f>
        <v/>
      </c>
      <c r="N27" s="71">
        <f>INDEX(StructTable,2,3)*(1+nInfl)^(N$5-2026)</f>
        <v/>
      </c>
      <c r="O27" s="71">
        <f>INDEX(StructTable,2,3)*(1+nInfl)^(O$5-2026)</f>
        <v/>
      </c>
      <c r="P27" s="71">
        <f>INDEX(StructTable,2,3)*(1+nInfl)^(P$5-2026)</f>
        <v/>
      </c>
      <c r="Q27" s="71">
        <f>INDEX(StructTable,2,3)*(1+nInfl)^(Q$5-2026)</f>
        <v/>
      </c>
      <c r="R27" s="71">
        <f>INDEX(StructTable,2,3)*(1+nInfl)^(R$5-2026)</f>
        <v/>
      </c>
      <c r="S27" s="71">
        <f>INDEX(StructTable,2,3)*(1+nInfl)^(S$5-2026)</f>
        <v/>
      </c>
      <c r="T27" s="71">
        <f>INDEX(StructTable,2,3)*(1+nInfl)^(T$5-2026)</f>
        <v/>
      </c>
      <c r="U27" s="1" t="n"/>
      <c r="V27" s="1" t="n"/>
      <c r="W27" s="1" t="n"/>
      <c r="X27" s="1" t="n"/>
      <c r="Y27" s="1" t="n"/>
      <c r="Z27" s="1" t="n"/>
    </row>
    <row r="28">
      <c r="A28" s="1" t="n"/>
      <c r="B28" s="29" t="inlineStr">
        <is>
          <t>Stranded/curtailed</t>
        </is>
      </c>
      <c r="C28" s="1" t="n"/>
      <c r="D28" s="1" t="n"/>
      <c r="E28" s="1" t="n"/>
      <c r="F28" s="71">
        <f>(INDEX(StructTable,3,3)+INDEX(StructTable,3,4))*(1+nInfl)^(F$5-2026)</f>
        <v/>
      </c>
      <c r="G28" s="71">
        <f>(INDEX(StructTable,3,3)+INDEX(StructTable,3,4))*(1+nInfl)^(G$5-2026)</f>
        <v/>
      </c>
      <c r="H28" s="71">
        <f>(INDEX(StructTable,3,3)+INDEX(StructTable,3,4))*(1+nInfl)^(H$5-2026)</f>
        <v/>
      </c>
      <c r="I28" s="71">
        <f>(INDEX(StructTable,3,3)+INDEX(StructTable,3,4))*(1+nInfl)^(I$5-2026)</f>
        <v/>
      </c>
      <c r="J28" s="71">
        <f>(INDEX(StructTable,3,3)+INDEX(StructTable,3,4))*(1+nInfl)^(J$5-2026)</f>
        <v/>
      </c>
      <c r="K28" s="71">
        <f>(INDEX(StructTable,3,3)+INDEX(StructTable,3,4))*(1+nInfl)^(K$5-2026)</f>
        <v/>
      </c>
      <c r="L28" s="71">
        <f>(INDEX(StructTable,3,3)+INDEX(StructTable,3,4))*(1+nInfl)^(L$5-2026)</f>
        <v/>
      </c>
      <c r="M28" s="71">
        <f>(INDEX(StructTable,3,3)+INDEX(StructTable,3,4))*(1+nInfl)^(M$5-2026)</f>
        <v/>
      </c>
      <c r="N28" s="71">
        <f>(INDEX(StructTable,3,3)+INDEX(StructTable,3,4))*(1+nInfl)^(N$5-2026)</f>
        <v/>
      </c>
      <c r="O28" s="71">
        <f>(INDEX(StructTable,3,3)+INDEX(StructTable,3,4))*(1+nInfl)^(O$5-2026)</f>
        <v/>
      </c>
      <c r="P28" s="71">
        <f>(INDEX(StructTable,3,3)+INDEX(StructTable,3,4))*(1+nInfl)^(P$5-2026)</f>
        <v/>
      </c>
      <c r="Q28" s="71">
        <f>(INDEX(StructTable,3,3)+INDEX(StructTable,3,4))*(1+nInfl)^(Q$5-2026)</f>
        <v/>
      </c>
      <c r="R28" s="71">
        <f>(INDEX(StructTable,3,3)+INDEX(StructTable,3,4))*(1+nInfl)^(R$5-2026)</f>
        <v/>
      </c>
      <c r="S28" s="71">
        <f>(INDEX(StructTable,3,3)+INDEX(StructTable,3,4))*(1+nInfl)^(S$5-2026)</f>
        <v/>
      </c>
      <c r="T28" s="71">
        <f>(INDEX(StructTable,3,3)+INDEX(StructTable,3,4))*(1+nInfl)^(T$5-2026)</f>
        <v/>
      </c>
      <c r="U28" s="1" t="n"/>
      <c r="V28" s="1" t="n"/>
      <c r="W28" s="1" t="n"/>
      <c r="X28" s="1" t="n"/>
      <c r="Y28" s="1" t="n"/>
      <c r="Z28" s="1" t="n"/>
    </row>
    <row r="29">
      <c r="A29" s="1" t="n"/>
      <c r="B29" s="29" t="inlineStr">
        <is>
          <t>N-SMR delivered (Option 1)</t>
        </is>
      </c>
      <c r="C29" s="1" t="n"/>
      <c r="D29" s="1" t="n"/>
      <c r="E29" s="1" t="n"/>
      <c r="F29" s="32">
        <f>NSMR!F25</f>
        <v/>
      </c>
      <c r="G29" s="32">
        <f>NSMR!G25</f>
        <v/>
      </c>
      <c r="H29" s="32">
        <f>NSMR!H25</f>
        <v/>
      </c>
      <c r="I29" s="32">
        <f>NSMR!I25</f>
        <v/>
      </c>
      <c r="J29" s="32">
        <f>NSMR!J25</f>
        <v/>
      </c>
      <c r="K29" s="32">
        <f>NSMR!K25</f>
        <v/>
      </c>
      <c r="L29" s="32">
        <f>NSMR!L25</f>
        <v/>
      </c>
      <c r="M29" s="32">
        <f>NSMR!M25</f>
        <v/>
      </c>
      <c r="N29" s="32">
        <f>NSMR!N25</f>
        <v/>
      </c>
      <c r="O29" s="32">
        <f>NSMR!O25</f>
        <v/>
      </c>
      <c r="P29" s="32">
        <f>NSMR!P25</f>
        <v/>
      </c>
      <c r="Q29" s="32">
        <f>NSMR!Q25</f>
        <v/>
      </c>
      <c r="R29" s="32">
        <f>NSMR!R25</f>
        <v/>
      </c>
      <c r="S29" s="32">
        <f>NSMR!S25</f>
        <v/>
      </c>
      <c r="T29" s="32">
        <f>NSMR!T25</f>
        <v/>
      </c>
      <c r="U29" s="1" t="n"/>
      <c r="V29" s="1" t="n"/>
      <c r="W29" s="1" t="n"/>
      <c r="X29" s="1" t="n"/>
      <c r="Y29" s="1" t="n"/>
      <c r="Z29" s="1" t="n"/>
    </row>
    <row r="30">
      <c r="A30" s="1" t="n"/>
      <c r="B30" s="20" t="inlineStr">
        <is>
          <t>Blended</t>
        </is>
      </c>
      <c r="C30" s="1" t="n"/>
      <c r="D30" s="1" t="n"/>
      <c r="E30" s="1" t="n"/>
      <c r="F30" s="69">
        <f>F18*F27+F19*F28+F20*F29+F21*F26*(1+nResidualBasisMarkup+nScarcityAlpha*POWER(F21,nScarcityGamma))</f>
        <v/>
      </c>
      <c r="G30" s="69">
        <f>G18*G27+G19*G28+G20*G29+G21*G26*(1+nResidualBasisMarkup+nScarcityAlpha*POWER(G21,nScarcityGamma))</f>
        <v/>
      </c>
      <c r="H30" s="69">
        <f>H18*H27+H19*H28+H20*H29+H21*H26*(1+nResidualBasisMarkup+nScarcityAlpha*POWER(H21,nScarcityGamma))</f>
        <v/>
      </c>
      <c r="I30" s="69">
        <f>I18*I27+I19*I28+I20*I29+I21*I26*(1+nResidualBasisMarkup+nScarcityAlpha*POWER(I21,nScarcityGamma))</f>
        <v/>
      </c>
      <c r="J30" s="69">
        <f>J18*J27+J19*J28+J20*J29+J21*J26*(1+nResidualBasisMarkup+nScarcityAlpha*POWER(J21,nScarcityGamma))</f>
        <v/>
      </c>
      <c r="K30" s="69">
        <f>K18*K27+K19*K28+K20*K29+K21*K26*(1+nResidualBasisMarkup+nScarcityAlpha*POWER(K21,nScarcityGamma))</f>
        <v/>
      </c>
      <c r="L30" s="69">
        <f>L18*L27+L19*L28+L20*L29+L21*L26*(1+nResidualBasisMarkup+nScarcityAlpha*POWER(L21,nScarcityGamma))</f>
        <v/>
      </c>
      <c r="M30" s="69">
        <f>M18*M27+M19*M28+M20*M29+M21*M26*(1+nResidualBasisMarkup+nScarcityAlpha*POWER(M21,nScarcityGamma))</f>
        <v/>
      </c>
      <c r="N30" s="69">
        <f>N18*N27+N19*N28+N20*N29+N21*N26*(1+nResidualBasisMarkup+nScarcityAlpha*POWER(N21,nScarcityGamma))</f>
        <v/>
      </c>
      <c r="O30" s="69">
        <f>O18*O27+O19*O28+O20*O29+O21*O26*(1+nResidualBasisMarkup+nScarcityAlpha*POWER(O21,nScarcityGamma))</f>
        <v/>
      </c>
      <c r="P30" s="69">
        <f>P18*P27+P19*P28+P20*P29+P21*P26*(1+nResidualBasisMarkup+nScarcityAlpha*POWER(P21,nScarcityGamma))</f>
        <v/>
      </c>
      <c r="Q30" s="69">
        <f>Q18*Q27+Q19*Q28+Q20*Q29+Q21*Q26*(1+nResidualBasisMarkup+nScarcityAlpha*POWER(Q21,nScarcityGamma))</f>
        <v/>
      </c>
      <c r="R30" s="69">
        <f>R18*R27+R19*R28+R20*R29+R21*R26*(1+nResidualBasisMarkup+nScarcityAlpha*POWER(R21,nScarcityGamma))</f>
        <v/>
      </c>
      <c r="S30" s="69">
        <f>S18*S27+S19*S28+S20*S29+S21*S26*(1+nResidualBasisMarkup+nScarcityAlpha*POWER(S21,nScarcityGamma))</f>
        <v/>
      </c>
      <c r="T30" s="69">
        <f>T18*T27+T19*T28+T20*T29+T21*T26*(1+nResidualBasisMarkup+nScarcityAlpha*POWER(T21,nScarcityGamma))</f>
        <v/>
      </c>
      <c r="U30" s="1" t="n"/>
      <c r="V30" s="1" t="n"/>
      <c r="W30" s="1" t="n"/>
      <c r="X30" s="1" t="n"/>
      <c r="Y30" s="1" t="n"/>
      <c r="Z30" s="1" t="n"/>
    </row>
    <row r="31">
      <c r="A31" s="1" t="n"/>
      <c r="B31" s="43" t="inlineStr">
        <is>
          <t>The N-SMR tranche uses Option 1. Step-ups, premiums, and credits price on the N-SMR rows, so changing this row alone would not match either contract book. Pricing the first step moves portfolio NPV savings by less than four percent across the cone.</t>
        </is>
      </c>
      <c r="C31" s="1" t="n"/>
      <c r="D31" s="1" t="n"/>
      <c r="E31" s="1" t="n"/>
      <c r="F31" s="1" t="n"/>
      <c r="G31" s="1" t="n"/>
      <c r="H31" s="1" t="n"/>
      <c r="I31" s="1" t="n"/>
      <c r="J31" s="1" t="n"/>
      <c r="K31" s="1" t="n"/>
      <c r="L31" s="1" t="n"/>
      <c r="M31" s="1" t="n"/>
      <c r="N31" s="1" t="n"/>
      <c r="O31" s="1" t="n"/>
      <c r="P31" s="1" t="n"/>
      <c r="Q31" s="1" t="n"/>
      <c r="R31" s="1" t="n"/>
      <c r="S31" s="1" t="n"/>
      <c r="T31" s="1" t="n"/>
      <c r="U31" s="1" t="n"/>
      <c r="V31" s="1" t="n"/>
      <c r="W31" s="1" t="n"/>
      <c r="X31" s="1" t="n"/>
      <c r="Y31" s="1" t="n"/>
      <c r="Z31" s="1" t="n"/>
    </row>
    <row r="32" ht="17" customHeight="1">
      <c r="A32" s="1" t="n"/>
      <c r="B32" s="22" t="inlineStr">
        <is>
          <t>Power cost and savings</t>
        </is>
      </c>
      <c r="C32" s="23" t="n"/>
      <c r="D32" s="23" t="n"/>
      <c r="E32" s="23" t="n"/>
      <c r="F32" s="23" t="n"/>
      <c r="G32" s="23" t="n"/>
      <c r="H32" s="23" t="n"/>
      <c r="I32" s="23" t="n"/>
      <c r="J32" s="23" t="n"/>
      <c r="K32" s="23" t="n"/>
      <c r="L32" s="23" t="n"/>
      <c r="M32" s="23" t="n"/>
      <c r="N32" s="23" t="n"/>
      <c r="O32" s="23" t="n"/>
      <c r="P32" s="23" t="n"/>
      <c r="Q32" s="23" t="n"/>
      <c r="R32" s="23" t="n"/>
      <c r="S32" s="23" t="n"/>
      <c r="T32" s="23" t="n"/>
      <c r="U32" s="1" t="n"/>
      <c r="V32" s="1" t="n"/>
      <c r="W32" s="1" t="n"/>
      <c r="X32" s="1" t="n"/>
      <c r="Y32" s="1" t="n"/>
      <c r="Z32" s="1" t="n"/>
    </row>
    <row r="33" ht="14" customHeight="1">
      <c r="A33" s="1" t="n"/>
      <c r="B33" s="39" t="inlineStr"/>
      <c r="C33" s="40" t="inlineStr">
        <is>
          <t>FY'23</t>
        </is>
      </c>
      <c r="D33" s="40" t="inlineStr">
        <is>
          <t>FY'24</t>
        </is>
      </c>
      <c r="E33" s="40" t="inlineStr">
        <is>
          <t>FY'25</t>
        </is>
      </c>
      <c r="F33" s="41" t="inlineStr">
        <is>
          <t>FY'26</t>
        </is>
      </c>
      <c r="G33" s="41" t="inlineStr">
        <is>
          <t>FY'27</t>
        </is>
      </c>
      <c r="H33" s="41" t="inlineStr">
        <is>
          <t>FY'28</t>
        </is>
      </c>
      <c r="I33" s="41" t="inlineStr">
        <is>
          <t>FY'29</t>
        </is>
      </c>
      <c r="J33" s="41" t="inlineStr">
        <is>
          <t>FY'30</t>
        </is>
      </c>
      <c r="K33" s="41" t="inlineStr">
        <is>
          <t>FY'31</t>
        </is>
      </c>
      <c r="L33" s="41" t="inlineStr">
        <is>
          <t>FY'32</t>
        </is>
      </c>
      <c r="M33" s="41" t="inlineStr">
        <is>
          <t>FY'33</t>
        </is>
      </c>
      <c r="N33" s="41" t="inlineStr">
        <is>
          <t>FY'34</t>
        </is>
      </c>
      <c r="O33" s="41" t="inlineStr">
        <is>
          <t>FY'35</t>
        </is>
      </c>
      <c r="P33" s="41" t="inlineStr">
        <is>
          <t>FY'36</t>
        </is>
      </c>
      <c r="Q33" s="41" t="inlineStr">
        <is>
          <t>FY'37</t>
        </is>
      </c>
      <c r="R33" s="41" t="inlineStr">
        <is>
          <t>FY'38</t>
        </is>
      </c>
      <c r="S33" s="41" t="inlineStr">
        <is>
          <t>FY'39</t>
        </is>
      </c>
      <c r="T33" s="41" t="inlineStr">
        <is>
          <t>FY'40</t>
        </is>
      </c>
      <c r="U33" s="1" t="n"/>
      <c r="V33" s="1" t="n"/>
      <c r="W33" s="1" t="n"/>
      <c r="X33" s="1" t="n"/>
      <c r="Y33" s="1" t="n"/>
      <c r="Z33" s="1" t="n"/>
    </row>
    <row r="34">
      <c r="A34" s="1" t="n"/>
      <c r="B34" s="29" t="inlineStr">
        <is>
          <t>Blended power cost ($B)</t>
        </is>
      </c>
      <c r="C34" s="1" t="n"/>
      <c r="D34" s="1" t="n"/>
      <c r="E34" s="1" t="n"/>
      <c r="F34" s="45">
        <f>F13*F30/1000</f>
        <v/>
      </c>
      <c r="G34" s="45">
        <f>G13*G30/1000</f>
        <v/>
      </c>
      <c r="H34" s="45">
        <f>H13*H30/1000</f>
        <v/>
      </c>
      <c r="I34" s="45">
        <f>I13*I30/1000</f>
        <v/>
      </c>
      <c r="J34" s="45">
        <f>J13*J30/1000</f>
        <v/>
      </c>
      <c r="K34" s="45">
        <f>K13*K30/1000</f>
        <v/>
      </c>
      <c r="L34" s="45">
        <f>L13*L30/1000</f>
        <v/>
      </c>
      <c r="M34" s="45">
        <f>M13*M30/1000</f>
        <v/>
      </c>
      <c r="N34" s="45">
        <f>N13*N30/1000</f>
        <v/>
      </c>
      <c r="O34" s="45">
        <f>O13*O30/1000</f>
        <v/>
      </c>
      <c r="P34" s="45">
        <f>P13*P30/1000</f>
        <v/>
      </c>
      <c r="Q34" s="45">
        <f>Q13*Q30/1000</f>
        <v/>
      </c>
      <c r="R34" s="45">
        <f>R13*R30/1000</f>
        <v/>
      </c>
      <c r="S34" s="45">
        <f>S13*S30/1000</f>
        <v/>
      </c>
      <c r="T34" s="45">
        <f>T13*T30/1000</f>
        <v/>
      </c>
      <c r="U34" s="1" t="n"/>
      <c r="V34" s="1" t="n"/>
      <c r="W34" s="1" t="n"/>
      <c r="X34" s="1" t="n"/>
      <c r="Y34" s="1" t="n"/>
      <c r="Z34" s="1" t="n"/>
    </row>
    <row r="35">
      <c r="A35" s="1" t="n"/>
      <c r="B35" s="29" t="inlineStr">
        <is>
          <t>All-residual power cost ($B)</t>
        </is>
      </c>
      <c r="C35" s="1" t="n"/>
      <c r="D35" s="1" t="n"/>
      <c r="E35" s="1" t="n"/>
      <c r="F35" s="45">
        <f>F13*F26*(1+nResidualBasisMarkup+nScarcityAlpha)/1000</f>
        <v/>
      </c>
      <c r="G35" s="45">
        <f>G13*G26*(1+nResidualBasisMarkup+nScarcityAlpha)/1000</f>
        <v/>
      </c>
      <c r="H35" s="45">
        <f>H13*H26*(1+nResidualBasisMarkup+nScarcityAlpha)/1000</f>
        <v/>
      </c>
      <c r="I35" s="45">
        <f>I13*I26*(1+nResidualBasisMarkup+nScarcityAlpha)/1000</f>
        <v/>
      </c>
      <c r="J35" s="45">
        <f>J13*J26*(1+nResidualBasisMarkup+nScarcityAlpha)/1000</f>
        <v/>
      </c>
      <c r="K35" s="45">
        <f>K13*K26*(1+nResidualBasisMarkup+nScarcityAlpha)/1000</f>
        <v/>
      </c>
      <c r="L35" s="45">
        <f>L13*L26*(1+nResidualBasisMarkup+nScarcityAlpha)/1000</f>
        <v/>
      </c>
      <c r="M35" s="45">
        <f>M13*M26*(1+nResidualBasisMarkup+nScarcityAlpha)/1000</f>
        <v/>
      </c>
      <c r="N35" s="45">
        <f>N13*N26*(1+nResidualBasisMarkup+nScarcityAlpha)/1000</f>
        <v/>
      </c>
      <c r="O35" s="45">
        <f>O13*O26*(1+nResidualBasisMarkup+nScarcityAlpha)/1000</f>
        <v/>
      </c>
      <c r="P35" s="45">
        <f>P13*P26*(1+nResidualBasisMarkup+nScarcityAlpha)/1000</f>
        <v/>
      </c>
      <c r="Q35" s="45">
        <f>Q13*Q26*(1+nResidualBasisMarkup+nScarcityAlpha)/1000</f>
        <v/>
      </c>
      <c r="R35" s="45">
        <f>R13*R26*(1+nResidualBasisMarkup+nScarcityAlpha)/1000</f>
        <v/>
      </c>
      <c r="S35" s="45">
        <f>S13*S26*(1+nResidualBasisMarkup+nScarcityAlpha)/1000</f>
        <v/>
      </c>
      <c r="T35" s="45">
        <f>T13*T26*(1+nResidualBasisMarkup+nScarcityAlpha)/1000</f>
        <v/>
      </c>
      <c r="U35" s="1" t="n"/>
      <c r="V35" s="1" t="n"/>
      <c r="W35" s="1" t="n"/>
      <c r="X35" s="1" t="n"/>
      <c r="Y35" s="1" t="n"/>
      <c r="Z35" s="1" t="n"/>
    </row>
    <row r="36">
      <c r="A36" s="1" t="n"/>
      <c r="B36" s="20" t="inlineStr">
        <is>
          <t>Savings vs all-residual ($B)</t>
        </is>
      </c>
      <c r="C36" s="1" t="n"/>
      <c r="D36" s="1" t="n"/>
      <c r="E36" s="1" t="n"/>
      <c r="F36" s="49">
        <f>F35-F34</f>
        <v/>
      </c>
      <c r="G36" s="49">
        <f>G35-G34</f>
        <v/>
      </c>
      <c r="H36" s="49">
        <f>H35-H34</f>
        <v/>
      </c>
      <c r="I36" s="49">
        <f>I35-I34</f>
        <v/>
      </c>
      <c r="J36" s="49">
        <f>J35-J34</f>
        <v/>
      </c>
      <c r="K36" s="49">
        <f>K35-K34</f>
        <v/>
      </c>
      <c r="L36" s="49">
        <f>L35-L34</f>
        <v/>
      </c>
      <c r="M36" s="49">
        <f>M35-M34</f>
        <v/>
      </c>
      <c r="N36" s="49">
        <f>N35-N34</f>
        <v/>
      </c>
      <c r="O36" s="49">
        <f>O35-O34</f>
        <v/>
      </c>
      <c r="P36" s="49">
        <f>P35-P34</f>
        <v/>
      </c>
      <c r="Q36" s="49">
        <f>Q35-Q34</f>
        <v/>
      </c>
      <c r="R36" s="49">
        <f>R35-R34</f>
        <v/>
      </c>
      <c r="S36" s="49">
        <f>S35-S34</f>
        <v/>
      </c>
      <c r="T36" s="49">
        <f>T35-T34</f>
        <v/>
      </c>
      <c r="U36" s="1" t="n"/>
      <c r="V36" s="1" t="n"/>
      <c r="W36" s="1" t="n"/>
      <c r="X36" s="1" t="n"/>
      <c r="Y36" s="1" t="n"/>
      <c r="Z36" s="1" t="n"/>
    </row>
    <row r="37">
      <c r="A37" s="1" t="n"/>
      <c r="B37" s="29" t="inlineStr">
        <is>
          <t>Cumulative savings ($B)</t>
        </is>
      </c>
      <c r="C37" s="1" t="n"/>
      <c r="D37" s="1" t="n"/>
      <c r="E37" s="1" t="n"/>
      <c r="F37" s="45">
        <f>F36</f>
        <v/>
      </c>
      <c r="G37" s="45">
        <f>F37+G36</f>
        <v/>
      </c>
      <c r="H37" s="45">
        <f>G37+H36</f>
        <v/>
      </c>
      <c r="I37" s="45">
        <f>H37+I36</f>
        <v/>
      </c>
      <c r="J37" s="45">
        <f>I37+J36</f>
        <v/>
      </c>
      <c r="K37" s="45">
        <f>J37+K36</f>
        <v/>
      </c>
      <c r="L37" s="45">
        <f>K37+L36</f>
        <v/>
      </c>
      <c r="M37" s="45">
        <f>L37+M36</f>
        <v/>
      </c>
      <c r="N37" s="45">
        <f>M37+N36</f>
        <v/>
      </c>
      <c r="O37" s="45">
        <f>N37+O36</f>
        <v/>
      </c>
      <c r="P37" s="45">
        <f>O37+P36</f>
        <v/>
      </c>
      <c r="Q37" s="45">
        <f>P37+Q36</f>
        <v/>
      </c>
      <c r="R37" s="45">
        <f>Q37+R36</f>
        <v/>
      </c>
      <c r="S37" s="45">
        <f>R37+S36</f>
        <v/>
      </c>
      <c r="T37" s="45">
        <f>S37+T36</f>
        <v/>
      </c>
      <c r="U37" s="1" t="n"/>
      <c r="V37" s="1" t="n"/>
      <c r="W37" s="1" t="n"/>
      <c r="X37" s="1" t="n"/>
      <c r="Y37" s="1" t="n"/>
      <c r="Z37" s="1" t="n"/>
    </row>
    <row r="38">
      <c r="A38" s="1" t="n"/>
      <c r="B38" s="29" t="inlineStr">
        <is>
          <t>N-SMR allocation (GW)</t>
        </is>
      </c>
      <c r="C38" s="1" t="n"/>
      <c r="D38" s="1" t="n"/>
      <c r="E38" s="1" t="n"/>
      <c r="F38" s="42">
        <f>F20*F14</f>
        <v/>
      </c>
      <c r="G38" s="42">
        <f>G20*G14</f>
        <v/>
      </c>
      <c r="H38" s="42">
        <f>H20*H14</f>
        <v/>
      </c>
      <c r="I38" s="42">
        <f>I20*I14</f>
        <v/>
      </c>
      <c r="J38" s="42">
        <f>J20*J14</f>
        <v/>
      </c>
      <c r="K38" s="42">
        <f>K20*K14</f>
        <v/>
      </c>
      <c r="L38" s="42">
        <f>L20*L14</f>
        <v/>
      </c>
      <c r="M38" s="42">
        <f>M20*M14</f>
        <v/>
      </c>
      <c r="N38" s="42">
        <f>N20*N14</f>
        <v/>
      </c>
      <c r="O38" s="42">
        <f>O20*O14</f>
        <v/>
      </c>
      <c r="P38" s="42">
        <f>P20*P14</f>
        <v/>
      </c>
      <c r="Q38" s="42">
        <f>Q20*Q14</f>
        <v/>
      </c>
      <c r="R38" s="42">
        <f>R20*R14</f>
        <v/>
      </c>
      <c r="S38" s="42">
        <f>S20*S14</f>
        <v/>
      </c>
      <c r="T38" s="42">
        <f>T20*T14</f>
        <v/>
      </c>
      <c r="U38" s="1" t="n"/>
      <c r="V38" s="1" t="n"/>
      <c r="W38" s="1" t="n"/>
      <c r="X38" s="1" t="n"/>
      <c r="Y38" s="1" t="n"/>
      <c r="Z38" s="1" t="n"/>
    </row>
    <row r="39">
      <c r="A39" s="1" t="n"/>
      <c r="B39" s="20" t="inlineStr">
        <is>
          <t>Units required, N-SMR (340 MWe)</t>
        </is>
      </c>
      <c r="C39" s="1" t="n"/>
      <c r="D39" s="1" t="n"/>
      <c r="E39" s="1" t="n"/>
      <c r="F39" s="79">
        <f>CEILING(F38*1000/sNsmrUnitMw,1)</f>
        <v/>
      </c>
      <c r="G39" s="79">
        <f>CEILING(G38*1000/sNsmrUnitMw,1)</f>
        <v/>
      </c>
      <c r="H39" s="79">
        <f>CEILING(H38*1000/sNsmrUnitMw,1)</f>
        <v/>
      </c>
      <c r="I39" s="79">
        <f>CEILING(I38*1000/sNsmrUnitMw,1)</f>
        <v/>
      </c>
      <c r="J39" s="79">
        <f>CEILING(J38*1000/sNsmrUnitMw,1)</f>
        <v/>
      </c>
      <c r="K39" s="79">
        <f>CEILING(K38*1000/sNsmrUnitMw,1)</f>
        <v/>
      </c>
      <c r="L39" s="79">
        <f>CEILING(L38*1000/sNsmrUnitMw,1)</f>
        <v/>
      </c>
      <c r="M39" s="79">
        <f>CEILING(M38*1000/sNsmrUnitMw,1)</f>
        <v/>
      </c>
      <c r="N39" s="79">
        <f>CEILING(N38*1000/sNsmrUnitMw,1)</f>
        <v/>
      </c>
      <c r="O39" s="79">
        <f>CEILING(O38*1000/sNsmrUnitMw,1)</f>
        <v/>
      </c>
      <c r="P39" s="79">
        <f>CEILING(P38*1000/sNsmrUnitMw,1)</f>
        <v/>
      </c>
      <c r="Q39" s="79">
        <f>CEILING(Q38*1000/sNsmrUnitMw,1)</f>
        <v/>
      </c>
      <c r="R39" s="79">
        <f>CEILING(R38*1000/sNsmrUnitMw,1)</f>
        <v/>
      </c>
      <c r="S39" s="79">
        <f>CEILING(S38*1000/sNsmrUnitMw,1)</f>
        <v/>
      </c>
      <c r="T39" s="79">
        <f>CEILING(T38*1000/sNsmrUnitMw,1)</f>
        <v/>
      </c>
      <c r="U39" s="1" t="n"/>
      <c r="V39" s="1" t="n"/>
      <c r="W39" s="1" t="n"/>
      <c r="X39" s="1" t="n"/>
      <c r="Y39" s="1" t="n"/>
      <c r="Z39" s="1" t="n"/>
    </row>
    <row r="40">
      <c r="A40" s="1" t="n"/>
      <c r="B40" s="1" t="n"/>
      <c r="C40" s="1" t="n"/>
      <c r="D40" s="1" t="n"/>
      <c r="E40" s="1" t="n"/>
      <c r="F40" s="1" t="n"/>
      <c r="G40" s="1" t="n"/>
      <c r="H40" s="1" t="n"/>
      <c r="I40" s="1" t="n"/>
      <c r="J40" s="1" t="n"/>
      <c r="K40" s="1" t="n"/>
      <c r="L40" s="1" t="n"/>
      <c r="M40" s="1" t="n"/>
      <c r="N40" s="1" t="n"/>
      <c r="O40" s="1" t="n"/>
      <c r="P40" s="1" t="n"/>
      <c r="Q40" s="1" t="n"/>
      <c r="R40" s="1" t="n"/>
      <c r="S40" s="1" t="n"/>
      <c r="T40" s="1" t="n"/>
      <c r="U40" s="1" t="n"/>
      <c r="V40" s="1" t="n"/>
      <c r="W40" s="1" t="n"/>
      <c r="X40" s="1" t="n"/>
      <c r="Y40" s="1" t="n"/>
      <c r="Z40" s="1" t="n"/>
    </row>
    <row r="41">
      <c r="A41" s="1" t="n"/>
      <c r="B41" s="20" t="inlineStr">
        <is>
          <t>Savings NPV at the risk-adjusted rate, FY2026-FY2040</t>
        </is>
      </c>
      <c r="C41" s="50">
        <f>NPV(RaDisc,F36:T36)</f>
        <v/>
      </c>
      <c r="D41" s="1" t="n"/>
      <c r="E41" s="1" t="n"/>
      <c r="F41" s="1" t="n"/>
      <c r="G41" s="1" t="n"/>
      <c r="H41" s="1" t="n"/>
      <c r="I41" s="1" t="n"/>
      <c r="J41" s="1" t="n"/>
      <c r="K41" s="1" t="n"/>
      <c r="L41" s="1" t="n"/>
      <c r="M41" s="1" t="n"/>
      <c r="N41" s="1" t="n"/>
      <c r="O41" s="1" t="n"/>
      <c r="P41" s="1" t="n"/>
      <c r="Q41" s="1" t="n"/>
      <c r="R41" s="1" t="n"/>
      <c r="S41" s="1" t="n"/>
      <c r="T41" s="1" t="n"/>
      <c r="U41" s="1" t="n"/>
      <c r="V41" s="1" t="n"/>
      <c r="W41" s="1" t="n"/>
      <c r="X41" s="1" t="n"/>
      <c r="Y41" s="1" t="n"/>
      <c r="Z41" s="1" t="n"/>
    </row>
    <row r="42">
      <c r="A42" s="1" t="n"/>
      <c r="B42" s="1" t="n"/>
      <c r="C42" s="1" t="n"/>
      <c r="D42" s="1" t="n"/>
      <c r="E42" s="1" t="n"/>
      <c r="F42" s="1" t="n"/>
      <c r="G42" s="1" t="n"/>
      <c r="H42" s="1" t="n"/>
      <c r="I42" s="1" t="n"/>
      <c r="J42" s="1" t="n"/>
      <c r="K42" s="1" t="n"/>
      <c r="L42" s="1" t="n"/>
      <c r="M42" s="1" t="n"/>
      <c r="N42" s="1" t="n"/>
      <c r="O42" s="1" t="n"/>
      <c r="P42" s="1" t="n"/>
      <c r="Q42" s="1" t="n"/>
      <c r="R42" s="1" t="n"/>
      <c r="S42" s="1" t="n"/>
      <c r="T42" s="1" t="n"/>
      <c r="U42" s="1" t="n"/>
      <c r="V42" s="1" t="n"/>
      <c r="W42" s="1" t="n"/>
      <c r="X42" s="1" t="n"/>
      <c r="Y42" s="1" t="n"/>
      <c r="Z42" s="1" t="n"/>
    </row>
    <row r="43" ht="17" customHeight="1">
      <c r="A43" s="1" t="n"/>
      <c r="B43" s="22" t="inlineStr">
        <is>
          <t>Scenario cone</t>
        </is>
      </c>
      <c r="C43" s="23" t="n"/>
      <c r="D43" s="23" t="n"/>
      <c r="E43" s="23" t="n"/>
      <c r="F43" s="23" t="n"/>
      <c r="G43" s="23" t="n"/>
      <c r="H43" s="23" t="n"/>
      <c r="I43" s="23" t="n"/>
      <c r="J43" s="23" t="n"/>
      <c r="K43" s="23" t="n"/>
      <c r="L43" s="23" t="n"/>
      <c r="M43" s="23" t="n"/>
      <c r="N43" s="23" t="n"/>
      <c r="O43" s="23" t="n"/>
      <c r="P43" s="23" t="n"/>
      <c r="Q43" s="23" t="n"/>
      <c r="R43" s="23" t="n"/>
      <c r="S43" s="23" t="n"/>
      <c r="T43" s="23" t="n"/>
      <c r="U43" s="1" t="n"/>
      <c r="V43" s="1" t="n"/>
      <c r="W43" s="1" t="n"/>
      <c r="X43" s="1" t="n"/>
      <c r="Y43" s="1" t="n"/>
      <c r="Z43" s="1" t="n"/>
    </row>
    <row r="44" ht="14" customHeight="1">
      <c r="A44" s="1" t="n"/>
      <c r="B44" s="39" t="inlineStr"/>
      <c r="C44" s="40" t="inlineStr">
        <is>
          <t>FY'23</t>
        </is>
      </c>
      <c r="D44" s="40" t="inlineStr">
        <is>
          <t>FY'24</t>
        </is>
      </c>
      <c r="E44" s="40" t="inlineStr">
        <is>
          <t>FY'25</t>
        </is>
      </c>
      <c r="F44" s="41" t="inlineStr">
        <is>
          <t>FY'26</t>
        </is>
      </c>
      <c r="G44" s="41" t="inlineStr">
        <is>
          <t>FY'27</t>
        </is>
      </c>
      <c r="H44" s="41" t="inlineStr">
        <is>
          <t>FY'28</t>
        </is>
      </c>
      <c r="I44" s="41" t="inlineStr">
        <is>
          <t>FY'29</t>
        </is>
      </c>
      <c r="J44" s="41" t="inlineStr">
        <is>
          <t>FY'30</t>
        </is>
      </c>
      <c r="K44" s="41" t="inlineStr">
        <is>
          <t>FY'31</t>
        </is>
      </c>
      <c r="L44" s="41" t="inlineStr">
        <is>
          <t>FY'32</t>
        </is>
      </c>
      <c r="M44" s="41" t="inlineStr">
        <is>
          <t>FY'33</t>
        </is>
      </c>
      <c r="N44" s="41" t="inlineStr">
        <is>
          <t>FY'34</t>
        </is>
      </c>
      <c r="O44" s="41" t="inlineStr">
        <is>
          <t>FY'35</t>
        </is>
      </c>
      <c r="P44" s="41" t="inlineStr">
        <is>
          <t>FY'36</t>
        </is>
      </c>
      <c r="Q44" s="41" t="inlineStr">
        <is>
          <t>FY'37</t>
        </is>
      </c>
      <c r="R44" s="41" t="inlineStr">
        <is>
          <t>FY'38</t>
        </is>
      </c>
      <c r="S44" s="41" t="inlineStr">
        <is>
          <t>FY'39</t>
        </is>
      </c>
      <c r="T44" s="41" t="inlineStr">
        <is>
          <t>FY'40</t>
        </is>
      </c>
      <c r="U44" s="1" t="n"/>
      <c r="V44" s="1" t="n"/>
      <c r="W44" s="1" t="n"/>
      <c r="X44" s="1" t="n"/>
      <c r="Y44" s="1" t="n"/>
      <c r="Z44" s="1" t="n"/>
    </row>
    <row r="45">
      <c r="A45" s="1" t="n"/>
      <c r="B45" s="29" t="inlineStr">
        <is>
          <t>Bear: growth path</t>
        </is>
      </c>
      <c r="C45" s="1" t="n"/>
      <c r="D45" s="1" t="n"/>
      <c r="E45" s="1" t="n"/>
      <c r="F45" s="1" t="n"/>
      <c r="G45" s="48">
        <f>Assumptions!$D$16</f>
        <v/>
      </c>
      <c r="H45" s="48">
        <f>MAX(nGTerm,G45*nGDecay)</f>
        <v/>
      </c>
      <c r="I45" s="48">
        <f>MAX(nGTerm,H45*nGDecay)</f>
        <v/>
      </c>
      <c r="J45" s="48">
        <f>MAX(nGTerm,I45*nGDecay)</f>
        <v/>
      </c>
      <c r="K45" s="48">
        <f>MAX(nGTerm,J45*nGDecay)</f>
        <v/>
      </c>
      <c r="L45" s="48">
        <f>MAX(nGTerm,K45*nGDecay)</f>
        <v/>
      </c>
      <c r="M45" s="48">
        <f>MAX(nGTerm,L45*nGDecay)</f>
        <v/>
      </c>
      <c r="N45" s="48">
        <f>MAX(nGTerm,M45*nGDecay)</f>
        <v/>
      </c>
      <c r="O45" s="48">
        <f>MAX(nGTerm,N45*nGDecay)</f>
        <v/>
      </c>
      <c r="P45" s="48">
        <f>MAX(nGTerm,O45*nGDecay)</f>
        <v/>
      </c>
      <c r="Q45" s="48">
        <f>MAX(nGTerm,P45*nGDecay)</f>
        <v/>
      </c>
      <c r="R45" s="48">
        <f>MAX(nGTerm,Q45*nGDecay)</f>
        <v/>
      </c>
      <c r="S45" s="48">
        <f>MAX(nGTerm,R45*nGDecay)</f>
        <v/>
      </c>
      <c r="T45" s="48">
        <f>MAX(nGTerm,S45*nGDecay)</f>
        <v/>
      </c>
      <c r="U45" s="1" t="n"/>
      <c r="V45" s="1" t="n"/>
      <c r="W45" s="1" t="n"/>
      <c r="X45" s="1" t="n"/>
      <c r="Y45" s="1" t="n"/>
      <c r="Z45" s="1" t="n"/>
    </row>
    <row r="46">
      <c r="A46" s="1" t="n"/>
      <c r="B46" s="29" t="inlineStr">
        <is>
          <t>Bear: revenue run-rate ($B)</t>
        </is>
      </c>
      <c r="C46" s="1" t="n"/>
      <c r="D46" s="1" t="n"/>
      <c r="E46" s="1" t="n"/>
      <c r="F46" s="51">
        <f>nRev26</f>
        <v/>
      </c>
      <c r="G46" s="51">
        <f>F46*(1+G45)</f>
        <v/>
      </c>
      <c r="H46" s="51">
        <f>G46*(1+H45)</f>
        <v/>
      </c>
      <c r="I46" s="51">
        <f>H46*(1+I45)</f>
        <v/>
      </c>
      <c r="J46" s="51">
        <f>I46*(1+J45)</f>
        <v/>
      </c>
      <c r="K46" s="51">
        <f>J46*(1+K45)</f>
        <v/>
      </c>
      <c r="L46" s="51">
        <f>K46*(1+L45)</f>
        <v/>
      </c>
      <c r="M46" s="51">
        <f>L46*(1+M45)</f>
        <v/>
      </c>
      <c r="N46" s="51">
        <f>M46*(1+N45)</f>
        <v/>
      </c>
      <c r="O46" s="51">
        <f>N46*(1+O45)</f>
        <v/>
      </c>
      <c r="P46" s="51">
        <f>O46*(1+P45)</f>
        <v/>
      </c>
      <c r="Q46" s="51">
        <f>P46*(1+Q45)</f>
        <v/>
      </c>
      <c r="R46" s="51">
        <f>Q46*(1+R45)</f>
        <v/>
      </c>
      <c r="S46" s="51">
        <f>R46*(1+S45)</f>
        <v/>
      </c>
      <c r="T46" s="51">
        <f>S46*(1+T45)</f>
        <v/>
      </c>
      <c r="U46" s="1" t="n"/>
      <c r="V46" s="1" t="n"/>
      <c r="W46" s="1" t="n"/>
      <c r="X46" s="1" t="n"/>
      <c r="Y46" s="1" t="n"/>
      <c r="Z46" s="1" t="n"/>
    </row>
    <row r="47">
      <c r="A47" s="1" t="n"/>
      <c r="B47" s="29" t="inlineStr">
        <is>
          <t>Bear: average load (GW)</t>
        </is>
      </c>
      <c r="C47" s="1" t="n"/>
      <c r="D47" s="1" t="n"/>
      <c r="E47" s="1" t="n"/>
      <c r="F47" s="42">
        <f>F46/(nListPrice*(1-Assumptions!$D$8)*(1+nPriceDrift)^(F$5-2026))*PowerIntensity*(1+nEffDrift)^(F$5-2026)*1000*1000/8760</f>
        <v/>
      </c>
      <c r="G47" s="42">
        <f>G46/(nListPrice*(1-Assumptions!$D$8)*(1+nPriceDrift)^(G$5-2026))*PowerIntensity*(1+nEffDrift)^(G$5-2026)*1000*1000/8760</f>
        <v/>
      </c>
      <c r="H47" s="42">
        <f>H46/(nListPrice*(1-Assumptions!$D$8)*(1+nPriceDrift)^(H$5-2026))*PowerIntensity*(1+nEffDrift)^(H$5-2026)*1000*1000/8760</f>
        <v/>
      </c>
      <c r="I47" s="42">
        <f>I46/(nListPrice*(1-Assumptions!$D$8)*(1+nPriceDrift)^(I$5-2026))*PowerIntensity*(1+nEffDrift)^(I$5-2026)*1000*1000/8760</f>
        <v/>
      </c>
      <c r="J47" s="42">
        <f>J46/(nListPrice*(1-Assumptions!$D$8)*(1+nPriceDrift)^(J$5-2026))*PowerIntensity*(1+nEffDrift)^(J$5-2026)*1000*1000/8760</f>
        <v/>
      </c>
      <c r="K47" s="42">
        <f>K46/(nListPrice*(1-Assumptions!$D$8)*(1+nPriceDrift)^(K$5-2026))*PowerIntensity*(1+nEffDrift)^(K$5-2026)*1000*1000/8760</f>
        <v/>
      </c>
      <c r="L47" s="42">
        <f>L46/(nListPrice*(1-Assumptions!$D$8)*(1+nPriceDrift)^(L$5-2026))*PowerIntensity*(1+nEffDrift)^(L$5-2026)*1000*1000/8760</f>
        <v/>
      </c>
      <c r="M47" s="42">
        <f>M46/(nListPrice*(1-Assumptions!$D$8)*(1+nPriceDrift)^(M$5-2026))*PowerIntensity*(1+nEffDrift)^(M$5-2026)*1000*1000/8760</f>
        <v/>
      </c>
      <c r="N47" s="42">
        <f>N46/(nListPrice*(1-Assumptions!$D$8)*(1+nPriceDrift)^(N$5-2026))*PowerIntensity*(1+nEffDrift)^(N$5-2026)*1000*1000/8760</f>
        <v/>
      </c>
      <c r="O47" s="42">
        <f>O46/(nListPrice*(1-Assumptions!$D$8)*(1+nPriceDrift)^(O$5-2026))*PowerIntensity*(1+nEffDrift)^(O$5-2026)*1000*1000/8760</f>
        <v/>
      </c>
      <c r="P47" s="42">
        <f>P46/(nListPrice*(1-Assumptions!$D$8)*(1+nPriceDrift)^(P$5-2026))*PowerIntensity*(1+nEffDrift)^(P$5-2026)*1000*1000/8760</f>
        <v/>
      </c>
      <c r="Q47" s="42">
        <f>Q46/(nListPrice*(1-Assumptions!$D$8)*(1+nPriceDrift)^(Q$5-2026))*PowerIntensity*(1+nEffDrift)^(Q$5-2026)*1000*1000/8760</f>
        <v/>
      </c>
      <c r="R47" s="42">
        <f>R46/(nListPrice*(1-Assumptions!$D$8)*(1+nPriceDrift)^(R$5-2026))*PowerIntensity*(1+nEffDrift)^(R$5-2026)*1000*1000/8760</f>
        <v/>
      </c>
      <c r="S47" s="42">
        <f>S46/(nListPrice*(1-Assumptions!$D$8)*(1+nPriceDrift)^(S$5-2026))*PowerIntensity*(1+nEffDrift)^(S$5-2026)*1000*1000/8760</f>
        <v/>
      </c>
      <c r="T47" s="42">
        <f>T46/(nListPrice*(1-Assumptions!$D$8)*(1+nPriceDrift)^(T$5-2026))*PowerIntensity*(1+nEffDrift)^(T$5-2026)*1000*1000/8760</f>
        <v/>
      </c>
      <c r="U47" s="1" t="n"/>
      <c r="V47" s="1" t="n"/>
      <c r="W47" s="1" t="n"/>
      <c r="X47" s="1" t="n"/>
      <c r="Y47" s="1" t="n"/>
      <c r="Z47" s="1" t="n"/>
    </row>
    <row r="48">
      <c r="A48" s="1" t="n"/>
      <c r="B48" s="29" t="inlineStr">
        <is>
          <t>Bear: blended power ($/MWh)</t>
        </is>
      </c>
      <c r="C48" s="1" t="n"/>
      <c r="D48" s="1" t="n"/>
      <c r="E48" s="1" t="n"/>
      <c r="F48" s="71">
        <f>F18*F27+F19*F28+F20*F29+F21*(Assumptions!$D$11*(1+nPowerCagr)^(F$5-2026))*(1+nResidualBasisMarkup+nScarcityAlpha*POWER(F21,nScarcityGamma))</f>
        <v/>
      </c>
      <c r="G48" s="71">
        <f>G18*G27+G19*G28+G20*G29+G21*(Assumptions!$D$11*(1+nPowerCagr)^(G$5-2026))*(1+nResidualBasisMarkup+nScarcityAlpha*POWER(G21,nScarcityGamma))</f>
        <v/>
      </c>
      <c r="H48" s="71">
        <f>H18*H27+H19*H28+H20*H29+H21*(Assumptions!$D$11*(1+nPowerCagr)^(H$5-2026))*(1+nResidualBasisMarkup+nScarcityAlpha*POWER(H21,nScarcityGamma))</f>
        <v/>
      </c>
      <c r="I48" s="71">
        <f>I18*I27+I19*I28+I20*I29+I21*(Assumptions!$D$11*(1+nPowerCagr)^(I$5-2026))*(1+nResidualBasisMarkup+nScarcityAlpha*POWER(I21,nScarcityGamma))</f>
        <v/>
      </c>
      <c r="J48" s="71">
        <f>J18*J27+J19*J28+J20*J29+J21*(Assumptions!$D$11*(1+nPowerCagr)^(J$5-2026))*(1+nResidualBasisMarkup+nScarcityAlpha*POWER(J21,nScarcityGamma))</f>
        <v/>
      </c>
      <c r="K48" s="71">
        <f>K18*K27+K19*K28+K20*K29+K21*(Assumptions!$D$11*(1+nPowerCagr)^(K$5-2026))*(1+nResidualBasisMarkup+nScarcityAlpha*POWER(K21,nScarcityGamma))</f>
        <v/>
      </c>
      <c r="L48" s="71">
        <f>L18*L27+L19*L28+L20*L29+L21*(Assumptions!$D$11*(1+nPowerCagr)^(L$5-2026))*(1+nResidualBasisMarkup+nScarcityAlpha*POWER(L21,nScarcityGamma))</f>
        <v/>
      </c>
      <c r="M48" s="71">
        <f>M18*M27+M19*M28+M20*M29+M21*(Assumptions!$D$11*(1+nPowerCagr)^(M$5-2026))*(1+nResidualBasisMarkup+nScarcityAlpha*POWER(M21,nScarcityGamma))</f>
        <v/>
      </c>
      <c r="N48" s="71">
        <f>N18*N27+N19*N28+N20*N29+N21*(Assumptions!$D$11*(1+nPowerCagr)^(N$5-2026))*(1+nResidualBasisMarkup+nScarcityAlpha*POWER(N21,nScarcityGamma))</f>
        <v/>
      </c>
      <c r="O48" s="71">
        <f>O18*O27+O19*O28+O20*O29+O21*(Assumptions!$D$11*(1+nPowerCagr)^(O$5-2026))*(1+nResidualBasisMarkup+nScarcityAlpha*POWER(O21,nScarcityGamma))</f>
        <v/>
      </c>
      <c r="P48" s="71">
        <f>P18*P27+P19*P28+P20*P29+P21*(Assumptions!$D$11*(1+nPowerCagr)^(P$5-2026))*(1+nResidualBasisMarkup+nScarcityAlpha*POWER(P21,nScarcityGamma))</f>
        <v/>
      </c>
      <c r="Q48" s="71">
        <f>Q18*Q27+Q19*Q28+Q20*Q29+Q21*(Assumptions!$D$11*(1+nPowerCagr)^(Q$5-2026))*(1+nResidualBasisMarkup+nScarcityAlpha*POWER(Q21,nScarcityGamma))</f>
        <v/>
      </c>
      <c r="R48" s="71">
        <f>R18*R27+R19*R28+R20*R29+R21*(Assumptions!$D$11*(1+nPowerCagr)^(R$5-2026))*(1+nResidualBasisMarkup+nScarcityAlpha*POWER(R21,nScarcityGamma))</f>
        <v/>
      </c>
      <c r="S48" s="71">
        <f>S18*S27+S19*S28+S20*S29+S21*(Assumptions!$D$11*(1+nPowerCagr)^(S$5-2026))*(1+nResidualBasisMarkup+nScarcityAlpha*POWER(S21,nScarcityGamma))</f>
        <v/>
      </c>
      <c r="T48" s="71">
        <f>T18*T27+T19*T28+T20*T29+T21*(Assumptions!$D$11*(1+nPowerCagr)^(T$5-2026))*(1+nResidualBasisMarkup+nScarcityAlpha*POWER(T21,nScarcityGamma))</f>
        <v/>
      </c>
      <c r="U48" s="1" t="n"/>
      <c r="V48" s="1" t="n"/>
      <c r="W48" s="1" t="n"/>
      <c r="X48" s="1" t="n"/>
      <c r="Y48" s="1" t="n"/>
      <c r="Z48" s="1" t="n"/>
    </row>
    <row r="49">
      <c r="A49" s="1" t="n"/>
      <c r="B49" s="29" t="inlineStr">
        <is>
          <t>Base: growth path</t>
        </is>
      </c>
      <c r="C49" s="1" t="n"/>
      <c r="D49" s="1" t="n"/>
      <c r="E49" s="1" t="n"/>
      <c r="F49" s="1" t="n"/>
      <c r="G49" s="48">
        <f>Assumptions!$E$16</f>
        <v/>
      </c>
      <c r="H49" s="48">
        <f>MAX(nGTerm,G49*nGDecay)</f>
        <v/>
      </c>
      <c r="I49" s="48">
        <f>MAX(nGTerm,H49*nGDecay)</f>
        <v/>
      </c>
      <c r="J49" s="48">
        <f>MAX(nGTerm,I49*nGDecay)</f>
        <v/>
      </c>
      <c r="K49" s="48">
        <f>MAX(nGTerm,J49*nGDecay)</f>
        <v/>
      </c>
      <c r="L49" s="48">
        <f>MAX(nGTerm,K49*nGDecay)</f>
        <v/>
      </c>
      <c r="M49" s="48">
        <f>MAX(nGTerm,L49*nGDecay)</f>
        <v/>
      </c>
      <c r="N49" s="48">
        <f>MAX(nGTerm,M49*nGDecay)</f>
        <v/>
      </c>
      <c r="O49" s="48">
        <f>MAX(nGTerm,N49*nGDecay)</f>
        <v/>
      </c>
      <c r="P49" s="48">
        <f>MAX(nGTerm,O49*nGDecay)</f>
        <v/>
      </c>
      <c r="Q49" s="48">
        <f>MAX(nGTerm,P49*nGDecay)</f>
        <v/>
      </c>
      <c r="R49" s="48">
        <f>MAX(nGTerm,Q49*nGDecay)</f>
        <v/>
      </c>
      <c r="S49" s="48">
        <f>MAX(nGTerm,R49*nGDecay)</f>
        <v/>
      </c>
      <c r="T49" s="48">
        <f>MAX(nGTerm,S49*nGDecay)</f>
        <v/>
      </c>
      <c r="U49" s="1" t="n"/>
      <c r="V49" s="1" t="n"/>
      <c r="W49" s="1" t="n"/>
      <c r="X49" s="1" t="n"/>
      <c r="Y49" s="1" t="n"/>
      <c r="Z49" s="1" t="n"/>
    </row>
    <row r="50">
      <c r="A50" s="1" t="n"/>
      <c r="B50" s="29" t="inlineStr">
        <is>
          <t>Base: revenue run-rate ($B)</t>
        </is>
      </c>
      <c r="C50" s="1" t="n"/>
      <c r="D50" s="1" t="n"/>
      <c r="E50" s="1" t="n"/>
      <c r="F50" s="51">
        <f>nRev26</f>
        <v/>
      </c>
      <c r="G50" s="51">
        <f>F50*(1+G49)</f>
        <v/>
      </c>
      <c r="H50" s="51">
        <f>G50*(1+H49)</f>
        <v/>
      </c>
      <c r="I50" s="51">
        <f>H50*(1+I49)</f>
        <v/>
      </c>
      <c r="J50" s="51">
        <f>I50*(1+J49)</f>
        <v/>
      </c>
      <c r="K50" s="51">
        <f>J50*(1+K49)</f>
        <v/>
      </c>
      <c r="L50" s="51">
        <f>K50*(1+L49)</f>
        <v/>
      </c>
      <c r="M50" s="51">
        <f>L50*(1+M49)</f>
        <v/>
      </c>
      <c r="N50" s="51">
        <f>M50*(1+N49)</f>
        <v/>
      </c>
      <c r="O50" s="51">
        <f>N50*(1+O49)</f>
        <v/>
      </c>
      <c r="P50" s="51">
        <f>O50*(1+P49)</f>
        <v/>
      </c>
      <c r="Q50" s="51">
        <f>P50*(1+Q49)</f>
        <v/>
      </c>
      <c r="R50" s="51">
        <f>Q50*(1+R49)</f>
        <v/>
      </c>
      <c r="S50" s="51">
        <f>R50*(1+S49)</f>
        <v/>
      </c>
      <c r="T50" s="51">
        <f>S50*(1+T49)</f>
        <v/>
      </c>
      <c r="U50" s="1" t="n"/>
      <c r="V50" s="1" t="n"/>
      <c r="W50" s="1" t="n"/>
      <c r="X50" s="1" t="n"/>
      <c r="Y50" s="1" t="n"/>
      <c r="Z50" s="1" t="n"/>
    </row>
    <row r="51">
      <c r="A51" s="1" t="n"/>
      <c r="B51" s="29" t="inlineStr">
        <is>
          <t>Base: average load (GW)</t>
        </is>
      </c>
      <c r="C51" s="1" t="n"/>
      <c r="D51" s="1" t="n"/>
      <c r="E51" s="1" t="n"/>
      <c r="F51" s="42">
        <f>F50/(nListPrice*(1-Assumptions!$E$8)*(1+nPriceDrift)^(F$5-2026))*PowerIntensity*(1+nEffDrift)^(F$5-2026)*1000*1000/8760</f>
        <v/>
      </c>
      <c r="G51" s="42">
        <f>G50/(nListPrice*(1-Assumptions!$E$8)*(1+nPriceDrift)^(G$5-2026))*PowerIntensity*(1+nEffDrift)^(G$5-2026)*1000*1000/8760</f>
        <v/>
      </c>
      <c r="H51" s="42">
        <f>H50/(nListPrice*(1-Assumptions!$E$8)*(1+nPriceDrift)^(H$5-2026))*PowerIntensity*(1+nEffDrift)^(H$5-2026)*1000*1000/8760</f>
        <v/>
      </c>
      <c r="I51" s="42">
        <f>I50/(nListPrice*(1-Assumptions!$E$8)*(1+nPriceDrift)^(I$5-2026))*PowerIntensity*(1+nEffDrift)^(I$5-2026)*1000*1000/8760</f>
        <v/>
      </c>
      <c r="J51" s="42">
        <f>J50/(nListPrice*(1-Assumptions!$E$8)*(1+nPriceDrift)^(J$5-2026))*PowerIntensity*(1+nEffDrift)^(J$5-2026)*1000*1000/8760</f>
        <v/>
      </c>
      <c r="K51" s="42">
        <f>K50/(nListPrice*(1-Assumptions!$E$8)*(1+nPriceDrift)^(K$5-2026))*PowerIntensity*(1+nEffDrift)^(K$5-2026)*1000*1000/8760</f>
        <v/>
      </c>
      <c r="L51" s="42">
        <f>L50/(nListPrice*(1-Assumptions!$E$8)*(1+nPriceDrift)^(L$5-2026))*PowerIntensity*(1+nEffDrift)^(L$5-2026)*1000*1000/8760</f>
        <v/>
      </c>
      <c r="M51" s="42">
        <f>M50/(nListPrice*(1-Assumptions!$E$8)*(1+nPriceDrift)^(M$5-2026))*PowerIntensity*(1+nEffDrift)^(M$5-2026)*1000*1000/8760</f>
        <v/>
      </c>
      <c r="N51" s="42">
        <f>N50/(nListPrice*(1-Assumptions!$E$8)*(1+nPriceDrift)^(N$5-2026))*PowerIntensity*(1+nEffDrift)^(N$5-2026)*1000*1000/8760</f>
        <v/>
      </c>
      <c r="O51" s="42">
        <f>O50/(nListPrice*(1-Assumptions!$E$8)*(1+nPriceDrift)^(O$5-2026))*PowerIntensity*(1+nEffDrift)^(O$5-2026)*1000*1000/8760</f>
        <v/>
      </c>
      <c r="P51" s="42">
        <f>P50/(nListPrice*(1-Assumptions!$E$8)*(1+nPriceDrift)^(P$5-2026))*PowerIntensity*(1+nEffDrift)^(P$5-2026)*1000*1000/8760</f>
        <v/>
      </c>
      <c r="Q51" s="42">
        <f>Q50/(nListPrice*(1-Assumptions!$E$8)*(1+nPriceDrift)^(Q$5-2026))*PowerIntensity*(1+nEffDrift)^(Q$5-2026)*1000*1000/8760</f>
        <v/>
      </c>
      <c r="R51" s="42">
        <f>R50/(nListPrice*(1-Assumptions!$E$8)*(1+nPriceDrift)^(R$5-2026))*PowerIntensity*(1+nEffDrift)^(R$5-2026)*1000*1000/8760</f>
        <v/>
      </c>
      <c r="S51" s="42">
        <f>S50/(nListPrice*(1-Assumptions!$E$8)*(1+nPriceDrift)^(S$5-2026))*PowerIntensity*(1+nEffDrift)^(S$5-2026)*1000*1000/8760</f>
        <v/>
      </c>
      <c r="T51" s="42">
        <f>T50/(nListPrice*(1-Assumptions!$E$8)*(1+nPriceDrift)^(T$5-2026))*PowerIntensity*(1+nEffDrift)^(T$5-2026)*1000*1000/8760</f>
        <v/>
      </c>
      <c r="U51" s="1" t="n"/>
      <c r="V51" s="1" t="n"/>
      <c r="W51" s="1" t="n"/>
      <c r="X51" s="1" t="n"/>
      <c r="Y51" s="1" t="n"/>
      <c r="Z51" s="1" t="n"/>
    </row>
    <row r="52">
      <c r="A52" s="1" t="n"/>
      <c r="B52" s="29" t="inlineStr">
        <is>
          <t>Base: blended power ($/MWh)</t>
        </is>
      </c>
      <c r="C52" s="1" t="n"/>
      <c r="D52" s="1" t="n"/>
      <c r="E52" s="1" t="n"/>
      <c r="F52" s="71">
        <f>F18*F27+F19*F28+F20*F29+F21*(Assumptions!$E$11*(1+nPowerCagr)^(F$5-2026))*(1+nResidualBasisMarkup+nScarcityAlpha*POWER(F21,nScarcityGamma))</f>
        <v/>
      </c>
      <c r="G52" s="71">
        <f>G18*G27+G19*G28+G20*G29+G21*(Assumptions!$E$11*(1+nPowerCagr)^(G$5-2026))*(1+nResidualBasisMarkup+nScarcityAlpha*POWER(G21,nScarcityGamma))</f>
        <v/>
      </c>
      <c r="H52" s="71">
        <f>H18*H27+H19*H28+H20*H29+H21*(Assumptions!$E$11*(1+nPowerCagr)^(H$5-2026))*(1+nResidualBasisMarkup+nScarcityAlpha*POWER(H21,nScarcityGamma))</f>
        <v/>
      </c>
      <c r="I52" s="71">
        <f>I18*I27+I19*I28+I20*I29+I21*(Assumptions!$E$11*(1+nPowerCagr)^(I$5-2026))*(1+nResidualBasisMarkup+nScarcityAlpha*POWER(I21,nScarcityGamma))</f>
        <v/>
      </c>
      <c r="J52" s="71">
        <f>J18*J27+J19*J28+J20*J29+J21*(Assumptions!$E$11*(1+nPowerCagr)^(J$5-2026))*(1+nResidualBasisMarkup+nScarcityAlpha*POWER(J21,nScarcityGamma))</f>
        <v/>
      </c>
      <c r="K52" s="71">
        <f>K18*K27+K19*K28+K20*K29+K21*(Assumptions!$E$11*(1+nPowerCagr)^(K$5-2026))*(1+nResidualBasisMarkup+nScarcityAlpha*POWER(K21,nScarcityGamma))</f>
        <v/>
      </c>
      <c r="L52" s="71">
        <f>L18*L27+L19*L28+L20*L29+L21*(Assumptions!$E$11*(1+nPowerCagr)^(L$5-2026))*(1+nResidualBasisMarkup+nScarcityAlpha*POWER(L21,nScarcityGamma))</f>
        <v/>
      </c>
      <c r="M52" s="71">
        <f>M18*M27+M19*M28+M20*M29+M21*(Assumptions!$E$11*(1+nPowerCagr)^(M$5-2026))*(1+nResidualBasisMarkup+nScarcityAlpha*POWER(M21,nScarcityGamma))</f>
        <v/>
      </c>
      <c r="N52" s="71">
        <f>N18*N27+N19*N28+N20*N29+N21*(Assumptions!$E$11*(1+nPowerCagr)^(N$5-2026))*(1+nResidualBasisMarkup+nScarcityAlpha*POWER(N21,nScarcityGamma))</f>
        <v/>
      </c>
      <c r="O52" s="71">
        <f>O18*O27+O19*O28+O20*O29+O21*(Assumptions!$E$11*(1+nPowerCagr)^(O$5-2026))*(1+nResidualBasisMarkup+nScarcityAlpha*POWER(O21,nScarcityGamma))</f>
        <v/>
      </c>
      <c r="P52" s="71">
        <f>P18*P27+P19*P28+P20*P29+P21*(Assumptions!$E$11*(1+nPowerCagr)^(P$5-2026))*(1+nResidualBasisMarkup+nScarcityAlpha*POWER(P21,nScarcityGamma))</f>
        <v/>
      </c>
      <c r="Q52" s="71">
        <f>Q18*Q27+Q19*Q28+Q20*Q29+Q21*(Assumptions!$E$11*(1+nPowerCagr)^(Q$5-2026))*(1+nResidualBasisMarkup+nScarcityAlpha*POWER(Q21,nScarcityGamma))</f>
        <v/>
      </c>
      <c r="R52" s="71">
        <f>R18*R27+R19*R28+R20*R29+R21*(Assumptions!$E$11*(1+nPowerCagr)^(R$5-2026))*(1+nResidualBasisMarkup+nScarcityAlpha*POWER(R21,nScarcityGamma))</f>
        <v/>
      </c>
      <c r="S52" s="71">
        <f>S18*S27+S19*S28+S20*S29+S21*(Assumptions!$E$11*(1+nPowerCagr)^(S$5-2026))*(1+nResidualBasisMarkup+nScarcityAlpha*POWER(S21,nScarcityGamma))</f>
        <v/>
      </c>
      <c r="T52" s="71">
        <f>T18*T27+T19*T28+T20*T29+T21*(Assumptions!$E$11*(1+nPowerCagr)^(T$5-2026))*(1+nResidualBasisMarkup+nScarcityAlpha*POWER(T21,nScarcityGamma))</f>
        <v/>
      </c>
      <c r="U52" s="1" t="n"/>
      <c r="V52" s="1" t="n"/>
      <c r="W52" s="1" t="n"/>
      <c r="X52" s="1" t="n"/>
      <c r="Y52" s="1" t="n"/>
      <c r="Z52" s="1" t="n"/>
    </row>
    <row r="53">
      <c r="A53" s="1" t="n"/>
      <c r="B53" s="29" t="inlineStr">
        <is>
          <t>Bull: growth path</t>
        </is>
      </c>
      <c r="C53" s="1" t="n"/>
      <c r="D53" s="1" t="n"/>
      <c r="E53" s="1" t="n"/>
      <c r="F53" s="1" t="n"/>
      <c r="G53" s="48">
        <f>Assumptions!$F$16</f>
        <v/>
      </c>
      <c r="H53" s="48">
        <f>MAX(nGTerm,G53*nGDecay)</f>
        <v/>
      </c>
      <c r="I53" s="48">
        <f>MAX(nGTerm,H53*nGDecay)</f>
        <v/>
      </c>
      <c r="J53" s="48">
        <f>MAX(nGTerm,I53*nGDecay)</f>
        <v/>
      </c>
      <c r="K53" s="48">
        <f>MAX(nGTerm,J53*nGDecay)</f>
        <v/>
      </c>
      <c r="L53" s="48">
        <f>MAX(nGTerm,K53*nGDecay)</f>
        <v/>
      </c>
      <c r="M53" s="48">
        <f>MAX(nGTerm,L53*nGDecay)</f>
        <v/>
      </c>
      <c r="N53" s="48">
        <f>MAX(nGTerm,M53*nGDecay)</f>
        <v/>
      </c>
      <c r="O53" s="48">
        <f>MAX(nGTerm,N53*nGDecay)</f>
        <v/>
      </c>
      <c r="P53" s="48">
        <f>MAX(nGTerm,O53*nGDecay)</f>
        <v/>
      </c>
      <c r="Q53" s="48">
        <f>MAX(nGTerm,P53*nGDecay)</f>
        <v/>
      </c>
      <c r="R53" s="48">
        <f>MAX(nGTerm,Q53*nGDecay)</f>
        <v/>
      </c>
      <c r="S53" s="48">
        <f>MAX(nGTerm,R53*nGDecay)</f>
        <v/>
      </c>
      <c r="T53" s="48">
        <f>MAX(nGTerm,S53*nGDecay)</f>
        <v/>
      </c>
      <c r="U53" s="1" t="n"/>
      <c r="V53" s="1" t="n"/>
      <c r="W53" s="1" t="n"/>
      <c r="X53" s="1" t="n"/>
      <c r="Y53" s="1" t="n"/>
      <c r="Z53" s="1" t="n"/>
    </row>
    <row r="54">
      <c r="A54" s="1" t="n"/>
      <c r="B54" s="29" t="inlineStr">
        <is>
          <t>Bull: revenue run-rate ($B)</t>
        </is>
      </c>
      <c r="C54" s="1" t="n"/>
      <c r="D54" s="1" t="n"/>
      <c r="E54" s="1" t="n"/>
      <c r="F54" s="51">
        <f>nRev26</f>
        <v/>
      </c>
      <c r="G54" s="51">
        <f>F54*(1+G53)</f>
        <v/>
      </c>
      <c r="H54" s="51">
        <f>G54*(1+H53)</f>
        <v/>
      </c>
      <c r="I54" s="51">
        <f>H54*(1+I53)</f>
        <v/>
      </c>
      <c r="J54" s="51">
        <f>I54*(1+J53)</f>
        <v/>
      </c>
      <c r="K54" s="51">
        <f>J54*(1+K53)</f>
        <v/>
      </c>
      <c r="L54" s="51">
        <f>K54*(1+L53)</f>
        <v/>
      </c>
      <c r="M54" s="51">
        <f>L54*(1+M53)</f>
        <v/>
      </c>
      <c r="N54" s="51">
        <f>M54*(1+N53)</f>
        <v/>
      </c>
      <c r="O54" s="51">
        <f>N54*(1+O53)</f>
        <v/>
      </c>
      <c r="P54" s="51">
        <f>O54*(1+P53)</f>
        <v/>
      </c>
      <c r="Q54" s="51">
        <f>P54*(1+Q53)</f>
        <v/>
      </c>
      <c r="R54" s="51">
        <f>Q54*(1+R53)</f>
        <v/>
      </c>
      <c r="S54" s="51">
        <f>R54*(1+S53)</f>
        <v/>
      </c>
      <c r="T54" s="51">
        <f>S54*(1+T53)</f>
        <v/>
      </c>
      <c r="U54" s="1" t="n"/>
      <c r="V54" s="1" t="n"/>
      <c r="W54" s="1" t="n"/>
      <c r="X54" s="1" t="n"/>
      <c r="Y54" s="1" t="n"/>
      <c r="Z54" s="1" t="n"/>
    </row>
    <row r="55">
      <c r="A55" s="1" t="n"/>
      <c r="B55" s="29" t="inlineStr">
        <is>
          <t>Bull: average load (GW)</t>
        </is>
      </c>
      <c r="C55" s="1" t="n"/>
      <c r="D55" s="1" t="n"/>
      <c r="E55" s="1" t="n"/>
      <c r="F55" s="42">
        <f>F54/(nListPrice*(1-Assumptions!$F$8)*(1+nPriceDrift)^(F$5-2026))*PowerIntensity*(1+nEffDrift)^(F$5-2026)*1000*1000/8760</f>
        <v/>
      </c>
      <c r="G55" s="42">
        <f>G54/(nListPrice*(1-Assumptions!$F$8)*(1+nPriceDrift)^(G$5-2026))*PowerIntensity*(1+nEffDrift)^(G$5-2026)*1000*1000/8760</f>
        <v/>
      </c>
      <c r="H55" s="42">
        <f>H54/(nListPrice*(1-Assumptions!$F$8)*(1+nPriceDrift)^(H$5-2026))*PowerIntensity*(1+nEffDrift)^(H$5-2026)*1000*1000/8760</f>
        <v/>
      </c>
      <c r="I55" s="42">
        <f>I54/(nListPrice*(1-Assumptions!$F$8)*(1+nPriceDrift)^(I$5-2026))*PowerIntensity*(1+nEffDrift)^(I$5-2026)*1000*1000/8760</f>
        <v/>
      </c>
      <c r="J55" s="42">
        <f>J54/(nListPrice*(1-Assumptions!$F$8)*(1+nPriceDrift)^(J$5-2026))*PowerIntensity*(1+nEffDrift)^(J$5-2026)*1000*1000/8760</f>
        <v/>
      </c>
      <c r="K55" s="42">
        <f>K54/(nListPrice*(1-Assumptions!$F$8)*(1+nPriceDrift)^(K$5-2026))*PowerIntensity*(1+nEffDrift)^(K$5-2026)*1000*1000/8760</f>
        <v/>
      </c>
      <c r="L55" s="42">
        <f>L54/(nListPrice*(1-Assumptions!$F$8)*(1+nPriceDrift)^(L$5-2026))*PowerIntensity*(1+nEffDrift)^(L$5-2026)*1000*1000/8760</f>
        <v/>
      </c>
      <c r="M55" s="42">
        <f>M54/(nListPrice*(1-Assumptions!$F$8)*(1+nPriceDrift)^(M$5-2026))*PowerIntensity*(1+nEffDrift)^(M$5-2026)*1000*1000/8760</f>
        <v/>
      </c>
      <c r="N55" s="42">
        <f>N54/(nListPrice*(1-Assumptions!$F$8)*(1+nPriceDrift)^(N$5-2026))*PowerIntensity*(1+nEffDrift)^(N$5-2026)*1000*1000/8760</f>
        <v/>
      </c>
      <c r="O55" s="42">
        <f>O54/(nListPrice*(1-Assumptions!$F$8)*(1+nPriceDrift)^(O$5-2026))*PowerIntensity*(1+nEffDrift)^(O$5-2026)*1000*1000/8760</f>
        <v/>
      </c>
      <c r="P55" s="42">
        <f>P54/(nListPrice*(1-Assumptions!$F$8)*(1+nPriceDrift)^(P$5-2026))*PowerIntensity*(1+nEffDrift)^(P$5-2026)*1000*1000/8760</f>
        <v/>
      </c>
      <c r="Q55" s="42">
        <f>Q54/(nListPrice*(1-Assumptions!$F$8)*(1+nPriceDrift)^(Q$5-2026))*PowerIntensity*(1+nEffDrift)^(Q$5-2026)*1000*1000/8760</f>
        <v/>
      </c>
      <c r="R55" s="42">
        <f>R54/(nListPrice*(1-Assumptions!$F$8)*(1+nPriceDrift)^(R$5-2026))*PowerIntensity*(1+nEffDrift)^(R$5-2026)*1000*1000/8760</f>
        <v/>
      </c>
      <c r="S55" s="42">
        <f>S54/(nListPrice*(1-Assumptions!$F$8)*(1+nPriceDrift)^(S$5-2026))*PowerIntensity*(1+nEffDrift)^(S$5-2026)*1000*1000/8760</f>
        <v/>
      </c>
      <c r="T55" s="42">
        <f>T54/(nListPrice*(1-Assumptions!$F$8)*(1+nPriceDrift)^(T$5-2026))*PowerIntensity*(1+nEffDrift)^(T$5-2026)*1000*1000/8760</f>
        <v/>
      </c>
      <c r="U55" s="1" t="n"/>
      <c r="V55" s="1" t="n"/>
      <c r="W55" s="1" t="n"/>
      <c r="X55" s="1" t="n"/>
      <c r="Y55" s="1" t="n"/>
      <c r="Z55" s="1" t="n"/>
    </row>
    <row r="56">
      <c r="A56" s="1" t="n"/>
      <c r="B56" s="29" t="inlineStr">
        <is>
          <t>Bull: blended power ($/MWh)</t>
        </is>
      </c>
      <c r="C56" s="1" t="n"/>
      <c r="D56" s="1" t="n"/>
      <c r="E56" s="1" t="n"/>
      <c r="F56" s="71">
        <f>F18*F27+F19*F28+F20*F29+F21*(Assumptions!$F$11*(1+nPowerCagr)^(F$5-2026))*(1+nResidualBasisMarkup+nScarcityAlpha*POWER(F21,nScarcityGamma))</f>
        <v/>
      </c>
      <c r="G56" s="71">
        <f>G18*G27+G19*G28+G20*G29+G21*(Assumptions!$F$11*(1+nPowerCagr)^(G$5-2026))*(1+nResidualBasisMarkup+nScarcityAlpha*POWER(G21,nScarcityGamma))</f>
        <v/>
      </c>
      <c r="H56" s="71">
        <f>H18*H27+H19*H28+H20*H29+H21*(Assumptions!$F$11*(1+nPowerCagr)^(H$5-2026))*(1+nResidualBasisMarkup+nScarcityAlpha*POWER(H21,nScarcityGamma))</f>
        <v/>
      </c>
      <c r="I56" s="71">
        <f>I18*I27+I19*I28+I20*I29+I21*(Assumptions!$F$11*(1+nPowerCagr)^(I$5-2026))*(1+nResidualBasisMarkup+nScarcityAlpha*POWER(I21,nScarcityGamma))</f>
        <v/>
      </c>
      <c r="J56" s="71">
        <f>J18*J27+J19*J28+J20*J29+J21*(Assumptions!$F$11*(1+nPowerCagr)^(J$5-2026))*(1+nResidualBasisMarkup+nScarcityAlpha*POWER(J21,nScarcityGamma))</f>
        <v/>
      </c>
      <c r="K56" s="71">
        <f>K18*K27+K19*K28+K20*K29+K21*(Assumptions!$F$11*(1+nPowerCagr)^(K$5-2026))*(1+nResidualBasisMarkup+nScarcityAlpha*POWER(K21,nScarcityGamma))</f>
        <v/>
      </c>
      <c r="L56" s="71">
        <f>L18*L27+L19*L28+L20*L29+L21*(Assumptions!$F$11*(1+nPowerCagr)^(L$5-2026))*(1+nResidualBasisMarkup+nScarcityAlpha*POWER(L21,nScarcityGamma))</f>
        <v/>
      </c>
      <c r="M56" s="71">
        <f>M18*M27+M19*M28+M20*M29+M21*(Assumptions!$F$11*(1+nPowerCagr)^(M$5-2026))*(1+nResidualBasisMarkup+nScarcityAlpha*POWER(M21,nScarcityGamma))</f>
        <v/>
      </c>
      <c r="N56" s="71">
        <f>N18*N27+N19*N28+N20*N29+N21*(Assumptions!$F$11*(1+nPowerCagr)^(N$5-2026))*(1+nResidualBasisMarkup+nScarcityAlpha*POWER(N21,nScarcityGamma))</f>
        <v/>
      </c>
      <c r="O56" s="71">
        <f>O18*O27+O19*O28+O20*O29+O21*(Assumptions!$F$11*(1+nPowerCagr)^(O$5-2026))*(1+nResidualBasisMarkup+nScarcityAlpha*POWER(O21,nScarcityGamma))</f>
        <v/>
      </c>
      <c r="P56" s="71">
        <f>P18*P27+P19*P28+P20*P29+P21*(Assumptions!$F$11*(1+nPowerCagr)^(P$5-2026))*(1+nResidualBasisMarkup+nScarcityAlpha*POWER(P21,nScarcityGamma))</f>
        <v/>
      </c>
      <c r="Q56" s="71">
        <f>Q18*Q27+Q19*Q28+Q20*Q29+Q21*(Assumptions!$F$11*(1+nPowerCagr)^(Q$5-2026))*(1+nResidualBasisMarkup+nScarcityAlpha*POWER(Q21,nScarcityGamma))</f>
        <v/>
      </c>
      <c r="R56" s="71">
        <f>R18*R27+R19*R28+R20*R29+R21*(Assumptions!$F$11*(1+nPowerCagr)^(R$5-2026))*(1+nResidualBasisMarkup+nScarcityAlpha*POWER(R21,nScarcityGamma))</f>
        <v/>
      </c>
      <c r="S56" s="71">
        <f>S18*S27+S19*S28+S20*S29+S21*(Assumptions!$F$11*(1+nPowerCagr)^(S$5-2026))*(1+nResidualBasisMarkup+nScarcityAlpha*POWER(S21,nScarcityGamma))</f>
        <v/>
      </c>
      <c r="T56" s="71">
        <f>T18*T27+T19*T28+T20*T29+T21*(Assumptions!$F$11*(1+nPowerCagr)^(T$5-2026))*(1+nResidualBasisMarkup+nScarcityAlpha*POWER(T21,nScarcityGamma))</f>
        <v/>
      </c>
      <c r="U56" s="1" t="n"/>
      <c r="V56" s="1" t="n"/>
      <c r="W56" s="1" t="n"/>
      <c r="X56" s="1" t="n"/>
      <c r="Y56" s="1" t="n"/>
      <c r="Z56" s="1" t="n"/>
    </row>
    <row r="57">
      <c r="A57" s="1" t="n"/>
      <c r="B57" s="1" t="n"/>
      <c r="C57" s="1" t="n"/>
      <c r="D57" s="1" t="n"/>
      <c r="E57" s="1" t="n"/>
      <c r="F57" s="1" t="n"/>
      <c r="G57" s="1" t="n"/>
      <c r="H57" s="1" t="n"/>
      <c r="I57" s="1" t="n"/>
      <c r="J57" s="1" t="n"/>
      <c r="K57" s="1" t="n"/>
      <c r="L57" s="1" t="n"/>
      <c r="M57" s="1" t="n"/>
      <c r="N57" s="1" t="n"/>
      <c r="O57" s="1" t="n"/>
      <c r="P57" s="1" t="n"/>
      <c r="Q57" s="1" t="n"/>
      <c r="R57" s="1" t="n"/>
      <c r="S57" s="1" t="n"/>
      <c r="T57" s="1" t="n"/>
      <c r="U57" s="1" t="n"/>
      <c r="V57" s="1" t="n"/>
      <c r="W57" s="1" t="n"/>
      <c r="X57" s="1" t="n"/>
      <c r="Y57" s="1" t="n"/>
      <c r="Z57" s="1" t="n"/>
    </row>
    <row r="58" ht="17" customHeight="1">
      <c r="A58" s="1" t="n"/>
      <c r="B58" s="22" t="inlineStr">
        <is>
          <t>A28 run-rate and recognized-revenue bridge</t>
        </is>
      </c>
      <c r="C58" s="23" t="n"/>
      <c r="D58" s="23" t="n"/>
      <c r="E58" s="23" t="n"/>
      <c r="F58" s="23" t="n"/>
      <c r="G58" s="23" t="n"/>
      <c r="H58" s="23" t="n"/>
      <c r="I58" s="23" t="n"/>
      <c r="J58" s="23" t="n"/>
      <c r="K58" s="23" t="n"/>
      <c r="L58" s="23" t="n"/>
      <c r="M58" s="23" t="n"/>
      <c r="N58" s="23" t="n"/>
      <c r="O58" s="23" t="n"/>
      <c r="P58" s="23" t="n"/>
      <c r="Q58" s="23" t="n"/>
      <c r="R58" s="23" t="n"/>
      <c r="S58" s="23" t="n"/>
      <c r="T58" s="23" t="n"/>
      <c r="U58" s="1" t="n"/>
      <c r="V58" s="1" t="n"/>
      <c r="W58" s="1" t="n"/>
      <c r="X58" s="1" t="n"/>
      <c r="Y58" s="1" t="n"/>
      <c r="Z58" s="1" t="n"/>
    </row>
    <row r="59" ht="26" customHeight="1">
      <c r="A59" s="1" t="n"/>
      <c r="B59" s="39" t="inlineStr">
        <is>
          <t>Basis</t>
        </is>
      </c>
      <c r="C59" s="52" t="inlineStr">
        <is>
          <t>Source ID</t>
        </is>
      </c>
      <c r="D59" s="52" t="inlineStr">
        <is>
          <t>Period</t>
        </is>
      </c>
      <c r="E59" s="52" t="inlineStr">
        <is>
          <t>$B</t>
        </is>
      </c>
      <c r="F59" s="52" t="inlineStr">
        <is>
          <t>Revenue treatment</t>
        </is>
      </c>
      <c r="G59" s="52" t="inlineStr">
        <is>
          <t>Model use</t>
        </is>
      </c>
      <c r="H59" s="1" t="n"/>
      <c r="I59" s="1" t="n"/>
      <c r="J59" s="1" t="n"/>
      <c r="K59" s="1" t="n"/>
      <c r="L59" s="1" t="n"/>
      <c r="M59" s="1" t="n"/>
      <c r="N59" s="1" t="n"/>
      <c r="O59" s="1" t="n"/>
      <c r="P59" s="1" t="n"/>
      <c r="Q59" s="1" t="n"/>
      <c r="R59" s="1" t="n"/>
      <c r="S59" s="1" t="n"/>
      <c r="T59" s="1" t="n"/>
      <c r="U59" s="1" t="n"/>
      <c r="V59" s="1" t="n"/>
      <c r="W59" s="1" t="n"/>
      <c r="X59" s="1" t="n"/>
      <c r="Y59" s="1" t="n"/>
      <c r="Z59" s="1" t="n"/>
    </row>
    <row r="60" ht="34" customHeight="1">
      <c r="A60" s="1" t="n"/>
      <c r="B60" s="80" t="inlineStr">
        <is>
          <t>recognized-revenue floor</t>
        </is>
      </c>
      <c r="C60" s="80" t="inlineStr">
        <is>
          <t>CL-20260612-102</t>
        </is>
      </c>
      <c r="D60" s="76" t="inlineStr">
        <is>
          <t>through 2026-03-09</t>
        </is>
      </c>
      <c r="E60" s="81">
        <f>sRevFloor/1000</f>
        <v/>
      </c>
      <c r="F60" s="80" t="inlineStr">
        <is>
          <t>recognized</t>
        </is>
      </c>
      <c r="G60" s="76" t="inlineStr">
        <is>
          <t>Scale check only.</t>
        </is>
      </c>
      <c r="H60" s="1" t="n"/>
      <c r="I60" s="1" t="n"/>
      <c r="J60" s="1" t="n"/>
      <c r="K60" s="1" t="n"/>
      <c r="L60" s="1" t="n"/>
      <c r="M60" s="1" t="n"/>
      <c r="N60" s="1" t="n"/>
      <c r="O60" s="1" t="n"/>
      <c r="P60" s="1" t="n"/>
      <c r="Q60" s="1" t="n"/>
      <c r="R60" s="1" t="n"/>
      <c r="S60" s="1" t="n"/>
      <c r="T60" s="1" t="n"/>
      <c r="U60" s="1" t="n"/>
      <c r="V60" s="1" t="n"/>
      <c r="W60" s="1" t="n"/>
      <c r="X60" s="1" t="n"/>
      <c r="Y60" s="1" t="n"/>
      <c r="Z60" s="1" t="n"/>
    </row>
    <row r="61" ht="34" customHeight="1">
      <c r="A61" s="1" t="n"/>
      <c r="B61" s="80" t="inlineStr">
        <is>
          <t>run-rate, start of 2026</t>
        </is>
      </c>
      <c r="C61" s="80" t="inlineStr">
        <is>
          <t>CL-20260611-062</t>
        </is>
      </c>
      <c r="D61" s="76" t="inlineStr">
        <is>
          <t>FY2025 exit</t>
        </is>
      </c>
      <c r="E61" s="81">
        <f>nRev25</f>
        <v/>
      </c>
      <c r="F61" s="80" t="inlineStr">
        <is>
          <t>not recognized revenue</t>
        </is>
      </c>
      <c r="G61" s="76" t="inlineStr">
        <is>
          <t>Demand volume input.</t>
        </is>
      </c>
      <c r="H61" s="1" t="n"/>
      <c r="I61" s="1" t="n"/>
      <c r="J61" s="1" t="n"/>
      <c r="K61" s="1" t="n"/>
      <c r="L61" s="1" t="n"/>
      <c r="M61" s="1" t="n"/>
      <c r="N61" s="1" t="n"/>
      <c r="O61" s="1" t="n"/>
      <c r="P61" s="1" t="n"/>
      <c r="Q61" s="1" t="n"/>
      <c r="R61" s="1" t="n"/>
      <c r="S61" s="1" t="n"/>
      <c r="T61" s="1" t="n"/>
      <c r="U61" s="1" t="n"/>
      <c r="V61" s="1" t="n"/>
      <c r="W61" s="1" t="n"/>
      <c r="X61" s="1" t="n"/>
      <c r="Y61" s="1" t="n"/>
      <c r="Z61" s="1" t="n"/>
    </row>
    <row r="62" ht="34" customHeight="1">
      <c r="A62" s="1" t="n"/>
      <c r="B62" s="80" t="inlineStr">
        <is>
          <t>run-rate, FY2026 Q1 exit</t>
        </is>
      </c>
      <c r="C62" s="80" t="inlineStr">
        <is>
          <t>CL-20260611-061</t>
        </is>
      </c>
      <c r="D62" s="76" t="inlineStr">
        <is>
          <t>FY2026 Q1 exit</t>
        </is>
      </c>
      <c r="E62" s="81">
        <f>nRev26</f>
        <v/>
      </c>
      <c r="F62" s="80" t="inlineStr">
        <is>
          <t>not recognized revenue</t>
        </is>
      </c>
      <c r="G62" s="76" t="inlineStr">
        <is>
          <t>Demand volume input.</t>
        </is>
      </c>
      <c r="H62" s="1" t="n"/>
      <c r="I62" s="1" t="n"/>
      <c r="J62" s="1" t="n"/>
      <c r="K62" s="1" t="n"/>
      <c r="L62" s="1" t="n"/>
      <c r="M62" s="1" t="n"/>
      <c r="N62" s="1" t="n"/>
      <c r="O62" s="1" t="n"/>
      <c r="P62" s="1" t="n"/>
      <c r="Q62" s="1" t="n"/>
      <c r="R62" s="1" t="n"/>
      <c r="S62" s="1" t="n"/>
      <c r="T62" s="1" t="n"/>
      <c r="U62" s="1" t="n"/>
      <c r="V62" s="1" t="n"/>
      <c r="W62" s="1" t="n"/>
      <c r="X62" s="1" t="n"/>
      <c r="Y62" s="1" t="n"/>
      <c r="Z62" s="1" t="n"/>
    </row>
    <row r="63">
      <c r="A63" s="1" t="n"/>
      <c r="B63" s="1" t="n"/>
      <c r="C63" s="1" t="n"/>
      <c r="D63" s="1" t="n"/>
      <c r="E63" s="1" t="n"/>
      <c r="F63" s="1" t="n"/>
      <c r="G63" s="1" t="n"/>
      <c r="H63" s="1" t="n"/>
      <c r="I63" s="1" t="n"/>
      <c r="J63" s="1" t="n"/>
      <c r="K63" s="1" t="n"/>
      <c r="L63" s="1" t="n"/>
      <c r="M63" s="1" t="n"/>
      <c r="N63" s="1" t="n"/>
      <c r="O63" s="1" t="n"/>
      <c r="P63" s="1" t="n"/>
      <c r="Q63" s="1" t="n"/>
      <c r="R63" s="1" t="n"/>
      <c r="S63" s="1" t="n"/>
      <c r="T63" s="1" t="n"/>
      <c r="U63" s="1" t="n"/>
      <c r="V63" s="1" t="n"/>
      <c r="W63" s="1" t="n"/>
      <c r="X63" s="1" t="n"/>
      <c r="Y63" s="1" t="n"/>
      <c r="Z63" s="1" t="n"/>
    </row>
    <row r="64" ht="60" customHeight="1">
      <c r="A64" s="1" t="n"/>
      <c r="B64" s="28" t="inlineStr">
        <is>
          <t>Run-rate is forward annualized and is not recognized revenue. Demand uses company-stated run-rate scenarios; the court-sworn cumulative recognized-revenue floor is the scale check.</t>
        </is>
      </c>
      <c r="C64" s="1" t="n"/>
      <c r="D64" s="1" t="n"/>
      <c r="E64" s="1" t="n"/>
      <c r="F64" s="1" t="n"/>
      <c r="G64" s="1" t="n"/>
      <c r="H64" s="1" t="n"/>
      <c r="I64" s="1" t="n"/>
      <c r="J64" s="1" t="n"/>
      <c r="K64" s="1" t="n"/>
      <c r="L64" s="1" t="n"/>
      <c r="M64" s="1" t="n"/>
      <c r="N64" s="1" t="n"/>
      <c r="O64" s="1" t="n"/>
      <c r="P64" s="1" t="n"/>
      <c r="Q64" s="1" t="n"/>
      <c r="R64" s="1" t="n"/>
      <c r="S64" s="1" t="n"/>
      <c r="T64" s="1" t="n"/>
      <c r="U64" s="1" t="n"/>
      <c r="V64" s="1" t="n"/>
      <c r="W64" s="1" t="n"/>
      <c r="X64" s="1" t="n"/>
      <c r="Y64" s="1" t="n"/>
      <c r="Z64" s="1" t="n"/>
    </row>
    <row r="65">
      <c r="A65" s="1" t="n"/>
      <c r="B65" s="1" t="n"/>
      <c r="C65" s="1" t="n"/>
      <c r="D65" s="1" t="n"/>
      <c r="E65" s="1" t="n"/>
      <c r="F65" s="1" t="n"/>
      <c r="G65" s="1" t="n"/>
      <c r="H65" s="1" t="n"/>
      <c r="I65" s="1" t="n"/>
      <c r="J65" s="1" t="n"/>
      <c r="K65" s="1" t="n"/>
      <c r="L65" s="1" t="n"/>
      <c r="M65" s="1" t="n"/>
      <c r="N65" s="1" t="n"/>
      <c r="O65" s="1" t="n"/>
      <c r="P65" s="1" t="n"/>
      <c r="Q65" s="1" t="n"/>
      <c r="R65" s="1" t="n"/>
      <c r="S65" s="1" t="n"/>
      <c r="T65" s="1" t="n"/>
      <c r="U65" s="1" t="n"/>
      <c r="V65" s="1" t="n"/>
      <c r="W65" s="1" t="n"/>
      <c r="X65" s="1" t="n"/>
      <c r="Y65" s="1" t="n"/>
      <c r="Z65" s="1" t="n"/>
    </row>
    <row r="66" ht="17" customHeight="1">
      <c r="A66" s="1" t="n"/>
      <c r="B66" s="22" t="inlineStr">
        <is>
          <t>Task intensity and elasticity bridge</t>
        </is>
      </c>
      <c r="C66" s="23" t="n"/>
      <c r="D66" s="23" t="n"/>
      <c r="E66" s="23" t="n"/>
      <c r="F66" s="23" t="n"/>
      <c r="G66" s="23" t="n"/>
      <c r="H66" s="23" t="n"/>
      <c r="I66" s="23" t="n"/>
      <c r="J66" s="23" t="n"/>
      <c r="K66" s="23" t="n"/>
      <c r="L66" s="23" t="n"/>
      <c r="M66" s="23" t="n"/>
      <c r="N66" s="23" t="n"/>
      <c r="O66" s="23" t="n"/>
      <c r="P66" s="23" t="n"/>
      <c r="Q66" s="23" t="n"/>
      <c r="R66" s="23" t="n"/>
      <c r="S66" s="23" t="n"/>
      <c r="T66" s="23" t="n"/>
      <c r="U66" s="1" t="n"/>
      <c r="V66" s="1" t="n"/>
      <c r="W66" s="1" t="n"/>
      <c r="X66" s="1" t="n"/>
      <c r="Y66" s="1" t="n"/>
      <c r="Z66" s="1" t="n"/>
    </row>
    <row r="67" ht="14" customHeight="1">
      <c r="A67" s="1" t="n"/>
      <c r="B67" s="39" t="inlineStr"/>
      <c r="C67" s="40" t="inlineStr">
        <is>
          <t>FY'23</t>
        </is>
      </c>
      <c r="D67" s="40" t="inlineStr">
        <is>
          <t>FY'24</t>
        </is>
      </c>
      <c r="E67" s="40" t="inlineStr">
        <is>
          <t>FY'25</t>
        </is>
      </c>
      <c r="F67" s="41" t="inlineStr">
        <is>
          <t>FY'26</t>
        </is>
      </c>
      <c r="G67" s="41" t="inlineStr">
        <is>
          <t>FY'27</t>
        </is>
      </c>
      <c r="H67" s="41" t="inlineStr">
        <is>
          <t>FY'28</t>
        </is>
      </c>
      <c r="I67" s="41" t="inlineStr">
        <is>
          <t>FY'29</t>
        </is>
      </c>
      <c r="J67" s="41" t="inlineStr">
        <is>
          <t>FY'30</t>
        </is>
      </c>
      <c r="K67" s="41" t="inlineStr">
        <is>
          <t>FY'31</t>
        </is>
      </c>
      <c r="L67" s="41" t="inlineStr">
        <is>
          <t>FY'32</t>
        </is>
      </c>
      <c r="M67" s="41" t="inlineStr">
        <is>
          <t>FY'33</t>
        </is>
      </c>
      <c r="N67" s="41" t="inlineStr">
        <is>
          <t>FY'34</t>
        </is>
      </c>
      <c r="O67" s="41" t="inlineStr">
        <is>
          <t>FY'35</t>
        </is>
      </c>
      <c r="P67" s="41" t="inlineStr">
        <is>
          <t>FY'36</t>
        </is>
      </c>
      <c r="Q67" s="41" t="inlineStr">
        <is>
          <t>FY'37</t>
        </is>
      </c>
      <c r="R67" s="41" t="inlineStr">
        <is>
          <t>FY'38</t>
        </is>
      </c>
      <c r="S67" s="41" t="inlineStr">
        <is>
          <t>FY'39</t>
        </is>
      </c>
      <c r="T67" s="41" t="inlineStr">
        <is>
          <t>FY'40</t>
        </is>
      </c>
      <c r="U67" s="1" t="n"/>
      <c r="V67" s="1" t="n"/>
      <c r="W67" s="1" t="n"/>
      <c r="X67" s="1" t="n"/>
      <c r="Y67" s="1" t="n"/>
      <c r="Z67" s="1" t="n"/>
    </row>
    <row r="68">
      <c r="A68" s="1" t="n"/>
      <c r="B68" s="29" t="inlineStr">
        <is>
          <t>Run-rate-implied tokens (B MTok)</t>
        </is>
      </c>
      <c r="C68" s="1" t="n"/>
      <c r="D68" s="1" t="n"/>
      <c r="E68" s="1" t="n"/>
      <c r="F68" s="61">
        <f>F8/F10</f>
        <v/>
      </c>
      <c r="G68" s="61">
        <f>G8/G10</f>
        <v/>
      </c>
      <c r="H68" s="61">
        <f>H8/H10</f>
        <v/>
      </c>
      <c r="I68" s="61">
        <f>I8/I10</f>
        <v/>
      </c>
      <c r="J68" s="61">
        <f>J8/J10</f>
        <v/>
      </c>
      <c r="K68" s="61">
        <f>K8/K10</f>
        <v/>
      </c>
      <c r="L68" s="61">
        <f>L8/L10</f>
        <v/>
      </c>
      <c r="M68" s="61">
        <f>M8/M10</f>
        <v/>
      </c>
      <c r="N68" s="61">
        <f>N8/N10</f>
        <v/>
      </c>
      <c r="O68" s="61">
        <f>O8/O10</f>
        <v/>
      </c>
      <c r="P68" s="61">
        <f>P8/P10</f>
        <v/>
      </c>
      <c r="Q68" s="61">
        <f>Q8/Q10</f>
        <v/>
      </c>
      <c r="R68" s="61">
        <f>R8/R10</f>
        <v/>
      </c>
      <c r="S68" s="61">
        <f>S8/S10</f>
        <v/>
      </c>
      <c r="T68" s="61">
        <f>T8/T10</f>
        <v/>
      </c>
      <c r="U68" s="1" t="n"/>
      <c r="V68" s="1" t="n"/>
      <c r="W68" s="1" t="n"/>
      <c r="X68" s="1" t="n"/>
      <c r="Y68" s="1" t="n"/>
      <c r="Z68" s="1" t="n"/>
    </row>
    <row r="69">
      <c r="A69" s="1" t="n"/>
      <c r="B69" s="29" t="inlineStr">
        <is>
          <t>Tokens-per-task index</t>
        </is>
      </c>
      <c r="C69" s="1" t="n"/>
      <c r="D69" s="1" t="n"/>
      <c r="E69" s="1" t="n"/>
      <c r="F69" s="82">
        <f>(1+nTokensPerTaskDrift)^(F$5-2026)</f>
        <v/>
      </c>
      <c r="G69" s="82">
        <f>(1+nTokensPerTaskDrift)^(G$5-2026)</f>
        <v/>
      </c>
      <c r="H69" s="82">
        <f>(1+nTokensPerTaskDrift)^(H$5-2026)</f>
        <v/>
      </c>
      <c r="I69" s="82">
        <f>(1+nTokensPerTaskDrift)^(I$5-2026)</f>
        <v/>
      </c>
      <c r="J69" s="82">
        <f>(1+nTokensPerTaskDrift)^(J$5-2026)</f>
        <v/>
      </c>
      <c r="K69" s="82">
        <f>(1+nTokensPerTaskDrift)^(K$5-2026)</f>
        <v/>
      </c>
      <c r="L69" s="82">
        <f>(1+nTokensPerTaskDrift)^(L$5-2026)</f>
        <v/>
      </c>
      <c r="M69" s="82">
        <f>(1+nTokensPerTaskDrift)^(M$5-2026)</f>
        <v/>
      </c>
      <c r="N69" s="82">
        <f>(1+nTokensPerTaskDrift)^(N$5-2026)</f>
        <v/>
      </c>
      <c r="O69" s="82">
        <f>(1+nTokensPerTaskDrift)^(O$5-2026)</f>
        <v/>
      </c>
      <c r="P69" s="82">
        <f>(1+nTokensPerTaskDrift)^(P$5-2026)</f>
        <v/>
      </c>
      <c r="Q69" s="82">
        <f>(1+nTokensPerTaskDrift)^(Q$5-2026)</f>
        <v/>
      </c>
      <c r="R69" s="82">
        <f>(1+nTokensPerTaskDrift)^(R$5-2026)</f>
        <v/>
      </c>
      <c r="S69" s="82">
        <f>(1+nTokensPerTaskDrift)^(S$5-2026)</f>
        <v/>
      </c>
      <c r="T69" s="82">
        <f>(1+nTokensPerTaskDrift)^(T$5-2026)</f>
        <v/>
      </c>
      <c r="U69" s="1" t="n"/>
      <c r="V69" s="1" t="n"/>
      <c r="W69" s="1" t="n"/>
      <c r="X69" s="1" t="n"/>
      <c r="Y69" s="1" t="n"/>
      <c r="Z69" s="1" t="n"/>
    </row>
    <row r="70">
      <c r="A70" s="1" t="n"/>
      <c r="B70" s="29" t="inlineStr">
        <is>
          <t>Price-elasticity multiplier</t>
        </is>
      </c>
      <c r="C70" s="1" t="n"/>
      <c r="D70" s="1" t="n"/>
      <c r="E70" s="1" t="n"/>
      <c r="F70" s="82">
        <f>(F10/$F$10)^(-nDemandElasticity)</f>
        <v/>
      </c>
      <c r="G70" s="82">
        <f>(G10/$F$10)^(-nDemandElasticity)</f>
        <v/>
      </c>
      <c r="H70" s="82">
        <f>(H10/$F$10)^(-nDemandElasticity)</f>
        <v/>
      </c>
      <c r="I70" s="82">
        <f>(I10/$F$10)^(-nDemandElasticity)</f>
        <v/>
      </c>
      <c r="J70" s="82">
        <f>(J10/$F$10)^(-nDemandElasticity)</f>
        <v/>
      </c>
      <c r="K70" s="82">
        <f>(K10/$F$10)^(-nDemandElasticity)</f>
        <v/>
      </c>
      <c r="L70" s="82">
        <f>(L10/$F$10)^(-nDemandElasticity)</f>
        <v/>
      </c>
      <c r="M70" s="82">
        <f>(M10/$F$10)^(-nDemandElasticity)</f>
        <v/>
      </c>
      <c r="N70" s="82">
        <f>(N10/$F$10)^(-nDemandElasticity)</f>
        <v/>
      </c>
      <c r="O70" s="82">
        <f>(O10/$F$10)^(-nDemandElasticity)</f>
        <v/>
      </c>
      <c r="P70" s="82">
        <f>(P10/$F$10)^(-nDemandElasticity)</f>
        <v/>
      </c>
      <c r="Q70" s="82">
        <f>(Q10/$F$10)^(-nDemandElasticity)</f>
        <v/>
      </c>
      <c r="R70" s="82">
        <f>(R10/$F$10)^(-nDemandElasticity)</f>
        <v/>
      </c>
      <c r="S70" s="82">
        <f>(S10/$F$10)^(-nDemandElasticity)</f>
        <v/>
      </c>
      <c r="T70" s="82">
        <f>(T10/$F$10)^(-nDemandElasticity)</f>
        <v/>
      </c>
      <c r="U70" s="1" t="n"/>
      <c r="V70" s="1" t="n"/>
      <c r="W70" s="1" t="n"/>
      <c r="X70" s="1" t="n"/>
      <c r="Y70" s="1" t="n"/>
      <c r="Z70" s="1" t="n"/>
    </row>
    <row r="71">
      <c r="A71" s="1" t="n"/>
      <c r="B71" s="20" t="inlineStr">
        <is>
          <t>Demand driver multiplier</t>
        </is>
      </c>
      <c r="C71" s="1" t="n"/>
      <c r="D71" s="1" t="n"/>
      <c r="E71" s="1" t="n"/>
      <c r="F71" s="83">
        <f>F69*F70</f>
        <v/>
      </c>
      <c r="G71" s="83">
        <f>G69*G70</f>
        <v/>
      </c>
      <c r="H71" s="83">
        <f>H69*H70</f>
        <v/>
      </c>
      <c r="I71" s="83">
        <f>I69*I70</f>
        <v/>
      </c>
      <c r="J71" s="83">
        <f>J69*J70</f>
        <v/>
      </c>
      <c r="K71" s="83">
        <f>K69*K70</f>
        <v/>
      </c>
      <c r="L71" s="83">
        <f>L69*L70</f>
        <v/>
      </c>
      <c r="M71" s="83">
        <f>M69*M70</f>
        <v/>
      </c>
      <c r="N71" s="83">
        <f>N69*N70</f>
        <v/>
      </c>
      <c r="O71" s="83">
        <f>O69*O70</f>
        <v/>
      </c>
      <c r="P71" s="83">
        <f>P69*P70</f>
        <v/>
      </c>
      <c r="Q71" s="83">
        <f>Q69*Q70</f>
        <v/>
      </c>
      <c r="R71" s="83">
        <f>R69*R70</f>
        <v/>
      </c>
      <c r="S71" s="83">
        <f>S69*S70</f>
        <v/>
      </c>
      <c r="T71" s="83">
        <f>T69*T70</f>
        <v/>
      </c>
      <c r="U71" s="1" t="n"/>
      <c r="V71" s="1" t="n"/>
      <c r="W71" s="1" t="n"/>
      <c r="X71" s="1" t="n"/>
      <c r="Y71" s="1" t="n"/>
      <c r="Z71" s="1" t="n"/>
    </row>
    <row r="72">
      <c r="A72" s="1" t="n"/>
      <c r="B72" s="20" t="inlineStr">
        <is>
          <t>Driver-adjusted tokens (B MTok)</t>
        </is>
      </c>
      <c r="C72" s="1" t="n"/>
      <c r="D72" s="1" t="n"/>
      <c r="E72" s="1" t="n"/>
      <c r="F72" s="84">
        <f>F68*F71</f>
        <v/>
      </c>
      <c r="G72" s="84">
        <f>G68*G71</f>
        <v/>
      </c>
      <c r="H72" s="84">
        <f>H68*H71</f>
        <v/>
      </c>
      <c r="I72" s="84">
        <f>I68*I71</f>
        <v/>
      </c>
      <c r="J72" s="84">
        <f>J68*J71</f>
        <v/>
      </c>
      <c r="K72" s="84">
        <f>K68*K71</f>
        <v/>
      </c>
      <c r="L72" s="84">
        <f>L68*L71</f>
        <v/>
      </c>
      <c r="M72" s="84">
        <f>M68*M71</f>
        <v/>
      </c>
      <c r="N72" s="84">
        <f>N68*N71</f>
        <v/>
      </c>
      <c r="O72" s="84">
        <f>O68*O71</f>
        <v/>
      </c>
      <c r="P72" s="84">
        <f>P68*P71</f>
        <v/>
      </c>
      <c r="Q72" s="84">
        <f>Q68*Q71</f>
        <v/>
      </c>
      <c r="R72" s="84">
        <f>R68*R71</f>
        <v/>
      </c>
      <c r="S72" s="84">
        <f>S68*S71</f>
        <v/>
      </c>
      <c r="T72" s="84">
        <f>T68*T71</f>
        <v/>
      </c>
      <c r="U72" s="1" t="n"/>
      <c r="V72" s="1" t="n"/>
      <c r="W72" s="1" t="n"/>
      <c r="X72" s="1" t="n"/>
      <c r="Y72" s="1" t="n"/>
      <c r="Z72" s="1" t="n"/>
    </row>
    <row r="73">
      <c r="A73" s="1" t="n"/>
      <c r="B73" s="29" t="inlineStr">
        <is>
          <t>Incremental tokens vs run-rate-only (B MTok)</t>
        </is>
      </c>
      <c r="C73" s="1" t="n"/>
      <c r="D73" s="1" t="n"/>
      <c r="E73" s="1" t="n"/>
      <c r="F73" s="61">
        <f>F72-F68</f>
        <v/>
      </c>
      <c r="G73" s="61">
        <f>G72-G68</f>
        <v/>
      </c>
      <c r="H73" s="61">
        <f>H72-H68</f>
        <v/>
      </c>
      <c r="I73" s="61">
        <f>I72-I68</f>
        <v/>
      </c>
      <c r="J73" s="61">
        <f>J72-J68</f>
        <v/>
      </c>
      <c r="K73" s="61">
        <f>K72-K68</f>
        <v/>
      </c>
      <c r="L73" s="61">
        <f>L72-L68</f>
        <v/>
      </c>
      <c r="M73" s="61">
        <f>M72-M68</f>
        <v/>
      </c>
      <c r="N73" s="61">
        <f>N72-N68</f>
        <v/>
      </c>
      <c r="O73" s="61">
        <f>O72-O68</f>
        <v/>
      </c>
      <c r="P73" s="61">
        <f>P72-P68</f>
        <v/>
      </c>
      <c r="Q73" s="61">
        <f>Q72-Q68</f>
        <v/>
      </c>
      <c r="R73" s="61">
        <f>R72-R68</f>
        <v/>
      </c>
      <c r="S73" s="61">
        <f>S72-S68</f>
        <v/>
      </c>
      <c r="T73" s="61">
        <f>T72-T68</f>
        <v/>
      </c>
      <c r="U73" s="1" t="n"/>
      <c r="V73" s="1" t="n"/>
      <c r="W73" s="1" t="n"/>
      <c r="X73" s="1" t="n"/>
      <c r="Y73" s="1" t="n"/>
      <c r="Z73" s="1" t="n"/>
    </row>
    <row r="74">
      <c r="A74" s="1" t="n"/>
      <c r="B74" s="1" t="n"/>
      <c r="C74" s="1" t="n"/>
      <c r="D74" s="1" t="n"/>
      <c r="E74" s="1" t="n"/>
      <c r="F74" s="1" t="n"/>
      <c r="G74" s="1" t="n"/>
      <c r="H74" s="1" t="n"/>
      <c r="I74" s="1" t="n"/>
      <c r="J74" s="1" t="n"/>
      <c r="K74" s="1" t="n"/>
      <c r="L74" s="1" t="n"/>
      <c r="M74" s="1" t="n"/>
      <c r="N74" s="1" t="n"/>
      <c r="O74" s="1" t="n"/>
      <c r="P74" s="1" t="n"/>
      <c r="Q74" s="1" t="n"/>
      <c r="R74" s="1" t="n"/>
      <c r="S74" s="1" t="n"/>
      <c r="T74" s="1" t="n"/>
      <c r="U74" s="1" t="n"/>
      <c r="V74" s="1" t="n"/>
      <c r="W74" s="1" t="n"/>
      <c r="X74" s="1" t="n"/>
      <c r="Y74" s="1" t="n"/>
      <c r="Z74" s="1" t="n"/>
    </row>
    <row r="75" ht="48" customHeight="1">
      <c r="A75" s="1" t="n"/>
      <c r="B75" s="28" t="inlineStr">
        <is>
          <t>FY2026 stays fixed because both multipliers equal 1.0; after that, task length and price response move load without rewriting the run-rate path.</t>
        </is>
      </c>
      <c r="C75" s="1" t="n"/>
      <c r="D75" s="1" t="n"/>
      <c r="E75" s="1" t="n"/>
      <c r="F75" s="1" t="n"/>
      <c r="G75" s="1" t="n"/>
      <c r="H75" s="1" t="n"/>
      <c r="I75" s="1" t="n"/>
      <c r="J75" s="1" t="n"/>
      <c r="K75" s="1" t="n"/>
      <c r="L75" s="1" t="n"/>
      <c r="M75" s="1" t="n"/>
      <c r="N75" s="1" t="n"/>
      <c r="O75" s="1" t="n"/>
      <c r="P75" s="1" t="n"/>
      <c r="Q75" s="1" t="n"/>
      <c r="R75" s="1" t="n"/>
      <c r="S75" s="1" t="n"/>
      <c r="T75" s="1" t="n"/>
      <c r="U75" s="1" t="n"/>
      <c r="V75" s="1" t="n"/>
      <c r="W75" s="1" t="n"/>
      <c r="X75" s="1" t="n"/>
      <c r="Y75" s="1" t="n"/>
      <c r="Z75" s="1" t="n"/>
    </row>
    <row r="76">
      <c r="A76" s="1" t="n"/>
      <c r="B76" s="1" t="n"/>
      <c r="C76" s="1" t="n"/>
      <c r="D76" s="1" t="n"/>
      <c r="E76" s="1" t="n"/>
      <c r="F76" s="1" t="n"/>
      <c r="G76" s="1" t="n"/>
      <c r="H76" s="1" t="n"/>
      <c r="I76" s="1" t="n"/>
      <c r="J76" s="1" t="n"/>
      <c r="K76" s="1" t="n"/>
      <c r="L76" s="1" t="n"/>
      <c r="M76" s="1" t="n"/>
      <c r="N76" s="1" t="n"/>
      <c r="O76" s="1" t="n"/>
      <c r="P76" s="1" t="n"/>
      <c r="Q76" s="1" t="n"/>
      <c r="R76" s="1" t="n"/>
      <c r="S76" s="1" t="n"/>
      <c r="T76" s="1" t="n"/>
      <c r="U76" s="1" t="n"/>
      <c r="V76" s="1" t="n"/>
      <c r="W76" s="1" t="n"/>
      <c r="X76" s="1" t="n"/>
      <c r="Y76" s="1" t="n"/>
      <c r="Z76" s="1" t="n"/>
    </row>
    <row r="77">
      <c r="A77" s="1" t="n"/>
      <c r="B77" s="1" t="n"/>
      <c r="C77" s="1" t="n"/>
      <c r="D77" s="1" t="n"/>
      <c r="E77" s="1" t="n"/>
      <c r="F77" s="1" t="n"/>
      <c r="G77" s="1" t="n"/>
      <c r="H77" s="1" t="n"/>
      <c r="I77" s="1" t="n"/>
      <c r="J77" s="1" t="n"/>
      <c r="K77" s="1" t="n"/>
      <c r="L77" s="1" t="n"/>
      <c r="M77" s="1" t="n"/>
      <c r="N77" s="1" t="n"/>
      <c r="O77" s="1" t="n"/>
      <c r="P77" s="1" t="n"/>
      <c r="Q77" s="1" t="n"/>
      <c r="R77" s="1" t="n"/>
      <c r="S77" s="1" t="n"/>
      <c r="T77" s="1" t="n"/>
      <c r="U77" s="1" t="n"/>
      <c r="V77" s="1" t="n"/>
      <c r="W77" s="1" t="n"/>
      <c r="X77" s="1" t="n"/>
      <c r="Y77" s="1" t="n"/>
      <c r="Z77" s="1" t="n"/>
    </row>
    <row r="78">
      <c r="A78" s="1" t="n"/>
      <c r="B78" s="1" t="n"/>
      <c r="C78" s="1" t="n"/>
      <c r="D78" s="1" t="n"/>
      <c r="E78" s="1" t="n"/>
      <c r="F78" s="1" t="n"/>
      <c r="G78" s="1" t="n"/>
      <c r="H78" s="1" t="n"/>
      <c r="I78" s="1" t="n"/>
      <c r="J78" s="1" t="n"/>
      <c r="K78" s="1" t="n"/>
      <c r="L78" s="1" t="n"/>
      <c r="M78" s="1" t="n"/>
      <c r="N78" s="1" t="n"/>
      <c r="O78" s="1" t="n"/>
      <c r="P78" s="1" t="n"/>
      <c r="Q78" s="1" t="n"/>
      <c r="R78" s="1" t="n"/>
      <c r="S78" s="1" t="n"/>
      <c r="T78" s="1" t="n"/>
      <c r="U78" s="1" t="n"/>
      <c r="V78" s="1" t="n"/>
      <c r="W78" s="1" t="n"/>
      <c r="X78" s="1" t="n"/>
      <c r="Y78" s="1" t="n"/>
      <c r="Z78" s="1" t="n"/>
    </row>
    <row r="79">
      <c r="A79" s="1" t="n"/>
      <c r="B79" s="1" t="n"/>
      <c r="C79" s="1" t="n"/>
      <c r="D79" s="1" t="n"/>
      <c r="E79" s="1" t="n"/>
      <c r="F79" s="1" t="n"/>
      <c r="G79" s="1" t="n"/>
      <c r="H79" s="1" t="n"/>
      <c r="I79" s="1" t="n"/>
      <c r="J79" s="1" t="n"/>
      <c r="K79" s="1" t="n"/>
      <c r="L79" s="1" t="n"/>
      <c r="M79" s="1" t="n"/>
      <c r="N79" s="1" t="n"/>
      <c r="O79" s="1" t="n"/>
      <c r="P79" s="1" t="n"/>
      <c r="Q79" s="1" t="n"/>
      <c r="R79" s="1" t="n"/>
      <c r="S79" s="1" t="n"/>
      <c r="T79" s="1" t="n"/>
      <c r="U79" s="1" t="n"/>
      <c r="V79" s="1" t="n"/>
      <c r="W79" s="1" t="n"/>
      <c r="X79" s="1" t="n"/>
      <c r="Y79" s="1" t="n"/>
      <c r="Z79" s="1" t="n"/>
    </row>
    <row r="80">
      <c r="A80" s="1" t="n"/>
      <c r="B80" s="1" t="n"/>
      <c r="C80" s="1" t="n"/>
      <c r="D80" s="1" t="n"/>
      <c r="E80" s="1" t="n"/>
      <c r="F80" s="1" t="n"/>
      <c r="G80" s="1" t="n"/>
      <c r="H80" s="1" t="n"/>
      <c r="I80" s="1" t="n"/>
      <c r="J80" s="1" t="n"/>
      <c r="K80" s="1" t="n"/>
      <c r="L80" s="1" t="n"/>
      <c r="M80" s="1" t="n"/>
      <c r="N80" s="1" t="n"/>
      <c r="O80" s="1" t="n"/>
      <c r="P80" s="1" t="n"/>
      <c r="Q80" s="1" t="n"/>
      <c r="R80" s="1" t="n"/>
      <c r="S80" s="1" t="n"/>
      <c r="T80" s="1" t="n"/>
      <c r="U80" s="1" t="n"/>
      <c r="V80" s="1" t="n"/>
      <c r="W80" s="1" t="n"/>
      <c r="X80" s="1" t="n"/>
      <c r="Y80" s="1" t="n"/>
      <c r="Z80" s="1" t="n"/>
    </row>
    <row r="81">
      <c r="A81" s="1" t="n"/>
      <c r="B81" s="1" t="n"/>
      <c r="C81" s="1" t="n"/>
      <c r="D81" s="1" t="n"/>
      <c r="E81" s="1" t="n"/>
      <c r="F81" s="1" t="n"/>
      <c r="G81" s="1" t="n"/>
      <c r="H81" s="1" t="n"/>
      <c r="I81" s="1" t="n"/>
      <c r="J81" s="1" t="n"/>
      <c r="K81" s="1" t="n"/>
      <c r="L81" s="1" t="n"/>
      <c r="M81" s="1" t="n"/>
      <c r="N81" s="1" t="n"/>
      <c r="O81" s="1" t="n"/>
      <c r="P81" s="1" t="n"/>
      <c r="Q81" s="1" t="n"/>
      <c r="R81" s="1" t="n"/>
      <c r="S81" s="1" t="n"/>
      <c r="T81" s="1" t="n"/>
      <c r="U81" s="1" t="n"/>
      <c r="V81" s="1" t="n"/>
      <c r="W81" s="1" t="n"/>
      <c r="X81" s="1" t="n"/>
      <c r="Y81" s="1" t="n"/>
      <c r="Z81" s="1" t="n"/>
    </row>
    <row r="82">
      <c r="A82" s="1" t="n"/>
      <c r="B82" s="1" t="n"/>
      <c r="C82" s="1" t="n"/>
      <c r="D82" s="1" t="n"/>
      <c r="E82" s="1" t="n"/>
      <c r="F82" s="1" t="n"/>
      <c r="G82" s="1" t="n"/>
      <c r="H82" s="1" t="n"/>
      <c r="I82" s="1" t="n"/>
      <c r="J82" s="1" t="n"/>
      <c r="K82" s="1" t="n"/>
      <c r="L82" s="1" t="n"/>
      <c r="M82" s="1" t="n"/>
      <c r="N82" s="1" t="n"/>
      <c r="O82" s="1" t="n"/>
      <c r="P82" s="1" t="n"/>
      <c r="Q82" s="1" t="n"/>
      <c r="R82" s="1" t="n"/>
      <c r="S82" s="1" t="n"/>
      <c r="T82" s="1" t="n"/>
      <c r="U82" s="1" t="n"/>
      <c r="V82" s="1" t="n"/>
      <c r="W82" s="1" t="n"/>
      <c r="X82" s="1" t="n"/>
      <c r="Y82" s="1" t="n"/>
      <c r="Z82" s="1" t="n"/>
    </row>
    <row r="83">
      <c r="A83" s="1" t="n"/>
      <c r="B83" s="1" t="n"/>
      <c r="C83" s="1" t="n"/>
      <c r="D83" s="1" t="n"/>
      <c r="E83" s="1" t="n"/>
      <c r="F83" s="1" t="n"/>
      <c r="G83" s="1" t="n"/>
      <c r="H83" s="1" t="n"/>
      <c r="I83" s="1" t="n"/>
      <c r="J83" s="1" t="n"/>
      <c r="K83" s="1" t="n"/>
      <c r="L83" s="1" t="n"/>
      <c r="M83" s="1" t="n"/>
      <c r="N83" s="1" t="n"/>
      <c r="O83" s="1" t="n"/>
      <c r="P83" s="1" t="n"/>
      <c r="Q83" s="1" t="n"/>
      <c r="R83" s="1" t="n"/>
      <c r="S83" s="1" t="n"/>
      <c r="T83" s="1" t="n"/>
      <c r="U83" s="1" t="n"/>
      <c r="V83" s="1" t="n"/>
      <c r="W83" s="1" t="n"/>
      <c r="X83" s="1" t="n"/>
      <c r="Y83" s="1" t="n"/>
      <c r="Z83" s="1" t="n"/>
    </row>
    <row r="84">
      <c r="A84" s="1" t="n"/>
      <c r="B84" s="1" t="n"/>
      <c r="C84" s="1" t="n"/>
      <c r="D84" s="1" t="n"/>
      <c r="E84" s="1" t="n"/>
      <c r="F84" s="1" t="n"/>
      <c r="G84" s="1" t="n"/>
      <c r="H84" s="1" t="n"/>
      <c r="I84" s="1" t="n"/>
      <c r="J84" s="1" t="n"/>
      <c r="K84" s="1" t="n"/>
      <c r="L84" s="1" t="n"/>
      <c r="M84" s="1" t="n"/>
      <c r="N84" s="1" t="n"/>
      <c r="O84" s="1" t="n"/>
      <c r="P84" s="1" t="n"/>
      <c r="Q84" s="1" t="n"/>
      <c r="R84" s="1" t="n"/>
      <c r="S84" s="1" t="n"/>
      <c r="T84" s="1" t="n"/>
      <c r="U84" s="1" t="n"/>
      <c r="V84" s="1" t="n"/>
      <c r="W84" s="1" t="n"/>
      <c r="X84" s="1" t="n"/>
      <c r="Y84" s="1" t="n"/>
      <c r="Z84" s="1" t="n"/>
    </row>
    <row r="85">
      <c r="A85" s="1" t="n"/>
      <c r="B85" s="1" t="n"/>
      <c r="C85" s="1" t="n"/>
      <c r="D85" s="1" t="n"/>
      <c r="E85" s="1" t="n"/>
      <c r="F85" s="1" t="n"/>
      <c r="G85" s="1" t="n"/>
      <c r="H85" s="1" t="n"/>
      <c r="I85" s="1" t="n"/>
      <c r="J85" s="1" t="n"/>
      <c r="K85" s="1" t="n"/>
      <c r="L85" s="1" t="n"/>
      <c r="M85" s="1" t="n"/>
      <c r="N85" s="1" t="n"/>
      <c r="O85" s="1" t="n"/>
      <c r="P85" s="1" t="n"/>
      <c r="Q85" s="1" t="n"/>
      <c r="R85" s="1" t="n"/>
      <c r="S85" s="1" t="n"/>
      <c r="T85" s="1" t="n"/>
      <c r="U85" s="1" t="n"/>
      <c r="V85" s="1" t="n"/>
      <c r="W85" s="1" t="n"/>
      <c r="X85" s="1" t="n"/>
      <c r="Y85" s="1" t="n"/>
      <c r="Z85" s="1" t="n"/>
    </row>
    <row r="86">
      <c r="A86" s="1" t="n"/>
      <c r="B86" s="1" t="n"/>
      <c r="C86" s="1" t="n"/>
      <c r="D86" s="1" t="n"/>
      <c r="E86" s="1" t="n"/>
      <c r="F86" s="1" t="n"/>
      <c r="G86" s="1" t="n"/>
      <c r="H86" s="1" t="n"/>
      <c r="I86" s="1" t="n"/>
      <c r="J86" s="1" t="n"/>
      <c r="K86" s="1" t="n"/>
      <c r="L86" s="1" t="n"/>
      <c r="M86" s="1" t="n"/>
      <c r="N86" s="1" t="n"/>
      <c r="O86" s="1" t="n"/>
      <c r="P86" s="1" t="n"/>
      <c r="Q86" s="1" t="n"/>
      <c r="R86" s="1" t="n"/>
      <c r="S86" s="1" t="n"/>
      <c r="T86" s="1" t="n"/>
      <c r="U86" s="1" t="n"/>
      <c r="V86" s="1" t="n"/>
      <c r="W86" s="1" t="n"/>
      <c r="X86" s="1" t="n"/>
      <c r="Y86" s="1" t="n"/>
      <c r="Z86" s="1" t="n"/>
    </row>
    <row r="87">
      <c r="A87" s="1" t="n"/>
      <c r="B87" s="1" t="n"/>
      <c r="C87" s="1" t="n"/>
      <c r="D87" s="1" t="n"/>
      <c r="E87" s="1" t="n"/>
      <c r="F87" s="1" t="n"/>
      <c r="G87" s="1" t="n"/>
      <c r="H87" s="1" t="n"/>
      <c r="I87" s="1" t="n"/>
      <c r="J87" s="1" t="n"/>
      <c r="K87" s="1" t="n"/>
      <c r="L87" s="1" t="n"/>
      <c r="M87" s="1" t="n"/>
      <c r="N87" s="1" t="n"/>
      <c r="O87" s="1" t="n"/>
      <c r="P87" s="1" t="n"/>
      <c r="Q87" s="1" t="n"/>
      <c r="R87" s="1" t="n"/>
      <c r="S87" s="1" t="n"/>
      <c r="T87" s="1" t="n"/>
      <c r="U87" s="1" t="n"/>
      <c r="V87" s="1" t="n"/>
      <c r="W87" s="1" t="n"/>
      <c r="X87" s="1" t="n"/>
      <c r="Y87" s="1" t="n"/>
      <c r="Z87" s="1" t="n"/>
    </row>
  </sheetData>
  <pageMargins left="0.4" right="0.4" top="0.5" bottom="0.5" header="0.3" footer="0.3"/>
  <pageSetup orientation="landscape" fitToHeight="0" fitToWidth="1"/>
  <rowBreaks count="1" manualBreakCount="1">
    <brk id="57" min="0" max="16383" man="1"/>
  </rowBreaks>
</worksheet>
</file>

<file path=xl/worksheets/sheet7.xml><?xml version="1.0" encoding="utf-8"?>
<worksheet xmlns="http://schemas.openxmlformats.org/spreadsheetml/2006/main">
  <sheetPr>
    <tabColor rgb="001C63AF"/>
    <outlinePr summaryBelow="1" summaryRight="1"/>
    <pageSetUpPr fitToPage="1"/>
  </sheetPr>
  <dimension ref="A1:N94"/>
  <sheetViews>
    <sheetView showGridLines="0" workbookViewId="0">
      <pane xSplit="1" ySplit="7" topLeftCell="B8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.5" customWidth="1" min="1" max="1"/>
    <col width="40" customWidth="1" min="2" max="2"/>
    <col width="10" customWidth="1" min="3" max="3"/>
    <col width="11" customWidth="1" min="4" max="4"/>
    <col width="11" customWidth="1" min="5" max="5"/>
    <col width="11" customWidth="1" min="6" max="6"/>
    <col width="12" customWidth="1" min="7" max="7"/>
    <col width="56" customWidth="1" min="8" max="8"/>
  </cols>
  <sheetData>
    <row r="1" ht="9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</row>
    <row r="2" ht="22" customHeight="1">
      <c r="A2" s="1" t="n"/>
      <c r="B2" s="17" t="inlineStr">
        <is>
          <t>Assumptions</t>
        </is>
      </c>
      <c r="C2" s="18" t="n"/>
      <c r="D2" s="18" t="n"/>
      <c r="E2" s="18" t="n"/>
      <c r="F2" s="18" t="n"/>
      <c r="G2" s="18" t="n"/>
      <c r="H2" s="18" t="n"/>
      <c r="I2" s="1" t="n"/>
      <c r="J2" s="1" t="n"/>
      <c r="K2" s="1" t="n"/>
      <c r="L2" s="1" t="n"/>
      <c r="M2" s="1" t="n"/>
      <c r="N2" s="1" t="n"/>
    </row>
    <row r="3">
      <c r="A3" s="1" t="n"/>
      <c r="B3" s="19" t="inlineStr">
        <is>
          <t>Scenario inputs feed the active case; linked rows keep source values separate from assumptions.</t>
        </is>
      </c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  <c r="M3" s="1" t="n"/>
      <c r="N3" s="1" t="n"/>
    </row>
    <row r="4" ht="6" customHeight="1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  <c r="K4" s="1" t="n"/>
      <c r="L4" s="1" t="n"/>
      <c r="M4" s="1" t="n"/>
      <c r="N4" s="1" t="n"/>
    </row>
    <row r="5">
      <c r="A5" s="1" t="n"/>
      <c r="B5" s="1" t="n"/>
      <c r="C5" s="1" t="n"/>
      <c r="D5" s="1" t="n"/>
      <c r="E5" s="1" t="n"/>
      <c r="F5" s="1" t="n"/>
      <c r="G5" s="1" t="n"/>
      <c r="H5" s="1" t="n"/>
      <c r="I5" s="1" t="n"/>
      <c r="J5" s="1" t="n"/>
      <c r="K5" s="1" t="n"/>
      <c r="L5" s="1" t="n"/>
      <c r="M5" s="1" t="n"/>
      <c r="N5" s="1" t="n"/>
    </row>
    <row r="6" ht="17" customHeight="1">
      <c r="A6" s="1" t="n"/>
      <c r="B6" s="22" t="inlineStr">
        <is>
          <t>Scenario drivers</t>
        </is>
      </c>
      <c r="C6" s="23" t="n"/>
      <c r="D6" s="23" t="n"/>
      <c r="E6" s="23" t="n"/>
      <c r="F6" s="23" t="n"/>
      <c r="G6" s="23" t="n"/>
      <c r="H6" s="23" t="n"/>
      <c r="I6" s="1" t="n"/>
      <c r="J6" s="1" t="n"/>
      <c r="K6" s="1" t="n"/>
      <c r="L6" s="1" t="n"/>
      <c r="M6" s="1" t="n"/>
      <c r="N6" s="1" t="n"/>
    </row>
    <row r="7" ht="14" customHeight="1">
      <c r="A7" s="1" t="n"/>
      <c r="B7" s="39" t="inlineStr">
        <is>
          <t>Driver</t>
        </is>
      </c>
      <c r="C7" s="40" t="inlineStr">
        <is>
          <t>Unit</t>
        </is>
      </c>
      <c r="D7" s="40" t="inlineStr">
        <is>
          <t>Bear</t>
        </is>
      </c>
      <c r="E7" s="40" t="inlineStr">
        <is>
          <t>Base</t>
        </is>
      </c>
      <c r="F7" s="40" t="inlineStr">
        <is>
          <t>Bull</t>
        </is>
      </c>
      <c r="G7" s="40" t="inlineStr">
        <is>
          <t>Active</t>
        </is>
      </c>
      <c r="H7" s="40" t="inlineStr">
        <is>
          <t>Note</t>
        </is>
      </c>
      <c r="I7" s="1" t="n"/>
      <c r="J7" s="1" t="n"/>
      <c r="K7" s="1" t="n"/>
      <c r="L7" s="1" t="n"/>
      <c r="M7" s="1" t="n"/>
      <c r="N7" s="1" t="n"/>
    </row>
    <row r="8">
      <c r="A8" s="1" t="n"/>
      <c r="B8" s="53" t="inlineStr">
        <is>
          <t>Token price compression</t>
        </is>
      </c>
      <c r="C8" s="85" t="inlineStr">
        <is>
          <t>% of list</t>
        </is>
      </c>
      <c r="D8" s="86" t="n">
        <v>0.4</v>
      </c>
      <c r="E8" s="86" t="n">
        <v>0.3</v>
      </c>
      <c r="F8" s="86" t="n">
        <v>0.2</v>
      </c>
      <c r="G8" s="87">
        <f>INDEX(D8:F8,MATCH(Scenario,$D$7:$F$7,0))</f>
        <v/>
      </c>
      <c r="H8" s="43" t="inlineStr">
        <is>
          <t>Compression lowers realized revenue per million tokens from list pricing.</t>
        </is>
      </c>
      <c r="I8" s="1" t="n"/>
      <c r="J8" s="1" t="n"/>
      <c r="K8" s="1" t="n"/>
      <c r="L8" s="1" t="n"/>
      <c r="M8" s="1" t="n"/>
      <c r="N8" s="1" t="n"/>
    </row>
    <row r="9">
      <c r="A9" s="1" t="n"/>
      <c r="B9" s="53" t="inlineStr">
        <is>
          <t>Utilization</t>
        </is>
      </c>
      <c r="C9" s="85" t="inlineStr">
        <is>
          <t>%</t>
        </is>
      </c>
      <c r="D9" s="86" t="n">
        <v>0.5</v>
      </c>
      <c r="E9" s="86" t="n">
        <v>0.65</v>
      </c>
      <c r="F9" s="86" t="n">
        <v>0.8</v>
      </c>
      <c r="G9" s="87">
        <f>INDEX(D9:F9,MATCH(Scenario,$D$7:$F$7,0))</f>
        <v/>
      </c>
      <c r="H9" s="43" t="inlineStr">
        <is>
          <t>Utilization decides how much fixed capacity cost each served token absorbs.</t>
        </is>
      </c>
      <c r="I9" s="1" t="n"/>
      <c r="J9" s="1" t="n"/>
      <c r="K9" s="1" t="n"/>
      <c r="L9" s="1" t="n"/>
      <c r="M9" s="1" t="n"/>
      <c r="N9" s="1" t="n"/>
    </row>
    <row r="10">
      <c r="A10" s="1" t="n"/>
      <c r="B10" s="53" t="inlineStr">
        <is>
          <t>Construction delay</t>
        </is>
      </c>
      <c r="C10" s="85" t="inlineStr">
        <is>
          <t>months</t>
        </is>
      </c>
      <c r="D10" s="88" t="n">
        <v>18</v>
      </c>
      <c r="E10" s="88" t="n">
        <v>12</v>
      </c>
      <c r="F10" s="88" t="n">
        <v>6</v>
      </c>
      <c r="G10" s="89">
        <f>INDEX(D10:F10,MATCH(Scenario,$D$7:$F$7,0))</f>
        <v/>
      </c>
      <c r="H10" s="43" t="inlineStr">
        <is>
          <t>Delay adds COD-gap carry before capacity can serve load.</t>
        </is>
      </c>
      <c r="I10" s="1" t="n"/>
      <c r="J10" s="1" t="n"/>
      <c r="K10" s="1" t="n"/>
      <c r="L10" s="1" t="n"/>
      <c r="M10" s="1" t="n"/>
      <c r="N10" s="1" t="n"/>
    </row>
    <row r="11">
      <c r="A11" s="1" t="n"/>
      <c r="B11" s="53" t="inlineStr">
        <is>
          <t>Merchant power price, 2026</t>
        </is>
      </c>
      <c r="C11" s="85" t="inlineStr">
        <is>
          <t>$/MWh</t>
        </is>
      </c>
      <c r="D11" s="90" t="n">
        <v>120</v>
      </c>
      <c r="E11" s="90" t="n">
        <v>90</v>
      </c>
      <c r="F11" s="90" t="n">
        <v>70</v>
      </c>
      <c r="G11" s="59">
        <f>INDEX(D11:F11,MATCH(Scenario,$D$7:$F$7,0))</f>
        <v/>
      </c>
      <c r="H11" s="43" t="inlineStr">
        <is>
          <t>Merchant power sets the grid-blended residual floor and overhead power base.</t>
        </is>
      </c>
      <c r="I11" s="1" t="n"/>
      <c r="J11" s="1" t="n"/>
      <c r="K11" s="1" t="n"/>
      <c r="L11" s="1" t="n"/>
      <c r="M11" s="1" t="n"/>
      <c r="N11" s="1" t="n"/>
    </row>
    <row r="12">
      <c r="A12" s="1" t="n"/>
      <c r="B12" s="53" t="inlineStr">
        <is>
          <t>GPU cost index</t>
        </is>
      </c>
      <c r="C12" s="85" t="inlineStr">
        <is>
          <t>×</t>
        </is>
      </c>
      <c r="D12" s="91" t="n">
        <v>1.15</v>
      </c>
      <c r="E12" s="91" t="n">
        <v>1</v>
      </c>
      <c r="F12" s="91" t="n">
        <v>0.9</v>
      </c>
      <c r="G12" s="92">
        <f>INDEX(D12:F12,MATCH(Scenario,$D$7:$F$7,0))</f>
        <v/>
      </c>
      <c r="H12" s="43" t="inlineStr">
        <is>
          <t>Accelerator cost moves the inference component against the baseline.</t>
        </is>
      </c>
      <c r="I12" s="1" t="n"/>
      <c r="J12" s="1" t="n"/>
      <c r="K12" s="1" t="n"/>
      <c r="L12" s="1" t="n"/>
      <c r="M12" s="1" t="n"/>
      <c r="N12" s="1" t="n"/>
    </row>
    <row r="13">
      <c r="A13" s="1" t="n"/>
      <c r="B13" s="53" t="inlineStr">
        <is>
          <t>Capacity rate for carry</t>
        </is>
      </c>
      <c r="C13" s="85" t="inlineStr">
        <is>
          <t>$/MWh</t>
        </is>
      </c>
      <c r="D13" s="93">
        <f>sCapJan26</f>
        <v/>
      </c>
      <c r="E13" s="93">
        <f>sCapSettled</f>
        <v/>
      </c>
      <c r="F13" s="93">
        <f>sCapSettled</f>
        <v/>
      </c>
      <c r="G13" s="94">
        <f>INDEX(D13:F13,MATCH(Scenario,$D$7:$F$7,0))</f>
        <v/>
      </c>
      <c r="H13" s="43" t="inlineStr">
        <is>
          <t>Bear holds the Jan-2026 print; Base and Bull use the 2025 settled rate.</t>
        </is>
      </c>
      <c r="I13" s="1" t="n"/>
      <c r="J13" s="1" t="n"/>
      <c r="K13" s="1" t="n"/>
      <c r="L13" s="1" t="n"/>
      <c r="M13" s="1" t="n"/>
      <c r="N13" s="1" t="n"/>
    </row>
    <row r="14">
      <c r="A14" s="1" t="n"/>
      <c r="B14" s="53" t="inlineStr">
        <is>
          <t>UF6 conversion ratio (AS-001)</t>
        </is>
      </c>
      <c r="C14" s="85" t="inlineStr">
        <is>
          <t>×</t>
        </is>
      </c>
      <c r="D14" s="91" t="n">
        <v>1.35</v>
      </c>
      <c r="E14" s="91" t="n">
        <v>1.15</v>
      </c>
      <c r="F14" s="91" t="n">
        <v>0.95</v>
      </c>
      <c r="G14" s="92">
        <f>INDEX(D14:F14,MATCH(Scenario,$D$7:$F$7,0))</f>
        <v/>
      </c>
      <c r="H14" s="43" t="inlineStr">
        <is>
          <t>Use this sensitivity range until current market quotes replace it.</t>
        </is>
      </c>
      <c r="I14" s="1" t="n"/>
      <c r="J14" s="1" t="n"/>
      <c r="K14" s="1" t="n"/>
      <c r="L14" s="1" t="n"/>
      <c r="M14" s="1" t="n"/>
      <c r="N14" s="1" t="n"/>
    </row>
    <row r="15">
      <c r="A15" s="1" t="n"/>
      <c r="B15" s="53" t="inlineStr">
        <is>
          <t>SWU price ratio (AS-002)</t>
        </is>
      </c>
      <c r="C15" s="85" t="inlineStr">
        <is>
          <t>×</t>
        </is>
      </c>
      <c r="D15" s="91" t="n">
        <v>1.35</v>
      </c>
      <c r="E15" s="91" t="n">
        <v>1.15</v>
      </c>
      <c r="F15" s="91" t="n">
        <v>0.95</v>
      </c>
      <c r="G15" s="92">
        <f>INDEX(D15:F15,MATCH(Scenario,$D$7:$F$7,0))</f>
        <v/>
      </c>
      <c r="H15" s="43" t="inlineStr">
        <is>
          <t>Use this sensitivity range until current market quotes replace it.</t>
        </is>
      </c>
      <c r="I15" s="1" t="n"/>
      <c r="J15" s="1" t="n"/>
      <c r="K15" s="1" t="n"/>
      <c r="L15" s="1" t="n"/>
      <c r="M15" s="1" t="n"/>
      <c r="N15" s="1" t="n"/>
    </row>
    <row r="16">
      <c r="A16" s="1" t="n"/>
      <c r="B16" s="53" t="inlineStr">
        <is>
          <t>Revenue growth, FY2027</t>
        </is>
      </c>
      <c r="C16" s="85" t="inlineStr">
        <is>
          <t>% y/y</t>
        </is>
      </c>
      <c r="D16" s="86" t="n">
        <v>0.5</v>
      </c>
      <c r="E16" s="86" t="n">
        <v>0.8</v>
      </c>
      <c r="F16" s="86" t="n">
        <v>1.2</v>
      </c>
      <c r="G16" s="87">
        <f>INDEX(D16:F16,MATCH(Scenario,$D$7:$F$7,0))</f>
        <v/>
      </c>
      <c r="H16" s="43" t="inlineStr">
        <is>
          <t>The first forecast year scales from the stated FY2026 run-rate.</t>
        </is>
      </c>
      <c r="I16" s="1" t="n"/>
      <c r="J16" s="1" t="n"/>
      <c r="K16" s="1" t="n"/>
      <c r="L16" s="1" t="n"/>
      <c r="M16" s="1" t="n"/>
      <c r="N16" s="1" t="n"/>
    </row>
    <row r="17">
      <c r="A17" s="1" t="n"/>
      <c r="B17" s="53" t="inlineStr">
        <is>
          <t>Merchant power escalation</t>
        </is>
      </c>
      <c r="C17" s="85" t="inlineStr">
        <is>
          <t>%/yr</t>
        </is>
      </c>
      <c r="D17" s="95" t="n">
        <v>0.06</v>
      </c>
      <c r="E17" s="95" t="n">
        <v>0.03</v>
      </c>
      <c r="F17" s="95" t="n">
        <v>0.01</v>
      </c>
      <c r="G17" s="96">
        <f>INDEX(D17:F17,MATCH(Scenario,$D$7:$F$7,0))</f>
        <v/>
      </c>
      <c r="H17" s="43" t="inlineStr">
        <is>
          <t>Escalation raises the cost of any tranche still exposed to market power.</t>
        </is>
      </c>
      <c r="I17" s="1" t="n"/>
      <c r="J17" s="1" t="n"/>
      <c r="K17" s="1" t="n"/>
      <c r="L17" s="1" t="n"/>
      <c r="M17" s="1" t="n"/>
      <c r="N17" s="1" t="n"/>
    </row>
    <row r="18">
      <c r="A18" s="1" t="n"/>
      <c r="B18" s="53" t="inlineStr">
        <is>
          <t>Realized $/MTok drift</t>
        </is>
      </c>
      <c r="C18" s="85" t="inlineStr">
        <is>
          <t>%/yr</t>
        </is>
      </c>
      <c r="D18" s="95" t="n">
        <v>-0.15</v>
      </c>
      <c r="E18" s="95" t="n">
        <v>-0.1</v>
      </c>
      <c r="F18" s="95" t="n">
        <v>-0.05</v>
      </c>
      <c r="G18" s="96">
        <f>INDEX(D18:F18,MATCH(Scenario,$D$7:$F$7,0))</f>
        <v/>
      </c>
      <c r="H18" s="43" t="inlineStr">
        <is>
          <t>Price compression continues through the forecast horizon.</t>
        </is>
      </c>
      <c r="I18" s="1" t="n"/>
      <c r="J18" s="1" t="n"/>
      <c r="K18" s="1" t="n"/>
      <c r="L18" s="1" t="n"/>
      <c r="M18" s="1" t="n"/>
      <c r="N18" s="1" t="n"/>
    </row>
    <row r="19">
      <c r="A19" s="1" t="n"/>
      <c r="B19" s="53" t="inlineStr">
        <is>
          <t>Power intensity drift</t>
        </is>
      </c>
      <c r="C19" s="85" t="inlineStr">
        <is>
          <t>%/yr</t>
        </is>
      </c>
      <c r="D19" s="95" t="n">
        <v>-0.05</v>
      </c>
      <c r="E19" s="95" t="n">
        <v>-0.1</v>
      </c>
      <c r="F19" s="95" t="n">
        <v>-0.15</v>
      </c>
      <c r="G19" s="96">
        <f>INDEX(D19:F19,MATCH(Scenario,$D$7:$F$7,0))</f>
        <v/>
      </c>
      <c r="H19" s="43" t="inlineStr">
        <is>
          <t>Efficiency gains lower the energy required per token.</t>
        </is>
      </c>
      <c r="I19" s="1" t="n"/>
      <c r="J19" s="1" t="n"/>
      <c r="K19" s="1" t="n"/>
      <c r="L19" s="1" t="n"/>
      <c r="M19" s="1" t="n"/>
      <c r="N19" s="1" t="n"/>
    </row>
    <row r="20">
      <c r="A20" s="1" t="n"/>
      <c r="B20" s="53" t="inlineStr">
        <is>
          <t>Fuel escalator drift</t>
        </is>
      </c>
      <c r="C20" s="85" t="inlineStr">
        <is>
          <t>%/yr</t>
        </is>
      </c>
      <c r="D20" s="95" t="n">
        <v>0.04</v>
      </c>
      <c r="E20" s="95" t="n">
        <v>0.02</v>
      </c>
      <c r="F20" s="95" t="n">
        <v>0</v>
      </c>
      <c r="G20" s="96">
        <f>INDEX(D20:F20,MATCH(Scenario,$D$7:$F$7,0))</f>
        <v/>
      </c>
      <c r="H20" s="43" t="inlineStr">
        <is>
          <t>Fuel escalation moves the N-SMR fuel leg from its current level.</t>
        </is>
      </c>
      <c r="I20" s="1" t="n"/>
      <c r="J20" s="1" t="n"/>
      <c r="K20" s="1" t="n"/>
      <c r="L20" s="1" t="n"/>
      <c r="M20" s="1" t="n"/>
      <c r="N20" s="1" t="n"/>
    </row>
    <row r="21">
      <c r="A21" s="1" t="n"/>
      <c r="B21" s="53" t="inlineStr">
        <is>
          <t>Tokens per task drift</t>
        </is>
      </c>
      <c r="C21" s="85" t="inlineStr">
        <is>
          <t>%/yr</t>
        </is>
      </c>
      <c r="D21" s="95" t="n">
        <v>0.08</v>
      </c>
      <c r="E21" s="95" t="n">
        <v>0.04</v>
      </c>
      <c r="F21" s="95" t="n">
        <v>0.01</v>
      </c>
      <c r="G21" s="96">
        <f>INDEX(D21:F21,MATCH(Scenario,$D$7:$F$7,0))</f>
        <v/>
      </c>
      <c r="H21" s="43" t="inlineStr">
        <is>
          <t>Longer context, agentic workflows, and richer tasks raise token volume per delivered unit of work.</t>
        </is>
      </c>
      <c r="I21" s="1" t="n"/>
      <c r="J21" s="1" t="n"/>
      <c r="K21" s="1" t="n"/>
      <c r="L21" s="1" t="n"/>
      <c r="M21" s="1" t="n"/>
      <c r="N21" s="1" t="n"/>
    </row>
    <row r="22">
      <c r="A22" s="1" t="n"/>
      <c r="B22" s="53" t="inlineStr">
        <is>
          <t>Demand elasticity to price compression</t>
        </is>
      </c>
      <c r="C22" s="85" t="inlineStr">
        <is>
          <t>×</t>
        </is>
      </c>
      <c r="D22" s="91" t="n">
        <v>0.3</v>
      </c>
      <c r="E22" s="91" t="n">
        <v>0.5</v>
      </c>
      <c r="F22" s="91" t="n">
        <v>0.7</v>
      </c>
      <c r="G22" s="92">
        <f>INDEX(D22:F22,MATCH(Scenario,$D$7:$F$7,0))</f>
        <v/>
      </c>
      <c r="H22" s="43" t="inlineStr">
        <is>
          <t>Lower realized price expands usage beyond the run-rate path; this is a volume multiplier, not an added revenue forecast.</t>
        </is>
      </c>
      <c r="I22" s="1" t="n"/>
      <c r="J22" s="1" t="n"/>
      <c r="K22" s="1" t="n"/>
      <c r="L22" s="1" t="n"/>
      <c r="M22" s="1" t="n"/>
      <c r="N22" s="1" t="n"/>
    </row>
    <row r="23">
      <c r="A23" s="1" t="n"/>
      <c r="B23" s="1" t="n"/>
      <c r="C23" s="1" t="n"/>
      <c r="D23" s="1" t="n"/>
      <c r="E23" s="1" t="n"/>
      <c r="F23" s="1" t="n"/>
      <c r="G23" s="1" t="n"/>
      <c r="H23" s="1" t="n"/>
      <c r="I23" s="1" t="n"/>
      <c r="J23" s="1" t="n"/>
      <c r="K23" s="1" t="n"/>
      <c r="L23" s="1" t="n"/>
      <c r="M23" s="1" t="n"/>
      <c r="N23" s="1" t="n"/>
    </row>
    <row r="24" ht="17" customHeight="1">
      <c r="A24" s="1" t="n"/>
      <c r="B24" s="22" t="inlineStr">
        <is>
          <t>Calibration and estimates</t>
        </is>
      </c>
      <c r="C24" s="23" t="n"/>
      <c r="D24" s="23" t="n"/>
      <c r="E24" s="23" t="n"/>
      <c r="F24" s="23" t="n"/>
      <c r="G24" s="23" t="n"/>
      <c r="H24" s="23" t="n"/>
      <c r="I24" s="1" t="n"/>
      <c r="J24" s="1" t="n"/>
      <c r="K24" s="1" t="n"/>
      <c r="L24" s="1" t="n"/>
      <c r="M24" s="1" t="n"/>
      <c r="N24" s="1" t="n"/>
    </row>
    <row r="25">
      <c r="A25" s="1" t="n"/>
      <c r="B25" s="29" t="inlineStr">
        <is>
          <t>List price, gross</t>
        </is>
      </c>
      <c r="C25" s="43" t="inlineStr">
        <is>
          <t>$/MTok</t>
        </is>
      </c>
      <c r="D25" s="1" t="n"/>
      <c r="E25" s="97" t="n">
        <v>5.5</v>
      </c>
      <c r="F25" s="1" t="n"/>
      <c r="G25" s="1" t="n"/>
      <c r="H25" s="43" t="inlineStr">
        <is>
          <t>The gross list price anchors realized revenue before compression.</t>
        </is>
      </c>
      <c r="I25" s="1" t="n"/>
      <c r="J25" s="1" t="n"/>
      <c r="K25" s="1" t="n"/>
      <c r="L25" s="1" t="n"/>
      <c r="M25" s="1" t="n"/>
      <c r="N25" s="1" t="n"/>
    </row>
    <row r="26">
      <c r="A26" s="1" t="n"/>
      <c r="B26" s="29" t="inlineStr">
        <is>
          <t>Inference compute, base</t>
        </is>
      </c>
      <c r="C26" s="43" t="inlineStr">
        <is>
          <t>$/MTok</t>
        </is>
      </c>
      <c r="D26" s="1" t="n"/>
      <c r="E26" s="97" t="n">
        <v>1.7</v>
      </c>
      <c r="F26" s="1" t="n"/>
      <c r="G26" s="1" t="n"/>
      <c r="H26" s="43" t="inlineStr">
        <is>
          <t>The base inference cost applies at calibration utilization and GPU index 1.0.</t>
        </is>
      </c>
      <c r="I26" s="1" t="n"/>
      <c r="J26" s="1" t="n"/>
      <c r="K26" s="1" t="n"/>
      <c r="L26" s="1" t="n"/>
      <c r="M26" s="1" t="n"/>
      <c r="N26" s="1" t="n"/>
    </row>
    <row r="27">
      <c r="A27" s="1" t="n"/>
      <c r="B27" s="29" t="inlineStr">
        <is>
          <t>Training amortization, base</t>
        </is>
      </c>
      <c r="C27" s="43" t="inlineStr">
        <is>
          <t>$/MTok</t>
        </is>
      </c>
      <c r="D27" s="1" t="n"/>
      <c r="E27" s="97" t="n">
        <v>0.45</v>
      </c>
      <c r="F27" s="1" t="n"/>
      <c r="G27" s="1" t="n"/>
      <c r="H27" s="43" t="inlineStr">
        <is>
          <t>The Credit sheet carries the useful-life context behind this amortization.</t>
        </is>
      </c>
      <c r="I27" s="1" t="n"/>
      <c r="J27" s="1" t="n"/>
      <c r="K27" s="1" t="n"/>
      <c r="L27" s="1" t="n"/>
      <c r="M27" s="1" t="n"/>
      <c r="N27" s="1" t="n"/>
    </row>
    <row r="28">
      <c r="A28" s="1" t="n"/>
      <c r="B28" s="29" t="inlineStr">
        <is>
          <t>Networking and storage</t>
        </is>
      </c>
      <c r="C28" s="43" t="inlineStr">
        <is>
          <t>$/MTok</t>
        </is>
      </c>
      <c r="D28" s="1" t="n"/>
      <c r="E28" s="97" t="n">
        <v>0.18</v>
      </c>
      <c r="F28" s="1" t="n"/>
      <c r="G28" s="1" t="n"/>
      <c r="H28" s="43" t="inlineStr"/>
      <c r="I28" s="1" t="n"/>
      <c r="J28" s="1" t="n"/>
      <c r="K28" s="1" t="n"/>
      <c r="L28" s="1" t="n"/>
      <c r="M28" s="1" t="n"/>
      <c r="N28" s="1" t="n"/>
    </row>
    <row r="29">
      <c r="A29" s="1" t="n"/>
      <c r="B29" s="29" t="inlineStr">
        <is>
          <t>Operator overhead, base</t>
        </is>
      </c>
      <c r="C29" s="43" t="inlineStr">
        <is>
          <t>$/MTok</t>
        </is>
      </c>
      <c r="D29" s="1" t="n"/>
      <c r="E29" s="97" t="n">
        <v>0.28</v>
      </c>
      <c r="F29" s="1" t="n"/>
      <c r="G29" s="1" t="n"/>
      <c r="H29" s="43" t="inlineStr">
        <is>
          <t>Operator overhead moves with the power-price input.</t>
        </is>
      </c>
      <c r="I29" s="1" t="n"/>
      <c r="J29" s="1" t="n"/>
      <c r="K29" s="1" t="n"/>
      <c r="L29" s="1" t="n"/>
      <c r="M29" s="1" t="n"/>
      <c r="N29" s="1" t="n"/>
    </row>
    <row r="30">
      <c r="A30" s="1" t="n"/>
      <c r="B30" s="29" t="inlineStr">
        <is>
          <t>COD-gap carry, base</t>
        </is>
      </c>
      <c r="C30" s="43" t="inlineStr">
        <is>
          <t>$/MTok</t>
        </is>
      </c>
      <c r="D30" s="1" t="n"/>
      <c r="E30" s="97" t="n">
        <v>0.1</v>
      </c>
      <c r="F30" s="1" t="n"/>
      <c r="G30" s="1" t="n"/>
      <c r="H30" s="43" t="inlineStr">
        <is>
          <t>COD-gap carry grows with construction delay.</t>
        </is>
      </c>
      <c r="I30" s="1" t="n"/>
      <c r="J30" s="1" t="n"/>
      <c r="K30" s="1" t="n"/>
      <c r="L30" s="1" t="n"/>
      <c r="M30" s="1" t="n"/>
      <c r="N30" s="1" t="n"/>
    </row>
    <row r="31">
      <c r="A31" s="1" t="n"/>
      <c r="B31" s="29" t="inlineStr">
        <is>
          <t>Fixed debt service</t>
        </is>
      </c>
      <c r="C31" s="43" t="inlineStr">
        <is>
          <t>$/MTok</t>
        </is>
      </c>
      <c r="D31" s="1" t="n"/>
      <c r="E31" s="97" t="n">
        <v>0.45</v>
      </c>
      <c r="F31" s="1" t="n"/>
      <c r="G31" s="1" t="n"/>
      <c r="H31" s="43" t="inlineStr">
        <is>
          <t>Debt service does not shrink when revenue does.</t>
        </is>
      </c>
      <c r="I31" s="1" t="n"/>
      <c r="J31" s="1" t="n"/>
      <c r="K31" s="1" t="n"/>
      <c r="L31" s="1" t="n"/>
      <c r="M31" s="1" t="n"/>
      <c r="N31" s="1" t="n"/>
    </row>
    <row r="32">
      <c r="A32" s="1" t="n"/>
      <c r="B32" s="29" t="inlineStr">
        <is>
          <t>Pre-productive burn</t>
        </is>
      </c>
      <c r="C32" s="43" t="inlineStr">
        <is>
          <t>$/MTok/mo</t>
        </is>
      </c>
      <c r="D32" s="1" t="n"/>
      <c r="E32" s="97" t="n">
        <v>0.04</v>
      </c>
      <c r="F32" s="1" t="n"/>
      <c r="G32" s="1" t="n"/>
      <c r="H32" s="43" t="inlineStr">
        <is>
          <t>Each stranded month adds carry at the base power price.</t>
        </is>
      </c>
      <c r="I32" s="1" t="n"/>
      <c r="J32" s="1" t="n"/>
      <c r="K32" s="1" t="n"/>
      <c r="L32" s="1" t="n"/>
      <c r="M32" s="1" t="n"/>
      <c r="N32" s="1" t="n"/>
    </row>
    <row r="33">
      <c r="A33" s="1" t="n"/>
      <c r="B33" s="29" t="inlineStr">
        <is>
          <t>Calibration utilization</t>
        </is>
      </c>
      <c r="C33" s="43" t="inlineStr">
        <is>
          <t>%</t>
        </is>
      </c>
      <c r="D33" s="1" t="n"/>
      <c r="E33" s="98" t="n">
        <v>0.65</v>
      </c>
      <c r="F33" s="1" t="n"/>
      <c r="G33" s="1" t="n"/>
      <c r="H33" s="43" t="inlineStr">
        <is>
          <t>This is the utilization level at which base costs are stated.</t>
        </is>
      </c>
      <c r="I33" s="1" t="n"/>
      <c r="J33" s="1" t="n"/>
      <c r="K33" s="1" t="n"/>
      <c r="L33" s="1" t="n"/>
      <c r="M33" s="1" t="n"/>
      <c r="N33" s="1" t="n"/>
    </row>
    <row r="34">
      <c r="A34" s="1" t="n"/>
      <c r="B34" s="29" t="inlineStr">
        <is>
          <t>Calibration power price</t>
        </is>
      </c>
      <c r="C34" s="43" t="inlineStr">
        <is>
          <t>$/MWh</t>
        </is>
      </c>
      <c r="D34" s="1" t="n"/>
      <c r="E34" s="99" t="n">
        <v>90</v>
      </c>
      <c r="F34" s="1" t="n"/>
      <c r="G34" s="1" t="n"/>
      <c r="H34" s="43" t="inlineStr">
        <is>
          <t>This is the power price at which base overhead is stated.</t>
        </is>
      </c>
      <c r="I34" s="1" t="n"/>
      <c r="J34" s="1" t="n"/>
      <c r="K34" s="1" t="n"/>
      <c r="L34" s="1" t="n"/>
      <c r="M34" s="1" t="n"/>
      <c r="N34" s="1" t="n"/>
    </row>
    <row r="35">
      <c r="A35" s="1" t="n"/>
      <c r="B35" s="29" t="inlineStr">
        <is>
          <t>Feed ratio override (0 = use capture)</t>
        </is>
      </c>
      <c r="C35" s="43" t="inlineStr">
        <is>
          <t>×</t>
        </is>
      </c>
      <c r="D35" s="1" t="n"/>
      <c r="E35" s="100" t="n">
        <v>0</v>
      </c>
      <c r="F35" s="1" t="n"/>
      <c r="G35" s="1" t="n"/>
      <c r="H35" s="43" t="inlineStr">
        <is>
          <t>Leave this at 0 to drive feed from the frozen capture.</t>
        </is>
      </c>
      <c r="I35" s="1" t="n"/>
      <c r="J35" s="1" t="n"/>
      <c r="K35" s="1" t="n"/>
      <c r="L35" s="1" t="n"/>
      <c r="M35" s="1" t="n"/>
      <c r="N35" s="1" t="n"/>
    </row>
    <row r="36">
      <c r="A36" s="1" t="n"/>
      <c r="B36" s="29" t="inlineStr">
        <is>
          <t>Growth decay factor</t>
        </is>
      </c>
      <c r="C36" s="43" t="inlineStr">
        <is>
          <t>×/yr</t>
        </is>
      </c>
      <c r="D36" s="1" t="n"/>
      <c r="E36" s="100" t="n">
        <v>0.78</v>
      </c>
      <c r="F36" s="1" t="n"/>
      <c r="G36" s="1" t="n"/>
      <c r="H36" s="43" t="inlineStr">
        <is>
          <t>Each year's growth equals the prior year multiplied by decay, floored at terminal growth.</t>
        </is>
      </c>
      <c r="I36" s="1" t="n"/>
      <c r="J36" s="1" t="n"/>
      <c r="K36" s="1" t="n"/>
      <c r="L36" s="1" t="n"/>
      <c r="M36" s="1" t="n"/>
      <c r="N36" s="1" t="n"/>
    </row>
    <row r="37">
      <c r="A37" s="1" t="n"/>
      <c r="B37" s="29" t="inlineStr">
        <is>
          <t>Terminal revenue growth</t>
        </is>
      </c>
      <c r="C37" s="43" t="inlineStr">
        <is>
          <t>%/yr</t>
        </is>
      </c>
      <c r="D37" s="1" t="n"/>
      <c r="E37" s="101" t="n">
        <v>0.15</v>
      </c>
      <c r="F37" s="1" t="n"/>
      <c r="G37" s="1" t="n"/>
      <c r="H37" s="43" t="inlineStr"/>
      <c r="I37" s="1" t="n"/>
      <c r="J37" s="1" t="n"/>
      <c r="K37" s="1" t="n"/>
      <c r="L37" s="1" t="n"/>
      <c r="M37" s="1" t="n"/>
      <c r="N37" s="1" t="n"/>
    </row>
    <row r="38">
      <c r="A38" s="1" t="n"/>
      <c r="B38" s="29" t="inlineStr">
        <is>
          <t>Revenue run-rate exit, FY2024</t>
        </is>
      </c>
      <c r="C38" s="43" t="inlineStr">
        <is>
          <t>$B</t>
        </is>
      </c>
      <c r="D38" s="1" t="n"/>
      <c r="E38" s="102" t="n">
        <v>1</v>
      </c>
      <c r="F38" s="1" t="n"/>
      <c r="G38" s="1" t="n"/>
      <c r="H38" s="43" t="inlineStr">
        <is>
          <t>User assumption; matches the stated ~$1B at the end-2024 raise.</t>
        </is>
      </c>
      <c r="I38" s="1" t="n"/>
      <c r="J38" s="1" t="n"/>
      <c r="K38" s="1" t="n"/>
      <c r="L38" s="1" t="n"/>
      <c r="M38" s="1" t="n"/>
      <c r="N38" s="1" t="n"/>
    </row>
    <row r="39">
      <c r="A39" s="1" t="n"/>
      <c r="B39" s="29" t="inlineStr">
        <is>
          <t>Revenue run-rate exit, FY2025</t>
        </is>
      </c>
      <c r="C39" s="43" t="inlineStr">
        <is>
          <t>$B</t>
        </is>
      </c>
      <c r="D39" s="1" t="n"/>
      <c r="E39" s="102" t="n">
        <v>9</v>
      </c>
      <c r="F39" s="1" t="n"/>
      <c r="G39" s="1" t="n"/>
      <c r="H39" s="43" t="inlineStr">
        <is>
          <t>Assumption; matches the stated run rate (CL-20260611-062).</t>
        </is>
      </c>
      <c r="I39" s="1" t="n"/>
      <c r="J39" s="1" t="n"/>
      <c r="K39" s="1" t="n"/>
      <c r="L39" s="1" t="n"/>
      <c r="M39" s="1" t="n"/>
      <c r="N39" s="1" t="n"/>
    </row>
    <row r="40">
      <c r="A40" s="1" t="n"/>
      <c r="B40" s="29" t="inlineStr">
        <is>
          <t>Revenue run-rate exit, FY2026</t>
        </is>
      </c>
      <c r="C40" s="43" t="inlineStr">
        <is>
          <t>$B</t>
        </is>
      </c>
      <c r="D40" s="1" t="n"/>
      <c r="E40" s="102" t="n">
        <v>30</v>
      </c>
      <c r="F40" s="1" t="n"/>
      <c r="G40" s="1" t="n"/>
      <c r="H40" s="43" t="inlineStr">
        <is>
          <t>Assumption; matches the stated run rate (CL-20260611-061, unaudited).</t>
        </is>
      </c>
      <c r="I40" s="1" t="n"/>
      <c r="J40" s="1" t="n"/>
      <c r="K40" s="1" t="n"/>
      <c r="L40" s="1" t="n"/>
      <c r="M40" s="1" t="n"/>
      <c r="N40" s="1" t="n"/>
    </row>
    <row r="41">
      <c r="A41" s="1" t="n"/>
      <c r="B41" s="29" t="inlineStr">
        <is>
          <t>Discount rate</t>
        </is>
      </c>
      <c r="C41" s="43" t="inlineStr">
        <is>
          <t>%/yr</t>
        </is>
      </c>
      <c r="D41" s="1" t="n"/>
      <c r="E41" s="101" t="n">
        <v>0.12</v>
      </c>
      <c r="F41" s="1" t="n"/>
      <c r="G41" s="1" t="n"/>
      <c r="H41" s="43" t="inlineStr">
        <is>
          <t>The NPV of procurement savings uses this discount rate.</t>
        </is>
      </c>
      <c r="I41" s="1" t="n"/>
      <c r="J41" s="1" t="n"/>
      <c r="K41" s="1" t="n"/>
      <c r="L41" s="1" t="n"/>
      <c r="M41" s="1" t="n"/>
      <c r="N41" s="1" t="n"/>
    </row>
    <row r="42">
      <c r="A42" s="1" t="n"/>
      <c r="B42" s="29" t="inlineStr">
        <is>
          <t>General escalation</t>
        </is>
      </c>
      <c r="C42" s="43" t="inlineStr">
        <is>
          <t>%/yr</t>
        </is>
      </c>
      <c r="D42" s="1" t="n"/>
      <c r="E42" s="101" t="n">
        <v>0.025</v>
      </c>
      <c r="F42" s="1" t="n"/>
      <c r="G42" s="1" t="n"/>
      <c r="H42" s="43" t="inlineStr">
        <is>
          <t>PPA and stranded-contract prices escalate from this basis.</t>
        </is>
      </c>
      <c r="I42" s="1" t="n"/>
      <c r="J42" s="1" t="n"/>
      <c r="K42" s="1" t="n"/>
      <c r="L42" s="1" t="n"/>
      <c r="M42" s="1" t="n"/>
      <c r="N42" s="1" t="n"/>
    </row>
    <row r="43">
      <c r="A43" s="1" t="n"/>
      <c r="B43" s="1" t="n"/>
      <c r="C43" s="1" t="n"/>
      <c r="D43" s="1" t="n"/>
      <c r="E43" s="1" t="n"/>
      <c r="F43" s="1" t="n"/>
      <c r="G43" s="1" t="n"/>
      <c r="H43" s="1" t="n"/>
      <c r="I43" s="1" t="n"/>
      <c r="J43" s="1" t="n"/>
      <c r="K43" s="1" t="n"/>
      <c r="L43" s="1" t="n"/>
      <c r="M43" s="1" t="n"/>
      <c r="N43" s="1" t="n"/>
    </row>
    <row r="44" ht="17" customHeight="1">
      <c r="A44" s="1" t="n"/>
      <c r="B44" s="22" t="inlineStr">
        <is>
          <t>Procurement structures — assumed terms</t>
        </is>
      </c>
      <c r="C44" s="23" t="n"/>
      <c r="D44" s="23" t="n"/>
      <c r="E44" s="23" t="n"/>
      <c r="F44" s="23" t="n"/>
      <c r="G44" s="23" t="n"/>
      <c r="H44" s="23" t="n"/>
      <c r="I44" s="1" t="n"/>
      <c r="J44" s="1" t="n"/>
      <c r="K44" s="1" t="n"/>
      <c r="L44" s="1" t="n"/>
      <c r="M44" s="1" t="n"/>
      <c r="N44" s="1" t="n"/>
    </row>
    <row r="45" ht="14" customHeight="1">
      <c r="A45" s="1" t="n"/>
      <c r="B45" s="39" t="inlineStr">
        <is>
          <t>Structure</t>
        </is>
      </c>
      <c r="C45" s="40" t="inlineStr"/>
      <c r="D45" s="40" t="inlineStr">
        <is>
          <t>Energy $/MWh</t>
        </is>
      </c>
      <c r="E45" s="40" t="inlineStr">
        <is>
          <t>Adder $/MWh</t>
        </is>
      </c>
      <c r="F45" s="40" t="inlineStr">
        <is>
          <t>Premium %</t>
        </is>
      </c>
      <c r="G45" s="40" t="inlineStr">
        <is>
          <t>Delay mo</t>
        </is>
      </c>
      <c r="H45" s="40" t="inlineStr">
        <is>
          <t>Note</t>
        </is>
      </c>
      <c r="I45" s="1" t="n"/>
      <c r="J45" s="1" t="n"/>
      <c r="K45" s="1" t="n"/>
      <c r="L45" s="1" t="n"/>
      <c r="M45" s="1" t="n"/>
      <c r="N45" s="1" t="n"/>
    </row>
    <row r="46">
      <c r="A46" s="1" t="n"/>
      <c r="B46" s="53" t="inlineStr">
        <is>
          <t>Residual grid-blended capacity</t>
        </is>
      </c>
      <c r="C46" s="1" t="n"/>
      <c r="D46" s="103">
        <f>nPower</f>
        <v/>
      </c>
      <c r="E46" s="90" t="n">
        <v>0</v>
      </c>
      <c r="F46" s="86" t="n">
        <v>0</v>
      </c>
      <c r="G46" s="88" t="n">
        <v>0</v>
      </c>
      <c r="H46" s="43" t="inlineStr">
        <is>
          <t>Residual grid-blended power is capped and reprices with utilization; it is not an infinite cloud bucket.</t>
        </is>
      </c>
      <c r="I46" s="1" t="n"/>
      <c r="J46" s="1" t="n"/>
      <c r="K46" s="1" t="n"/>
      <c r="L46" s="1" t="n"/>
      <c r="M46" s="1" t="n"/>
      <c r="N46" s="1" t="n"/>
    </row>
    <row r="47">
      <c r="A47" s="1" t="n"/>
      <c r="B47" s="53" t="inlineStr">
        <is>
          <t>Direct PPA, validated site</t>
        </is>
      </c>
      <c r="C47" s="1" t="n"/>
      <c r="D47" s="90" t="n">
        <v>85</v>
      </c>
      <c r="E47" s="90" t="n">
        <v>0</v>
      </c>
      <c r="F47" s="86" t="n">
        <v>0</v>
      </c>
      <c r="G47" s="88" t="n">
        <v>12</v>
      </c>
      <c r="H47" s="43" t="inlineStr">
        <is>
          <t>Approved transfer reduces queue risk, but power still carries before COD.</t>
        </is>
      </c>
      <c r="I47" s="1" t="n"/>
      <c r="J47" s="1" t="n"/>
      <c r="K47" s="1" t="n"/>
      <c r="L47" s="1" t="n"/>
      <c r="M47" s="1" t="n"/>
      <c r="N47" s="1" t="n"/>
    </row>
    <row r="48">
      <c r="A48" s="1" t="n"/>
      <c r="B48" s="53" t="inlineStr">
        <is>
          <t>Stranded/curtailed capture</t>
        </is>
      </c>
      <c r="C48" s="1" t="n"/>
      <c r="D48" s="90" t="n">
        <v>35</v>
      </c>
      <c r="E48" s="90" t="n">
        <v>15</v>
      </c>
      <c r="F48" s="86" t="n">
        <v>0</v>
      </c>
      <c r="G48" s="88" t="n">
        <v>24</v>
      </c>
      <c r="H48" s="43" t="inlineStr">
        <is>
          <t>Low-cost trapped energy requires firming, so development delay is the main risk.</t>
        </is>
      </c>
      <c r="I48" s="1" t="n"/>
      <c r="J48" s="1" t="n"/>
      <c r="K48" s="1" t="n"/>
      <c r="L48" s="1" t="n"/>
      <c r="M48" s="1" t="n"/>
      <c r="N48" s="1" t="n"/>
    </row>
    <row r="49">
      <c r="A49" s="1" t="n"/>
      <c r="B49" s="53" t="inlineStr">
        <is>
          <t>N-SMR PPA (Option 1)</t>
        </is>
      </c>
      <c r="C49" s="1" t="n"/>
      <c r="D49" s="103">
        <f>NSMR!M25</f>
        <v/>
      </c>
      <c r="E49" s="90" t="n">
        <v>0</v>
      </c>
      <c r="F49" s="86" t="n">
        <v>0</v>
      </c>
      <c r="G49" s="88" t="n">
        <v>36</v>
      </c>
      <c r="H49" s="43" t="inlineStr">
        <is>
          <t>The delivered price begins at the Unit 2 COD year on the N-SMR sheet.</t>
        </is>
      </c>
      <c r="I49" s="1" t="n"/>
      <c r="J49" s="1" t="n"/>
      <c r="K49" s="1" t="n"/>
      <c r="L49" s="1" t="n"/>
      <c r="M49" s="1" t="n"/>
      <c r="N49" s="1" t="n"/>
    </row>
    <row r="50">
      <c r="A50" s="1" t="n"/>
      <c r="B50" s="1" t="n"/>
      <c r="C50" s="1" t="n"/>
      <c r="D50" s="1" t="n"/>
      <c r="E50" s="1" t="n"/>
      <c r="F50" s="1" t="n"/>
      <c r="G50" s="1" t="n"/>
      <c r="H50" s="1" t="n"/>
      <c r="I50" s="1" t="n"/>
      <c r="J50" s="1" t="n"/>
      <c r="K50" s="1" t="n"/>
      <c r="L50" s="1" t="n"/>
      <c r="M50" s="1" t="n"/>
      <c r="N50" s="1" t="n"/>
    </row>
    <row r="51" ht="17" customHeight="1">
      <c r="A51" s="1" t="n"/>
      <c r="B51" s="22" t="inlineStr">
        <is>
          <t>Mix targets — share of power by source</t>
        </is>
      </c>
      <c r="C51" s="23" t="n"/>
      <c r="D51" s="23" t="n"/>
      <c r="E51" s="23" t="n"/>
      <c r="F51" s="23" t="n"/>
      <c r="G51" s="23" t="n"/>
      <c r="H51" s="23" t="n"/>
      <c r="I51" s="1" t="n"/>
      <c r="J51" s="1" t="n"/>
      <c r="K51" s="1" t="n"/>
      <c r="L51" s="1" t="n"/>
      <c r="M51" s="1" t="n"/>
      <c r="N51" s="1" t="n"/>
    </row>
    <row r="52">
      <c r="A52" s="1" t="n"/>
      <c r="B52" s="29" t="inlineStr">
        <is>
          <t>Direct PPA, terminal share</t>
        </is>
      </c>
      <c r="C52" s="1" t="n"/>
      <c r="D52" s="1" t="n"/>
      <c r="E52" s="98" t="n">
        <v>0.3</v>
      </c>
      <c r="F52" s="1" t="n"/>
      <c r="G52" s="1" t="n"/>
      <c r="H52" s="43" t="inlineStr">
        <is>
          <t>The terminal share is reached by the ramp-complete year.</t>
        </is>
      </c>
      <c r="I52" s="1" t="n"/>
      <c r="J52" s="1" t="n"/>
      <c r="K52" s="1" t="n"/>
      <c r="L52" s="1" t="n"/>
      <c r="M52" s="1" t="n"/>
      <c r="N52" s="1" t="n"/>
    </row>
    <row r="53">
      <c r="A53" s="1" t="n"/>
      <c r="B53" s="29" t="inlineStr">
        <is>
          <t>Stranded/curtailed, terminal share</t>
        </is>
      </c>
      <c r="C53" s="1" t="n"/>
      <c r="D53" s="1" t="n"/>
      <c r="E53" s="98" t="n">
        <v>0.2</v>
      </c>
      <c r="F53" s="1" t="n"/>
      <c r="G53" s="1" t="n"/>
      <c r="H53" s="43" t="inlineStr"/>
      <c r="I53" s="1" t="n"/>
      <c r="J53" s="1" t="n"/>
      <c r="K53" s="1" t="n"/>
      <c r="L53" s="1" t="n"/>
      <c r="M53" s="1" t="n"/>
      <c r="N53" s="1" t="n"/>
    </row>
    <row r="54">
      <c r="A54" s="1" t="n"/>
      <c r="B54" s="29" t="inlineStr">
        <is>
          <t>N-SMR, terminal share</t>
        </is>
      </c>
      <c r="C54" s="1" t="n"/>
      <c r="D54" s="1" t="n"/>
      <c r="E54" s="98" t="n">
        <v>0.25</v>
      </c>
      <c r="F54" s="1" t="n"/>
      <c r="G54" s="1" t="n"/>
      <c r="H54" s="43" t="inlineStr">
        <is>
          <t>N-SMR stays at zero before Unit 1 COD and then ramps over nNsmrRampYrs.</t>
        </is>
      </c>
      <c r="I54" s="1" t="n"/>
      <c r="J54" s="1" t="n"/>
      <c r="K54" s="1" t="n"/>
      <c r="L54" s="1" t="n"/>
      <c r="M54" s="1" t="n"/>
      <c r="N54" s="1" t="n"/>
    </row>
    <row r="55">
      <c r="A55" s="1" t="n"/>
      <c r="B55" s="29" t="inlineStr">
        <is>
          <t>Mix ramp complete (year)</t>
        </is>
      </c>
      <c r="C55" s="1" t="n"/>
      <c r="D55" s="1" t="n"/>
      <c r="E55" s="104" t="n">
        <v>2032</v>
      </c>
      <c r="F55" s="1" t="n"/>
      <c r="G55" s="1" t="n"/>
      <c r="H55" s="43" t="inlineStr">
        <is>
          <t>The firm-source mix ramps linearly from FY2027 to this year.</t>
        </is>
      </c>
      <c r="I55" s="1" t="n"/>
      <c r="J55" s="1" t="n"/>
      <c r="K55" s="1" t="n"/>
      <c r="L55" s="1" t="n"/>
      <c r="M55" s="1" t="n"/>
      <c r="N55" s="1" t="n"/>
    </row>
    <row r="56">
      <c r="A56" s="1" t="n"/>
      <c r="B56" s="29" t="inlineStr">
        <is>
          <t>N-SMR ramp length (years)</t>
        </is>
      </c>
      <c r="C56" s="1" t="n"/>
      <c r="D56" s="1" t="n"/>
      <c r="E56" s="104" t="n">
        <v>5</v>
      </c>
      <c r="F56" s="1" t="n"/>
      <c r="G56" s="1" t="n"/>
      <c r="H56" s="43" t="inlineStr"/>
      <c r="I56" s="1" t="n"/>
      <c r="J56" s="1" t="n"/>
      <c r="K56" s="1" t="n"/>
      <c r="L56" s="1" t="n"/>
      <c r="M56" s="1" t="n"/>
      <c r="N56" s="1" t="n"/>
    </row>
    <row r="57">
      <c r="A57" s="1" t="n"/>
      <c r="B57" s="29" t="inlineStr">
        <is>
          <t>Residual basis markup over grid floor</t>
        </is>
      </c>
      <c r="C57" s="1" t="n"/>
      <c r="D57" s="1" t="n"/>
      <c r="E57" s="98" t="n">
        <v>0.08</v>
      </c>
      <c r="F57" s="1" t="n"/>
      <c r="G57" s="1" t="n"/>
      <c r="H57" s="43" t="inlineStr">
        <is>
          <t>Non-scarcity basis for grid-blended residual capacity.</t>
        </is>
      </c>
      <c r="I57" s="1" t="n"/>
      <c r="J57" s="1" t="n"/>
      <c r="K57" s="1" t="n"/>
      <c r="L57" s="1" t="n"/>
      <c r="M57" s="1" t="n"/>
      <c r="N57" s="1" t="n"/>
    </row>
    <row r="58">
      <c r="A58" s="1" t="n"/>
      <c r="B58" s="29" t="inlineStr">
        <is>
          <t>Residual scarcity curve alpha</t>
        </is>
      </c>
      <c r="C58" s="1" t="n"/>
      <c r="D58" s="1" t="n"/>
      <c r="E58" s="98" t="n">
        <v>0.45</v>
      </c>
      <c r="F58" s="1" t="n"/>
      <c r="G58" s="1" t="n"/>
      <c r="H58" s="43" t="inlineStr">
        <is>
          <t>Multiplier on residual utilization raised to gamma.</t>
        </is>
      </c>
      <c r="I58" s="1" t="n"/>
      <c r="J58" s="1" t="n"/>
      <c r="K58" s="1" t="n"/>
      <c r="L58" s="1" t="n"/>
      <c r="M58" s="1" t="n"/>
      <c r="N58" s="1" t="n"/>
    </row>
    <row r="59">
      <c r="A59" s="1" t="n"/>
      <c r="B59" s="29" t="inlineStr">
        <is>
          <t>Residual scarcity curve gamma</t>
        </is>
      </c>
      <c r="C59" s="1" t="n"/>
      <c r="D59" s="1" t="n"/>
      <c r="E59" s="100" t="n">
        <v>2</v>
      </c>
      <c r="F59" s="1" t="n"/>
      <c r="G59" s="1" t="n"/>
      <c r="H59" s="43" t="inlineStr">
        <is>
          <t>Convexity parameter for scarcity repricing.</t>
        </is>
      </c>
      <c r="I59" s="1" t="n"/>
      <c r="J59" s="1" t="n"/>
      <c r="K59" s="1" t="n"/>
      <c r="L59" s="1" t="n"/>
      <c r="M59" s="1" t="n"/>
      <c r="N59" s="1" t="n"/>
    </row>
    <row r="60">
      <c r="A60" s="1" t="n"/>
      <c r="B60" s="1" t="n"/>
      <c r="C60" s="1" t="n"/>
      <c r="D60" s="1" t="n"/>
      <c r="E60" s="1" t="n"/>
      <c r="F60" s="1" t="n"/>
      <c r="G60" s="1" t="n"/>
      <c r="H60" s="1" t="n"/>
      <c r="I60" s="1" t="n"/>
      <c r="J60" s="1" t="n"/>
      <c r="K60" s="1" t="n"/>
      <c r="L60" s="1" t="n"/>
      <c r="M60" s="1" t="n"/>
      <c r="N60" s="1" t="n"/>
    </row>
    <row r="61" ht="17" customHeight="1">
      <c r="A61" s="1" t="n"/>
      <c r="B61" s="22" t="inlineStr">
        <is>
          <t>Control/operator layer — separate from power source</t>
        </is>
      </c>
      <c r="C61" s="23" t="n"/>
      <c r="D61" s="23" t="n"/>
      <c r="E61" s="23" t="n"/>
      <c r="F61" s="23" t="n"/>
      <c r="G61" s="23" t="n"/>
      <c r="H61" s="23" t="n"/>
      <c r="I61" s="1" t="n"/>
      <c r="J61" s="1" t="n"/>
      <c r="K61" s="1" t="n"/>
      <c r="L61" s="1" t="n"/>
      <c r="M61" s="1" t="n"/>
      <c r="N61" s="1" t="n"/>
    </row>
    <row r="62">
      <c r="A62" s="1" t="n"/>
      <c r="B62" s="29" t="inlineStr">
        <is>
          <t>Lab-owned capacity</t>
        </is>
      </c>
      <c r="C62" s="1" t="n"/>
      <c r="D62" s="1" t="n"/>
      <c r="E62" s="1" t="n"/>
      <c r="F62" s="1" t="n"/>
      <c r="G62" s="1" t="n"/>
      <c r="H62" s="43" t="inlineStr">
        <is>
          <t>Control dimension only; power still maps to a sourcing leg.</t>
        </is>
      </c>
      <c r="I62" s="1" t="n"/>
      <c r="J62" s="1" t="n"/>
      <c r="K62" s="1" t="n"/>
      <c r="L62" s="1" t="n"/>
      <c r="M62" s="1" t="n"/>
      <c r="N62" s="1" t="n"/>
    </row>
    <row r="63">
      <c r="A63" s="1" t="n"/>
      <c r="B63" s="29" t="inlineStr">
        <is>
          <t>Contracted dedicated third party</t>
        </is>
      </c>
      <c r="C63" s="1" t="n"/>
      <c r="D63" s="1" t="n"/>
      <c r="E63" s="1" t="n"/>
      <c r="F63" s="1" t="n"/>
      <c r="G63" s="1" t="n"/>
      <c r="H63" s="43" t="inlineStr">
        <is>
          <t>Most external capacity belongs here when source-gated.</t>
        </is>
      </c>
      <c r="I63" s="1" t="n"/>
      <c r="J63" s="1" t="n"/>
      <c r="K63" s="1" t="n"/>
      <c r="L63" s="1" t="n"/>
      <c r="M63" s="1" t="n"/>
      <c r="N63" s="1" t="n"/>
    </row>
    <row r="64">
      <c r="A64" s="1" t="n"/>
      <c r="B64" s="29" t="inlineStr">
        <is>
          <t>Shared public cloud</t>
        </is>
      </c>
      <c r="C64" s="1" t="n"/>
      <c r="D64" s="1" t="n"/>
      <c r="E64" s="1" t="n"/>
      <c r="F64" s="1" t="n"/>
      <c r="G64" s="1" t="n"/>
      <c r="H64" s="43" t="inlineStr">
        <is>
          <t>Burst or early demand only; not a power-sourcing leg.</t>
        </is>
      </c>
      <c r="I64" s="1" t="n"/>
      <c r="J64" s="1" t="n"/>
      <c r="K64" s="1" t="n"/>
      <c r="L64" s="1" t="n"/>
      <c r="M64" s="1" t="n"/>
      <c r="N64" s="1" t="n"/>
    </row>
    <row r="65">
      <c r="A65" s="1" t="n"/>
      <c r="B65" s="1" t="n"/>
      <c r="C65" s="1" t="n"/>
      <c r="D65" s="1" t="n"/>
      <c r="E65" s="1" t="n"/>
      <c r="F65" s="1" t="n"/>
      <c r="G65" s="1" t="n"/>
      <c r="H65" s="1" t="n"/>
      <c r="I65" s="1" t="n"/>
      <c r="J65" s="1" t="n"/>
      <c r="K65" s="1" t="n"/>
      <c r="L65" s="1" t="n"/>
      <c r="M65" s="1" t="n"/>
      <c r="N65" s="1" t="n"/>
    </row>
    <row r="66" ht="17" customHeight="1">
      <c r="A66" s="1" t="n"/>
      <c r="B66" s="22" t="inlineStr">
        <is>
          <t>Compute allocation</t>
        </is>
      </c>
      <c r="C66" s="23" t="n"/>
      <c r="D66" s="23" t="n"/>
      <c r="E66" s="23" t="n"/>
      <c r="F66" s="23" t="n"/>
      <c r="G66" s="23" t="n"/>
      <c r="H66" s="23" t="n"/>
      <c r="I66" s="1" t="n"/>
      <c r="J66" s="1" t="n"/>
      <c r="K66" s="1" t="n"/>
      <c r="L66" s="1" t="n"/>
      <c r="M66" s="1" t="n"/>
      <c r="N66" s="1" t="n"/>
    </row>
    <row r="67">
      <c r="A67" s="1" t="n"/>
      <c r="B67" s="29" t="inlineStr">
        <is>
          <t>Training compute floor, share of envelope</t>
        </is>
      </c>
      <c r="C67" s="1" t="n"/>
      <c r="D67" s="1" t="n"/>
      <c r="E67" s="98" t="n">
        <v>0.3</v>
      </c>
      <c r="F67" s="1" t="n"/>
      <c r="G67" s="1" t="n"/>
      <c r="H67" s="43" t="inlineStr">
        <is>
          <t>A hard floor under model development; serving pressure never erodes it.</t>
        </is>
      </c>
      <c r="I67" s="1" t="n"/>
      <c r="J67" s="1" t="n"/>
      <c r="K67" s="1" t="n"/>
      <c r="L67" s="1" t="n"/>
      <c r="M67" s="1" t="n"/>
      <c r="N67" s="1" t="n"/>
    </row>
    <row r="68">
      <c r="A68" s="1" t="n"/>
      <c r="B68" s="29" t="inlineStr">
        <is>
          <t>Internal acceleration share</t>
        </is>
      </c>
      <c r="C68" s="1" t="n"/>
      <c r="D68" s="1" t="n"/>
      <c r="E68" s="98" t="n">
        <v>0.15</v>
      </c>
      <c r="F68" s="1" t="n"/>
      <c r="G68" s="1" t="n"/>
      <c r="H68" s="43" t="inlineStr">
        <is>
          <t>Valued at the revenue the same compute could otherwise serve.</t>
        </is>
      </c>
      <c r="I68" s="1" t="n"/>
      <c r="J68" s="1" t="n"/>
      <c r="K68" s="1" t="n"/>
      <c r="L68" s="1" t="n"/>
      <c r="M68" s="1" t="n"/>
      <c r="N68" s="1" t="n"/>
    </row>
    <row r="69">
      <c r="A69" s="1" t="n"/>
      <c r="B69" s="29" t="inlineStr">
        <is>
          <t>Serving share (residual)</t>
        </is>
      </c>
      <c r="C69" s="1" t="n"/>
      <c r="D69" s="1" t="n"/>
      <c r="E69" s="48">
        <f>1-nTrainFloor-nInternalShare</f>
        <v/>
      </c>
      <c r="F69" s="1" t="n"/>
      <c r="G69" s="1" t="n"/>
      <c r="H69" s="43" t="inlineStr">
        <is>
          <t>Serving receives the envelope left after training and internal acceleration allocations.</t>
        </is>
      </c>
      <c r="I69" s="1" t="n"/>
      <c r="J69" s="1" t="n"/>
      <c r="K69" s="1" t="n"/>
      <c r="L69" s="1" t="n"/>
      <c r="M69" s="1" t="n"/>
      <c r="N69" s="1" t="n"/>
    </row>
    <row r="70">
      <c r="A70" s="1" t="n"/>
      <c r="B70" s="1" t="n"/>
      <c r="C70" s="1" t="n"/>
      <c r="D70" s="1" t="n"/>
      <c r="E70" s="1" t="n"/>
      <c r="F70" s="1" t="n"/>
      <c r="G70" s="1" t="n"/>
      <c r="H70" s="1" t="n"/>
      <c r="I70" s="1" t="n"/>
      <c r="J70" s="1" t="n"/>
      <c r="K70" s="1" t="n"/>
      <c r="L70" s="1" t="n"/>
      <c r="M70" s="1" t="n"/>
      <c r="N70" s="1" t="n"/>
    </row>
    <row r="71" ht="17" customHeight="1">
      <c r="A71" s="1" t="n"/>
      <c r="B71" s="22" t="inlineStr">
        <is>
          <t>Capacity planning</t>
        </is>
      </c>
      <c r="C71" s="23" t="n"/>
      <c r="D71" s="23" t="n"/>
      <c r="E71" s="23" t="n"/>
      <c r="F71" s="23" t="n"/>
      <c r="G71" s="23" t="n"/>
      <c r="H71" s="23" t="n"/>
      <c r="I71" s="1" t="n"/>
      <c r="J71" s="1" t="n"/>
      <c r="K71" s="1" t="n"/>
      <c r="L71" s="1" t="n"/>
      <c r="M71" s="1" t="n"/>
      <c r="N71" s="1" t="n"/>
    </row>
    <row r="72">
      <c r="A72" s="1" t="n"/>
      <c r="B72" s="29" t="inlineStr">
        <is>
          <t>Committed deals ramp (years)</t>
        </is>
      </c>
      <c r="C72" s="1" t="n"/>
      <c r="D72" s="1" t="n"/>
      <c r="E72" s="104" t="n">
        <v>4</v>
      </c>
      <c r="F72" s="1" t="n"/>
      <c r="G72" s="1" t="n"/>
      <c r="H72" s="43" t="inlineStr">
        <is>
          <t>Layer-cake tranches reach full size over this ramp from 2027.</t>
        </is>
      </c>
      <c r="I72" s="1" t="n"/>
      <c r="J72" s="1" t="n"/>
      <c r="K72" s="1" t="n"/>
      <c r="L72" s="1" t="n"/>
      <c r="M72" s="1" t="n"/>
      <c r="N72" s="1" t="n"/>
    </row>
    <row r="73">
      <c r="A73" s="1" t="n"/>
      <c r="B73" s="29" t="inlineStr">
        <is>
          <t>Frontier-loss multiplier on under-buy</t>
        </is>
      </c>
      <c r="C73" s="1" t="n"/>
      <c r="D73" s="1" t="n"/>
      <c r="E73" s="100" t="n">
        <v>2</v>
      </c>
      <c r="F73" s="1" t="n"/>
      <c r="G73" s="1" t="n"/>
      <c r="H73" s="43" t="inlineStr">
        <is>
          <t>Lost margin understates losing the frontier; the multiplier prices the strategic tail.</t>
        </is>
      </c>
      <c r="I73" s="1" t="n"/>
      <c r="J73" s="1" t="n"/>
      <c r="K73" s="1" t="n"/>
      <c r="L73" s="1" t="n"/>
      <c r="M73" s="1" t="n"/>
      <c r="N73" s="1" t="n"/>
    </row>
    <row r="74">
      <c r="A74" s="1" t="n"/>
      <c r="B74" s="29" t="inlineStr">
        <is>
          <t>Inference share of compute, FY2026</t>
        </is>
      </c>
      <c r="C74" s="1" t="n"/>
      <c r="D74" s="1" t="n"/>
      <c r="E74" s="98" t="n">
        <v>0.6</v>
      </c>
      <c r="F74" s="1" t="n"/>
      <c r="G74" s="1" t="n"/>
      <c r="H74" s="43" t="inlineStr">
        <is>
          <t>Path ramps to the stated supermajority by the target year.</t>
        </is>
      </c>
      <c r="I74" s="1" t="n"/>
      <c r="J74" s="1" t="n"/>
      <c r="K74" s="1" t="n"/>
      <c r="L74" s="1" t="n"/>
      <c r="M74" s="1" t="n"/>
      <c r="N74" s="1" t="n"/>
    </row>
    <row r="75">
      <c r="A75" s="1" t="n"/>
      <c r="B75" s="29" t="inlineStr">
        <is>
          <t>Inference supermajority reached (year)</t>
        </is>
      </c>
      <c r="C75" s="1" t="n"/>
      <c r="D75" s="1" t="n"/>
      <c r="E75" s="104" t="n">
        <v>2032</v>
      </c>
      <c r="F75" s="1" t="n"/>
      <c r="G75" s="1" t="n"/>
      <c r="H75" s="43" t="inlineStr"/>
      <c r="I75" s="1" t="n"/>
      <c r="J75" s="1" t="n"/>
      <c r="K75" s="1" t="n"/>
      <c r="L75" s="1" t="n"/>
      <c r="M75" s="1" t="n"/>
      <c r="N75" s="1" t="n"/>
    </row>
    <row r="76">
      <c r="A76" s="1" t="n"/>
      <c r="B76" s="29" t="inlineStr">
        <is>
          <t>Validated-transfer PPA capacity, first year</t>
        </is>
      </c>
      <c r="C76" s="1" t="n"/>
      <c r="D76" s="1" t="n"/>
      <c r="E76" s="104" t="n">
        <v>2027</v>
      </c>
      <c r="F76" s="1" t="n"/>
      <c r="G76" s="1" t="n"/>
      <c r="H76" s="43" t="inlineStr">
        <is>
          <t>Sites with transfer already approved; the queue gates everything else.</t>
        </is>
      </c>
      <c r="I76" s="1" t="n"/>
      <c r="J76" s="1" t="n"/>
      <c r="K76" s="1" t="n"/>
      <c r="L76" s="1" t="n"/>
      <c r="M76" s="1" t="n"/>
      <c r="N76" s="1" t="n"/>
    </row>
    <row r="77">
      <c r="A77" s="1" t="n"/>
      <c r="B77" s="29" t="inlineStr">
        <is>
          <t>Validated-transfer PPA, add per year (GW)</t>
        </is>
      </c>
      <c r="C77" s="1" t="n"/>
      <c r="D77" s="1" t="n"/>
      <c r="E77" s="100" t="n">
        <v>0.75</v>
      </c>
      <c r="F77" s="1" t="n"/>
      <c r="G77" s="1" t="n"/>
      <c r="H77" s="43" t="inlineStr">
        <is>
          <t>480 MW approved at one flagship site sets tranche scale. Decided 2013-2015 cohorts convert 24-30% of MW, 3.5y median to COD (Capacity) — the ramp bets on beating that base rate with pre-validated sites.</t>
        </is>
      </c>
      <c r="I77" s="1" t="n"/>
      <c r="J77" s="1" t="n"/>
      <c r="K77" s="1" t="n"/>
      <c r="L77" s="1" t="n"/>
      <c r="M77" s="1" t="n"/>
      <c r="N77" s="1" t="n"/>
    </row>
    <row r="78">
      <c r="A78" s="1" t="n"/>
      <c r="B78" s="29" t="inlineStr">
        <is>
          <t>Validated-transfer PPA, ceiling (GW)</t>
        </is>
      </c>
      <c r="C78" s="1" t="n"/>
      <c r="D78" s="1" t="n"/>
      <c r="E78" s="105" t="n">
        <v>4</v>
      </c>
      <c r="F78" s="1" t="n"/>
      <c r="G78" s="1" t="n"/>
      <c r="H78" s="43" t="inlineStr">
        <is>
          <t>Finite supply of pre-validated interconnection.</t>
        </is>
      </c>
      <c r="I78" s="1" t="n"/>
      <c r="J78" s="1" t="n"/>
      <c r="K78" s="1" t="n"/>
      <c r="L78" s="1" t="n"/>
      <c r="M78" s="1" t="n"/>
      <c r="N78" s="1" t="n"/>
    </row>
    <row r="79">
      <c r="A79" s="1" t="n"/>
      <c r="B79" s="29" t="inlineStr">
        <is>
          <t>Stranded/curtailed capture, add per year (GW)</t>
        </is>
      </c>
      <c r="C79" s="1" t="n"/>
      <c r="D79" s="1" t="n"/>
      <c r="E79" s="100" t="n">
        <v>0.25</v>
      </c>
      <c r="F79" s="1" t="n"/>
      <c r="G79" s="1" t="n"/>
      <c r="H79" s="43" t="inlineStr">
        <is>
          <t>Development-gated. West-hub negative hours run 7-12%/yr on a near-zero spot floor (Power) — real, cheap, and small; the cap is a firming-pace judgment.</t>
        </is>
      </c>
      <c r="I79" s="1" t="n"/>
      <c r="J79" s="1" t="n"/>
      <c r="K79" s="1" t="n"/>
      <c r="L79" s="1" t="n"/>
      <c r="M79" s="1" t="n"/>
      <c r="N79" s="1" t="n"/>
    </row>
    <row r="80">
      <c r="A80" s="1" t="n"/>
      <c r="B80" s="29" t="inlineStr">
        <is>
          <t>Stranded/curtailed capture, ceiling (GW)</t>
        </is>
      </c>
      <c r="C80" s="1" t="n"/>
      <c r="D80" s="1" t="n"/>
      <c r="E80" s="105" t="n">
        <v>1.5</v>
      </c>
      <c r="F80" s="1" t="n"/>
      <c r="G80" s="1" t="n"/>
      <c r="H80" s="43" t="inlineStr"/>
      <c r="I80" s="1" t="n"/>
      <c r="J80" s="1" t="n"/>
      <c r="K80" s="1" t="n"/>
      <c r="L80" s="1" t="n"/>
      <c r="M80" s="1" t="n"/>
      <c r="N80" s="1" t="n"/>
    </row>
    <row r="81">
      <c r="A81" s="1" t="n"/>
      <c r="B81" s="29" t="inlineStr">
        <is>
          <t>N-SMR units added per year after U2</t>
        </is>
      </c>
      <c r="C81" s="1" t="n"/>
      <c r="D81" s="1" t="n"/>
      <c r="E81" s="104" t="n">
        <v>2</v>
      </c>
      <c r="F81" s="1" t="n"/>
      <c r="G81" s="1" t="n"/>
      <c r="H81" s="43" t="inlineStr">
        <is>
          <t>Fleet build-out pace once the first pair proves the design.</t>
        </is>
      </c>
      <c r="I81" s="1" t="n"/>
      <c r="J81" s="1" t="n"/>
      <c r="K81" s="1" t="n"/>
      <c r="L81" s="1" t="n"/>
      <c r="M81" s="1" t="n"/>
      <c r="N81" s="1" t="n"/>
    </row>
    <row r="82">
      <c r="A82" s="1" t="n"/>
      <c r="B82" s="29" t="inlineStr">
        <is>
          <t>N-SMR fleet ceiling (units)</t>
        </is>
      </c>
      <c r="C82" s="1" t="n"/>
      <c r="D82" s="1" t="n"/>
      <c r="E82" s="104" t="n">
        <v>40</v>
      </c>
      <c r="F82" s="1" t="n"/>
      <c r="G82" s="1" t="n"/>
      <c r="H82" s="43" t="inlineStr"/>
      <c r="I82" s="1" t="n"/>
      <c r="J82" s="1" t="n"/>
      <c r="K82" s="1" t="n"/>
      <c r="L82" s="1" t="n"/>
      <c r="M82" s="1" t="n"/>
      <c r="N82" s="1" t="n"/>
    </row>
    <row r="83">
      <c r="A83" s="1" t="n"/>
      <c r="B83" s="1" t="n"/>
      <c r="C83" s="1" t="n"/>
      <c r="D83" s="1" t="n"/>
      <c r="E83" s="1" t="n"/>
      <c r="F83" s="1" t="n"/>
      <c r="G83" s="1" t="n"/>
      <c r="H83" s="1" t="n"/>
      <c r="I83" s="1" t="n"/>
      <c r="J83" s="1" t="n"/>
      <c r="K83" s="1" t="n"/>
      <c r="L83" s="1" t="n"/>
      <c r="M83" s="1" t="n"/>
      <c r="N83" s="1" t="n"/>
    </row>
    <row r="84">
      <c r="A84" s="1" t="n"/>
      <c r="B84" s="1" t="n"/>
      <c r="C84" s="1" t="n"/>
      <c r="D84" s="1" t="n"/>
      <c r="E84" s="1" t="n"/>
      <c r="F84" s="1" t="n"/>
      <c r="G84" s="1" t="n"/>
      <c r="H84" s="1" t="n"/>
      <c r="I84" s="1" t="n"/>
      <c r="J84" s="1" t="n"/>
      <c r="K84" s="1" t="n"/>
      <c r="L84" s="1" t="n"/>
      <c r="M84" s="1" t="n"/>
      <c r="N84" s="1" t="n"/>
    </row>
    <row r="85">
      <c r="A85" s="1" t="n"/>
      <c r="B85" s="1" t="n"/>
      <c r="C85" s="1" t="n"/>
      <c r="D85" s="1" t="n"/>
      <c r="E85" s="1" t="n"/>
      <c r="F85" s="1" t="n"/>
      <c r="G85" s="1" t="n"/>
      <c r="H85" s="1" t="n"/>
      <c r="I85" s="1" t="n"/>
      <c r="J85" s="1" t="n"/>
      <c r="K85" s="1" t="n"/>
      <c r="L85" s="1" t="n"/>
      <c r="M85" s="1" t="n"/>
      <c r="N85" s="1" t="n"/>
    </row>
    <row r="86">
      <c r="A86" s="1" t="n"/>
      <c r="B86" s="1" t="n"/>
      <c r="C86" s="1" t="n"/>
      <c r="D86" s="1" t="n"/>
      <c r="E86" s="1" t="n"/>
      <c r="F86" s="1" t="n"/>
      <c r="G86" s="1" t="n"/>
      <c r="H86" s="1" t="n"/>
      <c r="I86" s="1" t="n"/>
      <c r="J86" s="1" t="n"/>
      <c r="K86" s="1" t="n"/>
      <c r="L86" s="1" t="n"/>
      <c r="M86" s="1" t="n"/>
      <c r="N86" s="1" t="n"/>
    </row>
    <row r="87">
      <c r="A87" s="1" t="n"/>
      <c r="B87" s="1" t="n"/>
      <c r="C87" s="1" t="n"/>
      <c r="D87" s="1" t="n"/>
      <c r="E87" s="1" t="n"/>
      <c r="F87" s="1" t="n"/>
      <c r="G87" s="1" t="n"/>
      <c r="H87" s="1" t="n"/>
      <c r="I87" s="1" t="n"/>
      <c r="J87" s="1" t="n"/>
      <c r="K87" s="1" t="n"/>
      <c r="L87" s="1" t="n"/>
      <c r="M87" s="1" t="n"/>
      <c r="N87" s="1" t="n"/>
    </row>
    <row r="88">
      <c r="A88" s="1" t="n"/>
      <c r="B88" s="1" t="n"/>
      <c r="C88" s="1" t="n"/>
      <c r="D88" s="1" t="n"/>
      <c r="E88" s="1" t="n"/>
      <c r="F88" s="1" t="n"/>
      <c r="G88" s="1" t="n"/>
      <c r="H88" s="1" t="n"/>
      <c r="I88" s="1" t="n"/>
      <c r="J88" s="1" t="n"/>
      <c r="K88" s="1" t="n"/>
      <c r="L88" s="1" t="n"/>
      <c r="M88" s="1" t="n"/>
      <c r="N88" s="1" t="n"/>
    </row>
    <row r="89">
      <c r="A89" s="1" t="n"/>
      <c r="B89" s="1" t="n"/>
      <c r="C89" s="1" t="n"/>
      <c r="D89" s="1" t="n"/>
      <c r="E89" s="1" t="n"/>
      <c r="F89" s="1" t="n"/>
      <c r="G89" s="1" t="n"/>
      <c r="H89" s="1" t="n"/>
      <c r="I89" s="1" t="n"/>
      <c r="J89" s="1" t="n"/>
      <c r="K89" s="1" t="n"/>
      <c r="L89" s="1" t="n"/>
      <c r="M89" s="1" t="n"/>
      <c r="N89" s="1" t="n"/>
    </row>
    <row r="90">
      <c r="A90" s="1" t="n"/>
      <c r="B90" s="1" t="n"/>
      <c r="C90" s="1" t="n"/>
      <c r="D90" s="1" t="n"/>
      <c r="E90" s="1" t="n"/>
      <c r="F90" s="1" t="n"/>
      <c r="G90" s="1" t="n"/>
      <c r="H90" s="1" t="n"/>
      <c r="I90" s="1" t="n"/>
      <c r="J90" s="1" t="n"/>
      <c r="K90" s="1" t="n"/>
      <c r="L90" s="1" t="n"/>
      <c r="M90" s="1" t="n"/>
      <c r="N90" s="1" t="n"/>
    </row>
    <row r="91">
      <c r="A91" s="1" t="n"/>
      <c r="B91" s="1" t="n"/>
      <c r="C91" s="1" t="n"/>
      <c r="D91" s="1" t="n"/>
      <c r="E91" s="1" t="n"/>
      <c r="F91" s="1" t="n"/>
      <c r="G91" s="1" t="n"/>
      <c r="H91" s="1" t="n"/>
      <c r="I91" s="1" t="n"/>
      <c r="J91" s="1" t="n"/>
      <c r="K91" s="1" t="n"/>
      <c r="L91" s="1" t="n"/>
      <c r="M91" s="1" t="n"/>
      <c r="N91" s="1" t="n"/>
    </row>
    <row r="92">
      <c r="A92" s="1" t="n"/>
      <c r="B92" s="1" t="n"/>
      <c r="C92" s="1" t="n"/>
      <c r="D92" s="1" t="n"/>
      <c r="E92" s="1" t="n"/>
      <c r="F92" s="1" t="n"/>
      <c r="G92" s="1" t="n"/>
      <c r="H92" s="1" t="n"/>
      <c r="I92" s="1" t="n"/>
      <c r="J92" s="1" t="n"/>
      <c r="K92" s="1" t="n"/>
      <c r="L92" s="1" t="n"/>
      <c r="M92" s="1" t="n"/>
      <c r="N92" s="1" t="n"/>
    </row>
    <row r="93">
      <c r="A93" s="1" t="n"/>
      <c r="B93" s="1" t="n"/>
      <c r="C93" s="1" t="n"/>
      <c r="D93" s="1" t="n"/>
      <c r="E93" s="1" t="n"/>
      <c r="F93" s="1" t="n"/>
      <c r="G93" s="1" t="n"/>
      <c r="H93" s="1" t="n"/>
      <c r="I93" s="1" t="n"/>
      <c r="J93" s="1" t="n"/>
      <c r="K93" s="1" t="n"/>
      <c r="L93" s="1" t="n"/>
      <c r="M93" s="1" t="n"/>
      <c r="N93" s="1" t="n"/>
    </row>
    <row r="94">
      <c r="A94" s="1" t="n"/>
      <c r="B94" s="1" t="n"/>
      <c r="C94" s="1" t="n"/>
      <c r="D94" s="1" t="n"/>
      <c r="E94" s="1" t="n"/>
      <c r="F94" s="1" t="n"/>
      <c r="G94" s="1" t="n"/>
      <c r="H94" s="1" t="n"/>
      <c r="I94" s="1" t="n"/>
      <c r="J94" s="1" t="n"/>
      <c r="K94" s="1" t="n"/>
      <c r="L94" s="1" t="n"/>
      <c r="M94" s="1" t="n"/>
      <c r="N94" s="1" t="n"/>
    </row>
  </sheetData>
  <pageMargins left="0.4" right="0.4" top="0.5" bottom="0.5" header="0.3" footer="0.3"/>
  <pageSetup orientation="landscape" fitToHeight="0" fitToWidth="1"/>
</worksheet>
</file>

<file path=xl/worksheets/sheet8.xml><?xml version="1.0" encoding="utf-8"?>
<worksheet xmlns="http://schemas.openxmlformats.org/spreadsheetml/2006/main">
  <sheetPr>
    <tabColor rgb="00B6B6AB"/>
    <outlinePr summaryBelow="1" summaryRight="1"/>
    <pageSetUpPr fitToPage="1"/>
  </sheetPr>
  <dimension ref="A1:N143"/>
  <sheetViews>
    <sheetView showGridLines="0" workbookViewId="0">
      <pane xSplit="1" ySplit="7" topLeftCell="B8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.5" customWidth="1" min="1" max="1"/>
    <col width="44" customWidth="1" min="2" max="2"/>
    <col width="13" customWidth="1" min="3" max="3"/>
    <col width="17" customWidth="1" min="4" max="4"/>
    <col width="26" customWidth="1" min="5" max="5"/>
    <col width="14" customWidth="1" min="6" max="6"/>
    <col width="18" customWidth="1" min="7" max="7"/>
    <col width="80" customWidth="1" min="8" max="8"/>
  </cols>
  <sheetData>
    <row r="1" ht="9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</row>
    <row r="2" ht="22" customHeight="1">
      <c r="A2" s="1" t="n"/>
      <c r="B2" s="17" t="inlineStr">
        <is>
          <t>Sources</t>
        </is>
      </c>
      <c r="C2" s="18" t="n"/>
      <c r="D2" s="18" t="n"/>
      <c r="E2" s="18" t="n"/>
      <c r="F2" s="18" t="n"/>
      <c r="G2" s="18" t="n"/>
      <c r="H2" s="18" t="n"/>
      <c r="I2" s="1" t="n"/>
      <c r="J2" s="1" t="n"/>
      <c r="K2" s="1" t="n"/>
      <c r="L2" s="1" t="n"/>
      <c r="M2" s="1" t="n"/>
      <c r="N2" s="1" t="n"/>
    </row>
    <row r="3">
      <c r="A3" s="1" t="n"/>
      <c r="B3" s="19" t="inlineStr">
        <is>
          <t>Source values enter once here and feed every downstream model sheet.</t>
        </is>
      </c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  <c r="M3" s="1" t="n"/>
      <c r="N3" s="1" t="n"/>
    </row>
    <row r="4" ht="6" customHeight="1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  <c r="K4" s="1" t="n"/>
      <c r="L4" s="1" t="n"/>
      <c r="M4" s="1" t="n"/>
      <c r="N4" s="1" t="n"/>
    </row>
    <row r="5">
      <c r="A5" s="1" t="n"/>
      <c r="B5" s="1" t="n"/>
      <c r="C5" s="1" t="n"/>
      <c r="D5" s="1" t="n"/>
      <c r="E5" s="1" t="n"/>
      <c r="F5" s="1" t="n"/>
      <c r="G5" s="1" t="n"/>
      <c r="H5" s="1" t="n"/>
      <c r="I5" s="1" t="n"/>
      <c r="J5" s="1" t="n"/>
      <c r="K5" s="1" t="n"/>
      <c r="L5" s="1" t="n"/>
      <c r="M5" s="1" t="n"/>
      <c r="N5" s="1" t="n"/>
    </row>
    <row r="6" ht="17" customHeight="1">
      <c r="A6" s="1" t="n"/>
      <c r="B6" s="22" t="inlineStr">
        <is>
          <t>Filings, dockets, research</t>
        </is>
      </c>
      <c r="C6" s="23" t="n"/>
      <c r="D6" s="23" t="n"/>
      <c r="E6" s="23" t="n"/>
      <c r="F6" s="23" t="n"/>
      <c r="G6" s="23" t="n"/>
      <c r="H6" s="23" t="n"/>
      <c r="I6" s="1" t="n"/>
      <c r="J6" s="1" t="n"/>
      <c r="K6" s="1" t="n"/>
      <c r="L6" s="1" t="n"/>
      <c r="M6" s="1" t="n"/>
      <c r="N6" s="1" t="n"/>
    </row>
    <row r="7" ht="14" customHeight="1">
      <c r="A7" s="1" t="n"/>
      <c r="B7" s="39" t="inlineStr">
        <is>
          <t>Item</t>
        </is>
      </c>
      <c r="C7" s="40" t="inlineStr">
        <is>
          <t>Value</t>
        </is>
      </c>
      <c r="D7" s="40" t="inlineStr">
        <is>
          <t>Ref</t>
        </is>
      </c>
      <c r="E7" s="40" t="inlineStr">
        <is>
          <t>Entity</t>
        </is>
      </c>
      <c r="F7" s="40" t="inlineStr">
        <is>
          <t>Period</t>
        </is>
      </c>
      <c r="G7" s="40" t="inlineStr">
        <is>
          <t>Source</t>
        </is>
      </c>
      <c r="H7" s="40" t="inlineStr">
        <is>
          <t>Filed wording</t>
        </is>
      </c>
      <c r="I7" s="1" t="n"/>
      <c r="J7" s="1" t="n"/>
      <c r="K7" s="1" t="n"/>
      <c r="L7" s="1" t="n"/>
      <c r="M7" s="1" t="n"/>
      <c r="N7" s="1" t="n"/>
    </row>
    <row r="8">
      <c r="A8" s="1" t="n"/>
      <c r="B8" s="53" t="inlineStr">
        <is>
          <t>US queue, active requests (MW)</t>
        </is>
      </c>
      <c r="C8" s="106" t="n">
        <v>1744748.090576678</v>
      </c>
      <c r="D8" s="85" t="inlineStr">
        <is>
          <t>CL-20260609-008</t>
        </is>
      </c>
      <c r="E8" s="85" t="inlineStr">
        <is>
          <t>US interconnection queue (LBNL Queued Up 2026)</t>
        </is>
      </c>
      <c r="F8" s="85" t="inlineStr">
        <is>
          <t>2025</t>
        </is>
      </c>
      <c r="G8" s="85" t="inlineStr">
        <is>
          <t>Independent research</t>
        </is>
      </c>
      <c r="H8" s="85" t="inlineStr">
        <is>
          <t>DERIVED: LBNL Queued Up 2026 edition (data through 2025) — total active interconnection queue: 8,513 projects, 1,744,748</t>
        </is>
      </c>
      <c r="I8" s="1" t="n"/>
      <c r="J8" s="1" t="n"/>
      <c r="K8" s="1" t="n"/>
      <c r="L8" s="1" t="n"/>
      <c r="M8" s="1" t="n"/>
      <c r="N8" s="1" t="n"/>
    </row>
    <row r="9">
      <c r="A9" s="1" t="n"/>
      <c r="B9" s="53" t="inlineStr">
        <is>
          <t>US queue, withdrawn cumulative (MW)</t>
        </is>
      </c>
      <c r="C9" s="106" t="n">
        <v>4396364.851064942</v>
      </c>
      <c r="D9" s="85" t="inlineStr">
        <is>
          <t>CL-20260609-013</t>
        </is>
      </c>
      <c r="E9" s="85" t="inlineStr">
        <is>
          <t>US interconnection queue withdrawn (LBNL Queued Up 2026)</t>
        </is>
      </c>
      <c r="F9" s="85" t="inlineStr">
        <is>
          <t>2025</t>
        </is>
      </c>
      <c r="G9" s="85" t="inlineStr">
        <is>
          <t>Independent research</t>
        </is>
      </c>
      <c r="H9" s="85" t="inlineStr">
        <is>
          <t>DERIVED: LBNL Queued Up 2026 edition — cumulative withdrawn interconnection queue capacity: 24,221 projects, 4,396,365 M</t>
        </is>
      </c>
      <c r="I9" s="1" t="n"/>
      <c r="J9" s="1" t="n"/>
      <c r="K9" s="1" t="n"/>
      <c r="L9" s="1" t="n"/>
      <c r="M9" s="1" t="n"/>
      <c r="N9" s="1" t="n"/>
    </row>
    <row r="10">
      <c r="A10" s="1" t="n"/>
      <c r="B10" s="53" t="inlineStr">
        <is>
          <t>US queue-originated, operational (MW)</t>
        </is>
      </c>
      <c r="C10" s="106" t="n">
        <v>561539.411957301</v>
      </c>
      <c r="D10" s="85" t="inlineStr">
        <is>
          <t>CL-20260609-014</t>
        </is>
      </c>
      <c r="E10" s="85" t="inlineStr">
        <is>
          <t>US interconnection queue operational (LBNL Queued Up 2026)</t>
        </is>
      </c>
      <c r="F10" s="85" t="inlineStr">
        <is>
          <t>2025</t>
        </is>
      </c>
      <c r="G10" s="85" t="inlineStr">
        <is>
          <t>Independent research</t>
        </is>
      </c>
      <c r="H10" s="85" t="inlineStr">
        <is>
          <t>DERIVED: LBNL Queued Up 2026 edition — cumulative operational (commissioned) capacity originating from the interconnecti</t>
        </is>
      </c>
      <c r="I10" s="1" t="n"/>
      <c r="J10" s="1" t="n"/>
      <c r="K10" s="1" t="n"/>
      <c r="L10" s="1" t="n"/>
      <c r="M10" s="1" t="n"/>
      <c r="N10" s="1" t="n"/>
    </row>
    <row r="11">
      <c r="A11" s="1" t="n"/>
      <c r="B11" s="53" t="inlineStr">
        <is>
          <t>ERCOT large-load requests (MW)</t>
        </is>
      </c>
      <c r="C11" s="106" t="n">
        <v>238600</v>
      </c>
      <c r="D11" s="85" t="inlineStr">
        <is>
          <t>CL-20260609-030</t>
        </is>
      </c>
      <c r="E11" s="85" t="inlineStr">
        <is>
          <t>ERCOT</t>
        </is>
      </c>
      <c r="F11" s="85" t="inlineStr">
        <is>
          <t>2025-12-17</t>
        </is>
      </c>
      <c r="G11" s="85" t="inlineStr">
        <is>
          <t>Regulator docket</t>
        </is>
      </c>
      <c r="H11" s="85" t="inlineStr">
        <is>
          <t>ERCOT continues to track nearly 238.6 GW of large load interconnection requests.</t>
        </is>
      </c>
      <c r="I11" s="1" t="n"/>
      <c r="J11" s="1" t="n"/>
      <c r="K11" s="1" t="n"/>
      <c r="L11" s="1" t="n"/>
      <c r="M11" s="1" t="n"/>
      <c r="N11" s="1" t="n"/>
    </row>
    <row r="12">
      <c r="A12" s="1" t="n"/>
      <c r="B12" s="53" t="inlineStr">
        <is>
          <t>ERCOT approved to energize since 2022 (MW)</t>
        </is>
      </c>
      <c r="C12" s="106" t="n">
        <v>7502</v>
      </c>
      <c r="D12" s="85" t="inlineStr">
        <is>
          <t>CL-20260609-031</t>
        </is>
      </c>
      <c r="E12" s="85" t="inlineStr">
        <is>
          <t>ERCOT</t>
        </is>
      </c>
      <c r="F12" s="85" t="inlineStr">
        <is>
          <t>2022-01-01/2025-12-17</t>
        </is>
      </c>
      <c r="G12" s="85" t="inlineStr">
        <is>
          <t>Regulator docket</t>
        </is>
      </c>
      <c r="H12" s="85" t="inlineStr">
        <is>
          <t>7,502 MW have been approved to energize since January 2022.</t>
        </is>
      </c>
      <c r="I12" s="1" t="n"/>
      <c r="J12" s="1" t="n"/>
      <c r="K12" s="1" t="n"/>
      <c r="L12" s="1" t="n"/>
      <c r="M12" s="1" t="n"/>
      <c r="N12" s="1" t="n"/>
    </row>
    <row r="13">
      <c r="A13" s="1" t="n"/>
      <c r="B13" s="53" t="inlineStr">
        <is>
          <t>ERCOT TSP 2031 load forecast (MW)</t>
        </is>
      </c>
      <c r="C13" s="106" t="n">
        <v>218000</v>
      </c>
      <c r="D13" s="85" t="inlineStr">
        <is>
          <t>CL-20260609-032</t>
        </is>
      </c>
      <c r="E13" s="85" t="inlineStr">
        <is>
          <t>ERCOT</t>
        </is>
      </c>
      <c r="F13" s="85" t="inlineStr">
        <is>
          <t>2031</t>
        </is>
      </c>
      <c r="G13" s="85" t="inlineStr">
        <is>
          <t>Regulator docket</t>
        </is>
      </c>
      <c r="H13" s="85" t="inlineStr">
        <is>
          <t>The 2025 TSP-Provided Load Forecast projects a demand of 218 GW for year 2031, which is significantly higher than the fo</t>
        </is>
      </c>
      <c r="I13" s="1" t="n"/>
      <c r="J13" s="1" t="n"/>
      <c r="K13" s="1" t="n"/>
      <c r="L13" s="1" t="n"/>
      <c r="M13" s="1" t="n"/>
      <c r="N13" s="1" t="n"/>
    </row>
    <row r="14">
      <c r="A14" s="1" t="n"/>
      <c r="B14" s="53" t="inlineStr">
        <is>
          <t>CoreWeave contracted power (MW)</t>
        </is>
      </c>
      <c r="C14" s="106" t="n">
        <v>3100</v>
      </c>
      <c r="D14" s="85" t="inlineStr">
        <is>
          <t>CL-20260609-039</t>
        </is>
      </c>
      <c r="E14" s="85" t="inlineStr">
        <is>
          <t>CoreWeave</t>
        </is>
      </c>
      <c r="F14" s="85" t="inlineStr">
        <is>
          <t>2025-12-31</t>
        </is>
      </c>
      <c r="G14" s="85" t="inlineStr">
        <is>
          <t>SEC filing</t>
        </is>
      </c>
      <c r="H14" s="85" t="inlineStr">
        <is>
          <t>As of December 31, 2025, our total contracted power capacity was approximately 3.1 GW, which we expect to deploy over fu</t>
        </is>
      </c>
      <c r="I14" s="1" t="n"/>
      <c r="J14" s="1" t="n"/>
      <c r="K14" s="1" t="n"/>
      <c r="L14" s="1" t="n"/>
      <c r="M14" s="1" t="n"/>
      <c r="N14" s="1" t="n"/>
    </row>
    <row r="15">
      <c r="A15" s="1" t="n"/>
      <c r="B15" s="53" t="inlineStr">
        <is>
          <t>CoreWeave active power, YE2025 (MW)</t>
        </is>
      </c>
      <c r="C15" s="106" t="n">
        <v>850</v>
      </c>
      <c r="D15" s="85" t="inlineStr">
        <is>
          <t>CL-20260610-054</t>
        </is>
      </c>
      <c r="E15" s="85" t="inlineStr">
        <is>
          <t>CoreWeave</t>
        </is>
      </c>
      <c r="F15" s="85" t="inlineStr">
        <is>
          <t>2025-12-31</t>
        </is>
      </c>
      <c r="G15" s="85" t="inlineStr">
        <is>
          <t>SEC filing</t>
        </is>
      </c>
      <c r="H15" s="85" t="inlineStr">
        <is>
          <t>As of December 31, 2025, we operated 43 data centers with over 850 MW of active power.</t>
        </is>
      </c>
      <c r="I15" s="1" t="n"/>
      <c r="J15" s="1" t="n"/>
      <c r="K15" s="1" t="n"/>
      <c r="L15" s="1" t="n"/>
      <c r="M15" s="1" t="n"/>
      <c r="N15" s="1" t="n"/>
    </row>
    <row r="16">
      <c r="A16" s="1" t="n"/>
      <c r="B16" s="53" t="inlineStr">
        <is>
          <t>Talen/AWS max minimum commitment (MW)</t>
        </is>
      </c>
      <c r="C16" s="106" t="n">
        <v>960</v>
      </c>
      <c r="D16" s="85" t="inlineStr">
        <is>
          <t>CL-20260609-049</t>
        </is>
      </c>
      <c r="E16" s="85" t="inlineStr">
        <is>
          <t>Talen Energy Corporation / Amazon Web Services</t>
        </is>
      </c>
      <c r="F16" s="85" t="inlineStr">
        <is>
          <t>2024-2028</t>
        </is>
      </c>
      <c r="G16" s="85" t="inlineStr">
        <is>
          <t>SEC filing</t>
        </is>
      </c>
      <c r="H16" s="85" t="inlineStr">
        <is>
          <t>Under the Cumulus Data Campus PPA, AWS has minimum contractual power commitments that increase in 120 MW increments annu</t>
        </is>
      </c>
      <c r="I16" s="1" t="n"/>
      <c r="J16" s="1" t="n"/>
      <c r="K16" s="1" t="n"/>
      <c r="L16" s="1" t="n"/>
      <c r="M16" s="1" t="n"/>
      <c r="N16" s="1" t="n"/>
    </row>
    <row r="17">
      <c r="A17" s="1" t="n"/>
      <c r="B17" s="53" t="inlineStr">
        <is>
          <t>PJM-approved transfer limit, ISA study (MW)</t>
        </is>
      </c>
      <c r="C17" s="106" t="n">
        <v>480</v>
      </c>
      <c r="D17" s="85" t="inlineStr">
        <is>
          <t>CL-20260609-026</t>
        </is>
      </c>
      <c r="E17" s="85" t="inlineStr">
        <is>
          <t>PJM Interconnection</t>
        </is>
      </c>
      <c r="F17" s="85" t="inlineStr">
        <is>
          <t>2024-11-01</t>
        </is>
      </c>
      <c r="G17" s="85" t="inlineStr">
        <is>
          <t>Regulator docket</t>
        </is>
      </c>
      <c r="H17" s="85" t="inlineStr">
        <is>
          <t>PJM has determined that the Interconnection Customer may transfer up to 480 MW of power to the transmission facilities o</t>
        </is>
      </c>
      <c r="I17" s="1" t="n"/>
      <c r="J17" s="1" t="n"/>
      <c r="K17" s="1" t="n"/>
      <c r="L17" s="1" t="n"/>
      <c r="M17" s="1" t="n"/>
      <c r="N17" s="1" t="n"/>
    </row>
    <row r="18">
      <c r="A18" s="1" t="n"/>
      <c r="B18" s="53" t="inlineStr">
        <is>
          <t>Cumulus PPA initial term (years)</t>
        </is>
      </c>
      <c r="C18" s="106" t="n">
        <v>18</v>
      </c>
      <c r="D18" s="85" t="inlineStr">
        <is>
          <t>CL-20260609-048</t>
        </is>
      </c>
      <c r="E18" s="85" t="inlineStr">
        <is>
          <t>Talen Energy Corporation / Amazon Web Services</t>
        </is>
      </c>
      <c r="F18" s="85" t="inlineStr">
        <is>
          <t>2024</t>
        </is>
      </c>
      <c r="G18" s="85" t="inlineStr">
        <is>
          <t>SEC filing</t>
        </is>
      </c>
      <c r="H18" s="85" t="inlineStr">
        <is>
          <t>The initial term of the Cumulus Data Campus PPA is 18 years, with two 10-year extensions at AWS's option.</t>
        </is>
      </c>
      <c r="I18" s="1" t="n"/>
      <c r="J18" s="1" t="n"/>
      <c r="K18" s="1" t="n"/>
      <c r="L18" s="1" t="n"/>
      <c r="M18" s="1" t="n"/>
      <c r="N18" s="1" t="n"/>
    </row>
    <row r="19">
      <c r="A19" s="1" t="n"/>
      <c r="B19" s="53" t="inlineStr">
        <is>
          <t>PJM capacity charge, 2025 settled ($/MWh)</t>
        </is>
      </c>
      <c r="C19" s="107" t="n">
        <v>13.09</v>
      </c>
      <c r="D19" s="85" t="inlineStr">
        <is>
          <t>CL-20260609-028</t>
        </is>
      </c>
      <c r="E19" s="85" t="inlineStr">
        <is>
          <t>PJM Interconnection</t>
        </is>
      </c>
      <c r="F19" s="85" t="inlineStr">
        <is>
          <t>2025</t>
        </is>
      </c>
      <c r="G19" s="85" t="inlineStr">
        <is>
          <t>Regulator docket</t>
        </is>
      </c>
      <c r="H19" s="85" t="inlineStr">
        <is>
          <t>Capacity $/MWh (2025 annual): $13.09 — Capacity ($ Millions 2025 annual): $10,616 — Percent Change vs 2024: 262.3%</t>
        </is>
      </c>
      <c r="I19" s="1" t="n"/>
      <c r="J19" s="1" t="n"/>
      <c r="K19" s="1" t="n"/>
      <c r="L19" s="1" t="n"/>
      <c r="M19" s="1" t="n"/>
      <c r="N19" s="1" t="n"/>
    </row>
    <row r="20">
      <c r="A20" s="1" t="n"/>
      <c r="B20" s="53" t="inlineStr">
        <is>
          <t>PJM capacity charge, Jan-2026 YTD ($/MWh)</t>
        </is>
      </c>
      <c r="C20" s="107" t="n">
        <v>16.94</v>
      </c>
      <c r="D20" s="85" t="inlineStr">
        <is>
          <t>CL-20260609-029</t>
        </is>
      </c>
      <c r="E20" s="85" t="inlineStr">
        <is>
          <t>PJM Interconnection</t>
        </is>
      </c>
      <c r="F20" s="85" t="inlineStr">
        <is>
          <t>2026-01</t>
        </is>
      </c>
      <c r="G20" s="85" t="inlineStr">
        <is>
          <t>Regulator docket</t>
        </is>
      </c>
      <c r="H20" s="85" t="inlineStr">
        <is>
          <t>Capacity $/MWh (January 2026 YTD): $16.94 — Capacity ($ Millions January 2026 YTD): $1,347 — Percent Change vs January 2</t>
        </is>
      </c>
      <c r="I20" s="1" t="n"/>
      <c r="J20" s="1" t="n"/>
      <c r="K20" s="1" t="n"/>
      <c r="L20" s="1" t="n"/>
      <c r="M20" s="1" t="n"/>
      <c r="N20" s="1" t="n"/>
    </row>
    <row r="21">
      <c r="A21" s="1" t="n"/>
      <c r="B21" s="53" t="inlineStr">
        <is>
          <t>PJM positive hourly surplus, 2026 YTD (MWh)</t>
        </is>
      </c>
      <c r="C21" s="106" t="n">
        <v>9025824</v>
      </c>
      <c r="D21" s="85" t="inlineStr">
        <is>
          <t>CL-20260609-007</t>
        </is>
      </c>
      <c r="E21" s="85" t="inlineStr">
        <is>
          <t>PJM Interconnection (EIA-930 BA-level)</t>
        </is>
      </c>
      <c r="F21" s="85" t="inlineStr">
        <is>
          <t>2026-01/2026-06</t>
        </is>
      </c>
      <c r="G21" s="85" t="inlineStr">
        <is>
          <t>Regulator docket</t>
        </is>
      </c>
      <c r="H21" s="85" t="inlineStr">
        <is>
          <t>DERIVED: PJM balancing authority recorded 9,025,824 MWh of positive hourly surplus (adjusted net generation minus adjust</t>
        </is>
      </c>
      <c r="I21" s="1" t="n"/>
      <c r="J21" s="1" t="n"/>
      <c r="K21" s="1" t="n"/>
      <c r="L21" s="1" t="n"/>
      <c r="M21" s="1" t="n"/>
      <c r="N21" s="1" t="n"/>
    </row>
    <row r="22">
      <c r="A22" s="1" t="n"/>
      <c r="B22" s="53" t="inlineStr">
        <is>
          <t>DDTL 4.0 committed facility ($M)</t>
        </is>
      </c>
      <c r="C22" s="54" t="n">
        <v>8500</v>
      </c>
      <c r="D22" s="85" t="inlineStr">
        <is>
          <t>CL-20260609-023</t>
        </is>
      </c>
      <c r="E22" s="85" t="inlineStr">
        <is>
          <t>CoreWeave</t>
        </is>
      </c>
      <c r="F22" s="85" t="inlineStr">
        <is>
          <t>2026-03-31</t>
        </is>
      </c>
      <c r="G22" s="85" t="inlineStr">
        <is>
          <t>SEC filing</t>
        </is>
      </c>
      <c r="H22" s="85" t="inlineStr">
        <is>
          <t>CoreWeave, Inc. (Nasdaq: CRWV), The Essential Cloud for AI, today announced it has closed an $8.5 billion delayed draw t</t>
        </is>
      </c>
      <c r="I22" s="1" t="n"/>
      <c r="J22" s="1" t="n"/>
      <c r="K22" s="1" t="n"/>
      <c r="L22" s="1" t="n"/>
      <c r="M22" s="1" t="n"/>
      <c r="N22" s="1" t="n"/>
    </row>
    <row r="23">
      <c r="A23" s="1" t="n"/>
      <c r="B23" s="53" t="inlineStr">
        <is>
          <t>DDTL floating spread over SOFR (%)</t>
        </is>
      </c>
      <c r="C23" s="108" t="n">
        <v>2.25</v>
      </c>
      <c r="D23" s="85" t="inlineStr">
        <is>
          <t>CL-20260609-024</t>
        </is>
      </c>
      <c r="E23" s="85" t="inlineStr">
        <is>
          <t>CoreWeave</t>
        </is>
      </c>
      <c r="F23" s="85" t="inlineStr">
        <is>
          <t>2026-03-31</t>
        </is>
      </c>
      <c r="G23" s="85" t="inlineStr">
        <is>
          <t>SEC filing</t>
        </is>
      </c>
      <c r="H23" s="85" t="inlineStr">
        <is>
          <t>The facility includes a floating rate tranche financed at SOFR + 2.25% and a fixed rate tranche financed at approximatel</t>
        </is>
      </c>
      <c r="I23" s="1" t="n"/>
      <c r="J23" s="1" t="n"/>
      <c r="K23" s="1" t="n"/>
      <c r="L23" s="1" t="n"/>
      <c r="M23" s="1" t="n"/>
      <c r="N23" s="1" t="n"/>
    </row>
    <row r="24">
      <c r="A24" s="1" t="n"/>
      <c r="B24" s="53" t="inlineStr">
        <is>
          <t>LTV ceiling, IG counterparties (%)</t>
        </is>
      </c>
      <c r="C24" s="106" t="n">
        <v>90</v>
      </c>
      <c r="D24" s="85" t="inlineStr">
        <is>
          <t>CL-20260609-021</t>
        </is>
      </c>
      <c r="E24" s="85" t="inlineStr">
        <is>
          <t>CoreWeave</t>
        </is>
      </c>
      <c r="F24" s="85" t="inlineStr">
        <is>
          <t>2024-12-16</t>
        </is>
      </c>
      <c r="G24" s="85" t="inlineStr">
        <is>
          <t>SEC filing</t>
        </is>
      </c>
      <c r="H24" s="85" t="inlineStr">
        <is>
          <t>any indebtedness incurred thereunder has a LTV Ratio of no greater than (i) 90%, so long as a material portion of the co</t>
        </is>
      </c>
      <c r="I24" s="1" t="n"/>
      <c r="J24" s="1" t="n"/>
      <c r="K24" s="1" t="n"/>
      <c r="L24" s="1" t="n"/>
      <c r="M24" s="1" t="n"/>
      <c r="N24" s="1" t="n"/>
    </row>
    <row r="25">
      <c r="A25" s="1" t="n"/>
      <c r="B25" s="53" t="inlineStr">
        <is>
          <t>LTV ceiling, non-IG step-down (%)</t>
        </is>
      </c>
      <c r="C25" s="106" t="n">
        <v>75</v>
      </c>
      <c r="D25" s="85" t="inlineStr">
        <is>
          <t>CL-20260609-022</t>
        </is>
      </c>
      <c r="E25" s="85" t="inlineStr">
        <is>
          <t>CoreWeave</t>
        </is>
      </c>
      <c r="F25" s="85" t="inlineStr">
        <is>
          <t>2024-12-16</t>
        </is>
      </c>
      <c r="G25" s="85" t="inlineStr">
        <is>
          <t>SEC filing</t>
        </is>
      </c>
      <c r="H25" s="85" t="inlineStr">
        <is>
          <t>(ii) 75%, so long as a material portion of the contracts with (or contracted revenue from) entities which do not have an</t>
        </is>
      </c>
      <c r="I25" s="1" t="n"/>
      <c r="J25" s="1" t="n"/>
      <c r="K25" s="1" t="n"/>
      <c r="L25" s="1" t="n"/>
      <c r="M25" s="1" t="n"/>
      <c r="N25" s="1" t="n"/>
    </row>
    <row r="26">
      <c r="A26" s="1" t="n"/>
      <c r="B26" s="53" t="inlineStr">
        <is>
          <t>CoreWeave total debt principal ($M)</t>
        </is>
      </c>
      <c r="C26" s="54" t="n">
        <v>21615</v>
      </c>
      <c r="D26" s="85" t="inlineStr">
        <is>
          <t>CL-20260609-038</t>
        </is>
      </c>
      <c r="E26" s="85" t="inlineStr">
        <is>
          <t>CoreWeave</t>
        </is>
      </c>
      <c r="F26" s="85" t="inlineStr">
        <is>
          <t>2025-12-31</t>
        </is>
      </c>
      <c r="G26" s="85" t="inlineStr">
        <is>
          <t>SEC filing</t>
        </is>
      </c>
      <c r="H26" s="85" t="inlineStr">
        <is>
          <t xml:space="preserve">Total principal of debt [as of December 31, 2025]: $21,615 [million]. [...] Total debt, net of unamortized discount and </t>
        </is>
      </c>
      <c r="I26" s="1" t="n"/>
      <c r="J26" s="1" t="n"/>
      <c r="K26" s="1" t="n"/>
      <c r="L26" s="1" t="n"/>
      <c r="M26" s="1" t="n"/>
      <c r="N26" s="1" t="n"/>
    </row>
    <row r="27">
      <c r="A27" s="1" t="n"/>
      <c r="B27" s="53" t="inlineStr">
        <is>
          <t>CoreWeave RPO backlog, 2025 ($M)</t>
        </is>
      </c>
      <c r="C27" s="54" t="n">
        <v>60700</v>
      </c>
      <c r="D27" s="85" t="inlineStr">
        <is>
          <t>CL-20260609-037</t>
        </is>
      </c>
      <c r="E27" s="85" t="inlineStr">
        <is>
          <t>CoreWeave</t>
        </is>
      </c>
      <c r="F27" s="85" t="inlineStr">
        <is>
          <t>2025-12-31</t>
        </is>
      </c>
      <c r="G27" s="85" t="inlineStr">
        <is>
          <t>SEC filing</t>
        </is>
      </c>
      <c r="H27" s="85" t="inlineStr">
        <is>
          <t>As of December 31, 2025, we had $60.7 billion of remaining performance obligations ("RPO"), compared to $15.1 billion of</t>
        </is>
      </c>
      <c r="I27" s="1" t="n"/>
      <c r="J27" s="1" t="n"/>
      <c r="K27" s="1" t="n"/>
      <c r="L27" s="1" t="n"/>
      <c r="M27" s="1" t="n"/>
      <c r="N27" s="1" t="n"/>
    </row>
    <row r="28">
      <c r="A28" s="1" t="n"/>
      <c r="B28" s="53" t="inlineStr">
        <is>
          <t>CoreWeave RPO backlog, 2024 ($M)</t>
        </is>
      </c>
      <c r="C28" s="54" t="n">
        <v>15100</v>
      </c>
      <c r="D28" s="85" t="inlineStr">
        <is>
          <t>CL-20260609-053</t>
        </is>
      </c>
      <c r="E28" s="85" t="inlineStr">
        <is>
          <t>CoreWeave</t>
        </is>
      </c>
      <c r="F28" s="85" t="inlineStr">
        <is>
          <t>2024-12-31</t>
        </is>
      </c>
      <c r="G28" s="85" t="inlineStr">
        <is>
          <t>SEC filing</t>
        </is>
      </c>
      <c r="H28" s="85" t="inlineStr">
        <is>
          <t>As of December 31, 2024, we had $15.1 billion of remaining performance obligations reflecting an increase of 53%, from $</t>
        </is>
      </c>
      <c r="I28" s="1" t="n"/>
      <c r="J28" s="1" t="n"/>
      <c r="K28" s="1" t="n"/>
      <c r="L28" s="1" t="n"/>
      <c r="M28" s="1" t="n"/>
      <c r="N28" s="1" t="n"/>
    </row>
    <row r="29">
      <c r="A29" s="1" t="n"/>
      <c r="B29" s="53" t="inlineStr">
        <is>
          <t>CoreWeave revenue, FY2025 ($M)</t>
        </is>
      </c>
      <c r="C29" s="54" t="n">
        <v>5131</v>
      </c>
      <c r="D29" s="85" t="inlineStr">
        <is>
          <t>CL-20260609-036</t>
        </is>
      </c>
      <c r="E29" s="85" t="inlineStr">
        <is>
          <t>CoreWeave</t>
        </is>
      </c>
      <c r="F29" s="85" t="inlineStr">
        <is>
          <t>2025</t>
        </is>
      </c>
      <c r="G29" s="85" t="inlineStr">
        <is>
          <t>SEC filing</t>
        </is>
      </c>
      <c r="H29" s="85" t="inlineStr">
        <is>
          <t>Revenue [FY2025]: $5,131 [million]</t>
        </is>
      </c>
      <c r="I29" s="1" t="n"/>
      <c r="J29" s="1" t="n"/>
      <c r="K29" s="1" t="n"/>
      <c r="L29" s="1" t="n"/>
      <c r="M29" s="1" t="n"/>
      <c r="N29" s="1" t="n"/>
    </row>
    <row r="30">
      <c r="A30" s="1" t="n"/>
      <c r="B30" s="53" t="inlineStr">
        <is>
          <t>Largest-customer share of 2024 revenue (%)</t>
        </is>
      </c>
      <c r="C30" s="106" t="n">
        <v>62</v>
      </c>
      <c r="D30" s="85" t="inlineStr">
        <is>
          <t>CL-20260609-052</t>
        </is>
      </c>
      <c r="E30" s="85" t="inlineStr">
        <is>
          <t>CoreWeave / Microsoft</t>
        </is>
      </c>
      <c r="F30" s="85" t="inlineStr">
        <is>
          <t>2024</t>
        </is>
      </c>
      <c r="G30" s="85" t="inlineStr">
        <is>
          <t>SEC filing</t>
        </is>
      </c>
      <c r="H30" s="85" t="inlineStr">
        <is>
          <t>For the years ended December 31, 2023 and 2024, our largest customer was Microsoft, which accounted for 35% and 62% of o</t>
        </is>
      </c>
      <c r="I30" s="1" t="n"/>
      <c r="J30" s="1" t="n"/>
      <c r="K30" s="1" t="n"/>
      <c r="L30" s="1" t="n"/>
      <c r="M30" s="1" t="n"/>
      <c r="N30" s="1" t="n"/>
    </row>
    <row r="31">
      <c r="A31" s="1" t="n"/>
      <c r="B31" s="53" t="inlineStr">
        <is>
          <t>CoreWeave GPU useful life (years)</t>
        </is>
      </c>
      <c r="C31" s="106" t="n">
        <v>6</v>
      </c>
      <c r="D31" s="85" t="inlineStr">
        <is>
          <t>CL-20260609-051</t>
        </is>
      </c>
      <c r="E31" s="85" t="inlineStr">
        <is>
          <t>CoreWeave</t>
        </is>
      </c>
      <c r="F31" s="85" t="inlineStr">
        <is>
          <t>2023-01-01 onward (policy as of FY2025)</t>
        </is>
      </c>
      <c r="G31" s="85" t="inlineStr">
        <is>
          <t>SEC filing</t>
        </is>
      </c>
      <c r="H31" s="85" t="inlineStr">
        <is>
          <t>Effective January 1, 2023, the Company changed its estimate of the useful life for its computing equipment utilized in d</t>
        </is>
      </c>
      <c r="I31" s="1" t="n"/>
      <c r="J31" s="1" t="n"/>
      <c r="K31" s="1" t="n"/>
      <c r="L31" s="1" t="n"/>
      <c r="M31" s="1" t="n"/>
      <c r="N31" s="1" t="n"/>
    </row>
    <row r="32">
      <c r="A32" s="1" t="n"/>
      <c r="B32" s="53" t="inlineStr">
        <is>
          <t>Meta server useful life (years)</t>
        </is>
      </c>
      <c r="C32" s="108" t="n">
        <v>5.5</v>
      </c>
      <c r="D32" s="85" t="inlineStr">
        <is>
          <t>CL-20260609-042</t>
        </is>
      </c>
      <c r="E32" s="85" t="inlineStr">
        <is>
          <t>Meta Platforms</t>
        </is>
      </c>
      <c r="F32" s="85" t="inlineStr">
        <is>
          <t>2025</t>
        </is>
      </c>
      <c r="G32" s="85" t="inlineStr">
        <is>
          <t>SEC filing</t>
        </is>
      </c>
      <c r="H32" s="85" t="inlineStr">
        <is>
          <t>In January 2025, we completed an assessment of the useful lives of certain servers and network assets, which resulted in</t>
        </is>
      </c>
      <c r="I32" s="1" t="n"/>
      <c r="J32" s="1" t="n"/>
      <c r="K32" s="1" t="n"/>
      <c r="L32" s="1" t="n"/>
      <c r="M32" s="1" t="n"/>
      <c r="N32" s="1" t="n"/>
    </row>
    <row r="33">
      <c r="A33" s="1" t="n"/>
      <c r="B33" s="53" t="inlineStr">
        <is>
          <t>NVIDIA purchase commitments, FY2026 ($M)</t>
        </is>
      </c>
      <c r="C33" s="54" t="n">
        <v>95200</v>
      </c>
      <c r="D33" s="85" t="inlineStr">
        <is>
          <t>CL-20260609-019</t>
        </is>
      </c>
      <c r="E33" s="85" t="inlineStr">
        <is>
          <t>NVIDIA Corporation</t>
        </is>
      </c>
      <c r="F33" s="85" t="inlineStr">
        <is>
          <t>as of Jan 25, 2026</t>
        </is>
      </c>
      <c r="G33" s="85" t="inlineStr">
        <is>
          <t>SEC filing</t>
        </is>
      </c>
      <c r="H33" s="85" t="inlineStr">
        <is>
          <t>As of January 25, 2026, these commitments were $95.2 billion, of which substantially all will be paid through fiscal yea</t>
        </is>
      </c>
      <c r="I33" s="1" t="n"/>
      <c r="J33" s="1" t="n"/>
      <c r="K33" s="1" t="n"/>
      <c r="L33" s="1" t="n"/>
      <c r="M33" s="1" t="n"/>
      <c r="N33" s="1" t="n"/>
    </row>
    <row r="34">
      <c r="A34" s="1" t="n"/>
      <c r="B34" s="53" t="inlineStr">
        <is>
          <t>NVIDIA purchase commitments, FY2025 ($M)</t>
        </is>
      </c>
      <c r="C34" s="54" t="n">
        <v>30800</v>
      </c>
      <c r="D34" s="85" t="inlineStr">
        <is>
          <t>CL-20260609-020</t>
        </is>
      </c>
      <c r="E34" s="85" t="inlineStr">
        <is>
          <t>NVIDIA Corporation</t>
        </is>
      </c>
      <c r="F34" s="85" t="inlineStr">
        <is>
          <t>as of Jan 26, 2025</t>
        </is>
      </c>
      <c r="G34" s="85" t="inlineStr">
        <is>
          <t>SEC filing</t>
        </is>
      </c>
      <c r="H34" s="85" t="inlineStr">
        <is>
          <t>As of January 26, 2025, we had outstanding inventory purchase and long-term supply and capacity obligations totaling $30</t>
        </is>
      </c>
      <c r="I34" s="1" t="n"/>
      <c r="J34" s="1" t="n"/>
      <c r="K34" s="1" t="n"/>
      <c r="L34" s="1" t="n"/>
      <c r="M34" s="1" t="n"/>
      <c r="N34" s="1" t="n"/>
    </row>
    <row r="35">
      <c r="A35" s="1" t="n"/>
      <c r="B35" s="53" t="inlineStr">
        <is>
          <t>Alphabet capex, FY2025 ($M)</t>
        </is>
      </c>
      <c r="C35" s="54" t="n">
        <v>91400</v>
      </c>
      <c r="D35" s="85" t="inlineStr">
        <is>
          <t>CL-20260609-044</t>
        </is>
      </c>
      <c r="E35" s="85" t="inlineStr">
        <is>
          <t>Alphabet</t>
        </is>
      </c>
      <c r="F35" s="85" t="inlineStr">
        <is>
          <t>2025</t>
        </is>
      </c>
      <c r="G35" s="85" t="inlineStr">
        <is>
          <t>SEC filing</t>
        </is>
      </c>
      <c r="H35" s="85" t="inlineStr">
        <is>
          <t>During the years ended December 31, 2024 and 2025, we spent $52.5 billion and $91.4 billion on capital expenditures, res</t>
        </is>
      </c>
      <c r="I35" s="1" t="n"/>
      <c r="J35" s="1" t="n"/>
      <c r="K35" s="1" t="n"/>
      <c r="L35" s="1" t="n"/>
      <c r="M35" s="1" t="n"/>
      <c r="N35" s="1" t="n"/>
    </row>
    <row r="36">
      <c r="A36" s="1" t="n"/>
      <c r="B36" s="53" t="inlineStr">
        <is>
          <t>Microsoft P&amp;E additions, 9M FY2026 ($M)</t>
        </is>
      </c>
      <c r="C36" s="54" t="n">
        <v>80146</v>
      </c>
      <c r="D36" s="85" t="inlineStr">
        <is>
          <t>CL-20260609-046</t>
        </is>
      </c>
      <c r="E36" s="85" t="inlineStr">
        <is>
          <t>Microsoft</t>
        </is>
      </c>
      <c r="F36" s="85" t="inlineStr">
        <is>
          <t>2025-07-01/2026-03-31</t>
        </is>
      </c>
      <c r="G36" s="85" t="inlineStr">
        <is>
          <t>SEC filing</t>
        </is>
      </c>
      <c r="H36" s="85" t="inlineStr">
        <is>
          <t>Additions to property and equipment (80,146) [nine months ended March 31, 2026]</t>
        </is>
      </c>
      <c r="I36" s="1" t="n"/>
      <c r="J36" s="1" t="n"/>
      <c r="K36" s="1" t="n"/>
      <c r="L36" s="1" t="n"/>
      <c r="M36" s="1" t="n"/>
      <c r="N36" s="1" t="n"/>
    </row>
    <row r="37">
      <c r="A37" s="1" t="n"/>
      <c r="B37" s="53" t="inlineStr">
        <is>
          <t>BLS ECI manufacturing comp, 2025Q2 (index)</t>
        </is>
      </c>
      <c r="C37" s="108" t="n">
        <v>164.922</v>
      </c>
      <c r="D37" s="85" t="inlineStr">
        <is>
          <t>CL-20260609-001</t>
        </is>
      </c>
      <c r="E37" s="85" t="inlineStr">
        <is>
          <t>US private manufacturing labor cost (BLS ECI)</t>
        </is>
      </c>
      <c r="F37" s="85" t="inlineStr">
        <is>
          <t>2025-Q2</t>
        </is>
      </c>
      <c r="G37" s="85" t="inlineStr">
        <is>
          <t>Regulator docket</t>
        </is>
      </c>
      <c r="H37" s="85" t="inlineStr">
        <is>
          <t>BLS Employment Cost Index (total compensation, private industry, manufacturing, NSA, series CIU2013000000000I) = 164.922</t>
        </is>
      </c>
      <c r="I37" s="1" t="n"/>
      <c r="J37" s="1" t="n"/>
      <c r="K37" s="1" t="n"/>
      <c r="L37" s="1" t="n"/>
      <c r="M37" s="1" t="n"/>
      <c r="N37" s="1" t="n"/>
    </row>
    <row r="38">
      <c r="A38" s="1" t="n"/>
      <c r="B38" s="53" t="inlineStr">
        <is>
          <t>BLS PPI industrial electric power, Aug-2025</t>
        </is>
      </c>
      <c r="C38" s="108" t="n">
        <v>286.234</v>
      </c>
      <c r="D38" s="85" t="inlineStr">
        <is>
          <t>CL-20260609-002</t>
        </is>
      </c>
      <c r="E38" s="85" t="inlineStr">
        <is>
          <t>US industrial electric power prices (BLS PPI)</t>
        </is>
      </c>
      <c r="F38" s="85" t="inlineStr">
        <is>
          <t>2025-08</t>
        </is>
      </c>
      <c r="G38" s="85" t="inlineStr">
        <is>
          <t>Regulator docket</t>
        </is>
      </c>
      <c r="H38" s="85" t="inlineStr">
        <is>
          <t>BLS PPI Industrial Electric Power (series PCU22112222112243) = 286.234 for Aug-2025 (the contract anchor month).</t>
        </is>
      </c>
      <c r="I38" s="1" t="n"/>
      <c r="J38" s="1" t="n"/>
      <c r="K38" s="1" t="n"/>
      <c r="L38" s="1" t="n"/>
      <c r="M38" s="1" t="n"/>
      <c r="N38" s="1" t="n"/>
    </row>
    <row r="39">
      <c r="A39" s="1" t="n"/>
      <c r="B39" s="53" t="inlineStr">
        <is>
          <t>BLS PPI nonferrous mill shapes, Aug-2025</t>
        </is>
      </c>
      <c r="C39" s="108" t="n">
        <v>363.864</v>
      </c>
      <c r="D39" s="85" t="inlineStr">
        <is>
          <t>CL-20260609-003</t>
        </is>
      </c>
      <c r="E39" s="85" t="inlineStr">
        <is>
          <t>US nonferrous metal mill shapes prices (BLS PPI)</t>
        </is>
      </c>
      <c r="F39" s="85" t="inlineStr">
        <is>
          <t>2025-08</t>
        </is>
      </c>
      <c r="G39" s="85" t="inlineStr">
        <is>
          <t>Regulator docket</t>
        </is>
      </c>
      <c r="H39" s="85" t="inlineStr">
        <is>
          <t>BLS PPI Nonferrous Metal Mill Shapes (series PCU331491331491D) = 363.864 for Aug-2025 (the contract anchor month).</t>
        </is>
      </c>
      <c r="I39" s="1" t="n"/>
      <c r="J39" s="1" t="n"/>
      <c r="K39" s="1" t="n"/>
      <c r="L39" s="1" t="n"/>
      <c r="M39" s="1" t="n"/>
      <c r="N39" s="1" t="n"/>
    </row>
    <row r="40">
      <c r="A40" s="1" t="n"/>
      <c r="B40" s="53" t="inlineStr">
        <is>
          <t>BLS PPI fabricated metal, Aug-2025</t>
        </is>
      </c>
      <c r="C40" s="108" t="n">
        <v>299.857</v>
      </c>
      <c r="D40" s="85" t="inlineStr">
        <is>
          <t>CL-20260609-004</t>
        </is>
      </c>
      <c r="E40" s="85" t="inlineStr">
        <is>
          <t>US fabricated metal product prices (BLS PPI)</t>
        </is>
      </c>
      <c r="F40" s="85" t="inlineStr">
        <is>
          <t>2025-08</t>
        </is>
      </c>
      <c r="G40" s="85" t="inlineStr">
        <is>
          <t>Regulator docket</t>
        </is>
      </c>
      <c r="H40" s="85" t="inlineStr">
        <is>
          <t>BLS PPI Fabricated Metal Product Manufacturing (series PCU332---332---) = 299.857 for Aug-2025 (the contract anchor mont</t>
        </is>
      </c>
      <c r="I40" s="1" t="n"/>
      <c r="J40" s="1" t="n"/>
      <c r="K40" s="1" t="n"/>
      <c r="L40" s="1" t="n"/>
      <c r="M40" s="1" t="n"/>
      <c r="N40" s="1" t="n"/>
    </row>
    <row r="41">
      <c r="A41" s="1" t="n"/>
      <c r="B41" s="53" t="inlineStr">
        <is>
          <t>U3O8 spot, Aug-2025 ($/lb)</t>
        </is>
      </c>
      <c r="C41" s="107" t="n">
        <v>75.13</v>
      </c>
      <c r="D41" s="85" t="inlineStr">
        <is>
          <t>CL-20260609-005</t>
        </is>
      </c>
      <c r="E41" s="85" t="inlineStr">
        <is>
          <t>U3O8 spot market (UxC/TradeTech via Cameco)</t>
        </is>
      </c>
      <c r="F41" s="85" t="inlineStr">
        <is>
          <t>2025-08</t>
        </is>
      </c>
      <c r="G41" s="85" t="inlineStr">
        <is>
          <t>Independent research</t>
        </is>
      </c>
      <c r="H41" s="85" t="inlineStr">
        <is>
          <t>U3O8 uranium spot price, Aug-2025 month-end industry average (UxC/TradeTech) as republished by Cameco = $75.13/lb.</t>
        </is>
      </c>
      <c r="I41" s="1" t="n"/>
      <c r="J41" s="1" t="n"/>
      <c r="K41" s="1" t="n"/>
      <c r="L41" s="1" t="n"/>
      <c r="M41" s="1" t="n"/>
      <c r="N41" s="1" t="n"/>
    </row>
    <row r="42">
      <c r="A42" s="1" t="n"/>
      <c r="B42" s="53" t="inlineStr">
        <is>
          <t>U3O8 long-term, Aug-2025 ($/lb)</t>
        </is>
      </c>
      <c r="C42" s="107" t="n">
        <v>81</v>
      </c>
      <c r="D42" s="85" t="inlineStr">
        <is>
          <t>CL-20260609-006</t>
        </is>
      </c>
      <c r="E42" s="85" t="inlineStr">
        <is>
          <t>U3O8 long-term market (UxC/TradeTech via Cameco)</t>
        </is>
      </c>
      <c r="F42" s="85" t="inlineStr">
        <is>
          <t>2025-08</t>
        </is>
      </c>
      <c r="G42" s="85" t="inlineStr">
        <is>
          <t>Independent research</t>
        </is>
      </c>
      <c r="H42" s="85" t="inlineStr">
        <is>
          <t>U3O8 uranium long-term price, Aug-2025 month-end industry average (UxC/TradeTech) as republished by Cameco = $81.00/lb.</t>
        </is>
      </c>
      <c r="I42" s="1" t="n"/>
      <c r="J42" s="1" t="n"/>
      <c r="K42" s="1" t="n"/>
      <c r="L42" s="1" t="n"/>
      <c r="M42" s="1" t="n"/>
      <c r="N42" s="1" t="n"/>
    </row>
    <row r="43">
      <c r="A43" s="1" t="n"/>
      <c r="B43" s="53" t="inlineStr">
        <is>
          <t>Anthropic cumulative recognized-revenue floor, sworn ($M, '&gt;$5B')</t>
        </is>
      </c>
      <c r="C43" s="54" t="n">
        <v>5000</v>
      </c>
      <c r="D43" s="85" t="inlineStr">
        <is>
          <t>CL-20260612-102</t>
        </is>
      </c>
      <c r="E43" s="85" t="inlineStr">
        <is>
          <t>Anthropic</t>
        </is>
      </c>
      <c r="F43" s="85" t="inlineStr">
        <is>
          <t>cumulative through 2026-03-09</t>
        </is>
      </c>
      <c r="G43" s="85" t="inlineStr">
        <is>
          <t>Court-sworn declaration</t>
        </is>
      </c>
      <c r="H43" s="85" t="inlineStr">
        <is>
          <t>Krishna Rao (CFO, Anthropic), sworn declaration under 28 U.S.C. § 1746: 'the company has generated substantial revenue s</t>
        </is>
      </c>
      <c r="I43" s="1" t="n"/>
      <c r="J43" s="1" t="n"/>
      <c r="K43" s="1" t="n"/>
      <c r="L43" s="1" t="n"/>
      <c r="M43" s="1" t="n"/>
      <c r="N43" s="1" t="n"/>
    </row>
    <row r="44">
      <c r="A44" s="1" t="n"/>
      <c r="B44" s="53" t="inlineStr">
        <is>
          <t>Anthropic outside capital raised, sworn ($M, '&gt;$60B')</t>
        </is>
      </c>
      <c r="C44" s="54" t="n">
        <v>60000</v>
      </c>
      <c r="D44" s="85" t="inlineStr">
        <is>
          <t>CL-20260612-103</t>
        </is>
      </c>
      <c r="E44" s="85" t="inlineStr">
        <is>
          <t>Anthropic</t>
        </is>
      </c>
      <c r="F44" s="85" t="inlineStr">
        <is>
          <t>cumulative through 2026-03-09</t>
        </is>
      </c>
      <c r="G44" s="85" t="inlineStr">
        <is>
          <t>Court-sworn declaration</t>
        </is>
      </c>
      <c r="H44" s="85" t="inlineStr">
        <is>
          <t>Krishna Rao (CFO, Anthropic), sworn declaration under 28 U.S.C. § 1746: Anthropic 'has nonetheless had to raise more tha</t>
        </is>
      </c>
      <c r="I44" s="1" t="n"/>
      <c r="J44" s="1" t="n"/>
      <c r="K44" s="1" t="n"/>
      <c r="L44" s="1" t="n"/>
      <c r="M44" s="1" t="n"/>
      <c r="N44" s="1" t="n"/>
    </row>
    <row r="45">
      <c r="A45" s="1" t="n"/>
      <c r="B45" s="53" t="inlineStr">
        <is>
          <t>Anthropic cumulative compute spend, sworn ($M, '&gt;$10B')</t>
        </is>
      </c>
      <c r="C45" s="54" t="n">
        <v>10000</v>
      </c>
      <c r="D45" s="85" t="inlineStr">
        <is>
          <t>CL-20260612-104</t>
        </is>
      </c>
      <c r="E45" s="85" t="inlineStr">
        <is>
          <t>Anthropic</t>
        </is>
      </c>
      <c r="F45" s="85" t="inlineStr">
        <is>
          <t>cumulative through 2026-03-09</t>
        </is>
      </c>
      <c r="G45" s="85" t="inlineStr">
        <is>
          <t>Court-sworn declaration</t>
        </is>
      </c>
      <c r="H45" s="85" t="inlineStr">
        <is>
          <t>Krishna Rao (CFO, Anthropic), sworn declaration under 28 U.S.C. § 1746: 'Anthropic has already spent over $10 billion on</t>
        </is>
      </c>
      <c r="I45" s="1" t="n"/>
      <c r="J45" s="1" t="n"/>
      <c r="K45" s="1" t="n"/>
      <c r="L45" s="1" t="n"/>
      <c r="M45" s="1" t="n"/>
      <c r="N45" s="1" t="n"/>
    </row>
    <row r="46">
      <c r="A46" s="1" t="n"/>
      <c r="B46" s="53" t="inlineStr">
        <is>
          <t>ERCOT West hub negative-price hours, 2022 (%, measured)</t>
        </is>
      </c>
      <c r="C46" s="109" t="n">
        <v>11.59</v>
      </c>
      <c r="D46" s="85" t="inlineStr">
        <is>
          <t>CL-20260612-105</t>
        </is>
      </c>
      <c r="E46" s="85" t="inlineStr">
        <is>
          <t>ERCOT HB_WEST (West hub, RTM)</t>
        </is>
      </c>
      <c r="F46" s="85" t="inlineStr">
        <is>
          <t>2022</t>
        </is>
      </c>
      <c r="G46" s="85" t="inlineStr">
        <is>
          <t>Company statement (operator)</t>
        </is>
      </c>
      <c r="H46" s="85" t="inlineStr">
        <is>
          <t>DERIVED: ERCOT West hub (HB_WEST) real-time settlement point price was negative in 1,015 of 8,760 hours (11.6% of hours,</t>
        </is>
      </c>
      <c r="I46" s="1" t="n"/>
      <c r="J46" s="1" t="n"/>
      <c r="K46" s="1" t="n"/>
      <c r="L46" s="1" t="n"/>
      <c r="M46" s="1" t="n"/>
      <c r="N46" s="1" t="n"/>
    </row>
    <row r="47">
      <c r="A47" s="1" t="n"/>
      <c r="B47" s="53" t="inlineStr">
        <is>
          <t>ERCOT West hub negative-price hours, 2025 (%, measured)</t>
        </is>
      </c>
      <c r="C47" s="109" t="n">
        <v>7.28</v>
      </c>
      <c r="D47" s="85" t="inlineStr">
        <is>
          <t>CL-20260612-108</t>
        </is>
      </c>
      <c r="E47" s="85" t="inlineStr">
        <is>
          <t>ERCOT HB_WEST (West hub, RTM)</t>
        </is>
      </c>
      <c r="F47" s="85" t="inlineStr">
        <is>
          <t>2025</t>
        </is>
      </c>
      <c r="G47" s="85" t="inlineStr">
        <is>
          <t>Company statement (operator)</t>
        </is>
      </c>
      <c r="H47" s="85" t="inlineStr">
        <is>
          <t>DERIVED: ERCOT West hub (HB_WEST) real-time settlement point price was negative in 638 of 8,760 hours (7.3% of hours, ho</t>
        </is>
      </c>
      <c r="I47" s="1" t="n"/>
      <c r="J47" s="1" t="n"/>
      <c r="K47" s="1" t="n"/>
      <c r="L47" s="1" t="n"/>
      <c r="M47" s="1" t="n"/>
      <c r="N47" s="1" t="n"/>
    </row>
    <row r="48">
      <c r="A48" s="1" t="n"/>
      <c r="B48" s="53" t="inlineStr">
        <is>
          <t>Retired nuclear nameplate, post-2002 US (MW)</t>
        </is>
      </c>
      <c r="C48" s="109" t="n">
        <v>8980.4</v>
      </c>
      <c r="D48" s="85" t="inlineStr">
        <is>
          <t>CL-20260612-109</t>
        </is>
      </c>
      <c r="E48" s="85" t="inlineStr">
        <is>
          <t>US retired nuclear generators (EIA-860M Retired tab)</t>
        </is>
      </c>
      <c r="F48" s="85" t="inlineStr">
        <is>
          <t>2026-04</t>
        </is>
      </c>
      <c r="G48" s="85" t="inlineStr">
        <is>
          <t>Regulator docket</t>
        </is>
      </c>
      <c r="H48" s="85" t="inlineStr">
        <is>
          <t>The EIA-860M 2026-04 Retired tab lists 11 retired nuclear generator units totaling 8980.4 MW nameplate (retirement cover</t>
        </is>
      </c>
      <c r="I48" s="1" t="n"/>
      <c r="J48" s="1" t="n"/>
      <c r="K48" s="1" t="n"/>
      <c r="L48" s="1" t="n"/>
      <c r="M48" s="1" t="n"/>
      <c r="N48" s="1" t="n"/>
    </row>
    <row r="49">
      <c r="A49" s="1" t="n"/>
      <c r="B49" s="53" t="inlineStr">
        <is>
          <t>Retired nuclear sites, post-2002 US (count)</t>
        </is>
      </c>
      <c r="C49" s="106" t="n">
        <v>10</v>
      </c>
      <c r="D49" s="85" t="inlineStr">
        <is>
          <t>CL-20260612-110</t>
        </is>
      </c>
      <c r="E49" s="85" t="inlineStr">
        <is>
          <t>US retired nuclear sites (EIA-860M Retired tab, plant_id level)</t>
        </is>
      </c>
      <c r="F49" s="85" t="inlineStr">
        <is>
          <t>2026-04</t>
        </is>
      </c>
      <c r="G49" s="85" t="inlineStr">
        <is>
          <t>Regulator docket</t>
        </is>
      </c>
      <c r="H49" s="85" t="inlineStr">
        <is>
          <t>The EIA-860M 2026-04 Retired tab resolves to 10 retired-nuclear plant IDs (Indian Point 2 and 3 carry separate plant IDs</t>
        </is>
      </c>
      <c r="I49" s="1" t="n"/>
      <c r="J49" s="1" t="n"/>
      <c r="K49" s="1" t="n"/>
      <c r="L49" s="1" t="n"/>
      <c r="M49" s="1" t="n"/>
      <c r="N49" s="1" t="n"/>
    </row>
    <row r="50">
      <c r="A50" s="1" t="n"/>
      <c r="B50" s="53" t="inlineStr">
        <is>
          <t>ERCOT nodes ≥25% negative hours, 2024 (% of 785, measured)</t>
        </is>
      </c>
      <c r="C50" s="109" t="n">
        <v>0</v>
      </c>
      <c r="D50" s="85" t="inlineStr">
        <is>
          <t>CL-20260612-122</t>
        </is>
      </c>
      <c r="E50" s="85" t="inlineStr">
        <is>
          <t>ERCOT resource nodes (RTM settlement points)</t>
        </is>
      </c>
      <c r="F50" s="85" t="inlineStr">
        <is>
          <t>2024</t>
        </is>
      </c>
      <c r="G50" s="85" t="inlineStr">
        <is>
          <t>Company statement (operator)</t>
        </is>
      </c>
      <c r="H50" s="85" t="inlineStr">
        <is>
          <t>DERIVED: Across 785 ERCOT resource nodes with full-year RTM coverage in 2024, 0 nodes (0.0%) had negative real-time sett</t>
        </is>
      </c>
      <c r="I50" s="1" t="n"/>
      <c r="J50" s="1" t="n"/>
      <c r="K50" s="1" t="n"/>
      <c r="L50" s="1" t="n"/>
      <c r="M50" s="1" t="n"/>
      <c r="N50" s="1" t="n"/>
    </row>
    <row r="51">
      <c r="A51" s="1" t="n"/>
      <c r="B51" s="53" t="inlineStr">
        <is>
          <t>LZ_WEST node median negative share, 2024 (%, measured)</t>
        </is>
      </c>
      <c r="C51" s="109" t="n">
        <v>11.78</v>
      </c>
      <c r="D51" s="85" t="inlineStr">
        <is>
          <t>CL-20260612-123</t>
        </is>
      </c>
      <c r="E51" s="85" t="inlineStr">
        <is>
          <t>ERCOT LZ_WEST resource nodes (RTM settlement points)</t>
        </is>
      </c>
      <c r="F51" s="85" t="inlineStr">
        <is>
          <t>2024</t>
        </is>
      </c>
      <c r="G51" s="85" t="inlineStr">
        <is>
          <t>Company statement (operator)</t>
        </is>
      </c>
      <c r="H51" s="85" t="inlineStr">
        <is>
          <t>DERIVED: The 2024 negative-hour burden concentrates in ERCOT's West settlement load zone: median LZ_WEST resource node n</t>
        </is>
      </c>
      <c r="I51" s="1" t="n"/>
      <c r="J51" s="1" t="n"/>
      <c r="K51" s="1" t="n"/>
      <c r="L51" s="1" t="n"/>
      <c r="M51" s="1" t="n"/>
      <c r="N51" s="1" t="n"/>
    </row>
    <row r="52">
      <c r="A52" s="1" t="n"/>
      <c r="B52" s="53" t="inlineStr">
        <is>
          <t>Queue conversion, 2015 cohort national (MW share)</t>
        </is>
      </c>
      <c r="C52" s="110" t="n">
        <v>0.2447761606891326</v>
      </c>
      <c r="D52" s="85" t="inlineStr">
        <is>
          <t>CL-20260612-112</t>
        </is>
      </c>
      <c r="E52" s="85" t="inlineStr">
        <is>
          <t>US interconnection queue 2015 cohort (LBNL Queued Up 2026)</t>
        </is>
      </c>
      <c r="F52" s="85" t="inlineStr">
        <is>
          <t>2015</t>
        </is>
      </c>
      <c r="G52" s="85" t="inlineStr">
        <is>
          <t>Independent research</t>
        </is>
      </c>
      <c r="H52" s="85" t="inlineStr">
        <is>
          <t>DERIVED: LBNL Queued Up 2026 edition — 2015 entry-year cohort conversion, observed through 2025 (10 years, 90.2% of coho</t>
        </is>
      </c>
      <c r="I52" s="1" t="n"/>
      <c r="J52" s="1" t="n"/>
      <c r="K52" s="1" t="n"/>
      <c r="L52" s="1" t="n"/>
      <c r="M52" s="1" t="n"/>
      <c r="N52" s="1" t="n"/>
    </row>
    <row r="53">
      <c r="A53" s="1" t="n"/>
      <c r="B53" s="53" t="inlineStr">
        <is>
          <t>Median time, queue entry to COD (years)</t>
        </is>
      </c>
      <c r="C53" s="109" t="n">
        <v>3.5346</v>
      </c>
      <c r="D53" s="85" t="inlineStr">
        <is>
          <t>CL-20260612-113</t>
        </is>
      </c>
      <c r="E53" s="85" t="inlineStr">
        <is>
          <t>US interconnection queue operational projects (LBNL Queued Up 2026)</t>
        </is>
      </c>
      <c r="F53" s="85" t="inlineStr">
        <is>
          <t>2025</t>
        </is>
      </c>
      <c r="G53" s="85" t="inlineStr">
        <is>
          <t>Independent research</t>
        </is>
      </c>
      <c r="H53" s="85" t="inlineStr">
        <is>
          <t xml:space="preserve">DERIVED: LBNL Queued Up 2026 edition — time from queue entry (q_date) to commercial operation (on_date) for operational </t>
        </is>
      </c>
      <c r="I53" s="1" t="n"/>
      <c r="J53" s="1" t="n"/>
      <c r="K53" s="1" t="n"/>
      <c r="L53" s="1" t="n"/>
      <c r="M53" s="1" t="n"/>
      <c r="N53" s="1" t="n"/>
    </row>
    <row r="54">
      <c r="A54" s="1" t="n"/>
      <c r="B54" s="53" t="inlineStr">
        <is>
          <t>PJM BRA clearing price, DY2025/26 RTO ($/MW-day)</t>
        </is>
      </c>
      <c r="C54" s="107" t="n">
        <v>269.92</v>
      </c>
      <c r="D54" s="85" t="inlineStr">
        <is>
          <t>CL-20260612-114</t>
        </is>
      </c>
      <c r="E54" s="85" t="inlineStr">
        <is>
          <t>PJM Interconnection</t>
        </is>
      </c>
      <c r="F54" s="85" t="inlineStr">
        <is>
          <t>2025/2026</t>
        </is>
      </c>
      <c r="G54" s="85" t="inlineStr">
        <is>
          <t>Company statement (operator)</t>
        </is>
      </c>
      <c r="H54" s="85" t="inlineStr">
        <is>
          <t>PJM RPM Base Residual Auction, 2025/2026 Delivery Year: RTO resource clearing price $269.92/MW-day (Capacity Performance</t>
        </is>
      </c>
      <c r="I54" s="1" t="n"/>
      <c r="J54" s="1" t="n"/>
      <c r="K54" s="1" t="n"/>
      <c r="L54" s="1" t="n"/>
      <c r="M54" s="1" t="n"/>
      <c r="N54" s="1" t="n"/>
    </row>
    <row r="55">
      <c r="A55" s="1" t="n"/>
      <c r="B55" s="53" t="inlineStr">
        <is>
          <t>PJM BRA clearing price, DY2027/28 RTO ($/MW-day)</t>
        </is>
      </c>
      <c r="C55" s="107" t="n">
        <v>333.44</v>
      </c>
      <c r="D55" s="85" t="inlineStr">
        <is>
          <t>CL-20260612-115</t>
        </is>
      </c>
      <c r="E55" s="85" t="inlineStr">
        <is>
          <t>PJM Interconnection</t>
        </is>
      </c>
      <c r="F55" s="85" t="inlineStr">
        <is>
          <t>2027/2028</t>
        </is>
      </c>
      <c r="G55" s="85" t="inlineStr">
        <is>
          <t>Company statement (operator)</t>
        </is>
      </c>
      <c r="H55" s="85" t="inlineStr">
        <is>
          <t>DERIVED: PJM RPM BRA RTO clearing-price history, 2007/08 through 2027/28 delivery years (21 auctions, headline product p</t>
        </is>
      </c>
      <c r="I55" s="1" t="n"/>
      <c r="J55" s="1" t="n"/>
      <c r="K55" s="1" t="n"/>
      <c r="L55" s="1" t="n"/>
      <c r="M55" s="1" t="n"/>
      <c r="N55" s="1" t="n"/>
    </row>
    <row r="56">
      <c r="A56" s="1" t="n"/>
      <c r="B56" s="53" t="inlineStr">
        <is>
          <t>NREL ATB SMR CAPEX, Moderate 2034 ($/kW)</t>
        </is>
      </c>
      <c r="C56" s="54" t="n">
        <v>8220.4</v>
      </c>
      <c r="D56" s="85" t="inlineStr">
        <is>
          <t>CL-20260612-116</t>
        </is>
      </c>
      <c r="E56" s="85" t="inlineStr">
        <is>
          <t>NREL ATB (sector projection)</t>
        </is>
      </c>
      <c r="F56" s="85" t="inlineStr">
        <is>
          <t>online year 2034</t>
        </is>
      </c>
      <c r="G56" s="85" t="inlineStr">
        <is>
          <t>Independent research</t>
        </is>
      </c>
      <c r="H56" s="85" t="inlineStr">
        <is>
          <t>NREL ATB 2024 v3.0.0: Nuclear - Small (SMR) CAPEX, Moderate scenario, R&amp;D case, 30-year CRP, online year 2034: $8,220/kW</t>
        </is>
      </c>
      <c r="I56" s="1" t="n"/>
      <c r="J56" s="1" t="n"/>
      <c r="K56" s="1" t="n"/>
      <c r="L56" s="1" t="n"/>
      <c r="M56" s="1" t="n"/>
      <c r="N56" s="1" t="n"/>
    </row>
    <row r="57">
      <c r="A57" s="1" t="n"/>
      <c r="B57" s="53" t="inlineStr">
        <is>
          <t>NREL ATB SMR CAPEX, Conservative 2034 ($/kW)</t>
        </is>
      </c>
      <c r="C57" s="54" t="n">
        <v>12178.9</v>
      </c>
      <c r="D57" s="85" t="inlineStr">
        <is>
          <t>CL-20260612-117</t>
        </is>
      </c>
      <c r="E57" s="85" t="inlineStr">
        <is>
          <t>NREL ATB (sector projection)</t>
        </is>
      </c>
      <c r="F57" s="85" t="inlineStr">
        <is>
          <t>online year 2034</t>
        </is>
      </c>
      <c r="G57" s="85" t="inlineStr">
        <is>
          <t>Independent research</t>
        </is>
      </c>
      <c r="H57" s="85" t="inlineStr">
        <is>
          <t>NREL ATB 2024 v3.0.0: Nuclear - Small (SMR) CAPEX, Conservative scenario, R&amp;D case, 30-year CRP, online year 2034: $12,1</t>
        </is>
      </c>
      <c r="I57" s="1" t="n"/>
      <c r="J57" s="1" t="n"/>
      <c r="K57" s="1" t="n"/>
      <c r="L57" s="1" t="n"/>
      <c r="M57" s="1" t="n"/>
      <c r="N57" s="1" t="n"/>
    </row>
    <row r="58">
      <c r="A58" s="1" t="n"/>
      <c r="B58" s="53" t="inlineStr">
        <is>
          <t>NREL ATB SMR LCOE, R&amp;D no-ITC 2034 ($/MWh)</t>
        </is>
      </c>
      <c r="C58" s="107" t="n">
        <v>97.7</v>
      </c>
      <c r="D58" s="85" t="inlineStr">
        <is>
          <t>CL-20260612-118</t>
        </is>
      </c>
      <c r="E58" s="85" t="inlineStr">
        <is>
          <t>NREL ATB (sector projection)</t>
        </is>
      </c>
      <c r="F58" s="85" t="inlineStr">
        <is>
          <t>online year 2034</t>
        </is>
      </c>
      <c r="G58" s="85" t="inlineStr">
        <is>
          <t>Independent research</t>
        </is>
      </c>
      <c r="H58" s="85" t="inlineStr">
        <is>
          <t>NREL ATB 2024 v3.0.0: Nuclear - Small (SMR) LCOE, Moderate scenario, R&amp;D case (no ITC), 30-year CRP, online year 2034: $</t>
        </is>
      </c>
      <c r="I58" s="1" t="n"/>
      <c r="J58" s="1" t="n"/>
      <c r="K58" s="1" t="n"/>
      <c r="L58" s="1" t="n"/>
      <c r="M58" s="1" t="n"/>
      <c r="N58" s="1" t="n"/>
    </row>
    <row r="59">
      <c r="A59" s="1" t="n"/>
      <c r="B59" s="53" t="inlineStr">
        <is>
          <t>Vogtle 3&amp;4 total cost, floor ($M, '&gt;$30B')</t>
        </is>
      </c>
      <c r="C59" s="54" t="n">
        <v>30000</v>
      </c>
      <c r="D59" s="85" t="inlineStr">
        <is>
          <t>CL-20260612-119</t>
        </is>
      </c>
      <c r="E59" s="85" t="inlineStr">
        <is>
          <t>Georgia Power (Vogtle 3&amp;4)</t>
        </is>
      </c>
      <c r="F59" s="85" t="inlineStr">
        <is>
          <t>cumulative through 2024-05 (Unit 4 COD)</t>
        </is>
      </c>
      <c r="G59" s="85" t="inlineStr">
        <is>
          <t>Company statement (operator)</t>
        </is>
      </c>
      <c r="H59" s="85" t="inlineStr">
        <is>
          <t>EIA Today in Energy #61963: 'Georgia Power now estimates the total cost of the project to be more than $30 billion' — Vo</t>
        </is>
      </c>
      <c r="I59" s="1" t="n"/>
      <c r="J59" s="1" t="n"/>
      <c r="K59" s="1" t="n"/>
      <c r="L59" s="1" t="n"/>
      <c r="M59" s="1" t="n"/>
      <c r="N59" s="1" t="n"/>
    </row>
    <row r="60">
      <c r="A60" s="1" t="n"/>
      <c r="B60" s="1" t="n"/>
      <c r="C60" s="1" t="n"/>
      <c r="D60" s="1" t="n"/>
      <c r="E60" s="1" t="n"/>
      <c r="F60" s="1" t="n"/>
      <c r="G60" s="1" t="n"/>
      <c r="H60" s="1" t="n"/>
      <c r="I60" s="1" t="n"/>
      <c r="J60" s="1" t="n"/>
      <c r="K60" s="1" t="n"/>
      <c r="L60" s="1" t="n"/>
      <c r="M60" s="1" t="n"/>
      <c r="N60" s="1" t="n"/>
    </row>
    <row r="61" ht="17" customHeight="1">
      <c r="A61" s="1" t="n"/>
      <c r="B61" s="22" t="inlineStr">
        <is>
          <t>Company statements — volume inputs separated from recognized revenue</t>
        </is>
      </c>
      <c r="C61" s="23" t="n"/>
      <c r="D61" s="23" t="n"/>
      <c r="E61" s="23" t="n"/>
      <c r="F61" s="23" t="n"/>
      <c r="G61" s="23" t="n"/>
      <c r="H61" s="23" t="n"/>
      <c r="I61" s="1" t="n"/>
      <c r="J61" s="1" t="n"/>
      <c r="K61" s="1" t="n"/>
      <c r="L61" s="1" t="n"/>
      <c r="M61" s="1" t="n"/>
      <c r="N61" s="1" t="n"/>
    </row>
    <row r="62">
      <c r="A62" s="1" t="n"/>
      <c r="B62" s="53" t="inlineStr">
        <is>
          <t>Compute commitment, two deals ($M, '&gt;$100B')</t>
        </is>
      </c>
      <c r="C62" s="54" t="n">
        <v>100000</v>
      </c>
      <c r="D62" s="85" t="inlineStr">
        <is>
          <t>CL-20260611-055</t>
        </is>
      </c>
      <c r="E62" s="85" t="inlineStr">
        <is>
          <t>Anthropic</t>
        </is>
      </c>
      <c r="F62" s="85" t="inlineStr">
        <is>
          <t>as stated ~2026-05</t>
        </is>
      </c>
      <c r="G62" s="85" t="inlineStr">
        <is>
          <t>Company statement (podcast)</t>
        </is>
      </c>
      <c r="H62" s="85" t="inlineStr">
        <is>
          <t>Krishna Rao (CFO, Anthropic): 'It was an over $100 billion commitment.' [re: the 5 GW Google/Broadcom and up-to-5 GW Ama</t>
        </is>
      </c>
      <c r="I62" s="1" t="n"/>
      <c r="J62" s="1" t="n"/>
      <c r="K62" s="1" t="n"/>
      <c r="L62" s="1" t="n"/>
      <c r="M62" s="1" t="n"/>
      <c r="N62" s="1" t="n"/>
    </row>
    <row r="63">
      <c r="A63" s="1" t="n"/>
      <c r="B63" s="53" t="inlineStr">
        <is>
          <t>Google/Broadcom TPU deal, from 2027 (MW, gross announced)</t>
        </is>
      </c>
      <c r="C63" s="106" t="n">
        <v>5000</v>
      </c>
      <c r="D63" s="85" t="inlineStr">
        <is>
          <t>CL-20260611-056</t>
        </is>
      </c>
      <c r="E63" s="85" t="inlineStr">
        <is>
          <t>Anthropic / Google / Broadcom</t>
        </is>
      </c>
      <c r="F63" s="85" t="inlineStr">
        <is>
          <t>signed ~2026-04; capacity from 2027</t>
        </is>
      </c>
      <c r="G63" s="85" t="inlineStr">
        <is>
          <t>Company statement (podcast)</t>
        </is>
      </c>
      <c r="H63" s="85" t="inlineStr">
        <is>
          <t>Krishna Rao (CFO, Anthropic): 'Last month, we signed a 5-gigawatt deal with Google and Broadcom for TPUs starting in 202</t>
        </is>
      </c>
      <c r="I63" s="1" t="n"/>
      <c r="J63" s="1" t="n"/>
      <c r="K63" s="1" t="n"/>
      <c r="L63" s="1" t="n"/>
      <c r="M63" s="1" t="n"/>
      <c r="N63" s="1" t="n"/>
    </row>
    <row r="64">
      <c r="A64" s="1" t="n"/>
      <c r="B64" s="53" t="inlineStr">
        <is>
          <t>Amazon Trainium deal, 'up to' (MW, gross announced)</t>
        </is>
      </c>
      <c r="C64" s="106" t="n">
        <v>5000</v>
      </c>
      <c r="D64" s="85" t="inlineStr">
        <is>
          <t>CL-20260611-057</t>
        </is>
      </c>
      <c r="E64" s="85" t="inlineStr">
        <is>
          <t>Anthropic / Amazon</t>
        </is>
      </c>
      <c r="F64" s="85" t="inlineStr">
        <is>
          <t>as stated ~2026-05</t>
        </is>
      </c>
      <c r="G64" s="85" t="inlineStr">
        <is>
          <t>Company statement (podcast)</t>
        </is>
      </c>
      <c r="H64" s="85" t="inlineStr">
        <is>
          <t>Krishna Rao (CFO, Anthropic): 'We also signed a deal with Amazon for Trainium for up to 5 gigawatts.' ['up to' is load-b</t>
        </is>
      </c>
      <c r="I64" s="1" t="n"/>
      <c r="J64" s="1" t="n"/>
      <c r="K64" s="1" t="n"/>
      <c r="L64" s="1" t="n"/>
      <c r="M64" s="1" t="n"/>
      <c r="N64" s="1" t="n"/>
    </row>
    <row r="65">
      <c r="A65" s="1" t="n"/>
      <c r="B65" s="53" t="inlineStr">
        <is>
          <t>Net dollar retention, annualized (%)</t>
        </is>
      </c>
      <c r="C65" s="106" t="n">
        <v>500</v>
      </c>
      <c r="D65" s="85" t="inlineStr">
        <is>
          <t>CL-20260611-058</t>
        </is>
      </c>
      <c r="E65" s="85" t="inlineStr">
        <is>
          <t>Anthropic</t>
        </is>
      </c>
      <c r="F65" s="85" t="inlineStr">
        <is>
          <t>as stated ~2026-05</t>
        </is>
      </c>
      <c r="G65" s="85" t="inlineStr">
        <is>
          <t>Company statement (podcast)</t>
        </is>
      </c>
      <c r="H65" s="85" t="inlineStr">
        <is>
          <t>Krishna Rao (CFO, Anthropic): 'For us, annualized net dollar retention is over 500%.'</t>
        </is>
      </c>
      <c r="I65" s="1" t="n"/>
      <c r="J65" s="1" t="n"/>
      <c r="K65" s="1" t="n"/>
      <c r="L65" s="1" t="n"/>
      <c r="M65" s="1" t="n"/>
      <c r="N65" s="1" t="n"/>
    </row>
    <row r="66">
      <c r="A66" s="1" t="n"/>
      <c r="B66" s="53" t="inlineStr">
        <is>
          <t>Fortune 10 customers (count)</t>
        </is>
      </c>
      <c r="C66" s="106" t="n">
        <v>9</v>
      </c>
      <c r="D66" s="85" t="inlineStr">
        <is>
          <t>CL-20260611-059</t>
        </is>
      </c>
      <c r="E66" s="85" t="inlineStr">
        <is>
          <t>Anthropic</t>
        </is>
      </c>
      <c r="F66" s="85" t="inlineStr">
        <is>
          <t>as stated ~2026-05</t>
        </is>
      </c>
      <c r="G66" s="85" t="inlineStr">
        <is>
          <t>Company statement (podcast)</t>
        </is>
      </c>
      <c r="H66" s="85" t="inlineStr">
        <is>
          <t>Krishna Rao (CFO, Anthropic): 'We sell to nine of the Fortune 10.'</t>
        </is>
      </c>
      <c r="I66" s="1" t="n"/>
      <c r="J66" s="1" t="n"/>
      <c r="K66" s="1" t="n"/>
      <c r="L66" s="1" t="n"/>
      <c r="M66" s="1" t="n"/>
      <c r="N66" s="1" t="n"/>
    </row>
    <row r="67">
      <c r="A67" s="1" t="n"/>
      <c r="B67" s="53" t="inlineStr">
        <is>
          <t>Internal code written by Claude Code (%)</t>
        </is>
      </c>
      <c r="C67" s="106" t="n">
        <v>90</v>
      </c>
      <c r="D67" s="85" t="inlineStr">
        <is>
          <t>CL-20260611-060</t>
        </is>
      </c>
      <c r="E67" s="85" t="inlineStr">
        <is>
          <t>Anthropic</t>
        </is>
      </c>
      <c r="F67" s="85" t="inlineStr">
        <is>
          <t>as stated ~2026-05</t>
        </is>
      </c>
      <c r="G67" s="85" t="inlineStr">
        <is>
          <t>Company statement (podcast)</t>
        </is>
      </c>
      <c r="H67" s="85" t="inlineStr">
        <is>
          <t>Krishna Rao (CFO, Anthropic): '90+ percent of our code internally is actually written by Claude Code.'</t>
        </is>
      </c>
      <c r="I67" s="1" t="n"/>
      <c r="J67" s="1" t="n"/>
      <c r="K67" s="1" t="n"/>
      <c r="L67" s="1" t="n"/>
      <c r="M67" s="1" t="n"/>
      <c r="N67" s="1" t="n"/>
    </row>
    <row r="68">
      <c r="A68" s="1" t="n"/>
      <c r="B68" s="53" t="inlineStr">
        <is>
          <t>Run-rate revenue exit, FY2026 Q1 ($M, unaudited run-rate)</t>
        </is>
      </c>
      <c r="C68" s="54" t="n">
        <v>30000</v>
      </c>
      <c r="D68" s="85" t="inlineStr">
        <is>
          <t>CL-20260611-061</t>
        </is>
      </c>
      <c r="E68" s="85" t="inlineStr">
        <is>
          <t>Anthropic</t>
        </is>
      </c>
      <c r="F68" s="85" t="inlineStr">
        <is>
          <t>FY2026 Q1 exit</t>
        </is>
      </c>
      <c r="G68" s="85" t="inlineStr">
        <is>
          <t>Company statement (podcast)</t>
        </is>
      </c>
      <c r="H68" s="85" t="inlineStr">
        <is>
          <t>Krishna Rao (CFO, Anthropic): 'We started the year with about $9 billion of run rate revenue, and we ended the quarter w</t>
        </is>
      </c>
      <c r="I68" s="1" t="n"/>
      <c r="J68" s="1" t="n"/>
      <c r="K68" s="1" t="n"/>
      <c r="L68" s="1" t="n"/>
      <c r="M68" s="1" t="n"/>
      <c r="N68" s="1" t="n"/>
    </row>
    <row r="69">
      <c r="A69" s="1" t="n"/>
      <c r="B69" s="53" t="inlineStr">
        <is>
          <t>Run-rate revenue, start of 2026 ($M, unaudited run-rate)</t>
        </is>
      </c>
      <c r="C69" s="54" t="n">
        <v>9000</v>
      </c>
      <c r="D69" s="85" t="inlineStr">
        <is>
          <t>CL-20260611-062</t>
        </is>
      </c>
      <c r="E69" s="85" t="inlineStr">
        <is>
          <t>Anthropic</t>
        </is>
      </c>
      <c r="F69" s="85" t="inlineStr">
        <is>
          <t>FY2025 exit / start of 2026</t>
        </is>
      </c>
      <c r="G69" s="85" t="inlineStr">
        <is>
          <t>Company statement (podcast)</t>
        </is>
      </c>
      <c r="H69" s="85" t="inlineStr">
        <is>
          <t>Krishna Rao (CFO, Anthropic): run-rate revenue 'about $9 billion' at the start of 2026 (same sentence as CL-20260611-061</t>
        </is>
      </c>
      <c r="I69" s="1" t="n"/>
      <c r="J69" s="1" t="n"/>
      <c r="K69" s="1" t="n"/>
      <c r="L69" s="1" t="n"/>
      <c r="M69" s="1" t="n"/>
      <c r="N69" s="1" t="n"/>
    </row>
    <row r="70">
      <c r="A70" s="1" t="n"/>
      <c r="B70" s="53" t="inlineStr">
        <is>
          <t>CFO time on compute (%, stated 30-40)</t>
        </is>
      </c>
      <c r="C70" s="106" t="n">
        <v>35</v>
      </c>
      <c r="D70" s="85" t="inlineStr">
        <is>
          <t>CL-20260611-063</t>
        </is>
      </c>
      <c r="E70" s="85" t="inlineStr">
        <is>
          <t>Anthropic</t>
        </is>
      </c>
      <c r="F70" s="85" t="inlineStr">
        <is>
          <t>as stated ~2026-05</t>
        </is>
      </c>
      <c r="G70" s="85" t="inlineStr">
        <is>
          <t>Company statement (podcast)</t>
        </is>
      </c>
      <c r="H70" s="85" t="inlineStr">
        <is>
          <t>Krishna Rao (CFO, Anthropic): 'I would say I spend 30 to 40% of my time on compute even today.' [midpoint 35 registered;</t>
        </is>
      </c>
      <c r="I70" s="1" t="n"/>
      <c r="J70" s="1" t="n"/>
      <c r="K70" s="1" t="n"/>
      <c r="L70" s="1" t="n"/>
      <c r="M70" s="1" t="n"/>
      <c r="N70" s="1" t="n"/>
    </row>
    <row r="71">
      <c r="A71" s="1" t="n"/>
      <c r="B71" s="53" t="inlineStr">
        <is>
          <t>Compute and revenue multiple, trailing 3 yrs (× per year)</t>
        </is>
      </c>
      <c r="C71" s="106" t="n">
        <v>3</v>
      </c>
      <c r="D71" s="85" t="inlineStr">
        <is>
          <t>CL-20260611-065</t>
        </is>
      </c>
      <c r="E71" s="85" t="inlineStr">
        <is>
          <t>OpenAI</t>
        </is>
      </c>
      <c r="F71" s="85" t="inlineStr">
        <is>
          <t>trailing 3 yrs as of Spring 2026</t>
        </is>
      </c>
      <c r="G71" s="85" t="inlineStr">
        <is>
          <t>Company statement (operator)</t>
        </is>
      </c>
      <c r="H71" s="85" t="inlineStr">
        <is>
          <t>Sachin Katti (OpenAI): 'Every year we have tripled compute year-over-year, and revenue has tripled.' [trailing three yea</t>
        </is>
      </c>
      <c r="I71" s="1" t="n"/>
      <c r="J71" s="1" t="n"/>
      <c r="K71" s="1" t="n"/>
      <c r="L71" s="1" t="n"/>
      <c r="M71" s="1" t="n"/>
      <c r="N71" s="1" t="n"/>
    </row>
    <row r="72">
      <c r="A72" s="1" t="n"/>
      <c r="B72" s="53" t="inlineStr">
        <is>
          <t>OpenAI aspirational capacity target (MW, aspiration)</t>
        </is>
      </c>
      <c r="C72" s="106" t="n">
        <v>30000</v>
      </c>
      <c r="D72" s="85" t="inlineStr">
        <is>
          <t>CL-20260611-066</t>
        </is>
      </c>
      <c r="E72" s="85" t="inlineStr">
        <is>
          <t>OpenAI</t>
        </is>
      </c>
      <c r="F72" s="85" t="inlineStr">
        <is>
          <t>Spring 2026</t>
        </is>
      </c>
      <c r="G72" s="85" t="inlineStr">
        <is>
          <t>Company statement (operator)</t>
        </is>
      </c>
      <c r="H72" s="85" t="inlineStr">
        <is>
          <t>Sachin Katti (OpenAI): 'The 30-gigawatt aspirational goal here is split across research and products.' [speaker's own la</t>
        </is>
      </c>
      <c r="I72" s="1" t="n"/>
      <c r="J72" s="1" t="n"/>
      <c r="K72" s="1" t="n"/>
      <c r="L72" s="1" t="n"/>
      <c r="M72" s="1" t="n"/>
      <c r="N72" s="1" t="n"/>
    </row>
    <row r="73">
      <c r="A73" s="1" t="n"/>
      <c r="B73" s="53" t="inlineStr">
        <is>
          <t>Inference share, projected supermajority (%)</t>
        </is>
      </c>
      <c r="C73" s="106" t="n">
        <v>80</v>
      </c>
      <c r="D73" s="85" t="inlineStr">
        <is>
          <t>CL-20260611-067</t>
        </is>
      </c>
      <c r="E73" s="85" t="inlineStr">
        <is>
          <t>OpenAI</t>
        </is>
      </c>
      <c r="F73" s="85" t="inlineStr">
        <is>
          <t>forward-looking, horizon unstated (Spring 2026)</t>
        </is>
      </c>
      <c r="G73" s="85" t="inlineStr">
        <is>
          <t>Company statement (operator)</t>
        </is>
      </c>
      <c r="H73" s="85" t="inlineStr">
        <is>
          <t>Sachin Katti (OpenAI): 'Our prediction is that a supermajority — 80% plus — will essentially be inference compute in the</t>
        </is>
      </c>
      <c r="I73" s="1" t="n"/>
      <c r="J73" s="1" t="n"/>
      <c r="K73" s="1" t="n"/>
      <c r="L73" s="1" t="n"/>
      <c r="M73" s="1" t="n"/>
      <c r="N73" s="1" t="n"/>
    </row>
    <row r="74">
      <c r="A74" s="1" t="n"/>
      <c r="B74" s="53" t="inlineStr">
        <is>
          <t>GPUs per gigawatt (count)</t>
        </is>
      </c>
      <c r="C74" s="106" t="n">
        <v>500000</v>
      </c>
      <c r="D74" s="85" t="inlineStr">
        <is>
          <t>CL-20260611-068</t>
        </is>
      </c>
      <c r="E74" s="85" t="inlineStr">
        <is>
          <t>OpenAI</t>
        </is>
      </c>
      <c r="F74" s="85" t="inlineStr">
        <is>
          <t>Spring 2026</t>
        </is>
      </c>
      <c r="G74" s="85" t="inlineStr">
        <is>
          <t>Company statement (operator)</t>
        </is>
      </c>
      <c r="H74" s="85" t="inlineStr">
        <is>
          <t>Sachin Katti (OpenAI): 'A gigawatt is roughly half a million GPUs.'</t>
        </is>
      </c>
      <c r="I74" s="1" t="n"/>
      <c r="J74" s="1" t="n"/>
      <c r="K74" s="1" t="n"/>
      <c r="L74" s="1" t="n"/>
      <c r="M74" s="1" t="n"/>
      <c r="N74" s="1" t="n"/>
    </row>
    <row r="75">
      <c r="A75" s="1" t="n"/>
      <c r="B75" s="53" t="inlineStr">
        <is>
          <t>All-in capex per GW ($M)</t>
        </is>
      </c>
      <c r="C75" s="54" t="n">
        <v>70000</v>
      </c>
      <c r="D75" s="85" t="inlineStr">
        <is>
          <t>CL-20260611-069</t>
        </is>
      </c>
      <c r="E75" s="85" t="inlineStr">
        <is>
          <t>OpenAI</t>
        </is>
      </c>
      <c r="F75" s="85" t="inlineStr">
        <is>
          <t>Spring 2026</t>
        </is>
      </c>
      <c r="G75" s="85" t="inlineStr">
        <is>
          <t>Company statement (operator)</t>
        </is>
      </c>
      <c r="H75" s="85" t="inlineStr">
        <is>
          <t>Sachin Katti (OpenAI), on Stargate: 'A gigawatt is $70 billion in spend.'</t>
        </is>
      </c>
      <c r="I75" s="1" t="n"/>
      <c r="J75" s="1" t="n"/>
      <c r="K75" s="1" t="n"/>
      <c r="L75" s="1" t="n"/>
      <c r="M75" s="1" t="n"/>
      <c r="N75" s="1" t="n"/>
    </row>
    <row r="76">
      <c r="A76" s="1" t="n"/>
      <c r="B76" s="53" t="inlineStr">
        <is>
          <t>US hyperscaler pipeline (MW, gross announced)</t>
        </is>
      </c>
      <c r="C76" s="106" t="n">
        <v>100000</v>
      </c>
      <c r="D76" s="85" t="inlineStr">
        <is>
          <t>CL-20260611-070</t>
        </is>
      </c>
      <c r="E76" s="85" t="inlineStr">
        <is>
          <t>US hyperscalers (per OpenAI)</t>
        </is>
      </c>
      <c r="F76" s="85" t="inlineStr">
        <is>
          <t>Spring 2026, horizon unstated</t>
        </is>
      </c>
      <c r="G76" s="85" t="inlineStr">
        <is>
          <t>Company statement (operator)</t>
        </is>
      </c>
      <c r="H76" s="85" t="inlineStr">
        <is>
          <t xml:space="preserve">Sachin Katti (OpenAI): 'The US hyperscalers are planning to build around 100 gigawatts of compute, which will consume a </t>
        </is>
      </c>
      <c r="I76" s="1" t="n"/>
      <c r="J76" s="1" t="n"/>
      <c r="K76" s="1" t="n"/>
      <c r="L76" s="1" t="n"/>
      <c r="M76" s="1" t="n"/>
      <c r="N76" s="1" t="n"/>
    </row>
    <row r="77">
      <c r="A77" s="1" t="n"/>
      <c r="B77" s="53" t="inlineStr">
        <is>
          <t>Frontier intelligence lead (months)</t>
        </is>
      </c>
      <c r="C77" s="106" t="n">
        <v>6</v>
      </c>
      <c r="D77" s="85" t="inlineStr">
        <is>
          <t>CL-20260611-071</t>
        </is>
      </c>
      <c r="E77" s="85" t="inlineStr">
        <is>
          <t>OpenAI</t>
        </is>
      </c>
      <c r="F77" s="85" t="inlineStr">
        <is>
          <t>Spring 2026</t>
        </is>
      </c>
      <c r="G77" s="85" t="inlineStr">
        <is>
          <t>Company statement (operator)</t>
        </is>
      </c>
      <c r="H77" s="85" t="inlineStr">
        <is>
          <t>Sachin Katti (OpenAI): 'A six-month lead in intelligence is an enormous commercial lead.'</t>
        </is>
      </c>
      <c r="I77" s="1" t="n"/>
      <c r="J77" s="1" t="n"/>
      <c r="K77" s="1" t="n"/>
      <c r="L77" s="1" t="n"/>
      <c r="M77" s="1" t="n"/>
      <c r="N77" s="1" t="n"/>
    </row>
    <row r="78">
      <c r="A78" s="1" t="n"/>
      <c r="B78" s="53" t="inlineStr">
        <is>
          <t>Human-led chip design cycle (years)</t>
        </is>
      </c>
      <c r="C78" s="106" t="n">
        <v>3</v>
      </c>
      <c r="D78" s="85" t="inlineStr">
        <is>
          <t>CL-20260611-072</t>
        </is>
      </c>
      <c r="E78" s="85" t="inlineStr">
        <is>
          <t>semiconductor industry (per OpenAI)</t>
        </is>
      </c>
      <c r="F78" s="85" t="inlineStr">
        <is>
          <t>Spring 2026</t>
        </is>
      </c>
      <c r="G78" s="85" t="inlineStr">
        <is>
          <t>Company statement (operator)</t>
        </is>
      </c>
      <c r="H78" s="85" t="inlineStr">
        <is>
          <t>Sachin Katti (OpenAI): 'A typical human-led chip design cycle takes 3 years.'</t>
        </is>
      </c>
      <c r="I78" s="1" t="n"/>
      <c r="J78" s="1" t="n"/>
      <c r="K78" s="1" t="n"/>
      <c r="L78" s="1" t="n"/>
      <c r="M78" s="1" t="n"/>
      <c r="N78" s="1" t="n"/>
    </row>
    <row r="79">
      <c r="A79" s="1" t="n"/>
      <c r="B79" s="53" t="inlineStr">
        <is>
          <t>All-in capex per MW, bottom-up ($M)</t>
        </is>
      </c>
      <c r="C79" s="54" t="n">
        <v>60</v>
      </c>
      <c r="D79" s="85" t="inlineStr">
        <is>
          <t>CL-20260611-074</t>
        </is>
      </c>
      <c r="E79" s="85" t="inlineStr">
        <is>
          <t>Crusoe</t>
        </is>
      </c>
      <c r="F79" s="85" t="inlineStr">
        <is>
          <t>Spring 2026, forward-looking next-gen build</t>
        </is>
      </c>
      <c r="G79" s="85" t="inlineStr">
        <is>
          <t>Company statement (operator)</t>
        </is>
      </c>
      <c r="H79" s="85" t="inlineStr">
        <is>
          <t>Chase Lochmiller (Crusoe): 'You spend about $20 million per MW for the data center and power plant, then another $40 mil</t>
        </is>
      </c>
      <c r="I79" s="1" t="n"/>
      <c r="J79" s="1" t="n"/>
      <c r="K79" s="1" t="n"/>
      <c r="L79" s="1" t="n"/>
      <c r="M79" s="1" t="n"/>
      <c r="N79" s="1" t="n"/>
    </row>
    <row r="80">
      <c r="A80" s="1" t="n"/>
      <c r="B80" s="53" t="inlineStr">
        <is>
          <t>GPU rental revenue per MW-year ($M)</t>
        </is>
      </c>
      <c r="C80" s="54" t="n">
        <v>15</v>
      </c>
      <c r="D80" s="85" t="inlineStr">
        <is>
          <t>CL-20260611-075</t>
        </is>
      </c>
      <c r="E80" s="85" t="inlineStr">
        <is>
          <t>Crusoe</t>
        </is>
      </c>
      <c r="F80" s="85" t="inlineStr">
        <is>
          <t>Spring 2026, forward-looking</t>
        </is>
      </c>
      <c r="G80" s="85" t="inlineStr">
        <is>
          <t>Company statement (operator)</t>
        </is>
      </c>
      <c r="H80" s="85" t="inlineStr">
        <is>
          <t>Chase Lochmiller (Crusoe): revenue from renting GPU capacity is roughly $15 million per MW per year.</t>
        </is>
      </c>
      <c r="I80" s="1" t="n"/>
      <c r="J80" s="1" t="n"/>
      <c r="K80" s="1" t="n"/>
      <c r="L80" s="1" t="n"/>
      <c r="M80" s="1" t="n"/>
      <c r="N80" s="1" t="n"/>
    </row>
    <row r="81">
      <c r="A81" s="1" t="n"/>
      <c r="B81" s="53" t="inlineStr">
        <is>
          <t>Abilene campus aggregate (MW, gross announced)</t>
        </is>
      </c>
      <c r="C81" s="106" t="n">
        <v>2100</v>
      </c>
      <c r="D81" s="85" t="inlineStr">
        <is>
          <t>CL-20260611-076</t>
        </is>
      </c>
      <c r="E81" s="85" t="inlineStr">
        <is>
          <t>Crusoe / Abilene campus / Oracle / OpenAI / Microsoft</t>
        </is>
      </c>
      <c r="F81" s="85" t="inlineStr">
        <is>
          <t>Spring 2026</t>
        </is>
      </c>
      <c r="G81" s="85" t="inlineStr">
        <is>
          <t>Company statement (operator)</t>
        </is>
      </c>
      <c r="H81" s="85" t="inlineStr">
        <is>
          <t>Chase Lochmiller (Crusoe): 'The campus is 2.1 GW in aggregate.' [Abilene; eight buildings Oracle/OpenAI (Stargate); plan</t>
        </is>
      </c>
      <c r="I81" s="1" t="n"/>
      <c r="J81" s="1" t="n"/>
      <c r="K81" s="1" t="n"/>
      <c r="L81" s="1" t="n"/>
      <c r="M81" s="1" t="n"/>
      <c r="N81" s="1" t="n"/>
    </row>
    <row r="82">
      <c r="A82" s="1" t="n"/>
      <c r="B82" s="53" t="inlineStr">
        <is>
          <t>West-TX negative-priced hours, congested nodes (%)</t>
        </is>
      </c>
      <c r="C82" s="109" t="n">
        <v>27.5</v>
      </c>
      <c r="D82" s="85" t="inlineStr">
        <is>
          <t>CL-20260611-077</t>
        </is>
      </c>
      <c r="E82" s="85" t="inlineStr">
        <is>
          <t>ERCOT West (per Crusoe)</t>
        </is>
      </c>
      <c r="F82" s="85" t="inlineStr">
        <is>
          <t>pre-buildout, as stated 2025-11</t>
        </is>
      </c>
      <c r="G82" s="85" t="inlineStr">
        <is>
          <t>Company statement (podcast)</t>
        </is>
      </c>
      <c r="H82" s="85" t="inlineStr">
        <is>
          <t>Chase Lochmiller (Crusoe), McKinsey 'At the Edge' (Nov 2025): 'People in some of the more congested nodes were getting n</t>
        </is>
      </c>
      <c r="I82" s="1" t="n"/>
      <c r="J82" s="1" t="n"/>
      <c r="K82" s="1" t="n"/>
      <c r="L82" s="1" t="n"/>
      <c r="M82" s="1" t="n"/>
      <c r="N82" s="1" t="n"/>
    </row>
    <row r="83">
      <c r="A83" s="1" t="n"/>
      <c r="B83" s="53" t="inlineStr">
        <is>
          <t>Reported TPU SPV debt financing ($M, secondhand)</t>
        </is>
      </c>
      <c r="C83" s="54" t="n">
        <v>36000</v>
      </c>
      <c r="D83" s="85" t="inlineStr">
        <is>
          <t>CL-20260611-078</t>
        </is>
      </c>
      <c r="E83" s="85" t="inlineStr">
        <is>
          <t>Anthropic / Apollo / Blackstone / Broadcom / Google</t>
        </is>
      </c>
      <c r="F83" s="85" t="inlineStr">
        <is>
          <t>reported 2026-05</t>
        </is>
      </c>
      <c r="G83" s="85" t="inlineStr">
        <is>
          <t>Secondhand (social)</t>
        </is>
      </c>
      <c r="H83" s="85" t="inlineStr">
        <is>
          <t>Anton Kuzmanov (LinkedIn, 2026-05-29): 'Anthropic's reported $36 billion TPU financing' — an SPV raises debt and equity,</t>
        </is>
      </c>
      <c r="I83" s="1" t="n"/>
      <c r="J83" s="1" t="n"/>
      <c r="K83" s="1" t="n"/>
      <c r="L83" s="1" t="n"/>
      <c r="M83" s="1" t="n"/>
      <c r="N83" s="1" t="n"/>
    </row>
    <row r="84">
      <c r="A84" s="1" t="n"/>
      <c r="B84" s="53" t="inlineStr">
        <is>
          <t>N-SMR PPA cohort duration (years)</t>
        </is>
      </c>
      <c r="C84" s="106" t="n">
        <v>30</v>
      </c>
      <c r="D84" s="85" t="inlineStr">
        <is>
          <t>CL-20260611-079</t>
        </is>
      </c>
      <c r="E84" s="85" t="inlineStr">
        <is>
          <t>N-SMR PPA cohort (per operator contact)</t>
        </is>
      </c>
      <c r="F84" s="85" t="inlineStr">
        <is>
          <t>2026-06</t>
        </is>
      </c>
      <c r="G84" s="85" t="inlineStr">
        <is>
          <t>Company statement (operator)</t>
        </is>
      </c>
      <c r="H84" s="85" t="inlineStr">
        <is>
          <t>dday N-SMR memo (energy-sector contact, operator side): 30 years 'is about where the cohort is now landing on these agre</t>
        </is>
      </c>
      <c r="I84" s="1" t="n"/>
      <c r="J84" s="1" t="n"/>
      <c r="K84" s="1" t="n"/>
      <c r="L84" s="1" t="n"/>
      <c r="M84" s="1" t="n"/>
      <c r="N84" s="1" t="n"/>
    </row>
    <row r="85">
      <c r="A85" s="1" t="n"/>
      <c r="B85" s="53" t="inlineStr">
        <is>
          <t>Fixed-price years before first step-up</t>
        </is>
      </c>
      <c r="C85" s="106" t="n">
        <v>6</v>
      </c>
      <c r="D85" s="85" t="inlineStr">
        <is>
          <t>CL-20260611-080</t>
        </is>
      </c>
      <c r="E85" s="85" t="inlineStr">
        <is>
          <t>N-SMR PPA cohort (per operator contact)</t>
        </is>
      </c>
      <c r="F85" s="85" t="inlineStr">
        <is>
          <t>2026-06</t>
        </is>
      </c>
      <c r="G85" s="85" t="inlineStr">
        <is>
          <t>Company statement (operator)</t>
        </is>
      </c>
      <c r="H85" s="85" t="inlineStr">
        <is>
          <t>dday N-SMR memo: 'a fixed price for six years with a predetermined step-up so long as certain initial or expected requir</t>
        </is>
      </c>
      <c r="I85" s="1" t="n"/>
      <c r="J85" s="1" t="n"/>
      <c r="K85" s="1" t="n"/>
      <c r="L85" s="1" t="n"/>
      <c r="M85" s="1" t="n"/>
      <c r="N85" s="1" t="n"/>
    </row>
    <row r="86">
      <c r="A86" s="1" t="n"/>
      <c r="B86" s="53" t="inlineStr">
        <is>
          <t>Planned outage maximum (days/yr; once, never spring/fall)</t>
        </is>
      </c>
      <c r="C86" s="106" t="n">
        <v>35</v>
      </c>
      <c r="D86" s="85" t="inlineStr">
        <is>
          <t>CL-20260611-081</t>
        </is>
      </c>
      <c r="E86" s="85" t="inlineStr">
        <is>
          <t>N-SMR PPA cohort (per operator contact)</t>
        </is>
      </c>
      <c r="F86" s="85" t="inlineStr">
        <is>
          <t>2026-06</t>
        </is>
      </c>
      <c r="G86" s="85" t="inlineStr">
        <is>
          <t>Company statement (operator)</t>
        </is>
      </c>
      <c r="H86" s="85" t="inlineStr">
        <is>
          <t>dday N-SMR memo: planned outages 'can have them once a year. They should be between 30 and 35 days, absolutely no more';</t>
        </is>
      </c>
      <c r="I86" s="1" t="n"/>
      <c r="J86" s="1" t="n"/>
      <c r="K86" s="1" t="n"/>
      <c r="L86" s="1" t="n"/>
      <c r="M86" s="1" t="n"/>
      <c r="N86" s="1" t="n"/>
    </row>
    <row r="87">
      <c r="A87" s="1" t="n"/>
      <c r="B87" s="1" t="n"/>
      <c r="C87" s="1" t="n"/>
      <c r="D87" s="1" t="n"/>
      <c r="E87" s="1" t="n"/>
      <c r="F87" s="1" t="n"/>
      <c r="G87" s="1" t="n"/>
      <c r="H87" s="1" t="n"/>
      <c r="I87" s="1" t="n"/>
      <c r="J87" s="1" t="n"/>
      <c r="K87" s="1" t="n"/>
      <c r="L87" s="1" t="n"/>
      <c r="M87" s="1" t="n"/>
      <c r="N87" s="1" t="n"/>
    </row>
    <row r="88" ht="17" customHeight="1">
      <c r="A88" s="1" t="n"/>
      <c r="B88" s="22" t="inlineStr">
        <is>
          <t>N-SMR term sheet - registered input values</t>
        </is>
      </c>
      <c r="C88" s="23" t="n"/>
      <c r="D88" s="23" t="n"/>
      <c r="E88" s="23" t="n"/>
      <c r="F88" s="23" t="n"/>
      <c r="G88" s="23" t="n"/>
      <c r="H88" s="23" t="n"/>
      <c r="I88" s="1" t="n"/>
      <c r="J88" s="1" t="n"/>
      <c r="K88" s="1" t="n"/>
      <c r="L88" s="1" t="n"/>
      <c r="M88" s="1" t="n"/>
      <c r="N88" s="1" t="n"/>
    </row>
    <row r="89">
      <c r="A89" s="1" t="n"/>
      <c r="B89" s="53" t="inlineStr">
        <is>
          <t>Net capacity per unit (MWe)</t>
        </is>
      </c>
      <c r="C89" s="106" t="n">
        <v>340</v>
      </c>
      <c r="D89" s="85" t="inlineStr">
        <is>
          <t>CL-20260611-082</t>
        </is>
      </c>
      <c r="E89" s="85" t="inlineStr">
        <is>
          <t>Redacted N-SMR PPA pages 1-7</t>
        </is>
      </c>
      <c r="F89" s="111" t="n"/>
      <c r="G89" s="85" t="inlineStr">
        <is>
          <t>Gated term sheet</t>
        </is>
      </c>
      <c r="H89" s="85" t="inlineStr">
        <is>
          <t>Planned Capacity: two units, each netting 340 MWe (680 MWe total). [single-engine visual transcription; spot-check pendi</t>
        </is>
      </c>
      <c r="I89" s="1" t="n"/>
      <c r="J89" s="1" t="n"/>
      <c r="K89" s="1" t="n"/>
      <c r="L89" s="1" t="n"/>
      <c r="M89" s="1" t="n"/>
      <c r="N89" s="1" t="n"/>
    </row>
    <row r="90">
      <c r="A90" s="1" t="n"/>
      <c r="B90" s="53" t="inlineStr">
        <is>
          <t>Units (U1 + U2)</t>
        </is>
      </c>
      <c r="C90" s="106" t="n">
        <v>2</v>
      </c>
      <c r="D90" s="85" t="inlineStr">
        <is>
          <t>CL-20260611-083</t>
        </is>
      </c>
      <c r="E90" s="85" t="inlineStr">
        <is>
          <t>Redacted N-SMR PPA pages 1-7</t>
        </is>
      </c>
      <c r="F90" s="111" t="n"/>
      <c r="G90" s="85" t="inlineStr">
        <is>
          <t>Gated term sheet</t>
        </is>
      </c>
      <c r="H90" s="85" t="inlineStr">
        <is>
          <t>Planned Capacity: two units (U1 + U2). [single-engine visual transcription; spot-check pending]</t>
        </is>
      </c>
      <c r="I90" s="1" t="n"/>
      <c r="J90" s="1" t="n"/>
      <c r="K90" s="1" t="n"/>
      <c r="L90" s="1" t="n"/>
      <c r="M90" s="1" t="n"/>
      <c r="N90" s="1" t="n"/>
    </row>
    <row r="91">
      <c r="A91" s="1" t="n"/>
      <c r="B91" s="53" t="inlineStr">
        <is>
          <t>Energy per unit per cycle (MWh)</t>
        </is>
      </c>
      <c r="C91" s="106" t="n">
        <v>4110192</v>
      </c>
      <c r="D91" s="85" t="inlineStr">
        <is>
          <t>CL-20260611-084</t>
        </is>
      </c>
      <c r="E91" s="85" t="inlineStr">
        <is>
          <t>Redacted N-SMR PPA pages 1-7</t>
        </is>
      </c>
      <c r="F91" s="111" t="n"/>
      <c r="G91" s="85" t="inlineStr">
        <is>
          <t>Gated term sheet</t>
        </is>
      </c>
      <c r="H91" s="85" t="inlineStr">
        <is>
          <t>Total energy planned for the cycle, set to 4,110,192 MWh per Unit, per cycle. [single-engine visual transcription; spot-</t>
        </is>
      </c>
      <c r="I91" s="1" t="n"/>
      <c r="J91" s="1" t="n"/>
      <c r="K91" s="1" t="n"/>
      <c r="L91" s="1" t="n"/>
      <c r="M91" s="1" t="n"/>
      <c r="N91" s="1" t="n"/>
    </row>
    <row r="92">
      <c r="A92" s="1" t="n"/>
      <c r="B92" s="53" t="inlineStr">
        <is>
          <t>Cycle length (years)</t>
        </is>
      </c>
      <c r="C92" s="109" t="n">
        <v>1.5</v>
      </c>
      <c r="D92" s="85" t="inlineStr">
        <is>
          <t>CL-20260611-085</t>
        </is>
      </c>
      <c r="E92" s="85" t="inlineStr">
        <is>
          <t>Redacted N-SMR PPA pages 1-7</t>
        </is>
      </c>
      <c r="F92" s="111" t="n"/>
      <c r="G92" s="85" t="inlineStr">
        <is>
          <t>Gated term sheet</t>
        </is>
      </c>
      <c r="H92" s="85" t="inlineStr">
        <is>
          <t>Escalation assessed on a nominal period associated with cycle length (initially, one and one half years). [single-engine</t>
        </is>
      </c>
      <c r="I92" s="1" t="n"/>
      <c r="J92" s="1" t="n"/>
      <c r="K92" s="1" t="n"/>
      <c r="L92" s="1" t="n"/>
      <c r="M92" s="1" t="n"/>
      <c r="N92" s="1" t="n"/>
    </row>
    <row r="93">
      <c r="A93" s="1" t="n"/>
      <c r="B93" s="53" t="inlineStr">
        <is>
          <t>Operating component escalation (fixed, from 2026)</t>
        </is>
      </c>
      <c r="C93" s="110" t="n">
        <v>0.025</v>
      </c>
      <c r="D93" s="85" t="inlineStr">
        <is>
          <t>CL-20260611-086</t>
        </is>
      </c>
      <c r="E93" s="85" t="inlineStr">
        <is>
          <t>Redacted N-SMR PPA pages 1-7</t>
        </is>
      </c>
      <c r="F93" s="111" t="n"/>
      <c r="G93" s="85" t="inlineStr">
        <is>
          <t>Gated term sheet</t>
        </is>
      </c>
      <c r="H93" s="85" t="inlineStr">
        <is>
          <t>Operating Cost Component subject to annual escalation at a fixed rate of 2.5% (beginning January 1, 2026). [single-engin</t>
        </is>
      </c>
      <c r="I93" s="1" t="n"/>
      <c r="J93" s="1" t="n"/>
      <c r="K93" s="1" t="n"/>
      <c r="L93" s="1" t="n"/>
      <c r="M93" s="1" t="n"/>
      <c r="N93" s="1" t="n"/>
    </row>
    <row r="94">
      <c r="A94" s="1" t="n"/>
      <c r="B94" s="53" t="inlineStr">
        <is>
          <t>Availability guarantee, year 1</t>
        </is>
      </c>
      <c r="C94" s="55" t="n">
        <v>0.75</v>
      </c>
      <c r="D94" s="85" t="inlineStr">
        <is>
          <t>CL-20260611-087</t>
        </is>
      </c>
      <c r="E94" s="85" t="inlineStr">
        <is>
          <t>Redacted N-SMR PPA pages 1-7</t>
        </is>
      </c>
      <c r="F94" s="111" t="n"/>
      <c r="G94" s="85" t="inlineStr">
        <is>
          <t>Gated term sheet</t>
        </is>
      </c>
      <c r="H94" s="85" t="inlineStr">
        <is>
          <t>Availability Guarantee: &gt;=75% in year 1. [single-engine visual transcription; spot-check pending]</t>
        </is>
      </c>
      <c r="I94" s="1" t="n"/>
      <c r="J94" s="1" t="n"/>
      <c r="K94" s="1" t="n"/>
      <c r="L94" s="1" t="n"/>
      <c r="M94" s="1" t="n"/>
      <c r="N94" s="1" t="n"/>
    </row>
    <row r="95">
      <c r="A95" s="1" t="n"/>
      <c r="B95" s="53" t="inlineStr">
        <is>
          <t>Availability guarantee, years 2+</t>
        </is>
      </c>
      <c r="C95" s="55" t="n">
        <v>0.9</v>
      </c>
      <c r="D95" s="85" t="inlineStr">
        <is>
          <t>CL-20260611-088</t>
        </is>
      </c>
      <c r="E95" s="85" t="inlineStr">
        <is>
          <t>Redacted N-SMR PPA pages 1-7</t>
        </is>
      </c>
      <c r="F95" s="111" t="n"/>
      <c r="G95" s="85" t="inlineStr">
        <is>
          <t>Gated term sheet</t>
        </is>
      </c>
      <c r="H95" s="85" t="inlineStr">
        <is>
          <t>Availability Guarantee: &gt;=90% in years 2+. [single-engine visual transcription; spot-check pending]</t>
        </is>
      </c>
      <c r="I95" s="1" t="n"/>
      <c r="J95" s="1" t="n"/>
      <c r="K95" s="1" t="n"/>
      <c r="L95" s="1" t="n"/>
      <c r="M95" s="1" t="n"/>
      <c r="N95" s="1" t="n"/>
    </row>
    <row r="96">
      <c r="A96" s="1" t="n"/>
      <c r="B96" s="53" t="inlineStr">
        <is>
          <t>Planned-capacity floor before Buydown LDs</t>
        </is>
      </c>
      <c r="C96" s="55" t="n">
        <v>0.95</v>
      </c>
      <c r="D96" s="85" t="inlineStr">
        <is>
          <t>CL-20260611-089</t>
        </is>
      </c>
      <c r="E96" s="85" t="inlineStr">
        <is>
          <t>Redacted N-SMR PPA pages 1-7</t>
        </is>
      </c>
      <c r="F96" s="111" t="n"/>
      <c r="G96" s="85" t="inlineStr">
        <is>
          <t>Gated term sheet</t>
        </is>
      </c>
      <c r="H96" s="85" t="inlineStr">
        <is>
          <t>Failure to meet Planned Capacity &gt;=95%: one-time ability to rebaseline Capacity by paying Buydown LDs. [single-engine vi</t>
        </is>
      </c>
      <c r="I96" s="1" t="n"/>
      <c r="J96" s="1" t="n"/>
      <c r="K96" s="1" t="n"/>
      <c r="L96" s="1" t="n"/>
      <c r="M96" s="1" t="n"/>
      <c r="N96" s="1" t="n"/>
    </row>
    <row r="97">
      <c r="A97" s="1" t="n"/>
      <c r="B97" s="53" t="inlineStr">
        <is>
          <t>Force-majeure days before no-fault termination</t>
        </is>
      </c>
      <c r="C97" s="106" t="n">
        <v>270</v>
      </c>
      <c r="D97" s="85" t="inlineStr">
        <is>
          <t>CL-20260611-090</t>
        </is>
      </c>
      <c r="E97" s="85" t="inlineStr">
        <is>
          <t>Redacted N-SMR PPA pages 1-7</t>
        </is>
      </c>
      <c r="F97" s="111" t="n"/>
      <c r="G97" s="85" t="inlineStr">
        <is>
          <t>Gated term sheet</t>
        </is>
      </c>
      <c r="H97" s="85" t="inlineStr">
        <is>
          <t>Force Majeure: an event &gt;270 days could result in early termination without liability. [single-engine visual transcripti</t>
        </is>
      </c>
      <c r="I97" s="1" t="n"/>
      <c r="J97" s="1" t="n"/>
      <c r="K97" s="1" t="n"/>
      <c r="L97" s="1" t="n"/>
      <c r="M97" s="1" t="n"/>
      <c r="N97" s="1" t="n"/>
    </row>
    <row r="98">
      <c r="A98" s="1" t="n"/>
      <c r="B98" s="53" t="inlineStr">
        <is>
          <t>Delay damages scale with data-center load (share)</t>
        </is>
      </c>
      <c r="C98" s="55" t="n">
        <v>0.8</v>
      </c>
      <c r="D98" s="85" t="inlineStr">
        <is>
          <t>CL-20260611-091</t>
        </is>
      </c>
      <c r="E98" s="85" t="inlineStr">
        <is>
          <t>Redacted N-SMR PPA pages 1-7</t>
        </is>
      </c>
      <c r="F98" s="111" t="n"/>
      <c r="G98" s="85" t="inlineStr">
        <is>
          <t>Gated term sheet</t>
        </is>
      </c>
      <c r="H98" s="85" t="inlineStr">
        <is>
          <t>Delay damages scale with the data center's actual load (the DD example uses 80% of 680 MWe). [single-engine visual trans</t>
        </is>
      </c>
      <c r="I98" s="1" t="n"/>
      <c r="J98" s="1" t="n"/>
      <c r="K98" s="1" t="n"/>
      <c r="L98" s="1" t="n"/>
      <c r="M98" s="1" t="n"/>
      <c r="N98" s="1" t="n"/>
    </row>
    <row r="99">
      <c r="A99" s="1" t="n"/>
      <c r="B99" s="53" t="inlineStr">
        <is>
          <t>U1 commercial operations (target year)</t>
        </is>
      </c>
      <c r="C99" s="106" t="n">
        <v>2032</v>
      </c>
      <c r="D99" s="85" t="inlineStr">
        <is>
          <t>CL-20260611-092</t>
        </is>
      </c>
      <c r="E99" s="85" t="inlineStr">
        <is>
          <t>Redacted N-SMR PPA pages 1-7</t>
        </is>
      </c>
      <c r="F99" s="111" t="n"/>
      <c r="G99" s="85" t="inlineStr">
        <is>
          <t>Gated term sheet</t>
        </is>
      </c>
      <c r="H99" s="85" t="inlineStr">
        <is>
          <t>Target COD U1: Jul 31, 203# (final digit redacted); voice memo pins first unit at 2032. [single-engine visual transcript</t>
        </is>
      </c>
      <c r="I99" s="1" t="n"/>
      <c r="J99" s="1" t="n"/>
      <c r="K99" s="1" t="n"/>
      <c r="L99" s="1" t="n"/>
      <c r="M99" s="1" t="n"/>
      <c r="N99" s="1" t="n"/>
    </row>
    <row r="100">
      <c r="A100" s="1" t="n"/>
      <c r="B100" s="53" t="inlineStr">
        <is>
          <t>U2 commercial operations (target year)</t>
        </is>
      </c>
      <c r="C100" s="106" t="n">
        <v>2033</v>
      </c>
      <c r="D100" s="85" t="inlineStr">
        <is>
          <t>CL-20260611-093</t>
        </is>
      </c>
      <c r="E100" s="85" t="inlineStr">
        <is>
          <t>Redacted N-SMR PPA pages 1-7</t>
        </is>
      </c>
      <c r="F100" s="111" t="n"/>
      <c r="G100" s="85" t="inlineStr">
        <is>
          <t>Gated term sheet</t>
        </is>
      </c>
      <c r="H100" s="85" t="inlineStr">
        <is>
          <t>Target COD U2: Dec 31, 203# (final digit redacted); voice memo pins second unit at 2033. [single-engine visual transcrip</t>
        </is>
      </c>
      <c r="I100" s="1" t="n"/>
      <c r="J100" s="1" t="n"/>
      <c r="K100" s="1" t="n"/>
      <c r="L100" s="1" t="n"/>
      <c r="M100" s="1" t="n"/>
      <c r="N100" s="1" t="n"/>
    </row>
    <row r="101">
      <c r="A101" s="1" t="n"/>
      <c r="B101" s="53" t="inlineStr">
        <is>
          <t>Assembly weight: U3O8 feed</t>
        </is>
      </c>
      <c r="C101" s="108" t="n">
        <v>0.46</v>
      </c>
      <c r="D101" s="85" t="inlineStr">
        <is>
          <t>CL-20260611-094</t>
        </is>
      </c>
      <c r="E101" s="85" t="inlineStr">
        <is>
          <t>Redacted N-SMR PPA pages 1-7</t>
        </is>
      </c>
      <c r="F101" s="111" t="n"/>
      <c r="G101" s="85" t="inlineStr">
        <is>
          <t>Gated term sheet</t>
        </is>
      </c>
      <c r="H101" s="85" t="inlineStr">
        <is>
          <t>Nuclear fuel assembly cost weight: 0.46 on U3O8 feed. [single-engine visual transcription; spot-check pending]</t>
        </is>
      </c>
      <c r="I101" s="1" t="n"/>
      <c r="J101" s="1" t="n"/>
      <c r="K101" s="1" t="n"/>
      <c r="L101" s="1" t="n"/>
      <c r="M101" s="1" t="n"/>
      <c r="N101" s="1" t="n"/>
    </row>
    <row r="102">
      <c r="A102" s="1" t="n"/>
      <c r="B102" s="53" t="inlineStr">
        <is>
          <t>Assembly weight: conversion</t>
        </is>
      </c>
      <c r="C102" s="108" t="n">
        <v>0.09</v>
      </c>
      <c r="D102" s="85" t="inlineStr">
        <is>
          <t>CL-20260611-095</t>
        </is>
      </c>
      <c r="E102" s="85" t="inlineStr">
        <is>
          <t>Redacted N-SMR PPA pages 1-7</t>
        </is>
      </c>
      <c r="F102" s="111" t="n"/>
      <c r="G102" s="85" t="inlineStr">
        <is>
          <t>Gated term sheet</t>
        </is>
      </c>
      <c r="H102" s="85" t="inlineStr">
        <is>
          <t>Nuclear fuel assembly cost weight: 0.09 on conversion to UF6. [single-engine visual transcription; spot-check pending]</t>
        </is>
      </c>
      <c r="I102" s="1" t="n"/>
      <c r="J102" s="1" t="n"/>
      <c r="K102" s="1" t="n"/>
      <c r="L102" s="1" t="n"/>
      <c r="M102" s="1" t="n"/>
      <c r="N102" s="1" t="n"/>
    </row>
    <row r="103">
      <c r="A103" s="1" t="n"/>
      <c r="B103" s="53" t="inlineStr">
        <is>
          <t>Assembly weight: enrichment (SWU)</t>
        </is>
      </c>
      <c r="C103" s="108" t="n">
        <v>0.25</v>
      </c>
      <c r="D103" s="85" t="inlineStr">
        <is>
          <t>CL-20260611-096</t>
        </is>
      </c>
      <c r="E103" s="85" t="inlineStr">
        <is>
          <t>Redacted N-SMR PPA pages 1-7</t>
        </is>
      </c>
      <c r="F103" s="111" t="n"/>
      <c r="G103" s="85" t="inlineStr">
        <is>
          <t>Gated term sheet</t>
        </is>
      </c>
      <c r="H103" s="85" t="inlineStr">
        <is>
          <t>Nuclear fuel assembly cost weight: 0.25 on Separative Work Units (enrichment). [single-engine visual transcription; spot</t>
        </is>
      </c>
      <c r="I103" s="1" t="n"/>
      <c r="J103" s="1" t="n"/>
      <c r="K103" s="1" t="n"/>
      <c r="L103" s="1" t="n"/>
      <c r="M103" s="1" t="n"/>
      <c r="N103" s="1" t="n"/>
    </row>
    <row r="104">
      <c r="A104" s="1" t="n"/>
      <c r="B104" s="53" t="inlineStr">
        <is>
          <t>Assembly weight: fabrication</t>
        </is>
      </c>
      <c r="C104" s="108" t="n">
        <v>0.2</v>
      </c>
      <c r="D104" s="85" t="inlineStr">
        <is>
          <t>CL-20260611-097</t>
        </is>
      </c>
      <c r="E104" s="85" t="inlineStr">
        <is>
          <t>Redacted N-SMR PPA pages 1-7</t>
        </is>
      </c>
      <c r="F104" s="111" t="n"/>
      <c r="G104" s="85" t="inlineStr">
        <is>
          <t>Gated term sheet</t>
        </is>
      </c>
      <c r="H104" s="85" t="inlineStr">
        <is>
          <t>Nuclear fuel assembly cost weight: 0.20 on fabrication. [single-engine visual transcription; spot-check pending]</t>
        </is>
      </c>
      <c r="I104" s="1" t="n"/>
      <c r="J104" s="1" t="n"/>
      <c r="K104" s="1" t="n"/>
      <c r="L104" s="1" t="n"/>
      <c r="M104" s="1" t="n"/>
      <c r="N104" s="1" t="n"/>
    </row>
    <row r="105">
      <c r="A105" s="1" t="n"/>
      <c r="B105" s="53" t="inlineStr">
        <is>
          <t>Fabrication sub-weight: ECI labor</t>
        </is>
      </c>
      <c r="C105" s="108" t="n">
        <v>0.4</v>
      </c>
      <c r="D105" s="85" t="inlineStr">
        <is>
          <t>CL-20260611-098</t>
        </is>
      </c>
      <c r="E105" s="85" t="inlineStr">
        <is>
          <t>Redacted N-SMR PPA pages 1-7</t>
        </is>
      </c>
      <c r="F105" s="111" t="n"/>
      <c r="G105" s="85" t="inlineStr">
        <is>
          <t>Gated term sheet</t>
        </is>
      </c>
      <c r="H105" s="85" t="inlineStr">
        <is>
          <t>Fabrication sub-index weight: 0.40 on ECI labor (Employment Cost Index, private industry, manufacturing). [single-engine</t>
        </is>
      </c>
      <c r="I105" s="1" t="n"/>
      <c r="J105" s="1" t="n"/>
      <c r="K105" s="1" t="n"/>
      <c r="L105" s="1" t="n"/>
      <c r="M105" s="1" t="n"/>
      <c r="N105" s="1" t="n"/>
    </row>
    <row r="106">
      <c r="A106" s="1" t="n"/>
      <c r="B106" s="53" t="inlineStr">
        <is>
          <t>Fabrication sub-weight: PPI industrial electric</t>
        </is>
      </c>
      <c r="C106" s="108" t="n">
        <v>0.3</v>
      </c>
      <c r="D106" s="85" t="inlineStr">
        <is>
          <t>CL-20260611-099</t>
        </is>
      </c>
      <c r="E106" s="85" t="inlineStr">
        <is>
          <t>Redacted N-SMR PPA pages 1-7</t>
        </is>
      </c>
      <c r="F106" s="111" t="n"/>
      <c r="G106" s="85" t="inlineStr">
        <is>
          <t>Gated term sheet</t>
        </is>
      </c>
      <c r="H106" s="85" t="inlineStr">
        <is>
          <t>Fabrication sub-index weight: 0.30 on PPI Industrial Electric Power (PCU22112222112243). [single-engine visual transcrip</t>
        </is>
      </c>
      <c r="I106" s="1" t="n"/>
      <c r="J106" s="1" t="n"/>
      <c r="K106" s="1" t="n"/>
      <c r="L106" s="1" t="n"/>
      <c r="M106" s="1" t="n"/>
      <c r="N106" s="1" t="n"/>
    </row>
    <row r="107">
      <c r="A107" s="1" t="n"/>
      <c r="B107" s="53" t="inlineStr">
        <is>
          <t>Fabrication sub-weight: PPI nonferrous shapes</t>
        </is>
      </c>
      <c r="C107" s="108" t="n">
        <v>0.2</v>
      </c>
      <c r="D107" s="85" t="inlineStr">
        <is>
          <t>CL-20260611-100</t>
        </is>
      </c>
      <c r="E107" s="85" t="inlineStr">
        <is>
          <t>Redacted N-SMR PPA pages 1-7</t>
        </is>
      </c>
      <c r="F107" s="111" t="n"/>
      <c r="G107" s="85" t="inlineStr">
        <is>
          <t>Gated term sheet</t>
        </is>
      </c>
      <c r="H107" s="85" t="inlineStr">
        <is>
          <t>Fabrication sub-index weight: 0.20 on PPI Nonferrous metal mill shapes (PCU331491331491D). [single-engine visual transcr</t>
        </is>
      </c>
      <c r="I107" s="1" t="n"/>
      <c r="J107" s="1" t="n"/>
      <c r="K107" s="1" t="n"/>
      <c r="L107" s="1" t="n"/>
      <c r="M107" s="1" t="n"/>
      <c r="N107" s="1" t="n"/>
    </row>
    <row r="108">
      <c r="A108" s="1" t="n"/>
      <c r="B108" s="53" t="inlineStr">
        <is>
          <t>Fabrication sub-weight: PPI fabricated metal</t>
        </is>
      </c>
      <c r="C108" s="108" t="n">
        <v>0.1</v>
      </c>
      <c r="D108" s="85" t="inlineStr">
        <is>
          <t>CL-20260611-101</t>
        </is>
      </c>
      <c r="E108" s="85" t="inlineStr">
        <is>
          <t>Redacted N-SMR PPA pages 1-7</t>
        </is>
      </c>
      <c r="F108" s="111" t="n"/>
      <c r="G108" s="85" t="inlineStr">
        <is>
          <t>Gated term sheet</t>
        </is>
      </c>
      <c r="H108" s="85" t="inlineStr">
        <is>
          <t>Fabrication sub-index weight: 0.10 on PPI Fabricated Metal Product Manufacturing (PCU332332). [single-engine visual tran</t>
        </is>
      </c>
      <c r="I108" s="1" t="n"/>
      <c r="J108" s="1" t="n"/>
      <c r="K108" s="1" t="n"/>
      <c r="L108" s="1" t="n"/>
      <c r="M108" s="1" t="n"/>
      <c r="N108" s="1" t="n"/>
    </row>
    <row r="109">
      <c r="A109" s="1" t="n"/>
      <c r="B109" s="1" t="n"/>
      <c r="C109" s="1" t="n"/>
      <c r="D109" s="1" t="n"/>
      <c r="E109" s="1" t="n"/>
      <c r="F109" s="1" t="n"/>
      <c r="G109" s="1" t="n"/>
      <c r="H109" s="1" t="n"/>
      <c r="I109" s="1" t="n"/>
      <c r="J109" s="1" t="n"/>
      <c r="K109" s="1" t="n"/>
      <c r="L109" s="1" t="n"/>
      <c r="M109" s="1" t="n"/>
      <c r="N109" s="1" t="n"/>
    </row>
    <row r="110" ht="17" customHeight="1">
      <c r="A110" s="1" t="n"/>
      <c r="B110" s="22" t="inlineStr">
        <is>
          <t>Market data and measured series</t>
        </is>
      </c>
      <c r="C110" s="23" t="n"/>
      <c r="D110" s="23" t="n"/>
      <c r="E110" s="23" t="n"/>
      <c r="F110" s="23" t="n"/>
      <c r="G110" s="23" t="n"/>
      <c r="H110" s="23" t="n"/>
      <c r="I110" s="1" t="n"/>
      <c r="J110" s="1" t="n"/>
      <c r="K110" s="1" t="n"/>
      <c r="L110" s="1" t="n"/>
      <c r="M110" s="1" t="n"/>
      <c r="N110" s="1" t="n"/>
    </row>
    <row r="111">
      <c r="A111" s="1" t="n"/>
      <c r="B111" s="53" t="inlineStr">
        <is>
          <t>U3O8 spot, May-2026 ($/lb)</t>
        </is>
      </c>
      <c r="C111" s="107" t="n">
        <v>84.18000000000001</v>
      </c>
      <c r="D111" s="111" t="n"/>
      <c r="E111" s="85" t="inlineStr">
        <is>
          <t>market data, May-2026; 10-K Item 1</t>
        </is>
      </c>
      <c r="F111" s="111" t="n"/>
      <c r="G111" s="111" t="n"/>
      <c r="H111" s="111" t="n"/>
      <c r="I111" s="1" t="n"/>
      <c r="J111" s="1" t="n"/>
      <c r="K111" s="1" t="n"/>
      <c r="L111" s="1" t="n"/>
      <c r="M111" s="1" t="n"/>
      <c r="N111" s="1" t="n"/>
    </row>
    <row r="112">
      <c r="A112" s="1" t="n"/>
      <c r="B112" s="53" t="inlineStr">
        <is>
          <t>U3O8 long-term, May-2026 ($/lb)</t>
        </is>
      </c>
      <c r="C112" s="107" t="n">
        <v>94</v>
      </c>
      <c r="D112" s="111" t="n"/>
      <c r="E112" s="85" t="inlineStr">
        <is>
          <t>market data, May-2026; 10-K Item 1</t>
        </is>
      </c>
      <c r="F112" s="111" t="n"/>
      <c r="G112" s="111" t="n"/>
      <c r="H112" s="111" t="n"/>
      <c r="I112" s="1" t="n"/>
      <c r="J112" s="1" t="n"/>
      <c r="K112" s="1" t="n"/>
      <c r="L112" s="1" t="n"/>
      <c r="M112" s="1" t="n"/>
      <c r="N112" s="1" t="n"/>
    </row>
    <row r="113">
      <c r="A113" s="1" t="n"/>
      <c r="B113" s="53" t="inlineStr">
        <is>
          <t>BLS ECI, latest (index)</t>
        </is>
      </c>
      <c r="C113" s="108" t="n">
        <v>168.588</v>
      </c>
      <c r="D113" s="111" t="n"/>
      <c r="E113" s="85" t="inlineStr">
        <is>
          <t>market data, May-2026; 10-K Item 1</t>
        </is>
      </c>
      <c r="F113" s="111" t="n"/>
      <c r="G113" s="111" t="n"/>
      <c r="H113" s="111" t="n"/>
      <c r="I113" s="1" t="n"/>
      <c r="J113" s="1" t="n"/>
      <c r="K113" s="1" t="n"/>
      <c r="L113" s="1" t="n"/>
      <c r="M113" s="1" t="n"/>
      <c r="N113" s="1" t="n"/>
    </row>
    <row r="114">
      <c r="A114" s="1" t="n"/>
      <c r="B114" s="53" t="inlineStr">
        <is>
          <t>BLS PPI industrial electric power, May-2026</t>
        </is>
      </c>
      <c r="C114" s="108" t="n">
        <v>254.061</v>
      </c>
      <c r="D114" s="111" t="n"/>
      <c r="E114" s="85" t="inlineStr">
        <is>
          <t>market data, May-2026; 10-K Item 1</t>
        </is>
      </c>
      <c r="F114" s="111" t="n"/>
      <c r="G114" s="111" t="n"/>
      <c r="H114" s="111" t="n"/>
      <c r="I114" s="1" t="n"/>
      <c r="J114" s="1" t="n"/>
      <c r="K114" s="1" t="n"/>
      <c r="L114" s="1" t="n"/>
      <c r="M114" s="1" t="n"/>
      <c r="N114" s="1" t="n"/>
    </row>
    <row r="115">
      <c r="A115" s="1" t="n"/>
      <c r="B115" s="53" t="inlineStr">
        <is>
          <t>BLS PPI nonferrous mill shapes, May-2026</t>
        </is>
      </c>
      <c r="C115" s="108" t="n">
        <v>418.182</v>
      </c>
      <c r="D115" s="111" t="n"/>
      <c r="E115" s="85" t="inlineStr">
        <is>
          <t>market data, May-2026; 10-K Item 1</t>
        </is>
      </c>
      <c r="F115" s="111" t="n"/>
      <c r="G115" s="111" t="n"/>
      <c r="H115" s="111" t="n"/>
      <c r="I115" s="1" t="n"/>
      <c r="J115" s="1" t="n"/>
      <c r="K115" s="1" t="n"/>
      <c r="L115" s="1" t="n"/>
      <c r="M115" s="1" t="n"/>
      <c r="N115" s="1" t="n"/>
    </row>
    <row r="116">
      <c r="A116" s="1" t="n"/>
      <c r="B116" s="53" t="inlineStr">
        <is>
          <t>BLS PPI fabricated metal, May-2026</t>
        </is>
      </c>
      <c r="C116" s="108" t="n">
        <v>315.534</v>
      </c>
      <c r="D116" s="111" t="n"/>
      <c r="E116" s="85" t="inlineStr">
        <is>
          <t>market data, May-2026; 10-K Item 1</t>
        </is>
      </c>
      <c r="F116" s="111" t="n"/>
      <c r="G116" s="111" t="n"/>
      <c r="H116" s="111" t="n"/>
      <c r="I116" s="1" t="n"/>
      <c r="J116" s="1" t="n"/>
      <c r="K116" s="1" t="n"/>
      <c r="L116" s="1" t="n"/>
      <c r="M116" s="1" t="n"/>
      <c r="N116" s="1" t="n"/>
    </row>
    <row r="117">
      <c r="A117" s="1" t="n"/>
      <c r="B117" s="53" t="inlineStr">
        <is>
          <t>CoreWeave active power, YE2023 (MW; 10-K Item 1)</t>
        </is>
      </c>
      <c r="C117" s="106" t="n">
        <v>70</v>
      </c>
      <c r="D117" s="111" t="n"/>
      <c r="E117" s="85" t="inlineStr">
        <is>
          <t>market data, May-2026; 10-K Item 1</t>
        </is>
      </c>
      <c r="F117" s="111" t="n"/>
      <c r="G117" s="111" t="n"/>
      <c r="H117" s="111" t="n"/>
      <c r="I117" s="1" t="n"/>
      <c r="J117" s="1" t="n"/>
      <c r="K117" s="1" t="n"/>
      <c r="L117" s="1" t="n"/>
      <c r="M117" s="1" t="n"/>
      <c r="N117" s="1" t="n"/>
    </row>
    <row r="118">
      <c r="A118" s="1" t="n"/>
      <c r="B118" s="53" t="inlineStr">
        <is>
          <t>CoreWeave active power, YE2024 (MW; 10-K Item 1)</t>
        </is>
      </c>
      <c r="C118" s="106" t="n">
        <v>360</v>
      </c>
      <c r="D118" s="111" t="n"/>
      <c r="E118" s="85" t="inlineStr">
        <is>
          <t>market data, May-2026; 10-K Item 1</t>
        </is>
      </c>
      <c r="F118" s="111" t="n"/>
      <c r="G118" s="111" t="n"/>
      <c r="H118" s="111" t="n"/>
      <c r="I118" s="1" t="n"/>
      <c r="J118" s="1" t="n"/>
      <c r="K118" s="1" t="n"/>
      <c r="L118" s="1" t="n"/>
      <c r="M118" s="1" t="n"/>
      <c r="N118" s="1" t="n"/>
    </row>
    <row r="119">
      <c r="A119" s="1" t="n"/>
      <c r="B119" s="53" t="inlineStr">
        <is>
          <t>PJM BRA YoY escalation, median of 20 steps (×)</t>
        </is>
      </c>
      <c r="C119" s="112" t="n">
        <v>1.046211385298015</v>
      </c>
      <c r="D119" s="111" t="n"/>
      <c r="E119" s="85" t="inlineStr">
        <is>
          <t>measured series, frozen Jun-2026</t>
        </is>
      </c>
      <c r="F119" s="111" t="n"/>
      <c r="G119" s="111" t="n"/>
      <c r="H119" s="111" t="n"/>
      <c r="I119" s="1" t="n"/>
      <c r="J119" s="1" t="n"/>
      <c r="K119" s="1" t="n"/>
      <c r="L119" s="1" t="n"/>
      <c r="M119" s="1" t="n"/>
      <c r="N119" s="1" t="n"/>
    </row>
    <row r="120">
      <c r="A120" s="1" t="n"/>
      <c r="B120" s="53" t="inlineStr">
        <is>
          <t>PJM BRA YoY escalation, P90 of 20 steps (×)</t>
        </is>
      </c>
      <c r="C120" s="112" t="n">
        <v>2.923169003627418</v>
      </c>
      <c r="D120" s="111" t="n"/>
      <c r="E120" s="85" t="inlineStr">
        <is>
          <t>measured series, frozen Jun-2026</t>
        </is>
      </c>
      <c r="F120" s="111" t="n"/>
      <c r="G120" s="111" t="n"/>
      <c r="H120" s="111" t="n"/>
      <c r="I120" s="1" t="n"/>
      <c r="J120" s="1" t="n"/>
      <c r="K120" s="1" t="n"/>
      <c r="L120" s="1" t="n"/>
      <c r="M120" s="1" t="n"/>
      <c r="N120" s="1" t="n"/>
    </row>
    <row r="121">
      <c r="A121" s="1" t="n"/>
      <c r="B121" s="53" t="inlineStr">
        <is>
          <t>ERCOT West cheapest-quintile mean, 2025 ($/MWh)</t>
        </is>
      </c>
      <c r="C121" s="107" t="n">
        <v>1.832741152968037</v>
      </c>
      <c r="D121" s="111" t="n"/>
      <c r="E121" s="85" t="inlineStr">
        <is>
          <t>measured series, frozen Jun-2026</t>
        </is>
      </c>
      <c r="F121" s="111" t="n"/>
      <c r="G121" s="111" t="n"/>
      <c r="H121" s="111" t="n"/>
      <c r="I121" s="1" t="n"/>
      <c r="J121" s="1" t="n"/>
      <c r="K121" s="1" t="n"/>
      <c r="L121" s="1" t="n"/>
      <c r="M121" s="1" t="n"/>
      <c r="N121" s="1" t="n"/>
    </row>
    <row r="122">
      <c r="A122" s="1" t="n"/>
      <c r="B122" s="53" t="inlineStr">
        <is>
          <t>N-SMR cost basis, central (ATB Moderate SMR, 7.5% WACC, $/MWh)</t>
        </is>
      </c>
      <c r="C122" s="107" t="n">
        <v>115.7455436933346</v>
      </c>
      <c r="D122" s="111" t="n"/>
      <c r="E122" s="85" t="inlineStr">
        <is>
          <t>measured series, frozen Jun-2026</t>
        </is>
      </c>
      <c r="F122" s="111" t="n"/>
      <c r="G122" s="111" t="n"/>
      <c r="H122" s="111" t="n"/>
      <c r="I122" s="1" t="n"/>
      <c r="J122" s="1" t="n"/>
      <c r="K122" s="1" t="n"/>
      <c r="L122" s="1" t="n"/>
      <c r="M122" s="1" t="n"/>
      <c r="N122" s="1" t="n"/>
    </row>
    <row r="123">
      <c r="A123" s="1" t="n"/>
      <c r="B123" s="53" t="inlineStr">
        <is>
          <t>N-SMR cost basis, low (ATB Advanced, 6% WACC, $/MWh)</t>
        </is>
      </c>
      <c r="C123" s="107" t="n">
        <v>65.51904641969011</v>
      </c>
      <c r="D123" s="111" t="n"/>
      <c r="E123" s="85" t="inlineStr">
        <is>
          <t>measured series, frozen Jun-2026</t>
        </is>
      </c>
      <c r="F123" s="111" t="n"/>
      <c r="G123" s="111" t="n"/>
      <c r="H123" s="111" t="n"/>
      <c r="I123" s="1" t="n"/>
      <c r="J123" s="1" t="n"/>
      <c r="K123" s="1" t="n"/>
      <c r="L123" s="1" t="n"/>
      <c r="M123" s="1" t="n"/>
      <c r="N123" s="1" t="n"/>
    </row>
    <row r="124">
      <c r="A124" s="1" t="n"/>
      <c r="B124" s="53" t="inlineStr">
        <is>
          <t>N-SMR cost basis, high (Vogtle-implied, 9% WACC, $/MWh)</t>
        </is>
      </c>
      <c r="C124" s="107" t="n">
        <v>195.3399602954452</v>
      </c>
      <c r="D124" s="111" t="n"/>
      <c r="E124" s="85" t="inlineStr">
        <is>
          <t>measured series, frozen Jun-2026</t>
        </is>
      </c>
      <c r="F124" s="111" t="n"/>
      <c r="G124" s="111" t="n"/>
      <c r="H124" s="111" t="n"/>
      <c r="I124" s="1" t="n"/>
      <c r="J124" s="1" t="n"/>
      <c r="K124" s="1" t="n"/>
      <c r="L124" s="1" t="n"/>
      <c r="M124" s="1" t="n"/>
      <c r="N124" s="1" t="n"/>
    </row>
    <row r="125">
      <c r="A125" s="1" t="n"/>
      <c r="B125" s="53" t="inlineStr">
        <is>
          <t>Priced score: country/geopolitical (BAA10Y, 10y pctile)</t>
        </is>
      </c>
      <c r="C125" s="106" t="n">
        <v>1</v>
      </c>
      <c r="D125" s="111" t="n"/>
      <c r="E125" s="85" t="inlineStr">
        <is>
          <t>measured series, frozen Jun-2026</t>
        </is>
      </c>
      <c r="F125" s="111" t="n"/>
      <c r="G125" s="111" t="n"/>
      <c r="H125" s="111" t="n"/>
      <c r="I125" s="1" t="n"/>
      <c r="J125" s="1" t="n"/>
      <c r="K125" s="1" t="n"/>
      <c r="L125" s="1" t="n"/>
      <c r="M125" s="1" t="n"/>
      <c r="N125" s="1" t="n"/>
    </row>
    <row r="126">
      <c r="A126" s="1" t="n"/>
      <c r="B126" s="53" t="inlineStr">
        <is>
          <t>Priced score: FOAK execution (HY OAS, 10y pctile)</t>
        </is>
      </c>
      <c r="C126" s="106" t="n">
        <v>1</v>
      </c>
      <c r="D126" s="111" t="n"/>
      <c r="E126" s="85" t="inlineStr">
        <is>
          <t>measured series, frozen Jun-2026</t>
        </is>
      </c>
      <c r="F126" s="111" t="n"/>
      <c r="G126" s="111" t="n"/>
      <c r="H126" s="111" t="n"/>
      <c r="I126" s="1" t="n"/>
      <c r="J126" s="1" t="n"/>
      <c r="K126" s="1" t="n"/>
      <c r="L126" s="1" t="n"/>
      <c r="M126" s="1" t="n"/>
      <c r="N126" s="1" t="n"/>
    </row>
    <row r="127">
      <c r="A127" s="1" t="n"/>
      <c r="B127" s="53" t="inlineStr">
        <is>
          <t>Priced score: civil labor (ECI mfg YoY, 10y pctile)</t>
        </is>
      </c>
      <c r="C127" s="106" t="n">
        <v>4</v>
      </c>
      <c r="D127" s="111" t="n"/>
      <c r="E127" s="85" t="inlineStr">
        <is>
          <t>measured series, frozen Jun-2026</t>
        </is>
      </c>
      <c r="F127" s="111" t="n"/>
      <c r="G127" s="111" t="n"/>
      <c r="H127" s="111" t="n"/>
      <c r="I127" s="1" t="n"/>
      <c r="J127" s="1" t="n"/>
      <c r="K127" s="1" t="n"/>
      <c r="L127" s="1" t="n"/>
      <c r="M127" s="1" t="n"/>
      <c r="N127" s="1" t="n"/>
    </row>
    <row r="128">
      <c r="A128" s="1" t="n"/>
      <c r="B128" s="20" t="inlineStr">
        <is>
          <t>U3O8 feed anchor: mean of Aug-2025 spot and long-term</t>
        </is>
      </c>
      <c r="C128" s="45">
        <f>(sFeedSpot+sFeedLT)/2</f>
        <v/>
      </c>
      <c r="D128" s="1" t="n"/>
      <c r="E128" s="1" t="n"/>
      <c r="F128" s="1" t="n"/>
      <c r="G128" s="1" t="n"/>
      <c r="H128" s="1" t="n"/>
      <c r="I128" s="1" t="n"/>
      <c r="J128" s="1" t="n"/>
      <c r="K128" s="1" t="n"/>
      <c r="L128" s="1" t="n"/>
      <c r="M128" s="1" t="n"/>
      <c r="N128" s="1" t="n"/>
    </row>
    <row r="129">
      <c r="A129" s="1" t="n"/>
      <c r="B129" s="20" t="inlineStr">
        <is>
          <t>U3O8 feed, current: mean of May-2026 spot and long-term</t>
        </is>
      </c>
      <c r="C129" s="45">
        <f>(sFeedSpotCur+sFeedLTCur)/2</f>
        <v/>
      </c>
      <c r="D129" s="1" t="n"/>
      <c r="E129" s="1" t="n"/>
      <c r="F129" s="1" t="n"/>
      <c r="G129" s="1" t="n"/>
      <c r="H129" s="1" t="n"/>
      <c r="I129" s="1" t="n"/>
      <c r="J129" s="1" t="n"/>
      <c r="K129" s="1" t="n"/>
      <c r="L129" s="1" t="n"/>
      <c r="M129" s="1" t="n"/>
      <c r="N129" s="1" t="n"/>
    </row>
    <row r="130">
      <c r="A130" s="1" t="n"/>
      <c r="B130" s="20" t="inlineStr">
        <is>
          <t>Talen ramp increment per filed schedule (MW/yr)</t>
        </is>
      </c>
      <c r="C130" s="113">
        <f>sTalenCap/8</f>
        <v/>
      </c>
      <c r="D130" s="1" t="n"/>
      <c r="E130" s="1" t="n"/>
      <c r="F130" s="1" t="n"/>
      <c r="G130" s="1" t="n"/>
      <c r="H130" s="1" t="n"/>
      <c r="I130" s="1" t="n"/>
      <c r="J130" s="1" t="n"/>
      <c r="K130" s="1" t="n"/>
      <c r="L130" s="1" t="n"/>
      <c r="M130" s="1" t="n"/>
      <c r="N130" s="1" t="n"/>
    </row>
    <row r="131">
      <c r="A131" s="1" t="n"/>
      <c r="B131" s="20" t="inlineStr">
        <is>
          <t>Implied N-SMR capacity factor (MWh/cycle vs nameplate)</t>
        </is>
      </c>
      <c r="C131" s="114">
        <f>sNsmrMwhCycle/(sNsmrUnitMw*8760*sNsmrCycleYrs)</f>
        <v/>
      </c>
      <c r="D131" s="1" t="n"/>
      <c r="E131" s="1" t="n"/>
      <c r="F131" s="1" t="n"/>
      <c r="G131" s="1" t="n"/>
      <c r="H131" s="1" t="n"/>
      <c r="I131" s="1" t="n"/>
      <c r="J131" s="1" t="n"/>
      <c r="K131" s="1" t="n"/>
      <c r="L131" s="1" t="n"/>
      <c r="M131" s="1" t="n"/>
      <c r="N131" s="1" t="n"/>
    </row>
    <row r="132">
      <c r="A132" s="1" t="n"/>
      <c r="B132" s="1" t="n"/>
      <c r="C132" s="1" t="n"/>
      <c r="D132" s="1" t="n"/>
      <c r="E132" s="1" t="n"/>
      <c r="F132" s="1" t="n"/>
      <c r="G132" s="1" t="n"/>
      <c r="H132" s="1" t="n"/>
      <c r="I132" s="1" t="n"/>
      <c r="J132" s="1" t="n"/>
      <c r="K132" s="1" t="n"/>
      <c r="L132" s="1" t="n"/>
      <c r="M132" s="1" t="n"/>
      <c r="N132" s="1" t="n"/>
    </row>
    <row r="133">
      <c r="A133" s="1" t="n"/>
      <c r="B133" s="1" t="n"/>
      <c r="C133" s="1" t="n"/>
      <c r="D133" s="1" t="n"/>
      <c r="E133" s="1" t="n"/>
      <c r="F133" s="1" t="n"/>
      <c r="G133" s="1" t="n"/>
      <c r="H133" s="1" t="n"/>
      <c r="I133" s="1" t="n"/>
      <c r="J133" s="1" t="n"/>
      <c r="K133" s="1" t="n"/>
      <c r="L133" s="1" t="n"/>
      <c r="M133" s="1" t="n"/>
      <c r="N133" s="1" t="n"/>
    </row>
    <row r="134">
      <c r="A134" s="1" t="n"/>
      <c r="B134" s="1" t="n"/>
      <c r="C134" s="1" t="n"/>
      <c r="D134" s="1" t="n"/>
      <c r="E134" s="1" t="n"/>
      <c r="F134" s="1" t="n"/>
      <c r="G134" s="1" t="n"/>
      <c r="H134" s="1" t="n"/>
      <c r="I134" s="1" t="n"/>
      <c r="J134" s="1" t="n"/>
      <c r="K134" s="1" t="n"/>
      <c r="L134" s="1" t="n"/>
      <c r="M134" s="1" t="n"/>
      <c r="N134" s="1" t="n"/>
    </row>
    <row r="135">
      <c r="A135" s="1" t="n"/>
      <c r="B135" s="1" t="n"/>
      <c r="C135" s="1" t="n"/>
      <c r="D135" s="1" t="n"/>
      <c r="E135" s="1" t="n"/>
      <c r="F135" s="1" t="n"/>
      <c r="G135" s="1" t="n"/>
      <c r="H135" s="1" t="n"/>
      <c r="I135" s="1" t="n"/>
      <c r="J135" s="1" t="n"/>
      <c r="K135" s="1" t="n"/>
      <c r="L135" s="1" t="n"/>
      <c r="M135" s="1" t="n"/>
      <c r="N135" s="1" t="n"/>
    </row>
    <row r="136">
      <c r="A136" s="1" t="n"/>
      <c r="B136" s="1" t="n"/>
      <c r="C136" s="1" t="n"/>
      <c r="D136" s="1" t="n"/>
      <c r="E136" s="1" t="n"/>
      <c r="F136" s="1" t="n"/>
      <c r="G136" s="1" t="n"/>
      <c r="H136" s="1" t="n"/>
      <c r="I136" s="1" t="n"/>
      <c r="J136" s="1" t="n"/>
      <c r="K136" s="1" t="n"/>
      <c r="L136" s="1" t="n"/>
      <c r="M136" s="1" t="n"/>
      <c r="N136" s="1" t="n"/>
    </row>
    <row r="137">
      <c r="A137" s="1" t="n"/>
      <c r="B137" s="1" t="n"/>
      <c r="C137" s="1" t="n"/>
      <c r="D137" s="1" t="n"/>
      <c r="E137" s="1" t="n"/>
      <c r="F137" s="1" t="n"/>
      <c r="G137" s="1" t="n"/>
      <c r="H137" s="1" t="n"/>
      <c r="I137" s="1" t="n"/>
      <c r="J137" s="1" t="n"/>
      <c r="K137" s="1" t="n"/>
      <c r="L137" s="1" t="n"/>
      <c r="M137" s="1" t="n"/>
      <c r="N137" s="1" t="n"/>
    </row>
    <row r="138">
      <c r="A138" s="1" t="n"/>
      <c r="B138" s="1" t="n"/>
      <c r="C138" s="1" t="n"/>
      <c r="D138" s="1" t="n"/>
      <c r="E138" s="1" t="n"/>
      <c r="F138" s="1" t="n"/>
      <c r="G138" s="1" t="n"/>
      <c r="H138" s="1" t="n"/>
      <c r="I138" s="1" t="n"/>
      <c r="J138" s="1" t="n"/>
      <c r="K138" s="1" t="n"/>
      <c r="L138" s="1" t="n"/>
      <c r="M138" s="1" t="n"/>
      <c r="N138" s="1" t="n"/>
    </row>
    <row r="139">
      <c r="A139" s="1" t="n"/>
      <c r="B139" s="1" t="n"/>
      <c r="C139" s="1" t="n"/>
      <c r="D139" s="1" t="n"/>
      <c r="E139" s="1" t="n"/>
      <c r="F139" s="1" t="n"/>
      <c r="G139" s="1" t="n"/>
      <c r="H139" s="1" t="n"/>
      <c r="I139" s="1" t="n"/>
      <c r="J139" s="1" t="n"/>
      <c r="K139" s="1" t="n"/>
      <c r="L139" s="1" t="n"/>
      <c r="M139" s="1" t="n"/>
      <c r="N139" s="1" t="n"/>
    </row>
    <row r="140">
      <c r="A140" s="1" t="n"/>
      <c r="B140" s="1" t="n"/>
      <c r="C140" s="1" t="n"/>
      <c r="D140" s="1" t="n"/>
      <c r="E140" s="1" t="n"/>
      <c r="F140" s="1" t="n"/>
      <c r="G140" s="1" t="n"/>
      <c r="H140" s="1" t="n"/>
      <c r="I140" s="1" t="n"/>
      <c r="J140" s="1" t="n"/>
      <c r="K140" s="1" t="n"/>
      <c r="L140" s="1" t="n"/>
      <c r="M140" s="1" t="n"/>
      <c r="N140" s="1" t="n"/>
    </row>
    <row r="141">
      <c r="A141" s="1" t="n"/>
      <c r="B141" s="1" t="n"/>
      <c r="C141" s="1" t="n"/>
      <c r="D141" s="1" t="n"/>
      <c r="E141" s="1" t="n"/>
      <c r="F141" s="1" t="n"/>
      <c r="G141" s="1" t="n"/>
      <c r="H141" s="1" t="n"/>
      <c r="I141" s="1" t="n"/>
      <c r="J141" s="1" t="n"/>
      <c r="K141" s="1" t="n"/>
      <c r="L141" s="1" t="n"/>
      <c r="M141" s="1" t="n"/>
      <c r="N141" s="1" t="n"/>
    </row>
    <row r="142">
      <c r="A142" s="1" t="n"/>
      <c r="B142" s="1" t="n"/>
      <c r="C142" s="1" t="n"/>
      <c r="D142" s="1" t="n"/>
      <c r="E142" s="1" t="n"/>
      <c r="F142" s="1" t="n"/>
      <c r="G142" s="1" t="n"/>
      <c r="H142" s="1" t="n"/>
      <c r="I142" s="1" t="n"/>
      <c r="J142" s="1" t="n"/>
      <c r="K142" s="1" t="n"/>
      <c r="L142" s="1" t="n"/>
      <c r="M142" s="1" t="n"/>
      <c r="N142" s="1" t="n"/>
    </row>
    <row r="143">
      <c r="A143" s="1" t="n"/>
      <c r="B143" s="1" t="n"/>
      <c r="C143" s="1" t="n"/>
      <c r="D143" s="1" t="n"/>
      <c r="E143" s="1" t="n"/>
      <c r="F143" s="1" t="n"/>
      <c r="G143" s="1" t="n"/>
      <c r="H143" s="1" t="n"/>
      <c r="I143" s="1" t="n"/>
      <c r="J143" s="1" t="n"/>
      <c r="K143" s="1" t="n"/>
      <c r="L143" s="1" t="n"/>
      <c r="M143" s="1" t="n"/>
      <c r="N143" s="1" t="n"/>
    </row>
  </sheetData>
  <pageMargins left="0.4" right="0.4" top="0.5" bottom="0.5" header="0.3" footer="0.3"/>
  <pageSetup orientation="landscape" fitToHeight="0" fitToWidth="1"/>
</worksheet>
</file>

<file path=xl/worksheets/sheet9.xml><?xml version="1.0" encoding="utf-8"?>
<worksheet xmlns="http://schemas.openxmlformats.org/spreadsheetml/2006/main">
  <sheetPr>
    <tabColor rgb="0076766F"/>
    <outlinePr summaryBelow="1" summaryRight="1"/>
    <pageSetUpPr fitToPage="1"/>
  </sheetPr>
  <dimension ref="A1:AB99"/>
  <sheetViews>
    <sheetView showGridLines="0" workbookViewId="0">
      <selection activeCell="A1" sqref="A1"/>
    </sheetView>
  </sheetViews>
  <sheetFormatPr baseColWidth="8" defaultRowHeight="15"/>
  <cols>
    <col width="2.5" customWidth="1" min="1" max="1"/>
    <col width="36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54" customWidth="1" min="22" max="22"/>
  </cols>
  <sheetData>
    <row r="1" ht="9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</row>
    <row r="2" ht="22" customHeight="1">
      <c r="A2" s="1" t="n"/>
      <c r="B2" s="17" t="inlineStr">
        <is>
          <t>N-SMR PPA</t>
        </is>
      </c>
      <c r="C2" s="18" t="n"/>
      <c r="D2" s="18" t="n"/>
      <c r="E2" s="18" t="n"/>
      <c r="F2" s="18" t="n"/>
      <c r="G2" s="18" t="n"/>
      <c r="H2" s="18" t="n"/>
      <c r="I2" s="18" t="n"/>
      <c r="J2" s="18" t="n"/>
      <c r="K2" s="18" t="n"/>
      <c r="L2" s="18" t="n"/>
      <c r="M2" s="18" t="n"/>
      <c r="N2" s="18" t="n"/>
      <c r="O2" s="18" t="n"/>
      <c r="P2" s="18" t="n"/>
      <c r="Q2" s="18" t="n"/>
      <c r="R2" s="18" t="n"/>
      <c r="S2" s="18" t="n"/>
      <c r="T2" s="18" t="n"/>
      <c r="U2" s="1" t="n"/>
      <c r="V2" s="1" t="n"/>
      <c r="W2" s="1" t="n"/>
      <c r="X2" s="1" t="n"/>
      <c r="Y2" s="1" t="n"/>
      <c r="Z2" s="1" t="n"/>
      <c r="AA2" s="1" t="n"/>
      <c r="AB2" s="1" t="n"/>
    </row>
    <row r="3">
      <c r="A3" s="1" t="n"/>
      <c r="B3" s="19" t="inlineStr">
        <is>
          <t>Two 340 MWe units price baseload capacity through COD gates, step-ups, credits, and buyer-side take risk.</t>
        </is>
      </c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  <c r="M3" s="1" t="n"/>
      <c r="N3" s="1" t="n"/>
      <c r="O3" s="1" t="n"/>
      <c r="P3" s="1" t="n"/>
      <c r="Q3" s="1" t="n"/>
      <c r="R3" s="1" t="n"/>
      <c r="S3" s="1" t="n"/>
      <c r="T3" s="1" t="n"/>
      <c r="U3" s="1" t="n"/>
      <c r="V3" s="1" t="n"/>
      <c r="W3" s="1" t="n"/>
      <c r="X3" s="1" t="n"/>
      <c r="Y3" s="1" t="n"/>
      <c r="Z3" s="1" t="n"/>
      <c r="AA3" s="1" t="n"/>
      <c r="AB3" s="1" t="n"/>
    </row>
    <row r="4" ht="6" customHeight="1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  <c r="K4" s="1" t="n"/>
      <c r="L4" s="1" t="n"/>
      <c r="M4" s="1" t="n"/>
      <c r="N4" s="1" t="n"/>
      <c r="O4" s="1" t="n"/>
      <c r="P4" s="1" t="n"/>
      <c r="Q4" s="1" t="n"/>
      <c r="R4" s="1" t="n"/>
      <c r="S4" s="1" t="n"/>
      <c r="T4" s="1" t="n"/>
      <c r="U4" s="1" t="n"/>
      <c r="V4" s="1" t="n"/>
      <c r="W4" s="1" t="n"/>
      <c r="X4" s="1" t="n"/>
      <c r="Y4" s="1" t="n"/>
      <c r="Z4" s="1" t="n"/>
      <c r="AA4" s="1" t="n"/>
      <c r="AB4" s="1" t="n"/>
    </row>
    <row r="5">
      <c r="A5" s="1" t="n"/>
      <c r="B5" s="1" t="n"/>
      <c r="C5" s="38" t="n">
        <v>2023</v>
      </c>
      <c r="D5" s="38" t="n">
        <v>2024</v>
      </c>
      <c r="E5" s="38" t="n">
        <v>2025</v>
      </c>
      <c r="F5" s="38" t="n">
        <v>2026</v>
      </c>
      <c r="G5" s="38" t="n">
        <v>2027</v>
      </c>
      <c r="H5" s="38" t="n">
        <v>2028</v>
      </c>
      <c r="I5" s="38" t="n">
        <v>2029</v>
      </c>
      <c r="J5" s="38" t="n">
        <v>2030</v>
      </c>
      <c r="K5" s="38" t="n">
        <v>2031</v>
      </c>
      <c r="L5" s="38" t="n">
        <v>2032</v>
      </c>
      <c r="M5" s="38" t="n">
        <v>2033</v>
      </c>
      <c r="N5" s="38" t="n">
        <v>2034</v>
      </c>
      <c r="O5" s="38" t="n">
        <v>2035</v>
      </c>
      <c r="P5" s="38" t="n">
        <v>2036</v>
      </c>
      <c r="Q5" s="38" t="n">
        <v>2037</v>
      </c>
      <c r="R5" s="38" t="n">
        <v>2038</v>
      </c>
      <c r="S5" s="38" t="n">
        <v>2039</v>
      </c>
      <c r="T5" s="38" t="n">
        <v>2040</v>
      </c>
      <c r="U5" s="1" t="n"/>
      <c r="V5" s="1" t="n"/>
      <c r="W5" s="1" t="n"/>
      <c r="X5" s="1" t="n"/>
      <c r="Y5" s="1" t="n"/>
      <c r="Z5" s="1" t="n"/>
      <c r="AA5" s="1" t="n"/>
      <c r="AB5" s="1" t="n"/>
    </row>
    <row r="6" ht="17" customHeight="1">
      <c r="A6" s="1" t="n"/>
      <c r="B6" s="22" t="inlineStr">
        <is>
          <t>Price components, 2025$</t>
        </is>
      </c>
      <c r="C6" s="23" t="n"/>
      <c r="D6" s="23" t="n"/>
      <c r="E6" s="23" t="n"/>
      <c r="F6" s="23" t="n"/>
      <c r="G6" s="23" t="n"/>
      <c r="H6" s="23" t="n"/>
      <c r="I6" s="23" t="n"/>
      <c r="J6" s="23" t="n"/>
      <c r="K6" s="23" t="n"/>
      <c r="L6" s="23" t="n"/>
      <c r="M6" s="23" t="n"/>
      <c r="N6" s="23" t="n"/>
      <c r="O6" s="23" t="n"/>
      <c r="P6" s="23" t="n"/>
      <c r="Q6" s="23" t="n"/>
      <c r="R6" s="23" t="n"/>
      <c r="S6" s="23" t="n"/>
      <c r="T6" s="23" t="n"/>
      <c r="U6" s="1" t="n"/>
      <c r="V6" s="1" t="n"/>
      <c r="W6" s="1" t="n"/>
      <c r="X6" s="1" t="n"/>
      <c r="Y6" s="1" t="n"/>
      <c r="Z6" s="1" t="n"/>
      <c r="AA6" s="1" t="n"/>
      <c r="AB6" s="1" t="n"/>
    </row>
    <row r="7">
      <c r="A7" s="1" t="n"/>
      <c r="B7" s="29" t="inlineStr">
        <is>
          <t>Capital component ($/MWh)</t>
        </is>
      </c>
      <c r="C7" s="1" t="n"/>
      <c r="D7" s="97" t="n">
        <v>62</v>
      </c>
      <c r="E7" s="1" t="n"/>
      <c r="F7" s="1" t="n"/>
      <c r="G7" s="1" t="n"/>
      <c r="H7" s="1" t="n"/>
      <c r="I7" s="1" t="n"/>
      <c r="J7" s="1" t="n"/>
      <c r="K7" s="1" t="n"/>
      <c r="L7" s="1" t="n"/>
      <c r="M7" s="1" t="n"/>
      <c r="N7" s="1" t="n"/>
      <c r="O7" s="1" t="n"/>
      <c r="P7" s="1" t="n"/>
      <c r="Q7" s="1" t="n"/>
      <c r="R7" s="1" t="n"/>
      <c r="S7" s="1" t="n"/>
      <c r="T7" s="1" t="n"/>
      <c r="U7" s="1" t="n"/>
      <c r="V7" s="43" t="inlineStr">
        <is>
          <t>The capital component is fixed for the contract term.</t>
        </is>
      </c>
      <c r="W7" s="1" t="n"/>
      <c r="X7" s="1" t="n"/>
      <c r="Y7" s="1" t="n"/>
      <c r="Z7" s="1" t="n"/>
      <c r="AA7" s="1" t="n"/>
      <c r="AB7" s="1" t="n"/>
    </row>
    <row r="8">
      <c r="A8" s="1" t="n"/>
      <c r="B8" s="29" t="inlineStr">
        <is>
          <t>Operating component ($/MWh)</t>
        </is>
      </c>
      <c r="C8" s="1" t="n"/>
      <c r="D8" s="97" t="n">
        <v>24</v>
      </c>
      <c r="E8" s="1" t="n"/>
      <c r="F8" s="1" t="n"/>
      <c r="G8" s="1" t="n"/>
      <c r="H8" s="1" t="n"/>
      <c r="I8" s="1" t="n"/>
      <c r="J8" s="1" t="n"/>
      <c r="K8" s="1" t="n"/>
      <c r="L8" s="1" t="n"/>
      <c r="M8" s="1" t="n"/>
      <c r="N8" s="1" t="n"/>
      <c r="O8" s="1" t="n"/>
      <c r="P8" s="1" t="n"/>
      <c r="Q8" s="1" t="n"/>
      <c r="R8" s="1" t="n"/>
      <c r="S8" s="1" t="n"/>
      <c r="T8" s="1" t="n"/>
      <c r="U8" s="1" t="n"/>
      <c r="V8" s="43" t="inlineStr">
        <is>
          <t>The operating component escalates at the contract 2.5% from 2026.</t>
        </is>
      </c>
      <c r="W8" s="1" t="n"/>
      <c r="X8" s="1" t="n"/>
      <c r="Y8" s="1" t="n"/>
      <c r="Z8" s="1" t="n"/>
      <c r="AA8" s="1" t="n"/>
      <c r="AB8" s="1" t="n"/>
    </row>
    <row r="9">
      <c r="A9" s="1" t="n"/>
      <c r="B9" s="29" t="inlineStr">
        <is>
          <t>Nuclear fuel component ($/MWh)</t>
        </is>
      </c>
      <c r="C9" s="1" t="n"/>
      <c r="D9" s="97" t="n">
        <v>11</v>
      </c>
      <c r="E9" s="1" t="n"/>
      <c r="F9" s="1" t="n"/>
      <c r="G9" s="1" t="n"/>
      <c r="H9" s="1" t="n"/>
      <c r="I9" s="1" t="n"/>
      <c r="J9" s="1" t="n"/>
      <c r="K9" s="1" t="n"/>
      <c r="L9" s="1" t="n"/>
      <c r="M9" s="1" t="n"/>
      <c r="N9" s="1" t="n"/>
      <c r="O9" s="1" t="n"/>
      <c r="P9" s="1" t="n"/>
      <c r="Q9" s="1" t="n"/>
      <c r="R9" s="1" t="n"/>
      <c r="S9" s="1" t="n"/>
      <c r="T9" s="1" t="n"/>
      <c r="U9" s="1" t="n"/>
      <c r="V9" s="43" t="inlineStr">
        <is>
          <t>The fuel component rides the fuel escalation formula.</t>
        </is>
      </c>
      <c r="W9" s="1" t="n"/>
      <c r="X9" s="1" t="n"/>
      <c r="Y9" s="1" t="n"/>
      <c r="Z9" s="1" t="n"/>
      <c r="AA9" s="1" t="n"/>
      <c r="AB9" s="1" t="n"/>
    </row>
    <row r="10">
      <c r="A10" s="1" t="n"/>
      <c r="B10" s="29" t="inlineStr">
        <is>
          <t>ITC adder reduction ($/MWh)</t>
        </is>
      </c>
      <c r="C10" s="1" t="n"/>
      <c r="D10" s="97" t="n">
        <v>8</v>
      </c>
      <c r="E10" s="1" t="n"/>
      <c r="F10" s="1" t="n"/>
      <c r="G10" s="1" t="n"/>
      <c r="H10" s="1" t="n"/>
      <c r="I10" s="1" t="n"/>
      <c r="J10" s="1" t="n"/>
      <c r="K10" s="1" t="n"/>
      <c r="L10" s="1" t="n"/>
      <c r="M10" s="1" t="n"/>
      <c r="N10" s="1" t="n"/>
      <c r="O10" s="1" t="n"/>
      <c r="P10" s="1" t="n"/>
      <c r="Q10" s="1" t="n"/>
      <c r="R10" s="1" t="n"/>
      <c r="S10" s="1" t="n"/>
      <c r="T10" s="1" t="n"/>
      <c r="U10" s="1" t="n"/>
      <c r="V10" s="43" t="inlineStr">
        <is>
          <t>The federal tax credit is netted out of the delivered price.</t>
        </is>
      </c>
      <c r="W10" s="1" t="n"/>
      <c r="X10" s="1" t="n"/>
      <c r="Y10" s="1" t="n"/>
      <c r="Z10" s="1" t="n"/>
      <c r="AA10" s="1" t="n"/>
      <c r="AB10" s="1" t="n"/>
    </row>
    <row r="11">
      <c r="A11" s="1" t="n"/>
      <c r="B11" s="29" t="inlineStr">
        <is>
          <t>Option 2 reimbursable fuel cap ($/MWh)</t>
        </is>
      </c>
      <c r="C11" s="1" t="n"/>
      <c r="D11" s="97" t="n">
        <v>14</v>
      </c>
      <c r="E11" s="1" t="n"/>
      <c r="F11" s="1" t="n"/>
      <c r="G11" s="1" t="n"/>
      <c r="H11" s="1" t="n"/>
      <c r="I11" s="1" t="n"/>
      <c r="J11" s="1" t="n"/>
      <c r="K11" s="1" t="n"/>
      <c r="L11" s="1" t="n"/>
      <c r="M11" s="1" t="n"/>
      <c r="N11" s="1" t="n"/>
      <c r="O11" s="1" t="n"/>
      <c r="P11" s="1" t="n"/>
      <c r="Q11" s="1" t="n"/>
      <c r="R11" s="1" t="n"/>
      <c r="S11" s="1" t="n"/>
      <c r="T11" s="1" t="n"/>
      <c r="U11" s="1" t="n"/>
      <c r="V11" s="43" t="inlineStr">
        <is>
          <t>Option 2 caps the reimbursable pass-through fuel leg.</t>
        </is>
      </c>
      <c r="W11" s="1" t="n"/>
      <c r="X11" s="1" t="n"/>
      <c r="Y11" s="1" t="n"/>
      <c r="Z11" s="1" t="n"/>
      <c r="AA11" s="1" t="n"/>
      <c r="AB11" s="1" t="n"/>
    </row>
    <row r="12">
      <c r="A12" s="1" t="n"/>
      <c r="B12" s="29" t="inlineStr">
        <is>
          <t>Years at fixed price before first step-up</t>
        </is>
      </c>
      <c r="C12" s="1" t="n"/>
      <c r="D12" s="104" t="n">
        <v>6</v>
      </c>
      <c r="E12" s="1" t="n"/>
      <c r="F12" s="1" t="n"/>
      <c r="G12" s="1" t="n"/>
      <c r="H12" s="1" t="n"/>
      <c r="I12" s="1" t="n"/>
      <c r="J12" s="1" t="n"/>
      <c r="K12" s="1" t="n"/>
      <c r="L12" s="1" t="n"/>
      <c r="M12" s="1" t="n"/>
      <c r="N12" s="1" t="n"/>
      <c r="O12" s="1" t="n"/>
      <c r="P12" s="1" t="n"/>
      <c r="Q12" s="1" t="n"/>
      <c r="R12" s="1" t="n"/>
      <c r="S12" s="1" t="n"/>
      <c r="T12" s="1" t="n"/>
      <c r="U12" s="1" t="n"/>
      <c r="V12" s="43" t="inlineStr">
        <is>
          <t>The assumption matches the stated six years in CL-20260611-080.</t>
        </is>
      </c>
      <c r="W12" s="1" t="n"/>
      <c r="X12" s="1" t="n"/>
      <c r="Y12" s="1" t="n"/>
      <c r="Z12" s="1" t="n"/>
      <c r="AA12" s="1" t="n"/>
      <c r="AB12" s="1" t="n"/>
    </row>
    <row r="13">
      <c r="A13" s="1" t="n"/>
      <c r="B13" s="29" t="inlineStr">
        <is>
          <t>Years between scheduled step-ups</t>
        </is>
      </c>
      <c r="C13" s="1" t="n"/>
      <c r="D13" s="104" t="n">
        <v>3</v>
      </c>
      <c r="E13" s="1" t="n"/>
      <c r="F13" s="1" t="n"/>
      <c r="G13" s="1" t="n"/>
      <c r="H13" s="1" t="n"/>
      <c r="I13" s="1" t="n"/>
      <c r="J13" s="1" t="n"/>
      <c r="K13" s="1" t="n"/>
      <c r="L13" s="1" t="n"/>
      <c r="M13" s="1" t="n"/>
      <c r="N13" s="1" t="n"/>
      <c r="O13" s="1" t="n"/>
      <c r="P13" s="1" t="n"/>
      <c r="Q13" s="1" t="n"/>
      <c r="R13" s="1" t="n"/>
      <c r="S13" s="1" t="n"/>
      <c r="T13" s="1" t="n"/>
      <c r="U13" s="1" t="n"/>
      <c r="V13" s="43" t="inlineStr"/>
      <c r="W13" s="1" t="n"/>
      <c r="X13" s="1" t="n"/>
      <c r="Y13" s="1" t="n"/>
      <c r="Z13" s="1" t="n"/>
      <c r="AA13" s="1" t="n"/>
      <c r="AB13" s="1" t="n"/>
    </row>
    <row r="14">
      <c r="A14" s="1" t="n"/>
      <c r="B14" s="29" t="inlineStr">
        <is>
          <t>Step-up magnitude per step</t>
        </is>
      </c>
      <c r="C14" s="1" t="n"/>
      <c r="D14" s="101" t="n">
        <v>0.08</v>
      </c>
      <c r="E14" s="1" t="n"/>
      <c r="F14" s="1" t="n"/>
      <c r="G14" s="1" t="n"/>
      <c r="H14" s="1" t="n"/>
      <c r="I14" s="1" t="n"/>
      <c r="J14" s="1" t="n"/>
      <c r="K14" s="1" t="n"/>
      <c r="L14" s="1" t="n"/>
      <c r="M14" s="1" t="n"/>
      <c r="N14" s="1" t="n"/>
      <c r="O14" s="1" t="n"/>
      <c r="P14" s="1" t="n"/>
      <c r="Q14" s="1" t="n"/>
      <c r="R14" s="1" t="n"/>
      <c r="S14" s="1" t="n"/>
      <c r="T14" s="1" t="n"/>
      <c r="U14" s="1" t="n"/>
      <c r="V14" s="43" t="inlineStr">
        <is>
          <t>Each scheduled step-up requires the performance gates below to clear.</t>
        </is>
      </c>
      <c r="W14" s="1" t="n"/>
      <c r="X14" s="1" t="n"/>
      <c r="Y14" s="1" t="n"/>
      <c r="Z14" s="1" t="n"/>
      <c r="AA14" s="1" t="n"/>
      <c r="AB14" s="1" t="n"/>
    </row>
    <row r="15">
      <c r="A15" s="1" t="n"/>
      <c r="B15" s="29" t="inlineStr">
        <is>
          <t>Exclusivity premium ($/MWh)</t>
        </is>
      </c>
      <c r="C15" s="1" t="n"/>
      <c r="D15" s="97" t="n">
        <v>12</v>
      </c>
      <c r="E15" s="1" t="n"/>
      <c r="F15" s="1" t="n"/>
      <c r="G15" s="1" t="n"/>
      <c r="H15" s="1" t="n"/>
      <c r="I15" s="1" t="n"/>
      <c r="J15" s="1" t="n"/>
      <c r="K15" s="1" t="n"/>
      <c r="L15" s="1" t="n"/>
      <c r="M15" s="1" t="n"/>
      <c r="N15" s="1" t="n"/>
      <c r="O15" s="1" t="n"/>
      <c r="P15" s="1" t="n"/>
      <c r="Q15" s="1" t="n"/>
      <c r="R15" s="1" t="n"/>
      <c r="S15" s="1" t="n"/>
      <c r="T15" s="1" t="n"/>
      <c r="U15" s="1" t="n"/>
      <c r="V15" s="43" t="inlineStr">
        <is>
          <t>The early-benefactor premium: part of the price buys a seat among the first holders of this capacity, not energy.</t>
        </is>
      </c>
      <c r="W15" s="1" t="n"/>
      <c r="X15" s="1" t="n"/>
      <c r="Y15" s="1" t="n"/>
      <c r="Z15" s="1" t="n"/>
      <c r="AA15" s="1" t="n"/>
      <c r="AB15" s="1" t="n"/>
    </row>
    <row r="16">
      <c r="A16" s="1" t="n"/>
      <c r="B16" s="29" t="inlineStr">
        <is>
          <t>Premium relief from flexibility offered</t>
        </is>
      </c>
      <c r="C16" s="1" t="n"/>
      <c r="D16" s="98" t="n">
        <v>0.3</v>
      </c>
      <c r="E16" s="1" t="n"/>
      <c r="F16" s="1" t="n"/>
      <c r="G16" s="1" t="n"/>
      <c r="H16" s="1" t="n"/>
      <c r="I16" s="1" t="n"/>
      <c r="J16" s="1" t="n"/>
      <c r="K16" s="1" t="n"/>
      <c r="L16" s="1" t="n"/>
      <c r="M16" s="1" t="n"/>
      <c r="N16" s="1" t="n"/>
      <c r="O16" s="1" t="n"/>
      <c r="P16" s="1" t="n"/>
      <c r="Q16" s="1" t="n"/>
      <c r="R16" s="1" t="n"/>
      <c r="S16" s="1" t="n"/>
      <c r="T16" s="1" t="n"/>
      <c r="U16" s="1" t="n"/>
      <c r="V16" s="43" t="inlineStr">
        <is>
          <t>Output flexibility is bid currency: widening the take band buys down the exclusivity premium.</t>
        </is>
      </c>
      <c r="W16" s="1" t="n"/>
      <c r="X16" s="1" t="n"/>
      <c r="Y16" s="1" t="n"/>
      <c r="Z16" s="1" t="n"/>
      <c r="AA16" s="1" t="n"/>
      <c r="AB16" s="1" t="n"/>
    </row>
    <row r="17">
      <c r="A17" s="1" t="n"/>
      <c r="B17" s="29" t="inlineStr">
        <is>
          <t>Production and capacity credits ($/MWh)</t>
        </is>
      </c>
      <c r="C17" s="1" t="n"/>
      <c r="D17" s="97" t="n">
        <v>5</v>
      </c>
      <c r="E17" s="1" t="n"/>
      <c r="F17" s="1" t="n"/>
      <c r="G17" s="1" t="n"/>
      <c r="H17" s="1" t="n"/>
      <c r="I17" s="1" t="n"/>
      <c r="J17" s="1" t="n"/>
      <c r="K17" s="1" t="n"/>
      <c r="L17" s="1" t="n"/>
      <c r="M17" s="1" t="n"/>
      <c r="N17" s="1" t="n"/>
      <c r="O17" s="1" t="n"/>
      <c r="P17" s="1" t="n"/>
      <c r="Q17" s="1" t="n"/>
      <c r="R17" s="1" t="n"/>
      <c r="S17" s="1" t="n"/>
      <c r="T17" s="1" t="n"/>
      <c r="U17" s="1" t="n"/>
      <c r="V17" s="43" t="inlineStr">
        <is>
          <t>Government production and capacity credits reduce the delivered price.</t>
        </is>
      </c>
      <c r="W17" s="1" t="n"/>
      <c r="X17" s="1" t="n"/>
      <c r="Y17" s="1" t="n"/>
      <c r="Z17" s="1" t="n"/>
      <c r="AA17" s="1" t="n"/>
      <c r="AB17" s="1" t="n"/>
    </row>
    <row r="18">
      <c r="A18" s="1" t="n"/>
      <c r="B18" s="29" t="inlineStr">
        <is>
          <t>Performance gates cleared at each step</t>
        </is>
      </c>
      <c r="C18" s="1" t="n"/>
      <c r="D18" s="115" t="inlineStr">
        <is>
          <t>Yes</t>
        </is>
      </c>
      <c r="E18" s="1" t="n"/>
      <c r="F18" s="1" t="n"/>
      <c r="G18" s="1" t="n"/>
      <c r="H18" s="1" t="n"/>
      <c r="I18" s="1" t="n"/>
      <c r="J18" s="1" t="n"/>
      <c r="K18" s="1" t="n"/>
      <c r="L18" s="1" t="n"/>
      <c r="M18" s="1" t="n"/>
      <c r="N18" s="1" t="n"/>
      <c r="O18" s="1" t="n"/>
      <c r="P18" s="1" t="n"/>
      <c r="Q18" s="1" t="n"/>
      <c r="R18" s="1" t="n"/>
      <c r="S18" s="1" t="n"/>
      <c r="T18" s="1" t="n"/>
      <c r="U18" s="1" t="n"/>
      <c r="V18" s="43" t="inlineStr">
        <is>
          <t>No freezes the price at its pre-step level until the gate clears.</t>
        </is>
      </c>
      <c r="W18" s="1" t="n"/>
      <c r="X18" s="1" t="n"/>
      <c r="Y18" s="1" t="n"/>
      <c r="Z18" s="1" t="n"/>
      <c r="AA18" s="1" t="n"/>
      <c r="AB18" s="1" t="n"/>
    </row>
    <row r="19">
      <c r="A19" s="1" t="n"/>
      <c r="B19" s="1" t="n"/>
      <c r="C19" s="1" t="n"/>
      <c r="D19" s="1" t="n"/>
      <c r="E19" s="1" t="n"/>
      <c r="F19" s="1" t="n"/>
      <c r="G19" s="1" t="n"/>
      <c r="H19" s="1" t="n"/>
      <c r="I19" s="1" t="n"/>
      <c r="J19" s="1" t="n"/>
      <c r="K19" s="1" t="n"/>
      <c r="L19" s="1" t="n"/>
      <c r="M19" s="1" t="n"/>
      <c r="N19" s="1" t="n"/>
      <c r="O19" s="1" t="n"/>
      <c r="P19" s="1" t="n"/>
      <c r="Q19" s="1" t="n"/>
      <c r="R19" s="1" t="n"/>
      <c r="S19" s="1" t="n"/>
      <c r="T19" s="1" t="n"/>
      <c r="U19" s="1" t="n"/>
      <c r="V19" s="1" t="n"/>
      <c r="W19" s="1" t="n"/>
      <c r="X19" s="1" t="n"/>
      <c r="Y19" s="1" t="n"/>
      <c r="Z19" s="1" t="n"/>
      <c r="AA19" s="1" t="n"/>
      <c r="AB19" s="1" t="n"/>
    </row>
    <row r="20" ht="17" customHeight="1">
      <c r="A20" s="1" t="n"/>
      <c r="B20" s="22" t="inlineStr">
        <is>
          <t>Delivered price path ($/MWh)</t>
        </is>
      </c>
      <c r="C20" s="23" t="n"/>
      <c r="D20" s="23" t="n"/>
      <c r="E20" s="23" t="n"/>
      <c r="F20" s="23" t="n"/>
      <c r="G20" s="23" t="n"/>
      <c r="H20" s="23" t="n"/>
      <c r="I20" s="23" t="n"/>
      <c r="J20" s="23" t="n"/>
      <c r="K20" s="23" t="n"/>
      <c r="L20" s="23" t="n"/>
      <c r="M20" s="23" t="n"/>
      <c r="N20" s="23" t="n"/>
      <c r="O20" s="23" t="n"/>
      <c r="P20" s="23" t="n"/>
      <c r="Q20" s="23" t="n"/>
      <c r="R20" s="23" t="n"/>
      <c r="S20" s="23" t="n"/>
      <c r="T20" s="23" t="n"/>
      <c r="U20" s="1" t="n"/>
      <c r="V20" s="1" t="n"/>
      <c r="W20" s="1" t="n"/>
      <c r="X20" s="1" t="n"/>
      <c r="Y20" s="1" t="n"/>
      <c r="Z20" s="1" t="n"/>
      <c r="AA20" s="1" t="n"/>
      <c r="AB20" s="1" t="n"/>
    </row>
    <row r="21" ht="14" customHeight="1">
      <c r="A21" s="1" t="n"/>
      <c r="B21" s="39" t="inlineStr"/>
      <c r="C21" s="40" t="inlineStr">
        <is>
          <t>FY'23</t>
        </is>
      </c>
      <c r="D21" s="40" t="inlineStr">
        <is>
          <t>FY'24</t>
        </is>
      </c>
      <c r="E21" s="40" t="inlineStr">
        <is>
          <t>FY'25</t>
        </is>
      </c>
      <c r="F21" s="41" t="inlineStr">
        <is>
          <t>FY'26</t>
        </is>
      </c>
      <c r="G21" s="41" t="inlineStr">
        <is>
          <t>FY'27</t>
        </is>
      </c>
      <c r="H21" s="41" t="inlineStr">
        <is>
          <t>FY'28</t>
        </is>
      </c>
      <c r="I21" s="41" t="inlineStr">
        <is>
          <t>FY'29</t>
        </is>
      </c>
      <c r="J21" s="41" t="inlineStr">
        <is>
          <t>FY'30</t>
        </is>
      </c>
      <c r="K21" s="41" t="inlineStr">
        <is>
          <t>FY'31</t>
        </is>
      </c>
      <c r="L21" s="41" t="inlineStr">
        <is>
          <t>FY'32</t>
        </is>
      </c>
      <c r="M21" s="41" t="inlineStr">
        <is>
          <t>FY'33</t>
        </is>
      </c>
      <c r="N21" s="41" t="inlineStr">
        <is>
          <t>FY'34</t>
        </is>
      </c>
      <c r="O21" s="41" t="inlineStr">
        <is>
          <t>FY'35</t>
        </is>
      </c>
      <c r="P21" s="41" t="inlineStr">
        <is>
          <t>FY'36</t>
        </is>
      </c>
      <c r="Q21" s="41" t="inlineStr">
        <is>
          <t>FY'37</t>
        </is>
      </c>
      <c r="R21" s="41" t="inlineStr">
        <is>
          <t>FY'38</t>
        </is>
      </c>
      <c r="S21" s="41" t="inlineStr">
        <is>
          <t>FY'39</t>
        </is>
      </c>
      <c r="T21" s="41" t="inlineStr">
        <is>
          <t>FY'40</t>
        </is>
      </c>
      <c r="U21" s="1" t="n"/>
      <c r="V21" s="1" t="n"/>
      <c r="W21" s="1" t="n"/>
      <c r="X21" s="1" t="n"/>
      <c r="Y21" s="1" t="n"/>
      <c r="Z21" s="1" t="n"/>
      <c r="AA21" s="1" t="n"/>
      <c r="AB21" s="1" t="n"/>
    </row>
    <row r="22">
      <c r="A22" s="1" t="n"/>
      <c r="B22" s="29" t="inlineStr">
        <is>
          <t>Capital component</t>
        </is>
      </c>
      <c r="C22" s="45">
        <f>IF(C$5&lt;sNsmrCodU1,0,nNsmrCap)</f>
        <v/>
      </c>
      <c r="D22" s="45">
        <f>IF(D$5&lt;sNsmrCodU1,0,nNsmrCap)</f>
        <v/>
      </c>
      <c r="E22" s="45">
        <f>IF(E$5&lt;sNsmrCodU1,0,nNsmrCap)</f>
        <v/>
      </c>
      <c r="F22" s="45">
        <f>IF(F$5&lt;sNsmrCodU1,0,nNsmrCap)</f>
        <v/>
      </c>
      <c r="G22" s="45">
        <f>IF(G$5&lt;sNsmrCodU1,0,nNsmrCap)</f>
        <v/>
      </c>
      <c r="H22" s="45">
        <f>IF(H$5&lt;sNsmrCodU1,0,nNsmrCap)</f>
        <v/>
      </c>
      <c r="I22" s="45">
        <f>IF(I$5&lt;sNsmrCodU1,0,nNsmrCap)</f>
        <v/>
      </c>
      <c r="J22" s="45">
        <f>IF(J$5&lt;sNsmrCodU1,0,nNsmrCap)</f>
        <v/>
      </c>
      <c r="K22" s="45">
        <f>IF(K$5&lt;sNsmrCodU1,0,nNsmrCap)</f>
        <v/>
      </c>
      <c r="L22" s="45">
        <f>IF(L$5&lt;sNsmrCodU1,0,nNsmrCap)</f>
        <v/>
      </c>
      <c r="M22" s="45">
        <f>IF(M$5&lt;sNsmrCodU1,0,nNsmrCap)</f>
        <v/>
      </c>
      <c r="N22" s="45">
        <f>IF(N$5&lt;sNsmrCodU1,0,nNsmrCap)</f>
        <v/>
      </c>
      <c r="O22" s="45">
        <f>IF(O$5&lt;sNsmrCodU1,0,nNsmrCap)</f>
        <v/>
      </c>
      <c r="P22" s="45">
        <f>IF(P$5&lt;sNsmrCodU1,0,nNsmrCap)</f>
        <v/>
      </c>
      <c r="Q22" s="45">
        <f>IF(Q$5&lt;sNsmrCodU1,0,nNsmrCap)</f>
        <v/>
      </c>
      <c r="R22" s="45">
        <f>IF(R$5&lt;sNsmrCodU1,0,nNsmrCap)</f>
        <v/>
      </c>
      <c r="S22" s="45">
        <f>IF(S$5&lt;sNsmrCodU1,0,nNsmrCap)</f>
        <v/>
      </c>
      <c r="T22" s="45">
        <f>IF(T$5&lt;sNsmrCodU1,0,nNsmrCap)</f>
        <v/>
      </c>
      <c r="U22" s="1" t="n"/>
      <c r="V22" s="1" t="n"/>
      <c r="W22" s="1" t="n"/>
      <c r="X22" s="1" t="n"/>
      <c r="Y22" s="1" t="n"/>
      <c r="Z22" s="1" t="n"/>
      <c r="AA22" s="1" t="n"/>
      <c r="AB22" s="1" t="n"/>
    </row>
    <row r="23">
      <c r="A23" s="1" t="n"/>
      <c r="B23" s="29" t="inlineStr">
        <is>
          <t>Operating, escalated from 2026</t>
        </is>
      </c>
      <c r="C23" s="45">
        <f>IF(C$5&lt;sNsmrCodU1,0,nNsmrOpx*(1+sNsmrOpxEsc)^(C$5-2026))</f>
        <v/>
      </c>
      <c r="D23" s="45">
        <f>IF(D$5&lt;sNsmrCodU1,0,nNsmrOpx*(1+sNsmrOpxEsc)^(D$5-2026))</f>
        <v/>
      </c>
      <c r="E23" s="45">
        <f>IF(E$5&lt;sNsmrCodU1,0,nNsmrOpx*(1+sNsmrOpxEsc)^(E$5-2026))</f>
        <v/>
      </c>
      <c r="F23" s="45">
        <f>IF(F$5&lt;sNsmrCodU1,0,nNsmrOpx*(1+sNsmrOpxEsc)^(F$5-2026))</f>
        <v/>
      </c>
      <c r="G23" s="45">
        <f>IF(G$5&lt;sNsmrCodU1,0,nNsmrOpx*(1+sNsmrOpxEsc)^(G$5-2026))</f>
        <v/>
      </c>
      <c r="H23" s="45">
        <f>IF(H$5&lt;sNsmrCodU1,0,nNsmrOpx*(1+sNsmrOpxEsc)^(H$5-2026))</f>
        <v/>
      </c>
      <c r="I23" s="45">
        <f>IF(I$5&lt;sNsmrCodU1,0,nNsmrOpx*(1+sNsmrOpxEsc)^(I$5-2026))</f>
        <v/>
      </c>
      <c r="J23" s="45">
        <f>IF(J$5&lt;sNsmrCodU1,0,nNsmrOpx*(1+sNsmrOpxEsc)^(J$5-2026))</f>
        <v/>
      </c>
      <c r="K23" s="45">
        <f>IF(K$5&lt;sNsmrCodU1,0,nNsmrOpx*(1+sNsmrOpxEsc)^(K$5-2026))</f>
        <v/>
      </c>
      <c r="L23" s="45">
        <f>IF(L$5&lt;sNsmrCodU1,0,nNsmrOpx*(1+sNsmrOpxEsc)^(L$5-2026))</f>
        <v/>
      </c>
      <c r="M23" s="45">
        <f>IF(M$5&lt;sNsmrCodU1,0,nNsmrOpx*(1+sNsmrOpxEsc)^(M$5-2026))</f>
        <v/>
      </c>
      <c r="N23" s="45">
        <f>IF(N$5&lt;sNsmrCodU1,0,nNsmrOpx*(1+sNsmrOpxEsc)^(N$5-2026))</f>
        <v/>
      </c>
      <c r="O23" s="45">
        <f>IF(O$5&lt;sNsmrCodU1,0,nNsmrOpx*(1+sNsmrOpxEsc)^(O$5-2026))</f>
        <v/>
      </c>
      <c r="P23" s="45">
        <f>IF(P$5&lt;sNsmrCodU1,0,nNsmrOpx*(1+sNsmrOpxEsc)^(P$5-2026))</f>
        <v/>
      </c>
      <c r="Q23" s="45">
        <f>IF(Q$5&lt;sNsmrCodU1,0,nNsmrOpx*(1+sNsmrOpxEsc)^(Q$5-2026))</f>
        <v/>
      </c>
      <c r="R23" s="45">
        <f>IF(R$5&lt;sNsmrCodU1,0,nNsmrOpx*(1+sNsmrOpxEsc)^(R$5-2026))</f>
        <v/>
      </c>
      <c r="S23" s="45">
        <f>IF(S$5&lt;sNsmrCodU1,0,nNsmrOpx*(1+sNsmrOpxEsc)^(S$5-2026))</f>
        <v/>
      </c>
      <c r="T23" s="45">
        <f>IF(T$5&lt;sNsmrCodU1,0,nNsmrOpx*(1+sNsmrOpxEsc)^(T$5-2026))</f>
        <v/>
      </c>
      <c r="U23" s="1" t="n"/>
      <c r="V23" s="1" t="n"/>
      <c r="W23" s="1" t="n"/>
      <c r="X23" s="1" t="n"/>
      <c r="Y23" s="1" t="n"/>
      <c r="Z23" s="1" t="n"/>
      <c r="AA23" s="1" t="n"/>
      <c r="AB23" s="1" t="n"/>
    </row>
    <row r="24">
      <c r="A24" s="1" t="n"/>
      <c r="B24" s="29" t="inlineStr">
        <is>
          <t>Fuel, on the escalator path</t>
        </is>
      </c>
      <c r="C24" s="45">
        <f>IF(C$5&lt;sNsmrCodU1,0,nNsmrFuel*FuelEsc*(1+nFuelCagr)^MAX(0,C$5-2026))</f>
        <v/>
      </c>
      <c r="D24" s="45">
        <f>IF(D$5&lt;sNsmrCodU1,0,nNsmrFuel*FuelEsc*(1+nFuelCagr)^MAX(0,D$5-2026))</f>
        <v/>
      </c>
      <c r="E24" s="45">
        <f>IF(E$5&lt;sNsmrCodU1,0,nNsmrFuel*FuelEsc*(1+nFuelCagr)^MAX(0,E$5-2026))</f>
        <v/>
      </c>
      <c r="F24" s="45">
        <f>IF(F$5&lt;sNsmrCodU1,0,nNsmrFuel*FuelEsc*(1+nFuelCagr)^MAX(0,F$5-2026))</f>
        <v/>
      </c>
      <c r="G24" s="45">
        <f>IF(G$5&lt;sNsmrCodU1,0,nNsmrFuel*FuelEsc*(1+nFuelCagr)^MAX(0,G$5-2026))</f>
        <v/>
      </c>
      <c r="H24" s="45">
        <f>IF(H$5&lt;sNsmrCodU1,0,nNsmrFuel*FuelEsc*(1+nFuelCagr)^MAX(0,H$5-2026))</f>
        <v/>
      </c>
      <c r="I24" s="45">
        <f>IF(I$5&lt;sNsmrCodU1,0,nNsmrFuel*FuelEsc*(1+nFuelCagr)^MAX(0,I$5-2026))</f>
        <v/>
      </c>
      <c r="J24" s="45">
        <f>IF(J$5&lt;sNsmrCodU1,0,nNsmrFuel*FuelEsc*(1+nFuelCagr)^MAX(0,J$5-2026))</f>
        <v/>
      </c>
      <c r="K24" s="45">
        <f>IF(K$5&lt;sNsmrCodU1,0,nNsmrFuel*FuelEsc*(1+nFuelCagr)^MAX(0,K$5-2026))</f>
        <v/>
      </c>
      <c r="L24" s="45">
        <f>IF(L$5&lt;sNsmrCodU1,0,nNsmrFuel*FuelEsc*(1+nFuelCagr)^MAX(0,L$5-2026))</f>
        <v/>
      </c>
      <c r="M24" s="45">
        <f>IF(M$5&lt;sNsmrCodU1,0,nNsmrFuel*FuelEsc*(1+nFuelCagr)^MAX(0,M$5-2026))</f>
        <v/>
      </c>
      <c r="N24" s="45">
        <f>IF(N$5&lt;sNsmrCodU1,0,nNsmrFuel*FuelEsc*(1+nFuelCagr)^MAX(0,N$5-2026))</f>
        <v/>
      </c>
      <c r="O24" s="45">
        <f>IF(O$5&lt;sNsmrCodU1,0,nNsmrFuel*FuelEsc*(1+nFuelCagr)^MAX(0,O$5-2026))</f>
        <v/>
      </c>
      <c r="P24" s="45">
        <f>IF(P$5&lt;sNsmrCodU1,0,nNsmrFuel*FuelEsc*(1+nFuelCagr)^MAX(0,P$5-2026))</f>
        <v/>
      </c>
      <c r="Q24" s="45">
        <f>IF(Q$5&lt;sNsmrCodU1,0,nNsmrFuel*FuelEsc*(1+nFuelCagr)^MAX(0,Q$5-2026))</f>
        <v/>
      </c>
      <c r="R24" s="45">
        <f>IF(R$5&lt;sNsmrCodU1,0,nNsmrFuel*FuelEsc*(1+nFuelCagr)^MAX(0,R$5-2026))</f>
        <v/>
      </c>
      <c r="S24" s="45">
        <f>IF(S$5&lt;sNsmrCodU1,0,nNsmrFuel*FuelEsc*(1+nFuelCagr)^MAX(0,S$5-2026))</f>
        <v/>
      </c>
      <c r="T24" s="45">
        <f>IF(T$5&lt;sNsmrCodU1,0,nNsmrFuel*FuelEsc*(1+nFuelCagr)^MAX(0,T$5-2026))</f>
        <v/>
      </c>
      <c r="U24" s="1" t="n"/>
      <c r="V24" s="1" t="n"/>
      <c r="W24" s="1" t="n"/>
      <c r="X24" s="1" t="n"/>
      <c r="Y24" s="1" t="n"/>
      <c r="Z24" s="1" t="n"/>
      <c r="AA24" s="1" t="n"/>
      <c r="AB24" s="1" t="n"/>
    </row>
    <row r="25">
      <c r="A25" s="1" t="n"/>
      <c r="B25" s="29" t="inlineStr">
        <is>
          <t>Option 1 delivered price</t>
        </is>
      </c>
      <c r="C25" s="45">
        <f>IF(C$5&lt;sNsmrCodU1,0,C22+C23+C24-nNsmrItc)</f>
        <v/>
      </c>
      <c r="D25" s="45">
        <f>IF(D$5&lt;sNsmrCodU1,0,D22+D23+D24-nNsmrItc)</f>
        <v/>
      </c>
      <c r="E25" s="45">
        <f>IF(E$5&lt;sNsmrCodU1,0,E22+E23+E24-nNsmrItc)</f>
        <v/>
      </c>
      <c r="F25" s="45">
        <f>IF(F$5&lt;sNsmrCodU1,0,F22+F23+F24-nNsmrItc)</f>
        <v/>
      </c>
      <c r="G25" s="45">
        <f>IF(G$5&lt;sNsmrCodU1,0,G22+G23+G24-nNsmrItc)</f>
        <v/>
      </c>
      <c r="H25" s="45">
        <f>IF(H$5&lt;sNsmrCodU1,0,H22+H23+H24-nNsmrItc)</f>
        <v/>
      </c>
      <c r="I25" s="45">
        <f>IF(I$5&lt;sNsmrCodU1,0,I22+I23+I24-nNsmrItc)</f>
        <v/>
      </c>
      <c r="J25" s="45">
        <f>IF(J$5&lt;sNsmrCodU1,0,J22+J23+J24-nNsmrItc)</f>
        <v/>
      </c>
      <c r="K25" s="45">
        <f>IF(K$5&lt;sNsmrCodU1,0,K22+K23+K24-nNsmrItc)</f>
        <v/>
      </c>
      <c r="L25" s="45">
        <f>IF(L$5&lt;sNsmrCodU1,0,L22+L23+L24-nNsmrItc)</f>
        <v/>
      </c>
      <c r="M25" s="45">
        <f>IF(M$5&lt;sNsmrCodU1,0,M22+M23+M24-nNsmrItc)</f>
        <v/>
      </c>
      <c r="N25" s="45">
        <f>IF(N$5&lt;sNsmrCodU1,0,N22+N23+N24-nNsmrItc)</f>
        <v/>
      </c>
      <c r="O25" s="45">
        <f>IF(O$5&lt;sNsmrCodU1,0,O22+O23+O24-nNsmrItc)</f>
        <v/>
      </c>
      <c r="P25" s="45">
        <f>IF(P$5&lt;sNsmrCodU1,0,P22+P23+P24-nNsmrItc)</f>
        <v/>
      </c>
      <c r="Q25" s="45">
        <f>IF(Q$5&lt;sNsmrCodU1,0,Q22+Q23+Q24-nNsmrItc)</f>
        <v/>
      </c>
      <c r="R25" s="45">
        <f>IF(R$5&lt;sNsmrCodU1,0,R22+R23+R24-nNsmrItc)</f>
        <v/>
      </c>
      <c r="S25" s="45">
        <f>IF(S$5&lt;sNsmrCodU1,0,S22+S23+S24-nNsmrItc)</f>
        <v/>
      </c>
      <c r="T25" s="45">
        <f>IF(T$5&lt;sNsmrCodU1,0,T22+T23+T24-nNsmrItc)</f>
        <v/>
      </c>
      <c r="U25" s="1" t="n"/>
      <c r="V25" s="1" t="n"/>
      <c r="W25" s="1" t="n"/>
      <c r="X25" s="1" t="n"/>
      <c r="Y25" s="1" t="n"/>
      <c r="Z25" s="1" t="n"/>
      <c r="AA25" s="1" t="n"/>
      <c r="AB25" s="1" t="n"/>
    </row>
    <row r="26">
      <c r="A26" s="1" t="n"/>
      <c r="B26" s="29" t="inlineStr">
        <is>
          <t>Option 2 (capped pass-through fuel)</t>
        </is>
      </c>
      <c r="C26" s="45">
        <f>IF(C$5&lt;sNsmrCodU1,0,C22+C23-nNsmrItc+MIN(C24,nNsmrFuelCap*(1+nFuelCagr)^MAX(0,C$5-2026)))</f>
        <v/>
      </c>
      <c r="D26" s="45">
        <f>IF(D$5&lt;sNsmrCodU1,0,D22+D23-nNsmrItc+MIN(D24,nNsmrFuelCap*(1+nFuelCagr)^MAX(0,D$5-2026)))</f>
        <v/>
      </c>
      <c r="E26" s="45">
        <f>IF(E$5&lt;sNsmrCodU1,0,E22+E23-nNsmrItc+MIN(E24,nNsmrFuelCap*(1+nFuelCagr)^MAX(0,E$5-2026)))</f>
        <v/>
      </c>
      <c r="F26" s="45">
        <f>IF(F$5&lt;sNsmrCodU1,0,F22+F23-nNsmrItc+MIN(F24,nNsmrFuelCap*(1+nFuelCagr)^MAX(0,F$5-2026)))</f>
        <v/>
      </c>
      <c r="G26" s="45">
        <f>IF(G$5&lt;sNsmrCodU1,0,G22+G23-nNsmrItc+MIN(G24,nNsmrFuelCap*(1+nFuelCagr)^MAX(0,G$5-2026)))</f>
        <v/>
      </c>
      <c r="H26" s="45">
        <f>IF(H$5&lt;sNsmrCodU1,0,H22+H23-nNsmrItc+MIN(H24,nNsmrFuelCap*(1+nFuelCagr)^MAX(0,H$5-2026)))</f>
        <v/>
      </c>
      <c r="I26" s="45">
        <f>IF(I$5&lt;sNsmrCodU1,0,I22+I23-nNsmrItc+MIN(I24,nNsmrFuelCap*(1+nFuelCagr)^MAX(0,I$5-2026)))</f>
        <v/>
      </c>
      <c r="J26" s="45">
        <f>IF(J$5&lt;sNsmrCodU1,0,J22+J23-nNsmrItc+MIN(J24,nNsmrFuelCap*(1+nFuelCagr)^MAX(0,J$5-2026)))</f>
        <v/>
      </c>
      <c r="K26" s="45">
        <f>IF(K$5&lt;sNsmrCodU1,0,K22+K23-nNsmrItc+MIN(K24,nNsmrFuelCap*(1+nFuelCagr)^MAX(0,K$5-2026)))</f>
        <v/>
      </c>
      <c r="L26" s="45">
        <f>IF(L$5&lt;sNsmrCodU1,0,L22+L23-nNsmrItc+MIN(L24,nNsmrFuelCap*(1+nFuelCagr)^MAX(0,L$5-2026)))</f>
        <v/>
      </c>
      <c r="M26" s="45">
        <f>IF(M$5&lt;sNsmrCodU1,0,M22+M23-nNsmrItc+MIN(M24,nNsmrFuelCap*(1+nFuelCagr)^MAX(0,M$5-2026)))</f>
        <v/>
      </c>
      <c r="N26" s="45">
        <f>IF(N$5&lt;sNsmrCodU1,0,N22+N23-nNsmrItc+MIN(N24,nNsmrFuelCap*(1+nFuelCagr)^MAX(0,N$5-2026)))</f>
        <v/>
      </c>
      <c r="O26" s="45">
        <f>IF(O$5&lt;sNsmrCodU1,0,O22+O23-nNsmrItc+MIN(O24,nNsmrFuelCap*(1+nFuelCagr)^MAX(0,O$5-2026)))</f>
        <v/>
      </c>
      <c r="P26" s="45">
        <f>IF(P$5&lt;sNsmrCodU1,0,P22+P23-nNsmrItc+MIN(P24,nNsmrFuelCap*(1+nFuelCagr)^MAX(0,P$5-2026)))</f>
        <v/>
      </c>
      <c r="Q26" s="45">
        <f>IF(Q$5&lt;sNsmrCodU1,0,Q22+Q23-nNsmrItc+MIN(Q24,nNsmrFuelCap*(1+nFuelCagr)^MAX(0,Q$5-2026)))</f>
        <v/>
      </c>
      <c r="R26" s="45">
        <f>IF(R$5&lt;sNsmrCodU1,0,R22+R23-nNsmrItc+MIN(R24,nNsmrFuelCap*(1+nFuelCagr)^MAX(0,R$5-2026)))</f>
        <v/>
      </c>
      <c r="S26" s="45">
        <f>IF(S$5&lt;sNsmrCodU1,0,S22+S23-nNsmrItc+MIN(S24,nNsmrFuelCap*(1+nFuelCagr)^MAX(0,S$5-2026)))</f>
        <v/>
      </c>
      <c r="T26" s="45">
        <f>IF(T$5&lt;sNsmrCodU1,0,T22+T23-nNsmrItc+MIN(T24,nNsmrFuelCap*(1+nFuelCagr)^MAX(0,T$5-2026)))</f>
        <v/>
      </c>
      <c r="U26" s="1" t="n"/>
      <c r="V26" s="1" t="n"/>
      <c r="W26" s="1" t="n"/>
      <c r="X26" s="1" t="n"/>
      <c r="Y26" s="1" t="n"/>
      <c r="Z26" s="1" t="n"/>
      <c r="AA26" s="1" t="n"/>
      <c r="AB26" s="1" t="n"/>
    </row>
    <row r="27">
      <c r="A27" s="1" t="n"/>
      <c r="B27" s="29" t="inlineStr">
        <is>
          <t>Step multiplier on the fixed price</t>
        </is>
      </c>
      <c r="C27" s="66">
        <f>IF(C$5&lt;sNsmrCodU1+nStepFirst,1,IF(nStepGated="Yes",(1+nStepPct)^(INT((C$5-sNsmrCodU1-nStepFirst)/nStepEvery)+1),1))</f>
        <v/>
      </c>
      <c r="D27" s="66">
        <f>IF(D$5&lt;sNsmrCodU1+nStepFirst,1,IF(nStepGated="Yes",(1+nStepPct)^(INT((D$5-sNsmrCodU1-nStepFirst)/nStepEvery)+1),1))</f>
        <v/>
      </c>
      <c r="E27" s="66">
        <f>IF(E$5&lt;sNsmrCodU1+nStepFirst,1,IF(nStepGated="Yes",(1+nStepPct)^(INT((E$5-sNsmrCodU1-nStepFirst)/nStepEvery)+1),1))</f>
        <v/>
      </c>
      <c r="F27" s="66">
        <f>IF(F$5&lt;sNsmrCodU1+nStepFirst,1,IF(nStepGated="Yes",(1+nStepPct)^(INT((F$5-sNsmrCodU1-nStepFirst)/nStepEvery)+1),1))</f>
        <v/>
      </c>
      <c r="G27" s="66">
        <f>IF(G$5&lt;sNsmrCodU1+nStepFirst,1,IF(nStepGated="Yes",(1+nStepPct)^(INT((G$5-sNsmrCodU1-nStepFirst)/nStepEvery)+1),1))</f>
        <v/>
      </c>
      <c r="H27" s="66">
        <f>IF(H$5&lt;sNsmrCodU1+nStepFirst,1,IF(nStepGated="Yes",(1+nStepPct)^(INT((H$5-sNsmrCodU1-nStepFirst)/nStepEvery)+1),1))</f>
        <v/>
      </c>
      <c r="I27" s="66">
        <f>IF(I$5&lt;sNsmrCodU1+nStepFirst,1,IF(nStepGated="Yes",(1+nStepPct)^(INT((I$5-sNsmrCodU1-nStepFirst)/nStepEvery)+1),1))</f>
        <v/>
      </c>
      <c r="J27" s="66">
        <f>IF(J$5&lt;sNsmrCodU1+nStepFirst,1,IF(nStepGated="Yes",(1+nStepPct)^(INT((J$5-sNsmrCodU1-nStepFirst)/nStepEvery)+1),1))</f>
        <v/>
      </c>
      <c r="K27" s="66">
        <f>IF(K$5&lt;sNsmrCodU1+nStepFirst,1,IF(nStepGated="Yes",(1+nStepPct)^(INT((K$5-sNsmrCodU1-nStepFirst)/nStepEvery)+1),1))</f>
        <v/>
      </c>
      <c r="L27" s="66">
        <f>IF(L$5&lt;sNsmrCodU1+nStepFirst,1,IF(nStepGated="Yes",(1+nStepPct)^(INT((L$5-sNsmrCodU1-nStepFirst)/nStepEvery)+1),1))</f>
        <v/>
      </c>
      <c r="M27" s="66">
        <f>IF(M$5&lt;sNsmrCodU1+nStepFirst,1,IF(nStepGated="Yes",(1+nStepPct)^(INT((M$5-sNsmrCodU1-nStepFirst)/nStepEvery)+1),1))</f>
        <v/>
      </c>
      <c r="N27" s="66">
        <f>IF(N$5&lt;sNsmrCodU1+nStepFirst,1,IF(nStepGated="Yes",(1+nStepPct)^(INT((N$5-sNsmrCodU1-nStepFirst)/nStepEvery)+1),1))</f>
        <v/>
      </c>
      <c r="O27" s="66">
        <f>IF(O$5&lt;sNsmrCodU1+nStepFirst,1,IF(nStepGated="Yes",(1+nStepPct)^(INT((O$5-sNsmrCodU1-nStepFirst)/nStepEvery)+1),1))</f>
        <v/>
      </c>
      <c r="P27" s="66">
        <f>IF(P$5&lt;sNsmrCodU1+nStepFirst,1,IF(nStepGated="Yes",(1+nStepPct)^(INT((P$5-sNsmrCodU1-nStepFirst)/nStepEvery)+1),1))</f>
        <v/>
      </c>
      <c r="Q27" s="66">
        <f>IF(Q$5&lt;sNsmrCodU1+nStepFirst,1,IF(nStepGated="Yes",(1+nStepPct)^(INT((Q$5-sNsmrCodU1-nStepFirst)/nStepEvery)+1),1))</f>
        <v/>
      </c>
      <c r="R27" s="66">
        <f>IF(R$5&lt;sNsmrCodU1+nStepFirst,1,IF(nStepGated="Yes",(1+nStepPct)^(INT((R$5-sNsmrCodU1-nStepFirst)/nStepEvery)+1),1))</f>
        <v/>
      </c>
      <c r="S27" s="66">
        <f>IF(S$5&lt;sNsmrCodU1+nStepFirst,1,IF(nStepGated="Yes",(1+nStepPct)^(INT((S$5-sNsmrCodU1-nStepFirst)/nStepEvery)+1),1))</f>
        <v/>
      </c>
      <c r="T27" s="66">
        <f>IF(T$5&lt;sNsmrCodU1+nStepFirst,1,IF(nStepGated="Yes",(1+nStepPct)^(INT((T$5-sNsmrCodU1-nStepFirst)/nStepEvery)+1),1))</f>
        <v/>
      </c>
      <c r="U27" s="1" t="n"/>
      <c r="V27" s="1" t="n"/>
      <c r="W27" s="1" t="n"/>
      <c r="X27" s="1" t="n"/>
      <c r="Y27" s="1" t="n"/>
      <c r="Z27" s="1" t="n"/>
      <c r="AA27" s="1" t="n"/>
      <c r="AB27" s="1" t="n"/>
    </row>
    <row r="28">
      <c r="A28" s="1" t="n"/>
      <c r="B28" s="20" t="inlineStr">
        <is>
          <t>All-in delivered: stepped price + premium, net of credits</t>
        </is>
      </c>
      <c r="C28" s="116">
        <f>IF(C$5&lt;sNsmrCodU1,0,C25*C27+nExclPrem*(1-nFlexRelief)-nProdCredit)</f>
        <v/>
      </c>
      <c r="D28" s="116">
        <f>IF(D$5&lt;sNsmrCodU1,0,D25*D27+nExclPrem*(1-nFlexRelief)-nProdCredit)</f>
        <v/>
      </c>
      <c r="E28" s="116">
        <f>IF(E$5&lt;sNsmrCodU1,0,E25*E27+nExclPrem*(1-nFlexRelief)-nProdCredit)</f>
        <v/>
      </c>
      <c r="F28" s="116">
        <f>IF(F$5&lt;sNsmrCodU1,0,F25*F27+nExclPrem*(1-nFlexRelief)-nProdCredit)</f>
        <v/>
      </c>
      <c r="G28" s="116">
        <f>IF(G$5&lt;sNsmrCodU1,0,G25*G27+nExclPrem*(1-nFlexRelief)-nProdCredit)</f>
        <v/>
      </c>
      <c r="H28" s="116">
        <f>IF(H$5&lt;sNsmrCodU1,0,H25*H27+nExclPrem*(1-nFlexRelief)-nProdCredit)</f>
        <v/>
      </c>
      <c r="I28" s="116">
        <f>IF(I$5&lt;sNsmrCodU1,0,I25*I27+nExclPrem*(1-nFlexRelief)-nProdCredit)</f>
        <v/>
      </c>
      <c r="J28" s="116">
        <f>IF(J$5&lt;sNsmrCodU1,0,J25*J27+nExclPrem*(1-nFlexRelief)-nProdCredit)</f>
        <v/>
      </c>
      <c r="K28" s="116">
        <f>IF(K$5&lt;sNsmrCodU1,0,K25*K27+nExclPrem*(1-nFlexRelief)-nProdCredit)</f>
        <v/>
      </c>
      <c r="L28" s="116">
        <f>IF(L$5&lt;sNsmrCodU1,0,L25*L27+nExclPrem*(1-nFlexRelief)-nProdCredit)</f>
        <v/>
      </c>
      <c r="M28" s="116">
        <f>IF(M$5&lt;sNsmrCodU1,0,M25*M27+nExclPrem*(1-nFlexRelief)-nProdCredit)</f>
        <v/>
      </c>
      <c r="N28" s="116">
        <f>IF(N$5&lt;sNsmrCodU1,0,N25*N27+nExclPrem*(1-nFlexRelief)-nProdCredit)</f>
        <v/>
      </c>
      <c r="O28" s="116">
        <f>IF(O$5&lt;sNsmrCodU1,0,O25*O27+nExclPrem*(1-nFlexRelief)-nProdCredit)</f>
        <v/>
      </c>
      <c r="P28" s="116">
        <f>IF(P$5&lt;sNsmrCodU1,0,P25*P27+nExclPrem*(1-nFlexRelief)-nProdCredit)</f>
        <v/>
      </c>
      <c r="Q28" s="116">
        <f>IF(Q$5&lt;sNsmrCodU1,0,Q25*Q27+nExclPrem*(1-nFlexRelief)-nProdCredit)</f>
        <v/>
      </c>
      <c r="R28" s="116">
        <f>IF(R$5&lt;sNsmrCodU1,0,R25*R27+nExclPrem*(1-nFlexRelief)-nProdCredit)</f>
        <v/>
      </c>
      <c r="S28" s="116">
        <f>IF(S$5&lt;sNsmrCodU1,0,S25*S27+nExclPrem*(1-nFlexRelief)-nProdCredit)</f>
        <v/>
      </c>
      <c r="T28" s="116">
        <f>IF(T$5&lt;sNsmrCodU1,0,T25*T27+nExclPrem*(1-nFlexRelief)-nProdCredit)</f>
        <v/>
      </c>
      <c r="U28" s="1" t="n"/>
      <c r="V28" s="1" t="n"/>
      <c r="W28" s="1" t="n"/>
      <c r="X28" s="1" t="n"/>
      <c r="Y28" s="1" t="n"/>
      <c r="Z28" s="1" t="n"/>
      <c r="AA28" s="1" t="n"/>
      <c r="AB28" s="1" t="n"/>
    </row>
    <row r="29">
      <c r="A29" s="1" t="n"/>
      <c r="B29" s="1" t="n"/>
      <c r="C29" s="1" t="n"/>
      <c r="D29" s="1" t="n"/>
      <c r="E29" s="1" t="n"/>
      <c r="F29" s="1" t="n"/>
      <c r="G29" s="1" t="n"/>
      <c r="H29" s="1" t="n"/>
      <c r="I29" s="1" t="n"/>
      <c r="J29" s="1" t="n"/>
      <c r="K29" s="1" t="n"/>
      <c r="L29" s="1" t="n"/>
      <c r="M29" s="1" t="n"/>
      <c r="N29" s="1" t="n"/>
      <c r="O29" s="1" t="n"/>
      <c r="P29" s="1" t="n"/>
      <c r="Q29" s="1" t="n"/>
      <c r="R29" s="1" t="n"/>
      <c r="S29" s="1" t="n"/>
      <c r="T29" s="1" t="n"/>
      <c r="U29" s="1" t="n"/>
      <c r="V29" s="1" t="n"/>
      <c r="W29" s="1" t="n"/>
      <c r="X29" s="1" t="n"/>
      <c r="Y29" s="1" t="n"/>
      <c r="Z29" s="1" t="n"/>
      <c r="AA29" s="1" t="n"/>
      <c r="AB29" s="1" t="n"/>
    </row>
    <row r="30" ht="17" customHeight="1">
      <c r="A30" s="1" t="n"/>
      <c r="B30" s="22" t="inlineStr">
        <is>
          <t>Physical and risk terms</t>
        </is>
      </c>
      <c r="C30" s="23" t="n"/>
      <c r="D30" s="23" t="n"/>
      <c r="E30" s="23" t="n"/>
      <c r="F30" s="23" t="n"/>
      <c r="G30" s="23" t="n"/>
      <c r="H30" s="23" t="n"/>
      <c r="I30" s="23" t="n"/>
      <c r="J30" s="23" t="n"/>
      <c r="K30" s="23" t="n"/>
      <c r="L30" s="23" t="n"/>
      <c r="M30" s="23" t="n"/>
      <c r="N30" s="23" t="n"/>
      <c r="O30" s="23" t="n"/>
      <c r="P30" s="23" t="n"/>
      <c r="Q30" s="23" t="n"/>
      <c r="R30" s="23" t="n"/>
      <c r="S30" s="23" t="n"/>
      <c r="T30" s="23" t="n"/>
      <c r="U30" s="1" t="n"/>
      <c r="V30" s="1" t="n"/>
      <c r="W30" s="1" t="n"/>
      <c r="X30" s="1" t="n"/>
      <c r="Y30" s="1" t="n"/>
      <c r="Z30" s="1" t="n"/>
      <c r="AA30" s="1" t="n"/>
      <c r="AB30" s="1" t="n"/>
    </row>
    <row r="31">
      <c r="A31" s="1" t="n"/>
      <c r="B31" s="29" t="inlineStr">
        <is>
          <t>Nameplate, two units (MW)</t>
        </is>
      </c>
      <c r="C31" s="1" t="n"/>
      <c r="D31" s="31">
        <f>sNsmrUnitMw*sNsmrUnits</f>
        <v/>
      </c>
      <c r="E31" s="1" t="n"/>
      <c r="F31" s="1" t="n"/>
      <c r="G31" s="1" t="n"/>
      <c r="H31" s="1" t="n"/>
      <c r="I31" s="1" t="n"/>
      <c r="J31" s="1" t="n"/>
      <c r="K31" s="1" t="n"/>
      <c r="L31" s="1" t="n"/>
      <c r="M31" s="1" t="n"/>
      <c r="N31" s="1" t="n"/>
      <c r="O31" s="1" t="n"/>
      <c r="P31" s="1" t="n"/>
      <c r="Q31" s="1" t="n"/>
      <c r="R31" s="1" t="n"/>
      <c r="S31" s="1" t="n"/>
      <c r="T31" s="1" t="n"/>
      <c r="U31" s="1" t="n"/>
      <c r="V31" s="43" t="inlineStr">
        <is>
          <t>U1 2032, U2 2033.</t>
        </is>
      </c>
      <c r="W31" s="1" t="n"/>
      <c r="X31" s="1" t="n"/>
      <c r="Y31" s="1" t="n"/>
      <c r="Z31" s="1" t="n"/>
      <c r="AA31" s="1" t="n"/>
      <c r="AB31" s="1" t="n"/>
    </row>
    <row r="32">
      <c r="A32" s="1" t="n"/>
      <c r="B32" s="29" t="inlineStr">
        <is>
          <t>Implied capacity factor per cycle</t>
        </is>
      </c>
      <c r="C32" s="1" t="n"/>
      <c r="D32" s="30">
        <f>sNsmrCf</f>
        <v/>
      </c>
      <c r="E32" s="1" t="n"/>
      <c r="F32" s="1" t="n"/>
      <c r="G32" s="1" t="n"/>
      <c r="H32" s="1" t="n"/>
      <c r="I32" s="1" t="n"/>
      <c r="J32" s="1" t="n"/>
      <c r="K32" s="1" t="n"/>
      <c r="L32" s="1" t="n"/>
      <c r="M32" s="1" t="n"/>
      <c r="N32" s="1" t="n"/>
      <c r="O32" s="1" t="n"/>
      <c r="P32" s="1" t="n"/>
      <c r="Q32" s="1" t="n"/>
      <c r="R32" s="1" t="n"/>
      <c r="S32" s="1" t="n"/>
      <c r="T32" s="1" t="n"/>
      <c r="U32" s="1" t="n"/>
      <c r="V32" s="43" t="inlineStr">
        <is>
          <t>4,110,192 MWh per unit per 1.5-yr cycle; consistent with the 90% availability guarantee.</t>
        </is>
      </c>
      <c r="W32" s="1" t="n"/>
      <c r="X32" s="1" t="n"/>
      <c r="Y32" s="1" t="n"/>
      <c r="Z32" s="1" t="n"/>
      <c r="AA32" s="1" t="n"/>
      <c r="AB32" s="1" t="n"/>
    </row>
    <row r="33">
      <c r="A33" s="1" t="n"/>
      <c r="B33" s="29" t="inlineStr">
        <is>
          <t>Energy per unit per year (TWh)</t>
        </is>
      </c>
      <c r="C33" s="1" t="n"/>
      <c r="D33" s="117">
        <f>sNsmrMwhCycle/sNsmrCycleYrs/1000000</f>
        <v/>
      </c>
      <c r="E33" s="1" t="n"/>
      <c r="F33" s="1" t="n"/>
      <c r="G33" s="1" t="n"/>
      <c r="H33" s="1" t="n"/>
      <c r="I33" s="1" t="n"/>
      <c r="J33" s="1" t="n"/>
      <c r="K33" s="1" t="n"/>
      <c r="L33" s="1" t="n"/>
      <c r="M33" s="1" t="n"/>
      <c r="N33" s="1" t="n"/>
      <c r="O33" s="1" t="n"/>
      <c r="P33" s="1" t="n"/>
      <c r="Q33" s="1" t="n"/>
      <c r="R33" s="1" t="n"/>
      <c r="S33" s="1" t="n"/>
      <c r="T33" s="1" t="n"/>
      <c r="U33" s="1" t="n"/>
      <c r="V33" s="43" t="inlineStr"/>
      <c r="W33" s="1" t="n"/>
      <c r="X33" s="1" t="n"/>
      <c r="Y33" s="1" t="n"/>
      <c r="Z33" s="1" t="n"/>
      <c r="AA33" s="1" t="n"/>
      <c r="AB33" s="1" t="n"/>
    </row>
    <row r="34">
      <c r="A34" s="1" t="n"/>
      <c r="B34" s="29" t="inlineStr">
        <is>
          <t>Availability guarantee, year 1</t>
        </is>
      </c>
      <c r="C34" s="1" t="n"/>
      <c r="D34" s="36">
        <f>sNsmrAvailY1</f>
        <v/>
      </c>
      <c r="E34" s="1" t="n"/>
      <c r="F34" s="1" t="n"/>
      <c r="G34" s="1" t="n"/>
      <c r="H34" s="1" t="n"/>
      <c r="I34" s="1" t="n"/>
      <c r="J34" s="1" t="n"/>
      <c r="K34" s="1" t="n"/>
      <c r="L34" s="1" t="n"/>
      <c r="M34" s="1" t="n"/>
      <c r="N34" s="1" t="n"/>
      <c r="O34" s="1" t="n"/>
      <c r="P34" s="1" t="n"/>
      <c r="Q34" s="1" t="n"/>
      <c r="R34" s="1" t="n"/>
      <c r="S34" s="1" t="n"/>
      <c r="T34" s="1" t="n"/>
      <c r="U34" s="1" t="n"/>
      <c r="V34" s="43" t="inlineStr">
        <is>
          <t>Two consecutive failed 12-month periods is an event of default.</t>
        </is>
      </c>
      <c r="W34" s="1" t="n"/>
      <c r="X34" s="1" t="n"/>
      <c r="Y34" s="1" t="n"/>
      <c r="Z34" s="1" t="n"/>
      <c r="AA34" s="1" t="n"/>
      <c r="AB34" s="1" t="n"/>
    </row>
    <row r="35">
      <c r="A35" s="1" t="n"/>
      <c r="B35" s="29" t="inlineStr">
        <is>
          <t>Availability guarantee, years 2+</t>
        </is>
      </c>
      <c r="C35" s="1" t="n"/>
      <c r="D35" s="36">
        <f>sNsmrAvailY2</f>
        <v/>
      </c>
      <c r="E35" s="1" t="n"/>
      <c r="F35" s="1" t="n"/>
      <c r="G35" s="1" t="n"/>
      <c r="H35" s="1" t="n"/>
      <c r="I35" s="1" t="n"/>
      <c r="J35" s="1" t="n"/>
      <c r="K35" s="1" t="n"/>
      <c r="L35" s="1" t="n"/>
      <c r="M35" s="1" t="n"/>
      <c r="N35" s="1" t="n"/>
      <c r="O35" s="1" t="n"/>
      <c r="P35" s="1" t="n"/>
      <c r="Q35" s="1" t="n"/>
      <c r="R35" s="1" t="n"/>
      <c r="S35" s="1" t="n"/>
      <c r="T35" s="1" t="n"/>
      <c r="U35" s="1" t="n"/>
      <c r="V35" s="43" t="inlineStr"/>
      <c r="W35" s="1" t="n"/>
      <c r="X35" s="1" t="n"/>
      <c r="Y35" s="1" t="n"/>
      <c r="Z35" s="1" t="n"/>
      <c r="AA35" s="1" t="n"/>
      <c r="AB35" s="1" t="n"/>
    </row>
    <row r="36">
      <c r="A36" s="1" t="n"/>
      <c r="B36" s="29" t="inlineStr">
        <is>
          <t>Delay-damage load scaling</t>
        </is>
      </c>
      <c r="C36" s="1" t="n"/>
      <c r="D36" s="36">
        <f>sNsmrDdLoad</f>
        <v/>
      </c>
      <c r="E36" s="1" t="n"/>
      <c r="F36" s="1" t="n"/>
      <c r="G36" s="1" t="n"/>
      <c r="H36" s="1" t="n"/>
      <c r="I36" s="1" t="n"/>
      <c r="J36" s="1" t="n"/>
      <c r="K36" s="1" t="n"/>
      <c r="L36" s="1" t="n"/>
      <c r="M36" s="1" t="n"/>
      <c r="N36" s="1" t="n"/>
      <c r="O36" s="1" t="n"/>
      <c r="P36" s="1" t="n"/>
      <c r="Q36" s="1" t="n"/>
      <c r="R36" s="1" t="n"/>
      <c r="S36" s="1" t="n"/>
      <c r="T36" s="1" t="n"/>
      <c r="U36" s="1" t="n"/>
      <c r="V36" s="43" t="inlineStr">
        <is>
          <t>Damages scale with the data center's actual load: the buyer's ramp is contractually coupled to the seller's penalty.</t>
        </is>
      </c>
      <c r="W36" s="1" t="n"/>
      <c r="X36" s="1" t="n"/>
      <c r="Y36" s="1" t="n"/>
      <c r="Z36" s="1" t="n"/>
      <c r="AA36" s="1" t="n"/>
      <c r="AB36" s="1" t="n"/>
    </row>
    <row r="37">
      <c r="A37" s="1" t="n"/>
      <c r="B37" s="29" t="inlineStr">
        <is>
          <t>Force majeure no-fault window (days)</t>
        </is>
      </c>
      <c r="C37" s="1" t="n"/>
      <c r="D37" s="31">
        <f>sNsmrFmDays</f>
        <v/>
      </c>
      <c r="E37" s="1" t="n"/>
      <c r="F37" s="1" t="n"/>
      <c r="G37" s="1" t="n"/>
      <c r="H37" s="1" t="n"/>
      <c r="I37" s="1" t="n"/>
      <c r="J37" s="1" t="n"/>
      <c r="K37" s="1" t="n"/>
      <c r="L37" s="1" t="n"/>
      <c r="M37" s="1" t="n"/>
      <c r="N37" s="1" t="n"/>
      <c r="O37" s="1" t="n"/>
      <c r="P37" s="1" t="n"/>
      <c r="Q37" s="1" t="n"/>
      <c r="R37" s="1" t="n"/>
      <c r="S37" s="1" t="n"/>
      <c r="T37" s="1" t="n"/>
      <c r="U37" s="1" t="n"/>
      <c r="V37" s="43" t="inlineStr">
        <is>
          <t>Beyond it, either side may terminate without liability.</t>
        </is>
      </c>
      <c r="W37" s="1" t="n"/>
      <c r="X37" s="1" t="n"/>
      <c r="Y37" s="1" t="n"/>
      <c r="Z37" s="1" t="n"/>
      <c r="AA37" s="1" t="n"/>
      <c r="AB37" s="1" t="n"/>
    </row>
    <row r="38">
      <c r="A38" s="1" t="n"/>
      <c r="B38" s="29" t="inlineStr">
        <is>
          <t>Cohort duration norm (years)</t>
        </is>
      </c>
      <c r="C38" s="1" t="n"/>
      <c r="D38" s="31">
        <f>sNsmrTermYears</f>
        <v/>
      </c>
      <c r="E38" s="1" t="n"/>
      <c r="F38" s="1" t="n"/>
      <c r="G38" s="1" t="n"/>
      <c r="H38" s="1" t="n"/>
      <c r="I38" s="1" t="n"/>
      <c r="J38" s="1" t="n"/>
      <c r="K38" s="1" t="n"/>
      <c r="L38" s="1" t="n"/>
      <c r="M38" s="1" t="n"/>
      <c r="N38" s="1" t="n"/>
      <c r="O38" s="1" t="n"/>
      <c r="P38" s="1" t="n"/>
      <c r="Q38" s="1" t="n"/>
      <c r="R38" s="1" t="n"/>
      <c r="S38" s="1" t="n"/>
      <c r="T38" s="1" t="n"/>
      <c r="U38" s="1" t="n"/>
      <c r="V38" s="43" t="inlineStr">
        <is>
          <t>Buyer obligation runs about 30 years from U1 COD; the term sheet adds a 10-year extension option.</t>
        </is>
      </c>
      <c r="W38" s="1" t="n"/>
      <c r="X38" s="1" t="n"/>
      <c r="Y38" s="1" t="n"/>
      <c r="Z38" s="1" t="n"/>
      <c r="AA38" s="1" t="n"/>
      <c r="AB38" s="1" t="n"/>
    </row>
    <row r="39">
      <c r="A39" s="1" t="n"/>
      <c r="B39" s="1" t="n"/>
      <c r="C39" s="1" t="n"/>
      <c r="D39" s="1" t="n"/>
      <c r="E39" s="1" t="n"/>
      <c r="F39" s="1" t="n"/>
      <c r="G39" s="1" t="n"/>
      <c r="H39" s="1" t="n"/>
      <c r="I39" s="1" t="n"/>
      <c r="J39" s="1" t="n"/>
      <c r="K39" s="1" t="n"/>
      <c r="L39" s="1" t="n"/>
      <c r="M39" s="1" t="n"/>
      <c r="N39" s="1" t="n"/>
      <c r="O39" s="1" t="n"/>
      <c r="P39" s="1" t="n"/>
      <c r="Q39" s="1" t="n"/>
      <c r="R39" s="1" t="n"/>
      <c r="S39" s="1" t="n"/>
      <c r="T39" s="1" t="n"/>
      <c r="U39" s="1" t="n"/>
      <c r="V39" s="1" t="n"/>
      <c r="W39" s="1" t="n"/>
      <c r="X39" s="1" t="n"/>
      <c r="Y39" s="1" t="n"/>
      <c r="Z39" s="1" t="n"/>
      <c r="AA39" s="1" t="n"/>
      <c r="AB39" s="1" t="n"/>
    </row>
    <row r="40">
      <c r="A40" s="1" t="n"/>
      <c r="B40" s="43" t="inlineStr">
        <is>
          <t>NRC approvals and a signed interconnection agreement are due July 2029; missing that gate lets the seller terminate against repayment of advances.</t>
        </is>
      </c>
      <c r="C40" s="1" t="n"/>
      <c r="D40" s="1" t="n"/>
      <c r="E40" s="1" t="n"/>
      <c r="F40" s="1" t="n"/>
      <c r="G40" s="1" t="n"/>
      <c r="H40" s="1" t="n"/>
      <c r="I40" s="1" t="n"/>
      <c r="J40" s="1" t="n"/>
      <c r="K40" s="1" t="n"/>
      <c r="L40" s="1" t="n"/>
      <c r="M40" s="1" t="n"/>
      <c r="N40" s="1" t="n"/>
      <c r="O40" s="1" t="n"/>
      <c r="P40" s="1" t="n"/>
      <c r="Q40" s="1" t="n"/>
      <c r="R40" s="1" t="n"/>
      <c r="S40" s="1" t="n"/>
      <c r="T40" s="1" t="n"/>
      <c r="U40" s="1" t="n"/>
      <c r="V40" s="1" t="n"/>
      <c r="W40" s="1" t="n"/>
      <c r="X40" s="1" t="n"/>
      <c r="Y40" s="1" t="n"/>
      <c r="Z40" s="1" t="n"/>
      <c r="AA40" s="1" t="n"/>
      <c r="AB40" s="1" t="n"/>
    </row>
    <row r="41" ht="17" customHeight="1">
      <c r="A41" s="1" t="n"/>
      <c r="B41" s="22" t="inlineStr">
        <is>
          <t>Under-utilization exposure, years 2+</t>
        </is>
      </c>
      <c r="C41" s="23" t="n"/>
      <c r="D41" s="23" t="n"/>
      <c r="E41" s="23" t="n"/>
      <c r="F41" s="23" t="n"/>
      <c r="G41" s="23" t="n"/>
      <c r="H41" s="23" t="n"/>
      <c r="I41" s="23" t="n"/>
      <c r="J41" s="23" t="n"/>
      <c r="K41" s="23" t="n"/>
      <c r="L41" s="23" t="n"/>
      <c r="M41" s="23" t="n"/>
      <c r="N41" s="23" t="n"/>
      <c r="O41" s="23" t="n"/>
      <c r="P41" s="23" t="n"/>
      <c r="Q41" s="23" t="n"/>
      <c r="R41" s="23" t="n"/>
      <c r="S41" s="23" t="n"/>
      <c r="T41" s="23" t="n"/>
      <c r="U41" s="1" t="n"/>
      <c r="V41" s="1" t="n"/>
      <c r="W41" s="1" t="n"/>
      <c r="X41" s="1" t="n"/>
      <c r="Y41" s="1" t="n"/>
      <c r="Z41" s="1" t="n"/>
      <c r="AA41" s="1" t="n"/>
      <c r="AB41" s="1" t="n"/>
    </row>
    <row r="42">
      <c r="A42" s="1" t="n"/>
      <c r="B42" s="29" t="inlineStr">
        <is>
          <t>Buyer take-up of contracted output</t>
        </is>
      </c>
      <c r="C42" s="1" t="n"/>
      <c r="D42" s="98" t="n">
        <v>0.92</v>
      </c>
      <c r="E42" s="1" t="n"/>
      <c r="F42" s="1" t="n"/>
      <c r="G42" s="1" t="n"/>
      <c r="H42" s="1" t="n"/>
      <c r="I42" s="1" t="n"/>
      <c r="J42" s="1" t="n"/>
      <c r="K42" s="1" t="n"/>
      <c r="L42" s="1" t="n"/>
      <c r="M42" s="1" t="n"/>
      <c r="N42" s="1" t="n"/>
      <c r="O42" s="1" t="n"/>
      <c r="P42" s="1" t="n"/>
      <c r="Q42" s="1" t="n"/>
      <c r="R42" s="1" t="n"/>
      <c r="S42" s="1" t="n"/>
      <c r="T42" s="1" t="n"/>
      <c r="U42" s="1" t="n"/>
      <c r="V42" s="43" t="inlineStr">
        <is>
          <t>Buyer owes the full PPA price on 100% of output whether or not its load absorbs it.</t>
        </is>
      </c>
      <c r="W42" s="1" t="n"/>
      <c r="X42" s="1" t="n"/>
      <c r="Y42" s="1" t="n"/>
      <c r="Z42" s="1" t="n"/>
      <c r="AA42" s="1" t="n"/>
      <c r="AB42" s="1" t="n"/>
    </row>
    <row r="43">
      <c r="A43" s="1" t="n"/>
      <c r="B43" s="29" t="inlineStr">
        <is>
          <t>Spot assessment adder ($/MWh)</t>
        </is>
      </c>
      <c r="C43" s="1" t="n"/>
      <c r="D43" s="97" t="n">
        <v>25</v>
      </c>
      <c r="E43" s="1" t="n"/>
      <c r="F43" s="1" t="n"/>
      <c r="G43" s="1" t="n"/>
      <c r="H43" s="1" t="n"/>
      <c r="I43" s="1" t="n"/>
      <c r="J43" s="1" t="n"/>
      <c r="K43" s="1" t="n"/>
      <c r="L43" s="1" t="n"/>
      <c r="M43" s="1" t="n"/>
      <c r="N43" s="1" t="n"/>
      <c r="O43" s="1" t="n"/>
      <c r="P43" s="1" t="n"/>
      <c r="Q43" s="1" t="n"/>
      <c r="R43" s="1" t="n"/>
      <c r="S43" s="1" t="n"/>
      <c r="T43" s="1" t="n"/>
      <c r="U43" s="1" t="n"/>
      <c r="V43" s="43" t="inlineStr">
        <is>
          <t>Assessed on energy the buyer cannot take, independent of the operator's resale.</t>
        </is>
      </c>
      <c r="W43" s="1" t="n"/>
      <c r="X43" s="1" t="n"/>
      <c r="Y43" s="1" t="n"/>
      <c r="Z43" s="1" t="n"/>
      <c r="AA43" s="1" t="n"/>
      <c r="AB43" s="1" t="n"/>
    </row>
    <row r="44">
      <c r="A44" s="1" t="n"/>
      <c r="B44" s="29" t="inlineStr">
        <is>
          <t>Annual output, two units (MWh)</t>
        </is>
      </c>
      <c r="C44" s="1" t="n"/>
      <c r="D44" s="113">
        <f>sNsmrMwhCycle*sNsmrUnits/sNsmrCycleYrs</f>
        <v/>
      </c>
      <c r="E44" s="1" t="n"/>
      <c r="F44" s="1" t="n"/>
      <c r="G44" s="1" t="n"/>
      <c r="H44" s="1" t="n"/>
      <c r="I44" s="1" t="n"/>
      <c r="J44" s="1" t="n"/>
      <c r="K44" s="1" t="n"/>
      <c r="L44" s="1" t="n"/>
      <c r="M44" s="1" t="n"/>
      <c r="N44" s="1" t="n"/>
      <c r="O44" s="1" t="n"/>
      <c r="P44" s="1" t="n"/>
      <c r="Q44" s="1" t="n"/>
      <c r="R44" s="1" t="n"/>
      <c r="S44" s="1" t="n"/>
      <c r="T44" s="1" t="n"/>
      <c r="U44" s="1" t="n"/>
      <c r="V44" s="43" t="inlineStr"/>
      <c r="W44" s="1" t="n"/>
      <c r="X44" s="1" t="n"/>
      <c r="Y44" s="1" t="n"/>
      <c r="Z44" s="1" t="n"/>
      <c r="AA44" s="1" t="n"/>
      <c r="AB44" s="1" t="n"/>
    </row>
    <row r="45">
      <c r="A45" s="1" t="n"/>
      <c r="B45" s="29" t="inlineStr">
        <is>
          <t>Energy the buyer cannot take (MWh/yr)</t>
        </is>
      </c>
      <c r="C45" s="1" t="n"/>
      <c r="D45" s="113">
        <f>D44*(1-nBuyerTake)</f>
        <v/>
      </c>
      <c r="E45" s="1" t="n"/>
      <c r="F45" s="1" t="n"/>
      <c r="G45" s="1" t="n"/>
      <c r="H45" s="1" t="n"/>
      <c r="I45" s="1" t="n"/>
      <c r="J45" s="1" t="n"/>
      <c r="K45" s="1" t="n"/>
      <c r="L45" s="1" t="n"/>
      <c r="M45" s="1" t="n"/>
      <c r="N45" s="1" t="n"/>
      <c r="O45" s="1" t="n"/>
      <c r="P45" s="1" t="n"/>
      <c r="Q45" s="1" t="n"/>
      <c r="R45" s="1" t="n"/>
      <c r="S45" s="1" t="n"/>
      <c r="T45" s="1" t="n"/>
      <c r="U45" s="1" t="n"/>
      <c r="V45" s="43" t="inlineStr"/>
      <c r="W45" s="1" t="n"/>
      <c r="X45" s="1" t="n"/>
      <c r="Y45" s="1" t="n"/>
      <c r="Z45" s="1" t="n"/>
      <c r="AA45" s="1" t="n"/>
      <c r="AB45" s="1" t="n"/>
    </row>
    <row r="46">
      <c r="A46" s="1" t="n"/>
      <c r="B46" s="20" t="inlineStr">
        <is>
          <t>Liability on untaken energy ($M/yr)</t>
        </is>
      </c>
      <c r="C46" s="1" t="n"/>
      <c r="D46" s="72">
        <f>D45*(NsmrPrice2033+nSpotAssess)/1000000</f>
        <v/>
      </c>
      <c r="E46" s="1" t="n"/>
      <c r="F46" s="1" t="n"/>
      <c r="G46" s="1" t="n"/>
      <c r="H46" s="1" t="n"/>
      <c r="I46" s="1" t="n"/>
      <c r="J46" s="1" t="n"/>
      <c r="K46" s="1" t="n"/>
      <c r="L46" s="1" t="n"/>
      <c r="M46" s="1" t="n"/>
      <c r="N46" s="1" t="n"/>
      <c r="O46" s="1" t="n"/>
      <c r="P46" s="1" t="n"/>
      <c r="Q46" s="1" t="n"/>
      <c r="R46" s="1" t="n"/>
      <c r="S46" s="1" t="n"/>
      <c r="T46" s="1" t="n"/>
      <c r="U46" s="1" t="n"/>
      <c r="V46" s="43" t="inlineStr">
        <is>
          <t>Full contract price plus the spot assessment; the steepest recurring buyer-side exposure in the structure.</t>
        </is>
      </c>
      <c r="W46" s="1" t="n"/>
      <c r="X46" s="1" t="n"/>
      <c r="Y46" s="1" t="n"/>
      <c r="Z46" s="1" t="n"/>
      <c r="AA46" s="1" t="n"/>
      <c r="AB46" s="1" t="n"/>
    </row>
    <row r="47">
      <c r="A47" s="1" t="n"/>
      <c r="B47" s="29" t="inlineStr">
        <is>
          <t>Operator resale at merchant, context ($M/yr)</t>
        </is>
      </c>
      <c r="C47" s="1" t="n"/>
      <c r="D47" s="63">
        <f>D45*nPower/1000000</f>
        <v/>
      </c>
      <c r="E47" s="1" t="n"/>
      <c r="F47" s="1" t="n"/>
      <c r="G47" s="1" t="n"/>
      <c r="H47" s="1" t="n"/>
      <c r="I47" s="1" t="n"/>
      <c r="J47" s="1" t="n"/>
      <c r="K47" s="1" t="n"/>
      <c r="L47" s="1" t="n"/>
      <c r="M47" s="1" t="n"/>
      <c r="N47" s="1" t="n"/>
      <c r="O47" s="1" t="n"/>
      <c r="P47" s="1" t="n"/>
      <c r="Q47" s="1" t="n"/>
      <c r="R47" s="1" t="n"/>
      <c r="S47" s="1" t="n"/>
      <c r="T47" s="1" t="n"/>
      <c r="U47" s="1" t="n"/>
      <c r="V47" s="43" t="inlineStr">
        <is>
          <t>The operator turns to the same spot market with the energy; the buyer's assessment does not net against it.</t>
        </is>
      </c>
      <c r="W47" s="1" t="n"/>
      <c r="X47" s="1" t="n"/>
      <c r="Y47" s="1" t="n"/>
      <c r="Z47" s="1" t="n"/>
      <c r="AA47" s="1" t="n"/>
      <c r="AB47" s="1" t="n"/>
    </row>
    <row r="48">
      <c r="A48" s="1" t="n"/>
      <c r="B48" s="1" t="n"/>
      <c r="C48" s="1" t="n"/>
      <c r="D48" s="1" t="n"/>
      <c r="E48" s="1" t="n"/>
      <c r="F48" s="1" t="n"/>
      <c r="G48" s="1" t="n"/>
      <c r="H48" s="1" t="n"/>
      <c r="I48" s="1" t="n"/>
      <c r="J48" s="1" t="n"/>
      <c r="K48" s="1" t="n"/>
      <c r="L48" s="1" t="n"/>
      <c r="M48" s="1" t="n"/>
      <c r="N48" s="1" t="n"/>
      <c r="O48" s="1" t="n"/>
      <c r="P48" s="1" t="n"/>
      <c r="Q48" s="1" t="n"/>
      <c r="R48" s="1" t="n"/>
      <c r="S48" s="1" t="n"/>
      <c r="T48" s="1" t="n"/>
      <c r="U48" s="1" t="n"/>
      <c r="V48" s="1" t="n"/>
      <c r="W48" s="1" t="n"/>
      <c r="X48" s="1" t="n"/>
      <c r="Y48" s="1" t="n"/>
      <c r="Z48" s="1" t="n"/>
      <c r="AA48" s="1" t="n"/>
      <c r="AB48" s="1" t="n"/>
    </row>
    <row r="49" ht="17" customHeight="1">
      <c r="A49" s="1" t="n"/>
      <c r="B49" s="22" t="inlineStr">
        <is>
          <t>Output guarantee and shortfall damages</t>
        </is>
      </c>
      <c r="C49" s="23" t="n"/>
      <c r="D49" s="23" t="n"/>
      <c r="E49" s="23" t="n"/>
      <c r="F49" s="23" t="n"/>
      <c r="G49" s="23" t="n"/>
      <c r="H49" s="23" t="n"/>
      <c r="I49" s="23" t="n"/>
      <c r="J49" s="23" t="n"/>
      <c r="K49" s="23" t="n"/>
      <c r="L49" s="23" t="n"/>
      <c r="M49" s="23" t="n"/>
      <c r="N49" s="23" t="n"/>
      <c r="O49" s="23" t="n"/>
      <c r="P49" s="23" t="n"/>
      <c r="Q49" s="23" t="n"/>
      <c r="R49" s="23" t="n"/>
      <c r="S49" s="23" t="n"/>
      <c r="T49" s="23" t="n"/>
      <c r="U49" s="1" t="n"/>
      <c r="V49" s="1" t="n"/>
      <c r="W49" s="1" t="n"/>
      <c r="X49" s="1" t="n"/>
      <c r="Y49" s="1" t="n"/>
      <c r="Z49" s="1" t="n"/>
      <c r="AA49" s="1" t="n"/>
      <c r="AB49" s="1" t="n"/>
    </row>
    <row r="50">
      <c r="A50" s="1" t="n"/>
      <c r="B50" s="29" t="inlineStr">
        <is>
          <t>Availability outcome, modeled</t>
        </is>
      </c>
      <c r="C50" s="1" t="n"/>
      <c r="D50" s="101" t="n">
        <v>0.88</v>
      </c>
      <c r="E50" s="1" t="n"/>
      <c r="F50" s="1" t="n"/>
      <c r="G50" s="1" t="n"/>
      <c r="H50" s="1" t="n"/>
      <c r="I50" s="1" t="n"/>
      <c r="J50" s="1" t="n"/>
      <c r="K50" s="1" t="n"/>
      <c r="L50" s="1" t="n"/>
      <c r="M50" s="1" t="n"/>
      <c r="N50" s="1" t="n"/>
      <c r="O50" s="1" t="n"/>
      <c r="P50" s="1" t="n"/>
      <c r="Q50" s="1" t="n"/>
      <c r="R50" s="1" t="n"/>
      <c r="S50" s="1" t="n"/>
      <c r="T50" s="1" t="n"/>
      <c r="U50" s="1" t="n"/>
      <c r="V50" s="43" t="inlineStr">
        <is>
          <t>Set below the guarantee to price a shortfall year.</t>
        </is>
      </c>
      <c r="W50" s="1" t="n"/>
      <c r="X50" s="1" t="n"/>
      <c r="Y50" s="1" t="n"/>
      <c r="Z50" s="1" t="n"/>
      <c r="AA50" s="1" t="n"/>
      <c r="AB50" s="1" t="n"/>
    </row>
    <row r="51">
      <c r="A51" s="1" t="n"/>
      <c r="B51" s="29" t="inlineStr">
        <is>
          <t>Shortfall vs years-2+ guarantee (MWh/yr)</t>
        </is>
      </c>
      <c r="C51" s="1" t="n"/>
      <c r="D51" s="113">
        <f>MAX(0,sNsmrAvailY2-nAvailReal)*sNsmrUnitMw*sNsmrUnits*8760</f>
        <v/>
      </c>
      <c r="E51" s="1" t="n"/>
      <c r="F51" s="1" t="n"/>
      <c r="G51" s="1" t="n"/>
      <c r="H51" s="1" t="n"/>
      <c r="I51" s="1" t="n"/>
      <c r="J51" s="1" t="n"/>
      <c r="K51" s="1" t="n"/>
      <c r="L51" s="1" t="n"/>
      <c r="M51" s="1" t="n"/>
      <c r="N51" s="1" t="n"/>
      <c r="O51" s="1" t="n"/>
      <c r="P51" s="1" t="n"/>
      <c r="Q51" s="1" t="n"/>
      <c r="R51" s="1" t="n"/>
      <c r="S51" s="1" t="n"/>
      <c r="T51" s="1" t="n"/>
      <c r="U51" s="1" t="n"/>
      <c r="V51" s="43" t="inlineStr"/>
      <c r="W51" s="1" t="n"/>
      <c r="X51" s="1" t="n"/>
      <c r="Y51" s="1" t="n"/>
      <c r="Z51" s="1" t="n"/>
      <c r="AA51" s="1" t="n"/>
      <c r="AB51" s="1" t="n"/>
    </row>
    <row r="52">
      <c r="A52" s="1" t="n"/>
      <c r="B52" s="29" t="inlineStr">
        <is>
          <t>Shortfall damages cap per 12-month period ($M)</t>
        </is>
      </c>
      <c r="C52" s="1" t="n"/>
      <c r="D52" s="99" t="n">
        <v>40</v>
      </c>
      <c r="E52" s="1" t="n"/>
      <c r="F52" s="1" t="n"/>
      <c r="G52" s="1" t="n"/>
      <c r="H52" s="1" t="n"/>
      <c r="I52" s="1" t="n"/>
      <c r="J52" s="1" t="n"/>
      <c r="K52" s="1" t="n"/>
      <c r="L52" s="1" t="n"/>
      <c r="M52" s="1" t="n"/>
      <c r="N52" s="1" t="n"/>
      <c r="O52" s="1" t="n"/>
      <c r="P52" s="1" t="n"/>
      <c r="Q52" s="1" t="n"/>
      <c r="R52" s="1" t="n"/>
      <c r="S52" s="1" t="n"/>
      <c r="T52" s="1" t="n"/>
      <c r="U52" s="1" t="n"/>
      <c r="V52" s="43" t="inlineStr">
        <is>
          <t>The cap is a seller proposal still in red ink, not a settled term.</t>
        </is>
      </c>
      <c r="W52" s="1" t="n"/>
      <c r="X52" s="1" t="n"/>
      <c r="Y52" s="1" t="n"/>
      <c r="Z52" s="1" t="n"/>
      <c r="AA52" s="1" t="n"/>
      <c r="AB52" s="1" t="n"/>
    </row>
    <row r="53">
      <c r="A53" s="1" t="n"/>
      <c r="B53" s="20" t="inlineStr">
        <is>
          <t>Shortfall damages, capped ($M/yr)</t>
        </is>
      </c>
      <c r="C53" s="1" t="n"/>
      <c r="D53" s="72">
        <f>MIN(nShortfallCapM,D51*NsmrPrice2033/1000000)</f>
        <v/>
      </c>
      <c r="E53" s="1" t="n"/>
      <c r="F53" s="1" t="n"/>
      <c r="G53" s="1" t="n"/>
      <c r="H53" s="1" t="n"/>
      <c r="I53" s="1" t="n"/>
      <c r="J53" s="1" t="n"/>
      <c r="K53" s="1" t="n"/>
      <c r="L53" s="1" t="n"/>
      <c r="M53" s="1" t="n"/>
      <c r="N53" s="1" t="n"/>
      <c r="O53" s="1" t="n"/>
      <c r="P53" s="1" t="n"/>
      <c r="Q53" s="1" t="n"/>
      <c r="R53" s="1" t="n"/>
      <c r="S53" s="1" t="n"/>
      <c r="T53" s="1" t="n"/>
      <c r="U53" s="1" t="n"/>
      <c r="V53" s="43" t="inlineStr">
        <is>
          <t>Two consecutive failed periods hand the buyer a termination right; breach damages are not explicitly capped.</t>
        </is>
      </c>
      <c r="W53" s="1" t="n"/>
      <c r="X53" s="1" t="n"/>
      <c r="Y53" s="1" t="n"/>
      <c r="Z53" s="1" t="n"/>
      <c r="AA53" s="1" t="n"/>
      <c r="AB53" s="1" t="n"/>
    </row>
    <row r="54">
      <c r="A54" s="1" t="n"/>
      <c r="B54" s="1" t="n"/>
      <c r="C54" s="1" t="n"/>
      <c r="D54" s="1" t="n"/>
      <c r="E54" s="1" t="n"/>
      <c r="F54" s="1" t="n"/>
      <c r="G54" s="1" t="n"/>
      <c r="H54" s="1" t="n"/>
      <c r="I54" s="1" t="n"/>
      <c r="J54" s="1" t="n"/>
      <c r="K54" s="1" t="n"/>
      <c r="L54" s="1" t="n"/>
      <c r="M54" s="1" t="n"/>
      <c r="N54" s="1" t="n"/>
      <c r="O54" s="1" t="n"/>
      <c r="P54" s="1" t="n"/>
      <c r="Q54" s="1" t="n"/>
      <c r="R54" s="1" t="n"/>
      <c r="S54" s="1" t="n"/>
      <c r="T54" s="1" t="n"/>
      <c r="U54" s="1" t="n"/>
      <c r="V54" s="1" t="n"/>
      <c r="W54" s="1" t="n"/>
      <c r="X54" s="1" t="n"/>
      <c r="Y54" s="1" t="n"/>
      <c r="Z54" s="1" t="n"/>
      <c r="AA54" s="1" t="n"/>
      <c r="AB54" s="1" t="n"/>
    </row>
    <row r="55">
      <c r="A55" s="1" t="n"/>
      <c r="B55" s="43" t="inlineStr">
        <is>
          <t>The asymmetry: the operator's downside runs through capped period damages into uncapped breach damages and termination; the buyer's is bounded by the assessment above.</t>
        </is>
      </c>
      <c r="C55" s="1" t="n"/>
      <c r="D55" s="1" t="n"/>
      <c r="E55" s="1" t="n"/>
      <c r="F55" s="1" t="n"/>
      <c r="G55" s="1" t="n"/>
      <c r="H55" s="1" t="n"/>
      <c r="I55" s="1" t="n"/>
      <c r="J55" s="1" t="n"/>
      <c r="K55" s="1" t="n"/>
      <c r="L55" s="1" t="n"/>
      <c r="M55" s="1" t="n"/>
      <c r="N55" s="1" t="n"/>
      <c r="O55" s="1" t="n"/>
      <c r="P55" s="1" t="n"/>
      <c r="Q55" s="1" t="n"/>
      <c r="R55" s="1" t="n"/>
      <c r="S55" s="1" t="n"/>
      <c r="T55" s="1" t="n"/>
      <c r="U55" s="1" t="n"/>
      <c r="V55" s="1" t="n"/>
      <c r="W55" s="1" t="n"/>
      <c r="X55" s="1" t="n"/>
      <c r="Y55" s="1" t="n"/>
      <c r="Z55" s="1" t="n"/>
      <c r="AA55" s="1" t="n"/>
      <c r="AB55" s="1" t="n"/>
    </row>
    <row r="56">
      <c r="A56" s="1" t="n"/>
      <c r="B56" s="1" t="n"/>
      <c r="C56" s="1" t="n"/>
      <c r="D56" s="1" t="n"/>
      <c r="E56" s="1" t="n"/>
      <c r="F56" s="1" t="n"/>
      <c r="G56" s="1" t="n"/>
      <c r="H56" s="1" t="n"/>
      <c r="I56" s="1" t="n"/>
      <c r="J56" s="1" t="n"/>
      <c r="K56" s="1" t="n"/>
      <c r="L56" s="1" t="n"/>
      <c r="M56" s="1" t="n"/>
      <c r="N56" s="1" t="n"/>
      <c r="O56" s="1" t="n"/>
      <c r="P56" s="1" t="n"/>
      <c r="Q56" s="1" t="n"/>
      <c r="R56" s="1" t="n"/>
      <c r="S56" s="1" t="n"/>
      <c r="T56" s="1" t="n"/>
      <c r="U56" s="1" t="n"/>
      <c r="V56" s="1" t="n"/>
      <c r="W56" s="1" t="n"/>
      <c r="X56" s="1" t="n"/>
      <c r="Y56" s="1" t="n"/>
      <c r="Z56" s="1" t="n"/>
      <c r="AA56" s="1" t="n"/>
      <c r="AB56" s="1" t="n"/>
    </row>
    <row r="57" ht="17" customHeight="1">
      <c r="A57" s="1" t="n"/>
      <c r="B57" s="22" t="inlineStr">
        <is>
          <t>Change-of-law waterfall</t>
        </is>
      </c>
      <c r="C57" s="23" t="n"/>
      <c r="D57" s="23" t="n"/>
      <c r="E57" s="23" t="n"/>
      <c r="F57" s="23" t="n"/>
      <c r="G57" s="23" t="n"/>
      <c r="H57" s="23" t="n"/>
      <c r="I57" s="23" t="n"/>
      <c r="J57" s="23" t="n"/>
      <c r="K57" s="23" t="n"/>
      <c r="L57" s="23" t="n"/>
      <c r="M57" s="23" t="n"/>
      <c r="N57" s="23" t="n"/>
      <c r="O57" s="23" t="n"/>
      <c r="P57" s="23" t="n"/>
      <c r="Q57" s="23" t="n"/>
      <c r="R57" s="23" t="n"/>
      <c r="S57" s="23" t="n"/>
      <c r="T57" s="23" t="n"/>
      <c r="U57" s="1" t="n"/>
      <c r="V57" s="1" t="n"/>
      <c r="W57" s="1" t="n"/>
      <c r="X57" s="1" t="n"/>
      <c r="Y57" s="1" t="n"/>
      <c r="Z57" s="1" t="n"/>
      <c r="AA57" s="1" t="n"/>
      <c r="AB57" s="1" t="n"/>
    </row>
    <row r="58">
      <c r="A58" s="1" t="n"/>
      <c r="B58" s="29" t="inlineStr">
        <is>
          <t>Stress loss, modeled ($M)</t>
        </is>
      </c>
      <c r="C58" s="1" t="n"/>
      <c r="D58" s="99" t="n">
        <v>100</v>
      </c>
      <c r="E58" s="1" t="n"/>
      <c r="F58" s="1" t="n"/>
      <c r="G58" s="1" t="n"/>
      <c r="H58" s="1" t="n"/>
      <c r="I58" s="1" t="n"/>
      <c r="J58" s="1" t="n"/>
      <c r="K58" s="1" t="n"/>
      <c r="L58" s="1" t="n"/>
      <c r="M58" s="1" t="n"/>
      <c r="N58" s="1" t="n"/>
      <c r="O58" s="1" t="n"/>
      <c r="P58" s="1" t="n"/>
      <c r="Q58" s="1" t="n"/>
      <c r="R58" s="1" t="n"/>
      <c r="S58" s="1" t="n"/>
      <c r="T58" s="1" t="n"/>
      <c r="U58" s="1" t="n"/>
      <c r="V58" s="43" t="inlineStr">
        <is>
          <t>A no-fault change of law lands a loss on the structure; the tiers decide who eats it.</t>
        </is>
      </c>
      <c r="W58" s="1" t="n"/>
      <c r="X58" s="1" t="n"/>
      <c r="Y58" s="1" t="n"/>
      <c r="Z58" s="1" t="n"/>
      <c r="AA58" s="1" t="n"/>
      <c r="AB58" s="1" t="n"/>
    </row>
    <row r="59">
      <c r="A59" s="1" t="n"/>
      <c r="B59" s="29" t="inlineStr">
        <is>
          <t>Buyer first-loss tier, cap ($M)</t>
        </is>
      </c>
      <c r="C59" s="1" t="n"/>
      <c r="D59" s="99" t="n">
        <v>50</v>
      </c>
      <c r="E59" s="1" t="n"/>
      <c r="F59" s="1" t="n"/>
      <c r="G59" s="1" t="n"/>
      <c r="H59" s="1" t="n"/>
      <c r="I59" s="1" t="n"/>
      <c r="J59" s="1" t="n"/>
      <c r="K59" s="1" t="n"/>
      <c r="L59" s="1" t="n"/>
      <c r="M59" s="1" t="n"/>
      <c r="N59" s="1" t="n"/>
      <c r="O59" s="1" t="n"/>
      <c r="P59" s="1" t="n"/>
      <c r="Q59" s="1" t="n"/>
      <c r="R59" s="1" t="n"/>
      <c r="S59" s="1" t="n"/>
      <c r="T59" s="1" t="n"/>
      <c r="U59" s="1" t="n"/>
      <c r="V59" s="43" t="inlineStr">
        <is>
          <t>The buyer absorbs first, up to this threshold.</t>
        </is>
      </c>
      <c r="W59" s="1" t="n"/>
      <c r="X59" s="1" t="n"/>
      <c r="Y59" s="1" t="n"/>
      <c r="Z59" s="1" t="n"/>
      <c r="AA59" s="1" t="n"/>
      <c r="AB59" s="1" t="n"/>
    </row>
    <row r="60">
      <c r="A60" s="1" t="n"/>
      <c r="B60" s="29" t="inlineStr">
        <is>
          <t>Seller second tier, cap ($M)</t>
        </is>
      </c>
      <c r="C60" s="1" t="n"/>
      <c r="D60" s="99" t="n">
        <v>150</v>
      </c>
      <c r="E60" s="1" t="n"/>
      <c r="F60" s="1" t="n"/>
      <c r="G60" s="1" t="n"/>
      <c r="H60" s="1" t="n"/>
      <c r="I60" s="1" t="n"/>
      <c r="J60" s="1" t="n"/>
      <c r="K60" s="1" t="n"/>
      <c r="L60" s="1" t="n"/>
      <c r="M60" s="1" t="n"/>
      <c r="N60" s="1" t="n"/>
      <c r="O60" s="1" t="n"/>
      <c r="P60" s="1" t="n"/>
      <c r="Q60" s="1" t="n"/>
      <c r="R60" s="1" t="n"/>
      <c r="S60" s="1" t="n"/>
      <c r="T60" s="1" t="n"/>
      <c r="U60" s="1" t="n"/>
      <c r="V60" s="43" t="inlineStr">
        <is>
          <t>The seller takes the next layer.</t>
        </is>
      </c>
      <c r="W60" s="1" t="n"/>
      <c r="X60" s="1" t="n"/>
      <c r="Y60" s="1" t="n"/>
      <c r="Z60" s="1" t="n"/>
      <c r="AA60" s="1" t="n"/>
      <c r="AB60" s="1" t="n"/>
    </row>
    <row r="61">
      <c r="A61" s="1" t="n"/>
      <c r="B61" s="29" t="inlineStr">
        <is>
          <t>Buyer absorbs ($M)</t>
        </is>
      </c>
      <c r="C61" s="1" t="n"/>
      <c r="D61" s="63">
        <f>MIN(nColStress,nColT1)</f>
        <v/>
      </c>
      <c r="E61" s="1" t="n"/>
      <c r="F61" s="1" t="n"/>
      <c r="G61" s="1" t="n"/>
      <c r="H61" s="1" t="n"/>
      <c r="I61" s="1" t="n"/>
      <c r="J61" s="1" t="n"/>
      <c r="K61" s="1" t="n"/>
      <c r="L61" s="1" t="n"/>
      <c r="M61" s="1" t="n"/>
      <c r="N61" s="1" t="n"/>
      <c r="O61" s="1" t="n"/>
      <c r="P61" s="1" t="n"/>
      <c r="Q61" s="1" t="n"/>
      <c r="R61" s="1" t="n"/>
      <c r="S61" s="1" t="n"/>
      <c r="T61" s="1" t="n"/>
      <c r="U61" s="1" t="n"/>
      <c r="V61" s="43" t="inlineStr"/>
      <c r="W61" s="1" t="n"/>
      <c r="X61" s="1" t="n"/>
      <c r="Y61" s="1" t="n"/>
      <c r="Z61" s="1" t="n"/>
      <c r="AA61" s="1" t="n"/>
      <c r="AB61" s="1" t="n"/>
    </row>
    <row r="62">
      <c r="A62" s="1" t="n"/>
      <c r="B62" s="29" t="inlineStr">
        <is>
          <t>Seller absorbs ($M)</t>
        </is>
      </c>
      <c r="C62" s="1" t="n"/>
      <c r="D62" s="63">
        <f>MIN(MAX(nColStress-nColT1,0),nColT2)</f>
        <v/>
      </c>
      <c r="E62" s="1" t="n"/>
      <c r="F62" s="1" t="n"/>
      <c r="G62" s="1" t="n"/>
      <c r="H62" s="1" t="n"/>
      <c r="I62" s="1" t="n"/>
      <c r="J62" s="1" t="n"/>
      <c r="K62" s="1" t="n"/>
      <c r="L62" s="1" t="n"/>
      <c r="M62" s="1" t="n"/>
      <c r="N62" s="1" t="n"/>
      <c r="O62" s="1" t="n"/>
      <c r="P62" s="1" t="n"/>
      <c r="Q62" s="1" t="n"/>
      <c r="R62" s="1" t="n"/>
      <c r="S62" s="1" t="n"/>
      <c r="T62" s="1" t="n"/>
      <c r="U62" s="1" t="n"/>
      <c r="V62" s="43" t="inlineStr"/>
      <c r="W62" s="1" t="n"/>
      <c r="X62" s="1" t="n"/>
      <c r="Y62" s="1" t="n"/>
      <c r="Z62" s="1" t="n"/>
      <c r="AA62" s="1" t="n"/>
      <c r="AB62" s="1" t="n"/>
    </row>
    <row r="63">
      <c r="A63" s="1" t="n"/>
      <c r="B63" s="29" t="inlineStr">
        <is>
          <t>Shared beyond both tiers, each party ($M)</t>
        </is>
      </c>
      <c r="C63" s="1" t="n"/>
      <c r="D63" s="63">
        <f>MAX(nColStress-nColT1-nColT2,0)/2</f>
        <v/>
      </c>
      <c r="E63" s="1" t="n"/>
      <c r="F63" s="1" t="n"/>
      <c r="G63" s="1" t="n"/>
      <c r="H63" s="1" t="n"/>
      <c r="I63" s="1" t="n"/>
      <c r="J63" s="1" t="n"/>
      <c r="K63" s="1" t="n"/>
      <c r="L63" s="1" t="n"/>
      <c r="M63" s="1" t="n"/>
      <c r="N63" s="1" t="n"/>
      <c r="O63" s="1" t="n"/>
      <c r="P63" s="1" t="n"/>
      <c r="Q63" s="1" t="n"/>
      <c r="R63" s="1" t="n"/>
      <c r="S63" s="1" t="n"/>
      <c r="T63" s="1" t="n"/>
      <c r="U63" s="1" t="n"/>
      <c r="V63" s="43" t="inlineStr">
        <is>
          <t>Catastrophic remainder splits evenly, down to bankruptcy if needed.</t>
        </is>
      </c>
      <c r="W63" s="1" t="n"/>
      <c r="X63" s="1" t="n"/>
      <c r="Y63" s="1" t="n"/>
      <c r="Z63" s="1" t="n"/>
      <c r="AA63" s="1" t="n"/>
      <c r="AB63" s="1" t="n"/>
    </row>
    <row r="64">
      <c r="A64" s="1" t="n"/>
      <c r="B64" s="20" t="inlineStr">
        <is>
          <t>Total allocated ($M)</t>
        </is>
      </c>
      <c r="C64" s="1" t="n"/>
      <c r="D64" s="72">
        <f>D61+D62+2*D63</f>
        <v/>
      </c>
      <c r="E64" s="1" t="n"/>
      <c r="F64" s="1" t="n"/>
      <c r="G64" s="1" t="n"/>
      <c r="H64" s="1" t="n"/>
      <c r="I64" s="1" t="n"/>
      <c r="J64" s="1" t="n"/>
      <c r="K64" s="1" t="n"/>
      <c r="L64" s="1" t="n"/>
      <c r="M64" s="1" t="n"/>
      <c r="N64" s="1" t="n"/>
      <c r="O64" s="1" t="n"/>
      <c r="P64" s="1" t="n"/>
      <c r="Q64" s="1" t="n"/>
      <c r="R64" s="1" t="n"/>
      <c r="S64" s="1" t="n"/>
      <c r="T64" s="1" t="n"/>
      <c r="U64" s="1" t="n"/>
      <c r="V64" s="43" t="inlineStr">
        <is>
          <t>Reconciles to the stress loss on Checks.</t>
        </is>
      </c>
      <c r="W64" s="1" t="n"/>
      <c r="X64" s="1" t="n"/>
      <c r="Y64" s="1" t="n"/>
      <c r="Z64" s="1" t="n"/>
      <c r="AA64" s="1" t="n"/>
      <c r="AB64" s="1" t="n"/>
    </row>
    <row r="65">
      <c r="A65" s="1" t="n"/>
      <c r="B65" s="1" t="n"/>
      <c r="C65" s="1" t="n"/>
      <c r="D65" s="1" t="n"/>
      <c r="E65" s="1" t="n"/>
      <c r="F65" s="1" t="n"/>
      <c r="G65" s="1" t="n"/>
      <c r="H65" s="1" t="n"/>
      <c r="I65" s="1" t="n"/>
      <c r="J65" s="1" t="n"/>
      <c r="K65" s="1" t="n"/>
      <c r="L65" s="1" t="n"/>
      <c r="M65" s="1" t="n"/>
      <c r="N65" s="1" t="n"/>
      <c r="O65" s="1" t="n"/>
      <c r="P65" s="1" t="n"/>
      <c r="Q65" s="1" t="n"/>
      <c r="R65" s="1" t="n"/>
      <c r="S65" s="1" t="n"/>
      <c r="T65" s="1" t="n"/>
      <c r="U65" s="1" t="n"/>
      <c r="V65" s="1" t="n"/>
      <c r="W65" s="1" t="n"/>
      <c r="X65" s="1" t="n"/>
      <c r="Y65" s="1" t="n"/>
      <c r="Z65" s="1" t="n"/>
      <c r="AA65" s="1" t="n"/>
      <c r="AB65" s="1" t="n"/>
    </row>
    <row r="66" ht="17" customHeight="1">
      <c r="A66" s="1" t="n"/>
      <c r="B66" s="22" t="inlineStr">
        <is>
          <t>Covenants and liquidity</t>
        </is>
      </c>
      <c r="C66" s="23" t="n"/>
      <c r="D66" s="23" t="n"/>
      <c r="E66" s="23" t="n"/>
      <c r="F66" s="23" t="n"/>
      <c r="G66" s="23" t="n"/>
      <c r="H66" s="23" t="n"/>
      <c r="I66" s="23" t="n"/>
      <c r="J66" s="23" t="n"/>
      <c r="K66" s="23" t="n"/>
      <c r="L66" s="23" t="n"/>
      <c r="M66" s="23" t="n"/>
      <c r="N66" s="23" t="n"/>
      <c r="O66" s="23" t="n"/>
      <c r="P66" s="23" t="n"/>
      <c r="Q66" s="23" t="n"/>
      <c r="R66" s="23" t="n"/>
      <c r="S66" s="23" t="n"/>
      <c r="T66" s="23" t="n"/>
      <c r="U66" s="1" t="n"/>
      <c r="V66" s="1" t="n"/>
      <c r="W66" s="1" t="n"/>
      <c r="X66" s="1" t="n"/>
      <c r="Y66" s="1" t="n"/>
      <c r="Z66" s="1" t="n"/>
      <c r="AA66" s="1" t="n"/>
      <c r="AB66" s="1" t="n"/>
    </row>
    <row r="67">
      <c r="A67" s="1" t="n"/>
      <c r="B67" s="29" t="inlineStr">
        <is>
          <t>Initial deposits required ($M)</t>
        </is>
      </c>
      <c r="C67" s="1" t="n"/>
      <c r="D67" s="99" t="n">
        <v>75</v>
      </c>
      <c r="E67" s="1" t="n"/>
      <c r="F67" s="1" t="n"/>
      <c r="G67" s="1" t="n"/>
      <c r="H67" s="1" t="n"/>
      <c r="I67" s="1" t="n"/>
      <c r="J67" s="1" t="n"/>
      <c r="K67" s="1" t="n"/>
      <c r="L67" s="1" t="n"/>
      <c r="M67" s="1" t="n"/>
      <c r="N67" s="1" t="n"/>
      <c r="O67" s="1" t="n"/>
      <c r="P67" s="1" t="n"/>
      <c r="Q67" s="1" t="n"/>
      <c r="R67" s="1" t="n"/>
      <c r="S67" s="1" t="n"/>
      <c r="T67" s="1" t="n"/>
      <c r="U67" s="1" t="n"/>
      <c r="V67" s="43" t="inlineStr">
        <is>
          <t>Collateral agents require funded accounts before first power.</t>
        </is>
      </c>
      <c r="W67" s="1" t="n"/>
      <c r="X67" s="1" t="n"/>
      <c r="Y67" s="1" t="n"/>
      <c r="Z67" s="1" t="n"/>
      <c r="AA67" s="1" t="n"/>
      <c r="AB67" s="1" t="n"/>
    </row>
    <row r="68">
      <c r="A68" s="1" t="n"/>
      <c r="B68" s="29" t="inlineStr">
        <is>
          <t>Escrow accounts ($M)</t>
        </is>
      </c>
      <c r="C68" s="1" t="n"/>
      <c r="D68" s="99" t="n">
        <v>40</v>
      </c>
      <c r="E68" s="1" t="n"/>
      <c r="F68" s="1" t="n"/>
      <c r="G68" s="1" t="n"/>
      <c r="H68" s="1" t="n"/>
      <c r="I68" s="1" t="n"/>
      <c r="J68" s="1" t="n"/>
      <c r="K68" s="1" t="n"/>
      <c r="L68" s="1" t="n"/>
      <c r="M68" s="1" t="n"/>
      <c r="N68" s="1" t="n"/>
      <c r="O68" s="1" t="n"/>
      <c r="P68" s="1" t="n"/>
      <c r="Q68" s="1" t="n"/>
      <c r="R68" s="1" t="n"/>
      <c r="S68" s="1" t="n"/>
      <c r="T68" s="1" t="n"/>
      <c r="U68" s="1" t="n"/>
      <c r="V68" s="43" t="inlineStr"/>
      <c r="W68" s="1" t="n"/>
      <c r="X68" s="1" t="n"/>
      <c r="Y68" s="1" t="n"/>
      <c r="Z68" s="1" t="n"/>
      <c r="AA68" s="1" t="n"/>
      <c r="AB68" s="1" t="n"/>
    </row>
    <row r="69">
      <c r="A69" s="1" t="n"/>
      <c r="B69" s="29" t="inlineStr">
        <is>
          <t>Operating accounts ($M)</t>
        </is>
      </c>
      <c r="C69" s="1" t="n"/>
      <c r="D69" s="99" t="n">
        <v>25</v>
      </c>
      <c r="E69" s="1" t="n"/>
      <c r="F69" s="1" t="n"/>
      <c r="G69" s="1" t="n"/>
      <c r="H69" s="1" t="n"/>
      <c r="I69" s="1" t="n"/>
      <c r="J69" s="1" t="n"/>
      <c r="K69" s="1" t="n"/>
      <c r="L69" s="1" t="n"/>
      <c r="M69" s="1" t="n"/>
      <c r="N69" s="1" t="n"/>
      <c r="O69" s="1" t="n"/>
      <c r="P69" s="1" t="n"/>
      <c r="Q69" s="1" t="n"/>
      <c r="R69" s="1" t="n"/>
      <c r="S69" s="1" t="n"/>
      <c r="T69" s="1" t="n"/>
      <c r="U69" s="1" t="n"/>
      <c r="V69" s="43" t="inlineStr"/>
      <c r="W69" s="1" t="n"/>
      <c r="X69" s="1" t="n"/>
      <c r="Y69" s="1" t="n"/>
      <c r="Z69" s="1" t="n"/>
      <c r="AA69" s="1" t="n"/>
      <c r="AB69" s="1" t="n"/>
    </row>
    <row r="70">
      <c r="A70" s="1" t="n"/>
      <c r="B70" s="29" t="inlineStr">
        <is>
          <t>Maintenance accounts ($M)</t>
        </is>
      </c>
      <c r="C70" s="1" t="n"/>
      <c r="D70" s="99" t="n">
        <v>20</v>
      </c>
      <c r="E70" s="1" t="n"/>
      <c r="F70" s="1" t="n"/>
      <c r="G70" s="1" t="n"/>
      <c r="H70" s="1" t="n"/>
      <c r="I70" s="1" t="n"/>
      <c r="J70" s="1" t="n"/>
      <c r="K70" s="1" t="n"/>
      <c r="L70" s="1" t="n"/>
      <c r="M70" s="1" t="n"/>
      <c r="N70" s="1" t="n"/>
      <c r="O70" s="1" t="n"/>
      <c r="P70" s="1" t="n"/>
      <c r="Q70" s="1" t="n"/>
      <c r="R70" s="1" t="n"/>
      <c r="S70" s="1" t="n"/>
      <c r="T70" s="1" t="n"/>
      <c r="U70" s="1" t="n"/>
      <c r="V70" s="43" t="inlineStr"/>
      <c r="W70" s="1" t="n"/>
      <c r="X70" s="1" t="n"/>
      <c r="Y70" s="1" t="n"/>
      <c r="Z70" s="1" t="n"/>
      <c r="AA70" s="1" t="n"/>
      <c r="AB70" s="1" t="n"/>
    </row>
    <row r="71">
      <c r="A71" s="1" t="n"/>
      <c r="B71" s="20" t="inlineStr">
        <is>
          <t>Liquidity posted before first power ($M)</t>
        </is>
      </c>
      <c r="C71" s="1" t="n"/>
      <c r="D71" s="47">
        <f>nDepositM+nEscrowM+nOpAcctM+nMaintAcctM</f>
        <v/>
      </c>
      <c r="E71" s="1" t="n"/>
      <c r="F71" s="1" t="n"/>
      <c r="G71" s="1" t="n"/>
      <c r="H71" s="1" t="n"/>
      <c r="I71" s="1" t="n"/>
      <c r="J71" s="1" t="n"/>
      <c r="K71" s="1" t="n"/>
      <c r="L71" s="1" t="n"/>
      <c r="M71" s="1" t="n"/>
      <c r="N71" s="1" t="n"/>
      <c r="O71" s="1" t="n"/>
      <c r="P71" s="1" t="n"/>
      <c r="Q71" s="1" t="n"/>
      <c r="R71" s="1" t="n"/>
      <c r="S71" s="1" t="n"/>
      <c r="T71" s="1" t="n"/>
      <c r="U71" s="1" t="n"/>
      <c r="V71" s="1" t="n"/>
      <c r="W71" s="1" t="n"/>
      <c r="X71" s="1" t="n"/>
      <c r="Y71" s="1" t="n"/>
      <c r="Z71" s="1" t="n"/>
      <c r="AA71" s="1" t="n"/>
      <c r="AB71" s="1" t="n"/>
    </row>
    <row r="72">
      <c r="A72" s="1" t="n"/>
      <c r="B72" s="29" t="inlineStr">
        <is>
          <t>Buyer advances, milestone-linked ($M)</t>
        </is>
      </c>
      <c r="C72" s="1" t="n"/>
      <c r="D72" s="99" t="n">
        <v>200</v>
      </c>
      <c r="E72" s="1" t="n"/>
      <c r="F72" s="1" t="n"/>
      <c r="G72" s="1" t="n"/>
      <c r="H72" s="1" t="n"/>
      <c r="I72" s="1" t="n"/>
      <c r="J72" s="1" t="n"/>
      <c r="K72" s="1" t="n"/>
      <c r="L72" s="1" t="n"/>
      <c r="M72" s="1" t="n"/>
      <c r="N72" s="1" t="n"/>
      <c r="O72" s="1" t="n"/>
      <c r="P72" s="1" t="n"/>
      <c r="Q72" s="1" t="n"/>
      <c r="R72" s="1" t="n"/>
      <c r="S72" s="1" t="n"/>
      <c r="T72" s="1" t="n"/>
      <c r="U72" s="1" t="n"/>
      <c r="V72" s="43" t="inlineStr">
        <is>
          <t>Redacted at source; the recurring unit of pre-COD credit exposure, repaid on the liability-matrix caps.</t>
        </is>
      </c>
      <c r="W72" s="1" t="n"/>
      <c r="X72" s="1" t="n"/>
      <c r="Y72" s="1" t="n"/>
      <c r="Z72" s="1" t="n"/>
      <c r="AA72" s="1" t="n"/>
      <c r="AB72" s="1" t="n"/>
    </row>
    <row r="73">
      <c r="A73" s="1" t="n"/>
      <c r="B73" s="1" t="n"/>
      <c r="C73" s="1" t="n"/>
      <c r="D73" s="1" t="n"/>
      <c r="E73" s="1" t="n"/>
      <c r="F73" s="1" t="n"/>
      <c r="G73" s="1" t="n"/>
      <c r="H73" s="1" t="n"/>
      <c r="I73" s="1" t="n"/>
      <c r="J73" s="1" t="n"/>
      <c r="K73" s="1" t="n"/>
      <c r="L73" s="1" t="n"/>
      <c r="M73" s="1" t="n"/>
      <c r="N73" s="1" t="n"/>
      <c r="O73" s="1" t="n"/>
      <c r="P73" s="1" t="n"/>
      <c r="Q73" s="1" t="n"/>
      <c r="R73" s="1" t="n"/>
      <c r="S73" s="1" t="n"/>
      <c r="T73" s="1" t="n"/>
      <c r="U73" s="1" t="n"/>
      <c r="V73" s="1" t="n"/>
      <c r="W73" s="1" t="n"/>
      <c r="X73" s="1" t="n"/>
      <c r="Y73" s="1" t="n"/>
      <c r="Z73" s="1" t="n"/>
      <c r="AA73" s="1" t="n"/>
      <c r="AB73" s="1" t="n"/>
    </row>
    <row r="74">
      <c r="A74" s="1" t="n"/>
      <c r="B74" s="43" t="inlineStr">
        <is>
          <t>Lenders sit at the gate: collateral agents, proof-of-funds, and performance security stepping with advances (parent guaranty pre-COD).</t>
        </is>
      </c>
      <c r="C74" s="1" t="n"/>
      <c r="D74" s="1" t="n"/>
      <c r="E74" s="1" t="n"/>
      <c r="F74" s="1" t="n"/>
      <c r="G74" s="1" t="n"/>
      <c r="H74" s="1" t="n"/>
      <c r="I74" s="1" t="n"/>
      <c r="J74" s="1" t="n"/>
      <c r="K74" s="1" t="n"/>
      <c r="L74" s="1" t="n"/>
      <c r="M74" s="1" t="n"/>
      <c r="N74" s="1" t="n"/>
      <c r="O74" s="1" t="n"/>
      <c r="P74" s="1" t="n"/>
      <c r="Q74" s="1" t="n"/>
      <c r="R74" s="1" t="n"/>
      <c r="S74" s="1" t="n"/>
      <c r="T74" s="1" t="n"/>
      <c r="U74" s="1" t="n"/>
      <c r="V74" s="1" t="n"/>
      <c r="W74" s="1" t="n"/>
      <c r="X74" s="1" t="n"/>
      <c r="Y74" s="1" t="n"/>
      <c r="Z74" s="1" t="n"/>
      <c r="AA74" s="1" t="n"/>
      <c r="AB74" s="1" t="n"/>
    </row>
    <row r="75">
      <c r="A75" s="1" t="n"/>
      <c r="B75" s="1" t="n"/>
      <c r="C75" s="1" t="n"/>
      <c r="D75" s="1" t="n"/>
      <c r="E75" s="1" t="n"/>
      <c r="F75" s="1" t="n"/>
      <c r="G75" s="1" t="n"/>
      <c r="H75" s="1" t="n"/>
      <c r="I75" s="1" t="n"/>
      <c r="J75" s="1" t="n"/>
      <c r="K75" s="1" t="n"/>
      <c r="L75" s="1" t="n"/>
      <c r="M75" s="1" t="n"/>
      <c r="N75" s="1" t="n"/>
      <c r="O75" s="1" t="n"/>
      <c r="P75" s="1" t="n"/>
      <c r="Q75" s="1" t="n"/>
      <c r="R75" s="1" t="n"/>
      <c r="S75" s="1" t="n"/>
      <c r="T75" s="1" t="n"/>
      <c r="U75" s="1" t="n"/>
      <c r="V75" s="1" t="n"/>
      <c r="W75" s="1" t="n"/>
      <c r="X75" s="1" t="n"/>
      <c r="Y75" s="1" t="n"/>
      <c r="Z75" s="1" t="n"/>
      <c r="AA75" s="1" t="n"/>
      <c r="AB75" s="1" t="n"/>
    </row>
    <row r="76" ht="17" customHeight="1">
      <c r="A76" s="1" t="n"/>
      <c r="B76" s="22" t="inlineStr">
        <is>
          <t>Outage mechanics</t>
        </is>
      </c>
      <c r="C76" s="23" t="n"/>
      <c r="D76" s="23" t="n"/>
      <c r="E76" s="23" t="n"/>
      <c r="F76" s="23" t="n"/>
      <c r="G76" s="23" t="n"/>
      <c r="H76" s="23" t="n"/>
      <c r="I76" s="23" t="n"/>
      <c r="J76" s="23" t="n"/>
      <c r="K76" s="23" t="n"/>
      <c r="L76" s="23" t="n"/>
      <c r="M76" s="23" t="n"/>
      <c r="N76" s="23" t="n"/>
      <c r="O76" s="23" t="n"/>
      <c r="P76" s="23" t="n"/>
      <c r="Q76" s="23" t="n"/>
      <c r="R76" s="23" t="n"/>
      <c r="S76" s="23" t="n"/>
      <c r="T76" s="23" t="n"/>
      <c r="U76" s="1" t="n"/>
      <c r="V76" s="1" t="n"/>
      <c r="W76" s="1" t="n"/>
      <c r="X76" s="1" t="n"/>
      <c r="Y76" s="1" t="n"/>
      <c r="Z76" s="1" t="n"/>
      <c r="AA76" s="1" t="n"/>
      <c r="AB76" s="1" t="n"/>
    </row>
    <row r="77">
      <c r="A77" s="1" t="n"/>
      <c r="B77" s="29" t="inlineStr">
        <is>
          <t>Planned outage allowance, days per year</t>
        </is>
      </c>
      <c r="C77" s="1" t="n"/>
      <c r="D77" s="31">
        <f>sOutageDaysMax</f>
        <v/>
      </c>
      <c r="E77" s="1" t="n"/>
      <c r="F77" s="1" t="n"/>
      <c r="G77" s="1" t="n"/>
      <c r="H77" s="1" t="n"/>
      <c r="I77" s="1" t="n"/>
      <c r="J77" s="1" t="n"/>
      <c r="K77" s="1" t="n"/>
      <c r="L77" s="1" t="n"/>
      <c r="M77" s="1" t="n"/>
      <c r="N77" s="1" t="n"/>
      <c r="O77" s="1" t="n"/>
      <c r="P77" s="1" t="n"/>
      <c r="Q77" s="1" t="n"/>
      <c r="R77" s="1" t="n"/>
      <c r="S77" s="1" t="n"/>
      <c r="T77" s="1" t="n"/>
      <c r="U77" s="1" t="n"/>
      <c r="V77" s="43" t="inlineStr">
        <is>
          <t>Once per year, 30-35 days, never spring or fall; unforced outages negotiate liability separately.</t>
        </is>
      </c>
      <c r="W77" s="1" t="n"/>
      <c r="X77" s="1" t="n"/>
      <c r="Y77" s="1" t="n"/>
      <c r="Z77" s="1" t="n"/>
      <c r="AA77" s="1" t="n"/>
      <c r="AB77" s="1" t="n"/>
    </row>
    <row r="78">
      <c r="A78" s="1" t="n"/>
      <c r="B78" s="29" t="inlineStr">
        <is>
          <t>Implied availability ceiling from the outage norm</t>
        </is>
      </c>
      <c r="C78" s="1" t="n"/>
      <c r="D78" s="114">
        <f>1-sOutageDaysMax/365</f>
        <v/>
      </c>
      <c r="E78" s="1" t="n"/>
      <c r="F78" s="1" t="n"/>
      <c r="G78" s="1" t="n"/>
      <c r="H78" s="1" t="n"/>
      <c r="I78" s="1" t="n"/>
      <c r="J78" s="1" t="n"/>
      <c r="K78" s="1" t="n"/>
      <c r="L78" s="1" t="n"/>
      <c r="M78" s="1" t="n"/>
      <c r="N78" s="1" t="n"/>
      <c r="O78" s="1" t="n"/>
      <c r="P78" s="1" t="n"/>
      <c r="Q78" s="1" t="n"/>
      <c r="R78" s="1" t="n"/>
      <c r="S78" s="1" t="n"/>
      <c r="T78" s="1" t="n"/>
      <c r="U78" s="1" t="n"/>
      <c r="V78" s="43" t="inlineStr"/>
      <c r="W78" s="1" t="n"/>
      <c r="X78" s="1" t="n"/>
      <c r="Y78" s="1" t="n"/>
      <c r="Z78" s="1" t="n"/>
      <c r="AA78" s="1" t="n"/>
      <c r="AB78" s="1" t="n"/>
    </row>
    <row r="79">
      <c r="A79" s="1" t="n"/>
      <c r="B79" s="20" t="inlineStr">
        <is>
          <t>Headroom over the years-2+ guarantee</t>
        </is>
      </c>
      <c r="C79" s="1" t="n"/>
      <c r="D79" s="118">
        <f>D78-sNsmrAvailY2</f>
        <v/>
      </c>
      <c r="E79" s="1" t="n"/>
      <c r="F79" s="1" t="n"/>
      <c r="G79" s="1" t="n"/>
      <c r="H79" s="1" t="n"/>
      <c r="I79" s="1" t="n"/>
      <c r="J79" s="1" t="n"/>
      <c r="K79" s="1" t="n"/>
      <c r="L79" s="1" t="n"/>
      <c r="M79" s="1" t="n"/>
      <c r="N79" s="1" t="n"/>
      <c r="O79" s="1" t="n"/>
      <c r="P79" s="1" t="n"/>
      <c r="Q79" s="1" t="n"/>
      <c r="R79" s="1" t="n"/>
      <c r="S79" s="1" t="n"/>
      <c r="T79" s="1" t="n"/>
      <c r="U79" s="1" t="n"/>
      <c r="V79" s="43" t="inlineStr">
        <is>
          <t>The outage allowance leaves about one point of headroom over the 90% guarantee: the schedule is the contract's real constraint.</t>
        </is>
      </c>
      <c r="W79" s="1" t="n"/>
      <c r="X79" s="1" t="n"/>
      <c r="Y79" s="1" t="n"/>
      <c r="Z79" s="1" t="n"/>
      <c r="AA79" s="1" t="n"/>
      <c r="AB79" s="1" t="n"/>
    </row>
    <row r="80">
      <c r="A80" s="1" t="n"/>
      <c r="B80" s="1" t="n"/>
      <c r="C80" s="1" t="n"/>
      <c r="D80" s="1" t="n"/>
      <c r="E80" s="1" t="n"/>
      <c r="F80" s="1" t="n"/>
      <c r="G80" s="1" t="n"/>
      <c r="H80" s="1" t="n"/>
      <c r="I80" s="1" t="n"/>
      <c r="J80" s="1" t="n"/>
      <c r="K80" s="1" t="n"/>
      <c r="L80" s="1" t="n"/>
      <c r="M80" s="1" t="n"/>
      <c r="N80" s="1" t="n"/>
      <c r="O80" s="1" t="n"/>
      <c r="P80" s="1" t="n"/>
      <c r="Q80" s="1" t="n"/>
      <c r="R80" s="1" t="n"/>
      <c r="S80" s="1" t="n"/>
      <c r="T80" s="1" t="n"/>
      <c r="U80" s="1" t="n"/>
      <c r="V80" s="1" t="n"/>
      <c r="W80" s="1" t="n"/>
      <c r="X80" s="1" t="n"/>
      <c r="Y80" s="1" t="n"/>
      <c r="Z80" s="1" t="n"/>
      <c r="AA80" s="1" t="n"/>
      <c r="AB80" s="1" t="n"/>
    </row>
    <row r="81" ht="17" customHeight="1">
      <c r="A81" s="1" t="n"/>
      <c r="B81" s="22" t="inlineStr">
        <is>
          <t>Price decomposition — the wrapper vs the asset</t>
        </is>
      </c>
      <c r="C81" s="23" t="n"/>
      <c r="D81" s="23" t="n"/>
      <c r="E81" s="23" t="n"/>
      <c r="F81" s="23" t="n"/>
      <c r="G81" s="23" t="n"/>
      <c r="H81" s="23" t="n"/>
      <c r="I81" s="23" t="n"/>
      <c r="J81" s="23" t="n"/>
      <c r="K81" s="23" t="n"/>
      <c r="L81" s="23" t="n"/>
      <c r="M81" s="23" t="n"/>
      <c r="N81" s="23" t="n"/>
      <c r="O81" s="23" t="n"/>
      <c r="P81" s="23" t="n"/>
      <c r="Q81" s="23" t="n"/>
      <c r="R81" s="23" t="n"/>
      <c r="S81" s="23" t="n"/>
      <c r="T81" s="23" t="n"/>
      <c r="U81" s="1" t="n"/>
      <c r="V81" s="1" t="n"/>
      <c r="W81" s="1" t="n"/>
      <c r="X81" s="1" t="n"/>
      <c r="Y81" s="1" t="n"/>
      <c r="Z81" s="1" t="n"/>
      <c r="AA81" s="1" t="n"/>
      <c r="AB81" s="1" t="n"/>
    </row>
    <row r="82">
      <c r="A82" s="1" t="n"/>
      <c r="B82" s="20" t="inlineStr">
        <is>
          <t>All-in delivered, FY2034 ($/MWh)</t>
        </is>
      </c>
      <c r="C82" s="1" t="n"/>
      <c r="D82" s="119">
        <f>NsmrAllIn2034</f>
        <v/>
      </c>
      <c r="E82" s="1" t="n"/>
      <c r="F82" s="1" t="n"/>
      <c r="G82" s="1" t="n"/>
      <c r="H82" s="1" t="n"/>
      <c r="I82" s="1" t="n"/>
      <c r="J82" s="1" t="n"/>
      <c r="K82" s="1" t="n"/>
      <c r="L82" s="1" t="n"/>
      <c r="M82" s="1" t="n"/>
      <c r="N82" s="1" t="n"/>
      <c r="O82" s="1" t="n"/>
      <c r="P82" s="1" t="n"/>
      <c r="Q82" s="1" t="n"/>
      <c r="R82" s="1" t="n"/>
      <c r="S82" s="1" t="n"/>
      <c r="T82" s="1" t="n"/>
      <c r="U82" s="1" t="n"/>
      <c r="V82" s="43" t="inlineStr">
        <is>
          <t>The contract price: asset plus wrapper.</t>
        </is>
      </c>
      <c r="W82" s="1" t="n"/>
      <c r="X82" s="1" t="n"/>
      <c r="Y82" s="1" t="n"/>
      <c r="Z82" s="1" t="n"/>
      <c r="AA82" s="1" t="n"/>
      <c r="AB82" s="1" t="n"/>
    </row>
    <row r="83">
      <c r="A83" s="1" t="n"/>
      <c r="B83" s="29" t="inlineStr">
        <is>
          <t>Cost-based underlying, central basis ($/MWh)</t>
        </is>
      </c>
      <c r="C83" s="1" t="n"/>
      <c r="D83" s="33">
        <f>sNsmrBasisMid</f>
        <v/>
      </c>
      <c r="E83" s="1" t="n"/>
      <c r="F83" s="1" t="n"/>
      <c r="G83" s="1" t="n"/>
      <c r="H83" s="1" t="n"/>
      <c r="I83" s="1" t="n"/>
      <c r="J83" s="1" t="n"/>
      <c r="K83" s="1" t="n"/>
      <c r="L83" s="1" t="n"/>
      <c r="M83" s="1" t="n"/>
      <c r="N83" s="1" t="n"/>
      <c r="O83" s="1" t="n"/>
      <c r="P83" s="1" t="n"/>
      <c r="Q83" s="1" t="n"/>
      <c r="R83" s="1" t="n"/>
      <c r="S83" s="1" t="n"/>
      <c r="T83" s="1" t="n"/>
      <c r="U83" s="1" t="n"/>
      <c r="V83" s="43" t="inlineStr">
        <is>
          <t>ATB 2024 SMR Moderate at 7.5% WACC [JUDGMENT: grid 6/7.5/9%], 30y life [JUDGMENT], CF 0.93 [SOURCED], no ITC.</t>
        </is>
      </c>
      <c r="W83" s="1" t="n"/>
      <c r="X83" s="1" t="n"/>
      <c r="Y83" s="1" t="n"/>
      <c r="Z83" s="1" t="n"/>
      <c r="AA83" s="1" t="n"/>
      <c r="AB83" s="1" t="n"/>
    </row>
    <row r="84">
      <c r="A84" s="1" t="n"/>
      <c r="B84" s="29" t="inlineStr">
        <is>
          <t>Basis range, low - high ($/MWh)</t>
        </is>
      </c>
      <c r="C84" s="1" t="n"/>
      <c r="D84" s="33">
        <f>sNsmrBasisLow</f>
        <v/>
      </c>
      <c r="E84" s="1" t="n"/>
      <c r="F84" s="33">
        <f>sNsmrBasisHigh</f>
        <v/>
      </c>
      <c r="G84" s="1" t="n"/>
      <c r="H84" s="1" t="n"/>
      <c r="I84" s="1" t="n"/>
      <c r="J84" s="1" t="n"/>
      <c r="K84" s="1" t="n"/>
      <c r="L84" s="1" t="n"/>
      <c r="M84" s="1" t="n"/>
      <c r="N84" s="1" t="n"/>
      <c r="O84" s="1" t="n"/>
      <c r="P84" s="1" t="n"/>
      <c r="Q84" s="1" t="n"/>
      <c r="R84" s="1" t="n"/>
      <c r="S84" s="1" t="n"/>
      <c r="T84" s="1" t="n"/>
      <c r="U84" s="1" t="n"/>
      <c r="V84" s="43" t="inlineStr">
        <is>
          <t>Low: ATB Advanced at 6% WACC. High in F: Vogtle-implied at 9%. A range, never a point.</t>
        </is>
      </c>
      <c r="W84" s="1" t="n"/>
      <c r="X84" s="1" t="n"/>
      <c r="Y84" s="1" t="n"/>
      <c r="Z84" s="1" t="n"/>
      <c r="AA84" s="1" t="n"/>
      <c r="AB84" s="1" t="n"/>
    </row>
    <row r="85">
      <c r="A85" s="1" t="n"/>
      <c r="B85" s="20" t="inlineStr">
        <is>
          <t>Duration and scarcity premium (residual, $/MWh)</t>
        </is>
      </c>
      <c r="C85" s="1" t="n"/>
      <c r="D85" s="119">
        <f>NsmrAllIn2034-nNsmrCostBasis</f>
        <v/>
      </c>
      <c r="E85" s="1" t="n"/>
      <c r="F85" s="1" t="n"/>
      <c r="G85" s="1" t="n"/>
      <c r="H85" s="1" t="n"/>
      <c r="I85" s="1" t="n"/>
      <c r="J85" s="1" t="n"/>
      <c r="K85" s="1" t="n"/>
      <c r="L85" s="1" t="n"/>
      <c r="M85" s="1" t="n"/>
      <c r="N85" s="1" t="n"/>
      <c r="O85" s="1" t="n"/>
      <c r="P85" s="1" t="n"/>
      <c r="Q85" s="1" t="n"/>
      <c r="R85" s="1" t="n"/>
      <c r="S85" s="1" t="n"/>
      <c r="T85" s="1" t="n"/>
      <c r="U85" s="1" t="n"/>
      <c r="V85" s="43" t="inlineStr">
        <is>
          <t>Negative (~-$15) against the central basis: the contract underprices central cost recovery; a premium read survives only under ATB Advanced (+$22-35). The wrapper is cover bought below cost, not scarcity paid above it.</t>
        </is>
      </c>
      <c r="W85" s="1" t="n"/>
      <c r="X85" s="1" t="n"/>
      <c r="Y85" s="1" t="n"/>
      <c r="Z85" s="1" t="n"/>
      <c r="AA85" s="1" t="n"/>
      <c r="AB85" s="1" t="n"/>
    </row>
    <row r="86">
      <c r="A86" s="1" t="n"/>
      <c r="B86" s="29" t="inlineStr">
        <is>
          <t>Residual grid-blended capacity under Bear, FY2037 ($/MWh)</t>
        </is>
      </c>
      <c r="C86" s="1" t="n"/>
      <c r="D86" s="71">
        <f>Assumptions!$D$11*(1+Assumptions!$D$17)^11*(1+nResidualBasisMarkup+nScarcityAlpha*POWER(1,nScarcityGamma))</f>
        <v/>
      </c>
      <c r="E86" s="1" t="n"/>
      <c r="F86" s="1" t="n"/>
      <c r="G86" s="1" t="n"/>
      <c r="H86" s="1" t="n"/>
      <c r="I86" s="1" t="n"/>
      <c r="J86" s="1" t="n"/>
      <c r="K86" s="1" t="n"/>
      <c r="L86" s="1" t="n"/>
      <c r="M86" s="1" t="n"/>
      <c r="N86" s="1" t="n"/>
      <c r="O86" s="1" t="n"/>
      <c r="P86" s="1" t="n"/>
      <c r="Q86" s="1" t="n"/>
      <c r="R86" s="1" t="n"/>
      <c r="S86" s="1" t="n"/>
      <c r="T86" s="1" t="n"/>
      <c r="U86" s="1" t="n"/>
      <c r="V86" s="43" t="inlineStr">
        <is>
          <t>The full-utilization residual exposure a floating buyer carries at mid-term if the Bear arrives.</t>
        </is>
      </c>
      <c r="W86" s="1" t="n"/>
      <c r="X86" s="1" t="n"/>
      <c r="Y86" s="1" t="n"/>
      <c r="Z86" s="1" t="n"/>
      <c r="AA86" s="1" t="n"/>
      <c r="AB86" s="1" t="n"/>
    </row>
    <row r="87">
      <c r="A87" s="1" t="n"/>
      <c r="B87" s="20" t="inlineStr">
        <is>
          <t>Fixed-price cover the wrapper buys at FY2037 ($/MWh)</t>
        </is>
      </c>
      <c r="C87" s="1" t="n"/>
      <c r="D87" s="69">
        <f>D86-NSMR!Q28</f>
        <v/>
      </c>
      <c r="E87" s="1" t="n"/>
      <c r="F87" s="1" t="n"/>
      <c r="G87" s="1" t="n"/>
      <c r="H87" s="1" t="n"/>
      <c r="I87" s="1" t="n"/>
      <c r="J87" s="1" t="n"/>
      <c r="K87" s="1" t="n"/>
      <c r="L87" s="1" t="n"/>
      <c r="M87" s="1" t="n"/>
      <c r="N87" s="1" t="n"/>
      <c r="O87" s="1" t="n"/>
      <c r="P87" s="1" t="n"/>
      <c r="Q87" s="1" t="n"/>
      <c r="R87" s="1" t="n"/>
      <c r="S87" s="1" t="n"/>
      <c r="T87" s="1" t="n"/>
      <c r="U87" s="1" t="n"/>
      <c r="V87" s="43" t="inlineStr">
        <is>
          <t>Bear-path residual-grid cost avoided per MWh by holding the fixed price. Against the premium two rows up, this is the insurance economics of the wrapper.</t>
        </is>
      </c>
      <c r="W87" s="1" t="n"/>
      <c r="X87" s="1" t="n"/>
      <c r="Y87" s="1" t="n"/>
      <c r="Z87" s="1" t="n"/>
      <c r="AA87" s="1" t="n"/>
      <c r="AB87" s="1" t="n"/>
    </row>
    <row r="88">
      <c r="A88" s="1" t="n"/>
      <c r="B88" s="1" t="n"/>
      <c r="C88" s="1" t="n"/>
      <c r="D88" s="1" t="n"/>
      <c r="E88" s="1" t="n"/>
      <c r="F88" s="1" t="n"/>
      <c r="G88" s="1" t="n"/>
      <c r="H88" s="1" t="n"/>
      <c r="I88" s="1" t="n"/>
      <c r="J88" s="1" t="n"/>
      <c r="K88" s="1" t="n"/>
      <c r="L88" s="1" t="n"/>
      <c r="M88" s="1" t="n"/>
      <c r="N88" s="1" t="n"/>
      <c r="O88" s="1" t="n"/>
      <c r="P88" s="1" t="n"/>
      <c r="Q88" s="1" t="n"/>
      <c r="R88" s="1" t="n"/>
      <c r="S88" s="1" t="n"/>
      <c r="T88" s="1" t="n"/>
      <c r="U88" s="1" t="n"/>
      <c r="V88" s="1" t="n"/>
      <c r="W88" s="1" t="n"/>
      <c r="X88" s="1" t="n"/>
      <c r="Y88" s="1" t="n"/>
      <c r="Z88" s="1" t="n"/>
      <c r="AA88" s="1" t="n"/>
      <c r="AB88" s="1" t="n"/>
    </row>
    <row r="89">
      <c r="A89" s="1" t="n"/>
      <c r="B89" s="1" t="n"/>
      <c r="C89" s="1" t="n"/>
      <c r="D89" s="1" t="n"/>
      <c r="E89" s="1" t="n"/>
      <c r="F89" s="1" t="n"/>
      <c r="G89" s="1" t="n"/>
      <c r="H89" s="1" t="n"/>
      <c r="I89" s="1" t="n"/>
      <c r="J89" s="1" t="n"/>
      <c r="K89" s="1" t="n"/>
      <c r="L89" s="1" t="n"/>
      <c r="M89" s="1" t="n"/>
      <c r="N89" s="1" t="n"/>
      <c r="O89" s="1" t="n"/>
      <c r="P89" s="1" t="n"/>
      <c r="Q89" s="1" t="n"/>
      <c r="R89" s="1" t="n"/>
      <c r="S89" s="1" t="n"/>
      <c r="T89" s="1" t="n"/>
      <c r="U89" s="1" t="n"/>
      <c r="V89" s="1" t="n"/>
      <c r="W89" s="1" t="n"/>
      <c r="X89" s="1" t="n"/>
      <c r="Y89" s="1" t="n"/>
      <c r="Z89" s="1" t="n"/>
      <c r="AA89" s="1" t="n"/>
      <c r="AB89" s="1" t="n"/>
    </row>
    <row r="90">
      <c r="A90" s="1" t="n"/>
      <c r="B90" s="1" t="n"/>
      <c r="C90" s="1" t="n"/>
      <c r="D90" s="1" t="n"/>
      <c r="E90" s="1" t="n"/>
      <c r="F90" s="1" t="n"/>
      <c r="G90" s="1" t="n"/>
      <c r="H90" s="1" t="n"/>
      <c r="I90" s="1" t="n"/>
      <c r="J90" s="1" t="n"/>
      <c r="K90" s="1" t="n"/>
      <c r="L90" s="1" t="n"/>
      <c r="M90" s="1" t="n"/>
      <c r="N90" s="1" t="n"/>
      <c r="O90" s="1" t="n"/>
      <c r="P90" s="1" t="n"/>
      <c r="Q90" s="1" t="n"/>
      <c r="R90" s="1" t="n"/>
      <c r="S90" s="1" t="n"/>
      <c r="T90" s="1" t="n"/>
      <c r="U90" s="1" t="n"/>
      <c r="V90" s="1" t="n"/>
      <c r="W90" s="1" t="n"/>
      <c r="X90" s="1" t="n"/>
      <c r="Y90" s="1" t="n"/>
      <c r="Z90" s="1" t="n"/>
      <c r="AA90" s="1" t="n"/>
      <c r="AB90" s="1" t="n"/>
    </row>
    <row r="91">
      <c r="A91" s="1" t="n"/>
      <c r="B91" s="1" t="n"/>
      <c r="C91" s="1" t="n"/>
      <c r="D91" s="1" t="n"/>
      <c r="E91" s="1" t="n"/>
      <c r="F91" s="1" t="n"/>
      <c r="G91" s="1" t="n"/>
      <c r="H91" s="1" t="n"/>
      <c r="I91" s="1" t="n"/>
      <c r="J91" s="1" t="n"/>
      <c r="K91" s="1" t="n"/>
      <c r="L91" s="1" t="n"/>
      <c r="M91" s="1" t="n"/>
      <c r="N91" s="1" t="n"/>
      <c r="O91" s="1" t="n"/>
      <c r="P91" s="1" t="n"/>
      <c r="Q91" s="1" t="n"/>
      <c r="R91" s="1" t="n"/>
      <c r="S91" s="1" t="n"/>
      <c r="T91" s="1" t="n"/>
      <c r="U91" s="1" t="n"/>
      <c r="V91" s="1" t="n"/>
      <c r="W91" s="1" t="n"/>
      <c r="X91" s="1" t="n"/>
      <c r="Y91" s="1" t="n"/>
      <c r="Z91" s="1" t="n"/>
      <c r="AA91" s="1" t="n"/>
      <c r="AB91" s="1" t="n"/>
    </row>
    <row r="92">
      <c r="A92" s="1" t="n"/>
      <c r="B92" s="1" t="n"/>
      <c r="C92" s="1" t="n"/>
      <c r="D92" s="1" t="n"/>
      <c r="E92" s="1" t="n"/>
      <c r="F92" s="1" t="n"/>
      <c r="G92" s="1" t="n"/>
      <c r="H92" s="1" t="n"/>
      <c r="I92" s="1" t="n"/>
      <c r="J92" s="1" t="n"/>
      <c r="K92" s="1" t="n"/>
      <c r="L92" s="1" t="n"/>
      <c r="M92" s="1" t="n"/>
      <c r="N92" s="1" t="n"/>
      <c r="O92" s="1" t="n"/>
      <c r="P92" s="1" t="n"/>
      <c r="Q92" s="1" t="n"/>
      <c r="R92" s="1" t="n"/>
      <c r="S92" s="1" t="n"/>
      <c r="T92" s="1" t="n"/>
      <c r="U92" s="1" t="n"/>
      <c r="V92" s="1" t="n"/>
      <c r="W92" s="1" t="n"/>
      <c r="X92" s="1" t="n"/>
      <c r="Y92" s="1" t="n"/>
      <c r="Z92" s="1" t="n"/>
      <c r="AA92" s="1" t="n"/>
      <c r="AB92" s="1" t="n"/>
    </row>
    <row r="93">
      <c r="A93" s="1" t="n"/>
      <c r="B93" s="1" t="n"/>
      <c r="C93" s="1" t="n"/>
      <c r="D93" s="1" t="n"/>
      <c r="E93" s="1" t="n"/>
      <c r="F93" s="1" t="n"/>
      <c r="G93" s="1" t="n"/>
      <c r="H93" s="1" t="n"/>
      <c r="I93" s="1" t="n"/>
      <c r="J93" s="1" t="n"/>
      <c r="K93" s="1" t="n"/>
      <c r="L93" s="1" t="n"/>
      <c r="M93" s="1" t="n"/>
      <c r="N93" s="1" t="n"/>
      <c r="O93" s="1" t="n"/>
      <c r="P93" s="1" t="n"/>
      <c r="Q93" s="1" t="n"/>
      <c r="R93" s="1" t="n"/>
      <c r="S93" s="1" t="n"/>
      <c r="T93" s="1" t="n"/>
      <c r="U93" s="1" t="n"/>
      <c r="V93" s="1" t="n"/>
      <c r="W93" s="1" t="n"/>
      <c r="X93" s="1" t="n"/>
      <c r="Y93" s="1" t="n"/>
      <c r="Z93" s="1" t="n"/>
      <c r="AA93" s="1" t="n"/>
      <c r="AB93" s="1" t="n"/>
    </row>
    <row r="94">
      <c r="A94" s="1" t="n"/>
      <c r="B94" s="1" t="n"/>
      <c r="C94" s="1" t="n"/>
      <c r="D94" s="1" t="n"/>
      <c r="E94" s="1" t="n"/>
      <c r="F94" s="1" t="n"/>
      <c r="G94" s="1" t="n"/>
      <c r="H94" s="1" t="n"/>
      <c r="I94" s="1" t="n"/>
      <c r="J94" s="1" t="n"/>
      <c r="K94" s="1" t="n"/>
      <c r="L94" s="1" t="n"/>
      <c r="M94" s="1" t="n"/>
      <c r="N94" s="1" t="n"/>
      <c r="O94" s="1" t="n"/>
      <c r="P94" s="1" t="n"/>
      <c r="Q94" s="1" t="n"/>
      <c r="R94" s="1" t="n"/>
      <c r="S94" s="1" t="n"/>
      <c r="T94" s="1" t="n"/>
      <c r="U94" s="1" t="n"/>
      <c r="V94" s="1" t="n"/>
      <c r="W94" s="1" t="n"/>
      <c r="X94" s="1" t="n"/>
      <c r="Y94" s="1" t="n"/>
      <c r="Z94" s="1" t="n"/>
      <c r="AA94" s="1" t="n"/>
      <c r="AB94" s="1" t="n"/>
    </row>
    <row r="95">
      <c r="A95" s="1" t="n"/>
      <c r="B95" s="1" t="n"/>
      <c r="C95" s="1" t="n"/>
      <c r="D95" s="1" t="n"/>
      <c r="E95" s="1" t="n"/>
      <c r="F95" s="1" t="n"/>
      <c r="G95" s="1" t="n"/>
      <c r="H95" s="1" t="n"/>
      <c r="I95" s="1" t="n"/>
      <c r="J95" s="1" t="n"/>
      <c r="K95" s="1" t="n"/>
      <c r="L95" s="1" t="n"/>
      <c r="M95" s="1" t="n"/>
      <c r="N95" s="1" t="n"/>
      <c r="O95" s="1" t="n"/>
      <c r="P95" s="1" t="n"/>
      <c r="Q95" s="1" t="n"/>
      <c r="R95" s="1" t="n"/>
      <c r="S95" s="1" t="n"/>
      <c r="T95" s="1" t="n"/>
      <c r="U95" s="1" t="n"/>
      <c r="V95" s="1" t="n"/>
      <c r="W95" s="1" t="n"/>
      <c r="X95" s="1" t="n"/>
      <c r="Y95" s="1" t="n"/>
      <c r="Z95" s="1" t="n"/>
      <c r="AA95" s="1" t="n"/>
      <c r="AB95" s="1" t="n"/>
    </row>
    <row r="96">
      <c r="A96" s="1" t="n"/>
      <c r="B96" s="1" t="n"/>
      <c r="C96" s="1" t="n"/>
      <c r="D96" s="1" t="n"/>
      <c r="E96" s="1" t="n"/>
      <c r="F96" s="1" t="n"/>
      <c r="G96" s="1" t="n"/>
      <c r="H96" s="1" t="n"/>
      <c r="I96" s="1" t="n"/>
      <c r="J96" s="1" t="n"/>
      <c r="K96" s="1" t="n"/>
      <c r="L96" s="1" t="n"/>
      <c r="M96" s="1" t="n"/>
      <c r="N96" s="1" t="n"/>
      <c r="O96" s="1" t="n"/>
      <c r="P96" s="1" t="n"/>
      <c r="Q96" s="1" t="n"/>
      <c r="R96" s="1" t="n"/>
      <c r="S96" s="1" t="n"/>
      <c r="T96" s="1" t="n"/>
      <c r="U96" s="1" t="n"/>
      <c r="V96" s="1" t="n"/>
      <c r="W96" s="1" t="n"/>
      <c r="X96" s="1" t="n"/>
      <c r="Y96" s="1" t="n"/>
      <c r="Z96" s="1" t="n"/>
      <c r="AA96" s="1" t="n"/>
      <c r="AB96" s="1" t="n"/>
    </row>
    <row r="97">
      <c r="A97" s="1" t="n"/>
      <c r="B97" s="1" t="n"/>
      <c r="C97" s="1" t="n"/>
      <c r="D97" s="1" t="n"/>
      <c r="E97" s="1" t="n"/>
      <c r="F97" s="1" t="n"/>
      <c r="G97" s="1" t="n"/>
      <c r="H97" s="1" t="n"/>
      <c r="I97" s="1" t="n"/>
      <c r="J97" s="1" t="n"/>
      <c r="K97" s="1" t="n"/>
      <c r="L97" s="1" t="n"/>
      <c r="M97" s="1" t="n"/>
      <c r="N97" s="1" t="n"/>
      <c r="O97" s="1" t="n"/>
      <c r="P97" s="1" t="n"/>
      <c r="Q97" s="1" t="n"/>
      <c r="R97" s="1" t="n"/>
      <c r="S97" s="1" t="n"/>
      <c r="T97" s="1" t="n"/>
      <c r="U97" s="1" t="n"/>
      <c r="V97" s="1" t="n"/>
      <c r="W97" s="1" t="n"/>
      <c r="X97" s="1" t="n"/>
      <c r="Y97" s="1" t="n"/>
      <c r="Z97" s="1" t="n"/>
      <c r="AA97" s="1" t="n"/>
      <c r="AB97" s="1" t="n"/>
    </row>
    <row r="98">
      <c r="A98" s="1" t="n"/>
      <c r="B98" s="1" t="n"/>
      <c r="C98" s="1" t="n"/>
      <c r="D98" s="1" t="n"/>
      <c r="E98" s="1" t="n"/>
      <c r="F98" s="1" t="n"/>
      <c r="G98" s="1" t="n"/>
      <c r="H98" s="1" t="n"/>
      <c r="I98" s="1" t="n"/>
      <c r="J98" s="1" t="n"/>
      <c r="K98" s="1" t="n"/>
      <c r="L98" s="1" t="n"/>
      <c r="M98" s="1" t="n"/>
      <c r="N98" s="1" t="n"/>
      <c r="O98" s="1" t="n"/>
      <c r="P98" s="1" t="n"/>
      <c r="Q98" s="1" t="n"/>
      <c r="R98" s="1" t="n"/>
      <c r="S98" s="1" t="n"/>
      <c r="T98" s="1" t="n"/>
      <c r="U98" s="1" t="n"/>
      <c r="V98" s="1" t="n"/>
      <c r="W98" s="1" t="n"/>
      <c r="X98" s="1" t="n"/>
      <c r="Y98" s="1" t="n"/>
      <c r="Z98" s="1" t="n"/>
      <c r="AA98" s="1" t="n"/>
      <c r="AB98" s="1" t="n"/>
    </row>
    <row r="99">
      <c r="A99" s="1" t="n"/>
      <c r="B99" s="1" t="n"/>
      <c r="C99" s="1" t="n"/>
      <c r="D99" s="1" t="n"/>
      <c r="E99" s="1" t="n"/>
      <c r="F99" s="1" t="n"/>
      <c r="G99" s="1" t="n"/>
      <c r="H99" s="1" t="n"/>
      <c r="I99" s="1" t="n"/>
      <c r="J99" s="1" t="n"/>
      <c r="K99" s="1" t="n"/>
      <c r="L99" s="1" t="n"/>
      <c r="M99" s="1" t="n"/>
      <c r="N99" s="1" t="n"/>
      <c r="O99" s="1" t="n"/>
      <c r="P99" s="1" t="n"/>
      <c r="Q99" s="1" t="n"/>
      <c r="R99" s="1" t="n"/>
      <c r="S99" s="1" t="n"/>
      <c r="T99" s="1" t="n"/>
      <c r="U99" s="1" t="n"/>
      <c r="V99" s="1" t="n"/>
      <c r="W99" s="1" t="n"/>
      <c r="X99" s="1" t="n"/>
      <c r="Y99" s="1" t="n"/>
      <c r="Z99" s="1" t="n"/>
      <c r="AA99" s="1" t="n"/>
      <c r="AB99" s="1" t="n"/>
    </row>
  </sheetData>
  <dataValidations count="1">
    <dataValidation sqref="D18" showDropDown="0" showInputMessage="0" showErrorMessage="0" allowBlank="0" type="list">
      <formula1>"Yes,No"</formula1>
    </dataValidation>
  </dataValidations>
  <pageMargins left="0.4" right="0.4" top="0.5" bottom="0.5" header="0.3" footer="0.3"/>
  <pageSetup orientation="landscape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2026-07-10T09:44:43Z</dcterms:created>
  <dcterms:modified xsi:type="dcterms:W3CDTF">2026-07-10T09:44:44Z</dcterms:modified>
</cp:coreProperties>
</file>