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28"/>
  <workbookPr/>
  <mc:AlternateContent xmlns:mc="http://schemas.openxmlformats.org/markup-compatibility/2006">
    <mc:Choice Requires="x15">
      <x15ac:absPath xmlns:x15ac="http://schemas.microsoft.com/office/spreadsheetml/2010/11/ac" url="/Users/darrell/Projects/_active/dday-portfolio/public/archive/"/>
    </mc:Choice>
  </mc:AlternateContent>
  <xr:revisionPtr revIDLastSave="0" documentId="13_ncr:1_{7CD4AF5E-01B6-C648-9C5E-1AD6EA426FCE}" xr6:coauthVersionLast="47" xr6:coauthVersionMax="47" xr10:uidLastSave="{00000000-0000-0000-0000-000000000000}"/>
  <bookViews>
    <workbookView xWindow="0" yWindow="600" windowWidth="66680" windowHeight="27840" xr2:uid="{00000000-000D-0000-FFFF-FFFF00000000}"/>
  </bookViews>
  <sheets>
    <sheet name="Info &amp; Instructions" sheetId="1" r:id="rId1"/>
    <sheet name="Historical" sheetId="2" state="hidden" r:id="rId2"/>
    <sheet name="Historical prnt" sheetId="3" state="hidden" r:id="rId3"/>
    <sheet name="3yr Sum Proj Fin Stmts" sheetId="4" r:id="rId4"/>
    <sheet name="12m+2yr Sum Proj Fin Stmts" sheetId="5" r:id="rId5"/>
    <sheet name="Projected Fin Stmts" sheetId="6" r:id="rId6"/>
    <sheet name="P&amp;L-Revenues" sheetId="7" r:id="rId7"/>
    <sheet name="P&amp;L-COGS" sheetId="8" r:id="rId8"/>
    <sheet name="P&amp;L-Payroll" sheetId="9" r:id="rId9"/>
    <sheet name="P&amp;L-Expenses" sheetId="10" r:id="rId10"/>
    <sheet name="BAL-Assets" sheetId="11" r:id="rId11"/>
    <sheet name="BAL-Liabilities &amp; Equity" sheetId="12" r:id="rId12"/>
    <sheet name="HR" sheetId="13" state="hidden" r:id="rId13"/>
    <sheet name="Detail CF Projections" sheetId="14" r:id="rId14"/>
    <sheet name="Ratios" sheetId="15" r:id="rId15"/>
    <sheet name="Proj v Act" sheetId="16" state="hidden" r:id="rId16"/>
    <sheet name="Act vs Proj" sheetId="17" state="hidden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5" i="17" l="1"/>
  <c r="L35" i="17"/>
  <c r="K35" i="17"/>
  <c r="J35" i="17"/>
  <c r="I35" i="17"/>
  <c r="H35" i="17"/>
  <c r="G35" i="17"/>
  <c r="F35" i="17"/>
  <c r="E35" i="17"/>
  <c r="D35" i="17"/>
  <c r="C35" i="17"/>
  <c r="B35" i="17"/>
  <c r="N34" i="17"/>
  <c r="N33" i="17"/>
  <c r="N32" i="17"/>
  <c r="K29" i="17"/>
  <c r="B29" i="17"/>
  <c r="N27" i="17"/>
  <c r="N26" i="17"/>
  <c r="N25" i="17"/>
  <c r="N24" i="17"/>
  <c r="M23" i="17"/>
  <c r="L23" i="17"/>
  <c r="L29" i="17" s="1"/>
  <c r="K23" i="17"/>
  <c r="J23" i="17"/>
  <c r="J29" i="17" s="1"/>
  <c r="I23" i="17"/>
  <c r="H23" i="17"/>
  <c r="G23" i="17"/>
  <c r="G29" i="17" s="1"/>
  <c r="F23" i="17"/>
  <c r="E23" i="17"/>
  <c r="E29" i="17" s="1"/>
  <c r="D23" i="17"/>
  <c r="C23" i="17"/>
  <c r="C29" i="17" s="1"/>
  <c r="B23" i="17"/>
  <c r="N22" i="17"/>
  <c r="N21" i="17"/>
  <c r="N20" i="17"/>
  <c r="N19" i="17"/>
  <c r="N18" i="17"/>
  <c r="N17" i="17"/>
  <c r="N13" i="17"/>
  <c r="M12" i="17"/>
  <c r="M14" i="17" s="1"/>
  <c r="J12" i="17"/>
  <c r="J14" i="17" s="1"/>
  <c r="I12" i="17"/>
  <c r="I14" i="17" s="1"/>
  <c r="F12" i="17"/>
  <c r="F14" i="17" s="1"/>
  <c r="E12" i="17"/>
  <c r="E14" i="17" s="1"/>
  <c r="N11" i="17"/>
  <c r="M10" i="17"/>
  <c r="L10" i="17"/>
  <c r="L12" i="17" s="1"/>
  <c r="L14" i="17" s="1"/>
  <c r="K10" i="17"/>
  <c r="K12" i="17" s="1"/>
  <c r="K14" i="17" s="1"/>
  <c r="J10" i="17"/>
  <c r="I10" i="17"/>
  <c r="H10" i="17"/>
  <c r="H12" i="17" s="1"/>
  <c r="H14" i="17" s="1"/>
  <c r="G10" i="17"/>
  <c r="G12" i="17" s="1"/>
  <c r="G14" i="17" s="1"/>
  <c r="F10" i="17"/>
  <c r="E10" i="17"/>
  <c r="D10" i="17"/>
  <c r="D12" i="17" s="1"/>
  <c r="D14" i="17" s="1"/>
  <c r="C10" i="17"/>
  <c r="C12" i="17" s="1"/>
  <c r="C14" i="17" s="1"/>
  <c r="B10" i="17"/>
  <c r="B12" i="17" s="1"/>
  <c r="B14" i="17" s="1"/>
  <c r="N9" i="17"/>
  <c r="N8" i="17"/>
  <c r="N6" i="17"/>
  <c r="M6" i="17"/>
  <c r="L6" i="17"/>
  <c r="K6" i="17"/>
  <c r="J6" i="17"/>
  <c r="I6" i="17"/>
  <c r="H6" i="17"/>
  <c r="G6" i="17"/>
  <c r="F6" i="17"/>
  <c r="E6" i="17"/>
  <c r="D6" i="17"/>
  <c r="C6" i="17"/>
  <c r="B6" i="17"/>
  <c r="B106" i="14"/>
  <c r="A99" i="14"/>
  <c r="A98" i="14"/>
  <c r="B97" i="14"/>
  <c r="C72" i="6" s="1"/>
  <c r="A97" i="14"/>
  <c r="B96" i="14"/>
  <c r="A96" i="14"/>
  <c r="B92" i="14"/>
  <c r="A90" i="14"/>
  <c r="B89" i="14"/>
  <c r="A89" i="14"/>
  <c r="B88" i="14"/>
  <c r="A88" i="14"/>
  <c r="B87" i="14"/>
  <c r="A87" i="14"/>
  <c r="B86" i="14"/>
  <c r="B85" i="14"/>
  <c r="B82" i="14"/>
  <c r="B81" i="14"/>
  <c r="B80" i="14"/>
  <c r="C55" i="6" s="1"/>
  <c r="Q66" i="14"/>
  <c r="P66" i="14"/>
  <c r="N66" i="14"/>
  <c r="M66" i="14"/>
  <c r="L66" i="14"/>
  <c r="K66" i="14"/>
  <c r="J66" i="14"/>
  <c r="I66" i="14"/>
  <c r="H66" i="14"/>
  <c r="G66" i="14"/>
  <c r="F66" i="14"/>
  <c r="E66" i="14"/>
  <c r="D66" i="14"/>
  <c r="E107" i="6" s="1"/>
  <c r="C66" i="14"/>
  <c r="B66" i="14"/>
  <c r="A66" i="14"/>
  <c r="Q65" i="14"/>
  <c r="P65" i="14"/>
  <c r="N65" i="14"/>
  <c r="M65" i="14"/>
  <c r="L65" i="14"/>
  <c r="K65" i="14"/>
  <c r="J65" i="14"/>
  <c r="I65" i="14"/>
  <c r="J106" i="6" s="1"/>
  <c r="H65" i="14"/>
  <c r="G65" i="14"/>
  <c r="F65" i="14"/>
  <c r="E65" i="14"/>
  <c r="D65" i="14"/>
  <c r="C65" i="14"/>
  <c r="B65" i="14"/>
  <c r="A65" i="14"/>
  <c r="N64" i="14"/>
  <c r="M64" i="14"/>
  <c r="L64" i="14"/>
  <c r="K64" i="14"/>
  <c r="J64" i="14"/>
  <c r="I64" i="14"/>
  <c r="H64" i="14"/>
  <c r="G64" i="14"/>
  <c r="F64" i="14"/>
  <c r="E64" i="14"/>
  <c r="D64" i="14"/>
  <c r="C64" i="14"/>
  <c r="B64" i="14"/>
  <c r="A64" i="14"/>
  <c r="N61" i="14"/>
  <c r="Q60" i="14"/>
  <c r="P60" i="14"/>
  <c r="N60" i="14"/>
  <c r="M60" i="14"/>
  <c r="N101" i="6" s="1"/>
  <c r="L60" i="14"/>
  <c r="M101" i="6" s="1"/>
  <c r="M102" i="6" s="1"/>
  <c r="K60" i="14"/>
  <c r="J60" i="14"/>
  <c r="I60" i="14"/>
  <c r="H60" i="14"/>
  <c r="G60" i="14"/>
  <c r="F60" i="14"/>
  <c r="E60" i="14"/>
  <c r="D60" i="14"/>
  <c r="C60" i="14"/>
  <c r="B60" i="14"/>
  <c r="A60" i="14"/>
  <c r="Q59" i="14"/>
  <c r="P59" i="14"/>
  <c r="N59" i="14"/>
  <c r="M59" i="14"/>
  <c r="L59" i="14"/>
  <c r="K59" i="14"/>
  <c r="J59" i="14"/>
  <c r="K100" i="6" s="1"/>
  <c r="I59" i="14"/>
  <c r="H59" i="14"/>
  <c r="G59" i="14"/>
  <c r="F59" i="14"/>
  <c r="E59" i="14"/>
  <c r="D59" i="14"/>
  <c r="C59" i="14"/>
  <c r="B59" i="14"/>
  <c r="Q58" i="14"/>
  <c r="P58" i="14"/>
  <c r="N58" i="14"/>
  <c r="M58" i="14"/>
  <c r="L58" i="14"/>
  <c r="K58" i="14"/>
  <c r="J58" i="14"/>
  <c r="I58" i="14"/>
  <c r="H58" i="14"/>
  <c r="G58" i="14"/>
  <c r="F58" i="14"/>
  <c r="E58" i="14"/>
  <c r="D58" i="14"/>
  <c r="C58" i="14"/>
  <c r="B58" i="14"/>
  <c r="A58" i="14"/>
  <c r="Q57" i="14"/>
  <c r="P57" i="14"/>
  <c r="N57" i="14"/>
  <c r="M57" i="14"/>
  <c r="L57" i="14"/>
  <c r="K57" i="14"/>
  <c r="J57" i="14"/>
  <c r="I57" i="14"/>
  <c r="H57" i="14"/>
  <c r="G57" i="14"/>
  <c r="F57" i="14"/>
  <c r="E57" i="14"/>
  <c r="D57" i="14"/>
  <c r="C57" i="14"/>
  <c r="B57" i="14"/>
  <c r="A57" i="14"/>
  <c r="Q56" i="14"/>
  <c r="P56" i="14"/>
  <c r="N56" i="14"/>
  <c r="M56" i="14"/>
  <c r="L56" i="14"/>
  <c r="K56" i="14"/>
  <c r="J56" i="14"/>
  <c r="I56" i="14"/>
  <c r="H56" i="14"/>
  <c r="G56" i="14"/>
  <c r="F56" i="14"/>
  <c r="E56" i="14"/>
  <c r="D56" i="14"/>
  <c r="C56" i="14"/>
  <c r="D100" i="6" s="1"/>
  <c r="D102" i="6" s="1"/>
  <c r="B28" i="5" s="1"/>
  <c r="B56" i="14"/>
  <c r="A56" i="14"/>
  <c r="Q55" i="14"/>
  <c r="P55" i="14"/>
  <c r="N55" i="14"/>
  <c r="M55" i="14"/>
  <c r="L55" i="14"/>
  <c r="K55" i="14"/>
  <c r="J55" i="14"/>
  <c r="I55" i="14"/>
  <c r="H55" i="14"/>
  <c r="G55" i="14"/>
  <c r="F55" i="14"/>
  <c r="E55" i="14"/>
  <c r="D55" i="14"/>
  <c r="E100" i="6" s="1"/>
  <c r="E102" i="6" s="1"/>
  <c r="C28" i="5" s="1"/>
  <c r="C55" i="14"/>
  <c r="B55" i="14"/>
  <c r="C100" i="6" s="1"/>
  <c r="C102" i="6" s="1"/>
  <c r="A55" i="14"/>
  <c r="N52" i="14"/>
  <c r="M52" i="14"/>
  <c r="L52" i="14"/>
  <c r="K52" i="14"/>
  <c r="J52" i="14"/>
  <c r="I52" i="14"/>
  <c r="H52" i="14"/>
  <c r="G52" i="14"/>
  <c r="F52" i="14"/>
  <c r="E52" i="14"/>
  <c r="D52" i="14"/>
  <c r="C52" i="14"/>
  <c r="B52" i="14"/>
  <c r="A52" i="14"/>
  <c r="A51" i="14"/>
  <c r="A50" i="14"/>
  <c r="B49" i="14"/>
  <c r="A49" i="14"/>
  <c r="B48" i="14"/>
  <c r="A48" i="14"/>
  <c r="B47" i="14"/>
  <c r="A47" i="14"/>
  <c r="B46" i="14"/>
  <c r="A46" i="14"/>
  <c r="B41" i="14"/>
  <c r="B38" i="14"/>
  <c r="B37" i="14"/>
  <c r="B36" i="14"/>
  <c r="C35" i="14"/>
  <c r="B35" i="14"/>
  <c r="B34" i="14"/>
  <c r="A34" i="14"/>
  <c r="B33" i="14"/>
  <c r="A33" i="14"/>
  <c r="N32" i="14"/>
  <c r="B32" i="14"/>
  <c r="B31" i="14"/>
  <c r="B30" i="14"/>
  <c r="A30" i="14"/>
  <c r="B29" i="14"/>
  <c r="B28" i="14"/>
  <c r="B26" i="14"/>
  <c r="B24" i="14"/>
  <c r="B23" i="14"/>
  <c r="B19" i="14"/>
  <c r="Q12" i="14"/>
  <c r="P12" i="14"/>
  <c r="N12" i="14"/>
  <c r="O11" i="6" s="1"/>
  <c r="M12" i="14"/>
  <c r="N11" i="6" s="1"/>
  <c r="L12" i="14"/>
  <c r="K12" i="14"/>
  <c r="J12" i="14"/>
  <c r="I12" i="14"/>
  <c r="H12" i="14"/>
  <c r="G12" i="14"/>
  <c r="F12" i="14"/>
  <c r="E12" i="14"/>
  <c r="D12" i="14"/>
  <c r="C12" i="14"/>
  <c r="A12" i="14"/>
  <c r="A11" i="14"/>
  <c r="A10" i="14"/>
  <c r="A9" i="14"/>
  <c r="A1" i="14"/>
  <c r="T15" i="13"/>
  <c r="S15" i="13"/>
  <c r="K15" i="13"/>
  <c r="V14" i="13"/>
  <c r="X14" i="13" s="1"/>
  <c r="Z14" i="13" s="1"/>
  <c r="V13" i="13"/>
  <c r="X13" i="13" s="1"/>
  <c r="Z13" i="13" s="1"/>
  <c r="V12" i="13"/>
  <c r="X12" i="13" s="1"/>
  <c r="Z12" i="13" s="1"/>
  <c r="V11" i="13"/>
  <c r="X11" i="13" s="1"/>
  <c r="Z11" i="13" s="1"/>
  <c r="V10" i="13"/>
  <c r="X10" i="13" s="1"/>
  <c r="Z10" i="13" s="1"/>
  <c r="V9" i="13"/>
  <c r="X9" i="13" s="1"/>
  <c r="Z9" i="13" s="1"/>
  <c r="V8" i="13"/>
  <c r="X8" i="13" s="1"/>
  <c r="Z8" i="13" s="1"/>
  <c r="U7" i="13"/>
  <c r="T7" i="13"/>
  <c r="S7" i="13"/>
  <c r="R7" i="13"/>
  <c r="Q7" i="13"/>
  <c r="V7" i="13" s="1"/>
  <c r="X7" i="13" s="1"/>
  <c r="Z7" i="13" s="1"/>
  <c r="U6" i="13"/>
  <c r="U15" i="13" s="1"/>
  <c r="T6" i="13"/>
  <c r="S6" i="13"/>
  <c r="R6" i="13"/>
  <c r="Q6" i="13"/>
  <c r="P6" i="13"/>
  <c r="O6" i="13"/>
  <c r="N6" i="13"/>
  <c r="M6" i="13"/>
  <c r="L6" i="13"/>
  <c r="K6" i="13"/>
  <c r="J6" i="13"/>
  <c r="I6" i="13"/>
  <c r="U5" i="13"/>
  <c r="T5" i="13"/>
  <c r="S5" i="13"/>
  <c r="R5" i="13"/>
  <c r="R15" i="13" s="1"/>
  <c r="Q5" i="13"/>
  <c r="P5" i="13"/>
  <c r="O5" i="13"/>
  <c r="N5" i="13"/>
  <c r="M5" i="13"/>
  <c r="M15" i="13" s="1"/>
  <c r="L5" i="13"/>
  <c r="K5" i="13"/>
  <c r="J5" i="13"/>
  <c r="J15" i="13" s="1"/>
  <c r="I5" i="13"/>
  <c r="D92" i="12"/>
  <c r="D93" i="12" s="1"/>
  <c r="D94" i="12" s="1"/>
  <c r="D90" i="12"/>
  <c r="B90" i="12"/>
  <c r="D88" i="12"/>
  <c r="D89" i="12" s="1"/>
  <c r="B76" i="12"/>
  <c r="D74" i="12"/>
  <c r="D75" i="12" s="1"/>
  <c r="D76" i="12" s="1"/>
  <c r="C70" i="12"/>
  <c r="D69" i="12" s="1"/>
  <c r="O68" i="12"/>
  <c r="O67" i="12"/>
  <c r="B59" i="12"/>
  <c r="B58" i="12"/>
  <c r="O57" i="12"/>
  <c r="C56" i="12"/>
  <c r="O54" i="12"/>
  <c r="N52" i="12"/>
  <c r="M52" i="12"/>
  <c r="L52" i="12"/>
  <c r="K52" i="12"/>
  <c r="J52" i="12"/>
  <c r="I52" i="12"/>
  <c r="H52" i="12"/>
  <c r="G52" i="12"/>
  <c r="F52" i="12"/>
  <c r="E52" i="12"/>
  <c r="D52" i="12"/>
  <c r="C52" i="12"/>
  <c r="B46" i="12"/>
  <c r="B47" i="12" s="1"/>
  <c r="O45" i="12"/>
  <c r="A45" i="12"/>
  <c r="A44" i="12"/>
  <c r="N43" i="12"/>
  <c r="A43" i="12"/>
  <c r="N42" i="12"/>
  <c r="M42" i="12"/>
  <c r="A42" i="12"/>
  <c r="N41" i="12"/>
  <c r="M41" i="12"/>
  <c r="L41" i="12"/>
  <c r="A41" i="12"/>
  <c r="M40" i="12"/>
  <c r="L40" i="12"/>
  <c r="K40" i="12"/>
  <c r="A40" i="12"/>
  <c r="L39" i="12"/>
  <c r="K39" i="12"/>
  <c r="J39" i="12"/>
  <c r="A39" i="12"/>
  <c r="K38" i="12"/>
  <c r="J38" i="12"/>
  <c r="I38" i="12"/>
  <c r="A38" i="12"/>
  <c r="J37" i="12"/>
  <c r="I37" i="12"/>
  <c r="H37" i="12"/>
  <c r="A37" i="12"/>
  <c r="I36" i="12"/>
  <c r="H36" i="12"/>
  <c r="G36" i="12"/>
  <c r="A36" i="12"/>
  <c r="H35" i="12"/>
  <c r="G35" i="12"/>
  <c r="F35" i="12"/>
  <c r="A35" i="12"/>
  <c r="G34" i="12"/>
  <c r="F34" i="12"/>
  <c r="E34" i="12"/>
  <c r="A34" i="12"/>
  <c r="E33" i="12"/>
  <c r="D33" i="12"/>
  <c r="C33" i="12"/>
  <c r="R24" i="12"/>
  <c r="O66" i="14" s="1"/>
  <c r="E23" i="12"/>
  <c r="F23" i="12" s="1"/>
  <c r="C106" i="14" s="1"/>
  <c r="R22" i="12"/>
  <c r="O65" i="14" s="1"/>
  <c r="E21" i="12"/>
  <c r="F21" i="12" s="1"/>
  <c r="T20" i="12"/>
  <c r="T43" i="10" s="1"/>
  <c r="S20" i="12"/>
  <c r="P64" i="14" s="1"/>
  <c r="R20" i="12"/>
  <c r="O64" i="14" s="1"/>
  <c r="P105" i="6" s="1"/>
  <c r="E19" i="12"/>
  <c r="F19" i="12" s="1"/>
  <c r="C102" i="14" s="1"/>
  <c r="E17" i="12"/>
  <c r="R12" i="12"/>
  <c r="O52" i="14" s="1"/>
  <c r="E11" i="12"/>
  <c r="B99" i="14" s="1"/>
  <c r="B11" i="12"/>
  <c r="E9" i="12"/>
  <c r="F8" i="12"/>
  <c r="C50" i="14" s="1"/>
  <c r="E7" i="12"/>
  <c r="B50" i="14" s="1"/>
  <c r="D86" i="11"/>
  <c r="E86" i="11" s="1"/>
  <c r="F86" i="11" s="1"/>
  <c r="G86" i="11" s="1"/>
  <c r="H86" i="11" s="1"/>
  <c r="I86" i="11" s="1"/>
  <c r="J86" i="11" s="1"/>
  <c r="K86" i="11" s="1"/>
  <c r="L86" i="11" s="1"/>
  <c r="M86" i="11" s="1"/>
  <c r="N86" i="11" s="1"/>
  <c r="O86" i="11" s="1"/>
  <c r="E85" i="11"/>
  <c r="O83" i="11"/>
  <c r="N83" i="11"/>
  <c r="M83" i="11"/>
  <c r="L83" i="11"/>
  <c r="K83" i="11"/>
  <c r="J83" i="11"/>
  <c r="I83" i="11"/>
  <c r="H83" i="11"/>
  <c r="G83" i="11"/>
  <c r="F83" i="11"/>
  <c r="E83" i="11"/>
  <c r="D83" i="11"/>
  <c r="A83" i="11"/>
  <c r="D82" i="11"/>
  <c r="A81" i="11"/>
  <c r="R80" i="11"/>
  <c r="Q80" i="11"/>
  <c r="O79" i="11"/>
  <c r="N79" i="11"/>
  <c r="M79" i="11"/>
  <c r="L79" i="11"/>
  <c r="K79" i="11"/>
  <c r="J79" i="11"/>
  <c r="I79" i="11"/>
  <c r="H79" i="11"/>
  <c r="G79" i="11"/>
  <c r="F79" i="11"/>
  <c r="E79" i="11"/>
  <c r="D79" i="11"/>
  <c r="A79" i="11"/>
  <c r="Q78" i="11"/>
  <c r="D78" i="11"/>
  <c r="E78" i="11" s="1"/>
  <c r="F78" i="11" s="1"/>
  <c r="G78" i="11" s="1"/>
  <c r="H78" i="11" s="1"/>
  <c r="I78" i="11" s="1"/>
  <c r="O77" i="11"/>
  <c r="N77" i="11"/>
  <c r="M77" i="11"/>
  <c r="L77" i="11"/>
  <c r="K77" i="11"/>
  <c r="J77" i="11"/>
  <c r="I77" i="11"/>
  <c r="H77" i="11"/>
  <c r="G77" i="11"/>
  <c r="F77" i="11"/>
  <c r="E77" i="11"/>
  <c r="D77" i="11"/>
  <c r="A77" i="11"/>
  <c r="B72" i="11"/>
  <c r="C72" i="11" s="1"/>
  <c r="D72" i="11" s="1"/>
  <c r="E72" i="11" s="1"/>
  <c r="F72" i="11" s="1"/>
  <c r="G72" i="11" s="1"/>
  <c r="H72" i="11" s="1"/>
  <c r="I72" i="11" s="1"/>
  <c r="Q71" i="11"/>
  <c r="P71" i="11"/>
  <c r="N71" i="11"/>
  <c r="M71" i="11"/>
  <c r="L71" i="11"/>
  <c r="K71" i="11"/>
  <c r="J71" i="11"/>
  <c r="I71" i="11"/>
  <c r="H71" i="11"/>
  <c r="G71" i="11"/>
  <c r="F71" i="11"/>
  <c r="E71" i="11"/>
  <c r="D71" i="11"/>
  <c r="O71" i="11" s="1"/>
  <c r="C71" i="11"/>
  <c r="O70" i="11"/>
  <c r="O69" i="11"/>
  <c r="A69" i="11"/>
  <c r="O68" i="11"/>
  <c r="A68" i="11"/>
  <c r="O67" i="11"/>
  <c r="A67" i="11"/>
  <c r="O66" i="11"/>
  <c r="O65" i="11"/>
  <c r="A65" i="11"/>
  <c r="O64" i="11"/>
  <c r="O63" i="11"/>
  <c r="O62" i="11"/>
  <c r="O61" i="11"/>
  <c r="O60" i="11"/>
  <c r="O59" i="11"/>
  <c r="O57" i="11"/>
  <c r="B57" i="11"/>
  <c r="B71" i="11" s="1"/>
  <c r="O56" i="11"/>
  <c r="Q55" i="11"/>
  <c r="P55" i="11"/>
  <c r="O55" i="11"/>
  <c r="N55" i="11"/>
  <c r="A70" i="11" s="1"/>
  <c r="M55" i="11"/>
  <c r="L55" i="11"/>
  <c r="K55" i="11"/>
  <c r="J55" i="11"/>
  <c r="A66" i="11" s="1"/>
  <c r="I55" i="11"/>
  <c r="H55" i="11"/>
  <c r="A64" i="11" s="1"/>
  <c r="G55" i="11"/>
  <c r="A63" i="11" s="1"/>
  <c r="F55" i="11"/>
  <c r="A62" i="11" s="1"/>
  <c r="E55" i="11"/>
  <c r="A61" i="11" s="1"/>
  <c r="D55" i="11"/>
  <c r="A60" i="11" s="1"/>
  <c r="C55" i="11"/>
  <c r="A59" i="11" s="1"/>
  <c r="O49" i="11"/>
  <c r="N47" i="11"/>
  <c r="N46" i="11"/>
  <c r="M46" i="11"/>
  <c r="N45" i="11"/>
  <c r="M45" i="11"/>
  <c r="L45" i="11"/>
  <c r="M44" i="11"/>
  <c r="L44" i="11"/>
  <c r="K44" i="11"/>
  <c r="L43" i="11"/>
  <c r="K43" i="11"/>
  <c r="J43" i="11"/>
  <c r="K42" i="11"/>
  <c r="J42" i="11"/>
  <c r="I42" i="11"/>
  <c r="J41" i="11"/>
  <c r="I41" i="11"/>
  <c r="H41" i="11"/>
  <c r="I40" i="11"/>
  <c r="H40" i="11"/>
  <c r="G40" i="11"/>
  <c r="H39" i="11"/>
  <c r="G39" i="11"/>
  <c r="F39" i="11"/>
  <c r="G38" i="11"/>
  <c r="F38" i="11"/>
  <c r="E38" i="11"/>
  <c r="F37" i="11"/>
  <c r="E37" i="11"/>
  <c r="D37" i="11"/>
  <c r="B37" i="11"/>
  <c r="B50" i="11" s="1"/>
  <c r="B51" i="11" s="1"/>
  <c r="R29" i="11"/>
  <c r="O60" i="14" s="1"/>
  <c r="F28" i="11"/>
  <c r="C92" i="14" s="1"/>
  <c r="B26" i="11"/>
  <c r="T25" i="11"/>
  <c r="S25" i="11"/>
  <c r="Q25" i="11"/>
  <c r="P25" i="11"/>
  <c r="O25" i="11"/>
  <c r="N25" i="11"/>
  <c r="M25" i="11"/>
  <c r="L25" i="11"/>
  <c r="K25" i="11"/>
  <c r="J25" i="11"/>
  <c r="I25" i="11"/>
  <c r="H25" i="11"/>
  <c r="G25" i="11"/>
  <c r="F25" i="11"/>
  <c r="R24" i="11"/>
  <c r="B23" i="11"/>
  <c r="R22" i="11"/>
  <c r="O58" i="14" s="1"/>
  <c r="F21" i="11"/>
  <c r="C88" i="14" s="1"/>
  <c r="D63" i="6" s="1"/>
  <c r="R20" i="11"/>
  <c r="B19" i="11"/>
  <c r="O81" i="11" s="1"/>
  <c r="R18" i="11"/>
  <c r="O56" i="14" s="1"/>
  <c r="F17" i="11"/>
  <c r="C86" i="14" s="1"/>
  <c r="A17" i="11"/>
  <c r="A86" i="14" s="1"/>
  <c r="R16" i="11"/>
  <c r="O55" i="14" s="1"/>
  <c r="G15" i="11"/>
  <c r="D85" i="14" s="1"/>
  <c r="F15" i="11"/>
  <c r="C85" i="14" s="1"/>
  <c r="D60" i="6" s="1"/>
  <c r="A15" i="11"/>
  <c r="A85" i="14" s="1"/>
  <c r="C10" i="11"/>
  <c r="F44" i="10"/>
  <c r="S43" i="10"/>
  <c r="Q43" i="10"/>
  <c r="P43" i="10"/>
  <c r="O43" i="10"/>
  <c r="N43" i="10"/>
  <c r="M43" i="10"/>
  <c r="L43" i="10"/>
  <c r="K43" i="10"/>
  <c r="J43" i="10"/>
  <c r="E39" i="10"/>
  <c r="R38" i="10"/>
  <c r="Q37" i="10"/>
  <c r="N38" i="14" s="1"/>
  <c r="O38" i="6" s="1"/>
  <c r="M41" i="17" s="1"/>
  <c r="N41" i="17" s="1"/>
  <c r="P37" i="10"/>
  <c r="M38" i="14" s="1"/>
  <c r="N38" i="6" s="1"/>
  <c r="L41" i="17" s="1"/>
  <c r="O37" i="10"/>
  <c r="L38" i="14" s="1"/>
  <c r="N37" i="10"/>
  <c r="K38" i="14" s="1"/>
  <c r="L38" i="6" s="1"/>
  <c r="J41" i="17" s="1"/>
  <c r="M37" i="10"/>
  <c r="J38" i="14" s="1"/>
  <c r="L37" i="10"/>
  <c r="I38" i="14" s="1"/>
  <c r="K37" i="10"/>
  <c r="H38" i="14" s="1"/>
  <c r="I38" i="6" s="1"/>
  <c r="G41" i="17" s="1"/>
  <c r="J37" i="10"/>
  <c r="I37" i="10"/>
  <c r="F38" i="14" s="1"/>
  <c r="G38" i="6" s="1"/>
  <c r="E41" i="17" s="1"/>
  <c r="H37" i="10"/>
  <c r="E38" i="14" s="1"/>
  <c r="F38" i="6" s="1"/>
  <c r="D41" i="17" s="1"/>
  <c r="G37" i="10"/>
  <c r="D38" i="14" s="1"/>
  <c r="E38" i="6" s="1"/>
  <c r="C41" i="17" s="1"/>
  <c r="F37" i="10"/>
  <c r="C38" i="14" s="1"/>
  <c r="D38" i="6" s="1"/>
  <c r="B41" i="17" s="1"/>
  <c r="A37" i="10"/>
  <c r="A38" i="14" s="1"/>
  <c r="R36" i="10"/>
  <c r="Q35" i="10"/>
  <c r="N36" i="14" s="1"/>
  <c r="O36" i="6" s="1"/>
  <c r="P35" i="10"/>
  <c r="M36" i="14" s="1"/>
  <c r="O35" i="10"/>
  <c r="L36" i="14" s="1"/>
  <c r="N35" i="10"/>
  <c r="K36" i="14" s="1"/>
  <c r="M35" i="10"/>
  <c r="J36" i="14" s="1"/>
  <c r="L35" i="10"/>
  <c r="I36" i="14" s="1"/>
  <c r="J36" i="6" s="1"/>
  <c r="K35" i="10"/>
  <c r="H36" i="14" s="1"/>
  <c r="J35" i="10"/>
  <c r="G36" i="14" s="1"/>
  <c r="I35" i="10"/>
  <c r="F36" i="14" s="1"/>
  <c r="G36" i="6" s="1"/>
  <c r="H35" i="10"/>
  <c r="E36" i="14" s="1"/>
  <c r="G35" i="10"/>
  <c r="D36" i="14" s="1"/>
  <c r="E36" i="6" s="1"/>
  <c r="F35" i="10"/>
  <c r="A35" i="10"/>
  <c r="A36" i="14" s="1"/>
  <c r="R34" i="10"/>
  <c r="Q33" i="10"/>
  <c r="N35" i="14" s="1"/>
  <c r="P33" i="10"/>
  <c r="M35" i="14" s="1"/>
  <c r="N35" i="6" s="1"/>
  <c r="O33" i="10"/>
  <c r="L35" i="14" s="1"/>
  <c r="N33" i="10"/>
  <c r="K35" i="14" s="1"/>
  <c r="L35" i="6" s="1"/>
  <c r="M33" i="10"/>
  <c r="J35" i="14" s="1"/>
  <c r="K35" i="6" s="1"/>
  <c r="L33" i="10"/>
  <c r="I35" i="14" s="1"/>
  <c r="J35" i="6" s="1"/>
  <c r="K33" i="10"/>
  <c r="H35" i="14" s="1"/>
  <c r="J33" i="10"/>
  <c r="G35" i="14" s="1"/>
  <c r="I33" i="10"/>
  <c r="F35" i="14" s="1"/>
  <c r="G35" i="6" s="1"/>
  <c r="H33" i="10"/>
  <c r="E35" i="14" s="1"/>
  <c r="F35" i="6" s="1"/>
  <c r="G33" i="10"/>
  <c r="F33" i="10"/>
  <c r="A33" i="10"/>
  <c r="A35" i="14" s="1"/>
  <c r="R32" i="10"/>
  <c r="Q31" i="10"/>
  <c r="N34" i="14" s="1"/>
  <c r="P31" i="10"/>
  <c r="M34" i="14" s="1"/>
  <c r="O31" i="10"/>
  <c r="L34" i="14" s="1"/>
  <c r="M34" i="6" s="1"/>
  <c r="N31" i="10"/>
  <c r="K34" i="14" s="1"/>
  <c r="M31" i="10"/>
  <c r="J34" i="14" s="1"/>
  <c r="L31" i="10"/>
  <c r="I34" i="14" s="1"/>
  <c r="K31" i="10"/>
  <c r="H34" i="14" s="1"/>
  <c r="J31" i="10"/>
  <c r="G34" i="14" s="1"/>
  <c r="I31" i="10"/>
  <c r="F34" i="14" s="1"/>
  <c r="H31" i="10"/>
  <c r="E34" i="14" s="1"/>
  <c r="G31" i="10"/>
  <c r="D34" i="14" s="1"/>
  <c r="F31" i="10"/>
  <c r="A31" i="10"/>
  <c r="R30" i="10"/>
  <c r="Q29" i="10"/>
  <c r="N37" i="14" s="1"/>
  <c r="O37" i="6" s="1"/>
  <c r="P29" i="10"/>
  <c r="M37" i="14" s="1"/>
  <c r="O29" i="10"/>
  <c r="L37" i="14" s="1"/>
  <c r="N29" i="10"/>
  <c r="K37" i="14" s="1"/>
  <c r="M29" i="10"/>
  <c r="J37" i="14" s="1"/>
  <c r="K37" i="6" s="1"/>
  <c r="L29" i="10"/>
  <c r="I37" i="14" s="1"/>
  <c r="K29" i="10"/>
  <c r="H37" i="14" s="1"/>
  <c r="J29" i="10"/>
  <c r="G37" i="14" s="1"/>
  <c r="H37" i="6" s="1"/>
  <c r="I29" i="10"/>
  <c r="F37" i="14" s="1"/>
  <c r="G37" i="6" s="1"/>
  <c r="H29" i="10"/>
  <c r="E37" i="14" s="1"/>
  <c r="F37" i="6" s="1"/>
  <c r="G29" i="10"/>
  <c r="D37" i="14" s="1"/>
  <c r="F29" i="10"/>
  <c r="A29" i="10"/>
  <c r="A37" i="14" s="1"/>
  <c r="R28" i="10"/>
  <c r="Q27" i="10"/>
  <c r="N26" i="14" s="1"/>
  <c r="P27" i="10"/>
  <c r="M26" i="14" s="1"/>
  <c r="O27" i="10"/>
  <c r="L26" i="14" s="1"/>
  <c r="N27" i="10"/>
  <c r="K26" i="14" s="1"/>
  <c r="L26" i="6" s="1"/>
  <c r="M27" i="10"/>
  <c r="J26" i="14" s="1"/>
  <c r="L27" i="10"/>
  <c r="I26" i="14" s="1"/>
  <c r="K27" i="10"/>
  <c r="H26" i="14" s="1"/>
  <c r="J27" i="10"/>
  <c r="G26" i="14" s="1"/>
  <c r="I27" i="10"/>
  <c r="F26" i="14" s="1"/>
  <c r="H27" i="10"/>
  <c r="E26" i="14" s="1"/>
  <c r="G27" i="10"/>
  <c r="D26" i="14" s="1"/>
  <c r="F27" i="10"/>
  <c r="A27" i="10"/>
  <c r="A26" i="14" s="1"/>
  <c r="B26" i="6" s="1"/>
  <c r="R26" i="10"/>
  <c r="Q25" i="10"/>
  <c r="N30" i="14" s="1"/>
  <c r="O30" i="6" s="1"/>
  <c r="P25" i="10"/>
  <c r="M30" i="14" s="1"/>
  <c r="O25" i="10"/>
  <c r="L30" i="14" s="1"/>
  <c r="M30" i="6" s="1"/>
  <c r="N25" i="10"/>
  <c r="K30" i="14" s="1"/>
  <c r="M25" i="10"/>
  <c r="J30" i="14" s="1"/>
  <c r="L25" i="10"/>
  <c r="I30" i="14" s="1"/>
  <c r="J30" i="6" s="1"/>
  <c r="K25" i="10"/>
  <c r="H30" i="14" s="1"/>
  <c r="I30" i="6" s="1"/>
  <c r="J25" i="10"/>
  <c r="G30" i="14" s="1"/>
  <c r="H30" i="6" s="1"/>
  <c r="I25" i="10"/>
  <c r="H25" i="10"/>
  <c r="E30" i="14" s="1"/>
  <c r="G25" i="10"/>
  <c r="D30" i="14" s="1"/>
  <c r="E30" i="6" s="1"/>
  <c r="F25" i="10"/>
  <c r="C30" i="14" s="1"/>
  <c r="R24" i="10"/>
  <c r="Q23" i="10"/>
  <c r="N31" i="14" s="1"/>
  <c r="O31" i="6" s="1"/>
  <c r="P23" i="10"/>
  <c r="M31" i="14" s="1"/>
  <c r="O23" i="10"/>
  <c r="L31" i="14" s="1"/>
  <c r="N23" i="10"/>
  <c r="K31" i="14" s="1"/>
  <c r="L31" i="6" s="1"/>
  <c r="M23" i="10"/>
  <c r="J31" i="14" s="1"/>
  <c r="K31" i="6" s="1"/>
  <c r="L23" i="10"/>
  <c r="I31" i="14" s="1"/>
  <c r="K23" i="10"/>
  <c r="H31" i="14" s="1"/>
  <c r="J23" i="10"/>
  <c r="G31" i="14" s="1"/>
  <c r="H31" i="6" s="1"/>
  <c r="I23" i="10"/>
  <c r="F31" i="14" s="1"/>
  <c r="G31" i="6" s="1"/>
  <c r="H23" i="10"/>
  <c r="E31" i="14" s="1"/>
  <c r="G23" i="10"/>
  <c r="D31" i="14" s="1"/>
  <c r="E31" i="6" s="1"/>
  <c r="F23" i="10"/>
  <c r="A23" i="10"/>
  <c r="A31" i="14" s="1"/>
  <c r="B31" i="6" s="1"/>
  <c r="R22" i="10"/>
  <c r="Q21" i="10"/>
  <c r="P21" i="10"/>
  <c r="M32" i="14" s="1"/>
  <c r="O21" i="10"/>
  <c r="L32" i="14" s="1"/>
  <c r="M32" i="6" s="1"/>
  <c r="N21" i="10"/>
  <c r="K32" i="14" s="1"/>
  <c r="L32" i="6" s="1"/>
  <c r="M21" i="10"/>
  <c r="J32" i="14" s="1"/>
  <c r="K32" i="6" s="1"/>
  <c r="L21" i="10"/>
  <c r="I32" i="14" s="1"/>
  <c r="J32" i="6" s="1"/>
  <c r="K21" i="10"/>
  <c r="H32" i="14" s="1"/>
  <c r="J21" i="10"/>
  <c r="G32" i="14" s="1"/>
  <c r="H32" i="6" s="1"/>
  <c r="I21" i="10"/>
  <c r="F32" i="14" s="1"/>
  <c r="G32" i="6" s="1"/>
  <c r="H21" i="10"/>
  <c r="E32" i="14" s="1"/>
  <c r="F32" i="6" s="1"/>
  <c r="G21" i="10"/>
  <c r="D32" i="14" s="1"/>
  <c r="E32" i="6" s="1"/>
  <c r="F21" i="10"/>
  <c r="A21" i="10"/>
  <c r="A32" i="14" s="1"/>
  <c r="R20" i="10"/>
  <c r="Q19" i="10"/>
  <c r="N29" i="14" s="1"/>
  <c r="P19" i="10"/>
  <c r="M29" i="14" s="1"/>
  <c r="O19" i="10"/>
  <c r="L29" i="14" s="1"/>
  <c r="M29" i="6" s="1"/>
  <c r="N19" i="10"/>
  <c r="K29" i="14" s="1"/>
  <c r="M19" i="10"/>
  <c r="J29" i="14" s="1"/>
  <c r="K29" i="6" s="1"/>
  <c r="L19" i="10"/>
  <c r="I29" i="14" s="1"/>
  <c r="K19" i="10"/>
  <c r="H29" i="14" s="1"/>
  <c r="I29" i="6" s="1"/>
  <c r="J19" i="10"/>
  <c r="G29" i="14" s="1"/>
  <c r="H29" i="6" s="1"/>
  <c r="I19" i="10"/>
  <c r="F29" i="14" s="1"/>
  <c r="H19" i="10"/>
  <c r="E29" i="14" s="1"/>
  <c r="G19" i="10"/>
  <c r="D29" i="14" s="1"/>
  <c r="E29" i="6" s="1"/>
  <c r="F19" i="10"/>
  <c r="C29" i="14" s="1"/>
  <c r="D29" i="6" s="1"/>
  <c r="A19" i="10"/>
  <c r="A29" i="14" s="1"/>
  <c r="B29" i="6" s="1"/>
  <c r="R18" i="10"/>
  <c r="Q17" i="10"/>
  <c r="N28" i="14" s="1"/>
  <c r="P17" i="10"/>
  <c r="M28" i="14" s="1"/>
  <c r="O17" i="10"/>
  <c r="L28" i="14" s="1"/>
  <c r="N17" i="10"/>
  <c r="K28" i="14" s="1"/>
  <c r="M17" i="10"/>
  <c r="J28" i="14" s="1"/>
  <c r="L17" i="10"/>
  <c r="I28" i="14" s="1"/>
  <c r="K17" i="10"/>
  <c r="H28" i="14" s="1"/>
  <c r="J17" i="10"/>
  <c r="G28" i="14" s="1"/>
  <c r="I17" i="10"/>
  <c r="F28" i="14" s="1"/>
  <c r="H17" i="10"/>
  <c r="E28" i="14" s="1"/>
  <c r="G17" i="10"/>
  <c r="D28" i="14" s="1"/>
  <c r="F17" i="10"/>
  <c r="C28" i="14" s="1"/>
  <c r="D28" i="6" s="1"/>
  <c r="A17" i="10"/>
  <c r="A28" i="14" s="1"/>
  <c r="B28" i="6" s="1"/>
  <c r="R16" i="10"/>
  <c r="Q15" i="10"/>
  <c r="N27" i="14" s="1"/>
  <c r="O27" i="6" s="1"/>
  <c r="P15" i="10"/>
  <c r="M27" i="14" s="1"/>
  <c r="N27" i="6" s="1"/>
  <c r="B15" i="10"/>
  <c r="O15" i="10" s="1"/>
  <c r="L27" i="14" s="1"/>
  <c r="M27" i="6" s="1"/>
  <c r="A15" i="10"/>
  <c r="A27" i="14" s="1"/>
  <c r="R14" i="10"/>
  <c r="Q13" i="10"/>
  <c r="N33" i="14" s="1"/>
  <c r="P13" i="10"/>
  <c r="M33" i="14" s="1"/>
  <c r="O13" i="10"/>
  <c r="L33" i="14" s="1"/>
  <c r="M33" i="6" s="1"/>
  <c r="N13" i="10"/>
  <c r="K33" i="14" s="1"/>
  <c r="L33" i="6" s="1"/>
  <c r="M13" i="10"/>
  <c r="J33" i="14" s="1"/>
  <c r="L13" i="10"/>
  <c r="I33" i="14" s="1"/>
  <c r="K13" i="10"/>
  <c r="H33" i="14" s="1"/>
  <c r="I33" i="6" s="1"/>
  <c r="J13" i="10"/>
  <c r="G33" i="14" s="1"/>
  <c r="I13" i="10"/>
  <c r="F33" i="14" s="1"/>
  <c r="H13" i="10"/>
  <c r="E33" i="14" s="1"/>
  <c r="G13" i="10"/>
  <c r="D33" i="14" s="1"/>
  <c r="F13" i="10"/>
  <c r="A12" i="10"/>
  <c r="A25" i="14" s="1"/>
  <c r="B25" i="6" s="1"/>
  <c r="R11" i="10"/>
  <c r="B10" i="10"/>
  <c r="L10" i="10" s="1"/>
  <c r="I24" i="14" s="1"/>
  <c r="J24" i="6" s="1"/>
  <c r="A10" i="10"/>
  <c r="A24" i="14" s="1"/>
  <c r="B24" i="6" s="1"/>
  <c r="R9" i="10"/>
  <c r="G8" i="10"/>
  <c r="B8" i="10"/>
  <c r="Q8" i="10" s="1"/>
  <c r="A8" i="10"/>
  <c r="A23" i="14" s="1"/>
  <c r="B23" i="6" s="1"/>
  <c r="A7" i="10"/>
  <c r="A22" i="14" s="1"/>
  <c r="A6" i="10"/>
  <c r="A21" i="14" s="1"/>
  <c r="R5" i="10"/>
  <c r="A2" i="10"/>
  <c r="J39" i="9"/>
  <c r="I39" i="9"/>
  <c r="H39" i="9"/>
  <c r="G39" i="9"/>
  <c r="J38" i="9"/>
  <c r="F38" i="9"/>
  <c r="E38" i="9"/>
  <c r="K37" i="9"/>
  <c r="F37" i="9"/>
  <c r="A37" i="9"/>
  <c r="N36" i="9"/>
  <c r="C36" i="9"/>
  <c r="L35" i="9"/>
  <c r="J35" i="9"/>
  <c r="G35" i="9"/>
  <c r="O29" i="9"/>
  <c r="N26" i="9"/>
  <c r="N39" i="9" s="1"/>
  <c r="M26" i="9"/>
  <c r="M39" i="9" s="1"/>
  <c r="L26" i="9"/>
  <c r="L39" i="9" s="1"/>
  <c r="K26" i="9"/>
  <c r="K39" i="9" s="1"/>
  <c r="J26" i="9"/>
  <c r="I26" i="9"/>
  <c r="H26" i="9"/>
  <c r="G26" i="9"/>
  <c r="F26" i="9"/>
  <c r="F39" i="9" s="1"/>
  <c r="E26" i="9"/>
  <c r="E39" i="9" s="1"/>
  <c r="D26" i="9"/>
  <c r="D39" i="9" s="1"/>
  <c r="C26" i="9"/>
  <c r="C39" i="9" s="1"/>
  <c r="B26" i="9"/>
  <c r="A26" i="9"/>
  <c r="A39" i="9" s="1"/>
  <c r="N25" i="9"/>
  <c r="N38" i="9" s="1"/>
  <c r="M25" i="9"/>
  <c r="M38" i="9" s="1"/>
  <c r="L25" i="9"/>
  <c r="L38" i="9" s="1"/>
  <c r="K25" i="9"/>
  <c r="K38" i="9" s="1"/>
  <c r="J25" i="9"/>
  <c r="I25" i="9"/>
  <c r="I38" i="9" s="1"/>
  <c r="H25" i="9"/>
  <c r="H38" i="9" s="1"/>
  <c r="G25" i="9"/>
  <c r="G38" i="9" s="1"/>
  <c r="F25" i="9"/>
  <c r="E25" i="9"/>
  <c r="D25" i="9"/>
  <c r="D38" i="9" s="1"/>
  <c r="C25" i="9"/>
  <c r="B25" i="9"/>
  <c r="A25" i="9"/>
  <c r="A38" i="9" s="1"/>
  <c r="N24" i="9"/>
  <c r="N37" i="9" s="1"/>
  <c r="M24" i="9"/>
  <c r="M37" i="9" s="1"/>
  <c r="L24" i="9"/>
  <c r="L37" i="9" s="1"/>
  <c r="K24" i="9"/>
  <c r="J24" i="9"/>
  <c r="J37" i="9" s="1"/>
  <c r="I24" i="9"/>
  <c r="I37" i="9" s="1"/>
  <c r="H24" i="9"/>
  <c r="H37" i="9" s="1"/>
  <c r="G24" i="9"/>
  <c r="G37" i="9" s="1"/>
  <c r="F24" i="9"/>
  <c r="E24" i="9"/>
  <c r="E37" i="9" s="1"/>
  <c r="D24" i="9"/>
  <c r="D37" i="9" s="1"/>
  <c r="C24" i="9"/>
  <c r="C37" i="9" s="1"/>
  <c r="B24" i="9"/>
  <c r="A24" i="9"/>
  <c r="N23" i="9"/>
  <c r="M23" i="9"/>
  <c r="M36" i="9" s="1"/>
  <c r="L23" i="9"/>
  <c r="L36" i="9" s="1"/>
  <c r="K23" i="9"/>
  <c r="K36" i="9" s="1"/>
  <c r="J23" i="9"/>
  <c r="J36" i="9" s="1"/>
  <c r="I23" i="9"/>
  <c r="I36" i="9" s="1"/>
  <c r="H23" i="9"/>
  <c r="H36" i="9" s="1"/>
  <c r="G23" i="9"/>
  <c r="G36" i="9" s="1"/>
  <c r="F23" i="9"/>
  <c r="E23" i="9"/>
  <c r="E36" i="9" s="1"/>
  <c r="D23" i="9"/>
  <c r="D36" i="9" s="1"/>
  <c r="C23" i="9"/>
  <c r="B23" i="9"/>
  <c r="A23" i="9"/>
  <c r="A36" i="9" s="1"/>
  <c r="N22" i="9"/>
  <c r="N35" i="9" s="1"/>
  <c r="M22" i="9"/>
  <c r="M35" i="9" s="1"/>
  <c r="L22" i="9"/>
  <c r="K22" i="9"/>
  <c r="K35" i="9" s="1"/>
  <c r="J22" i="9"/>
  <c r="I22" i="9"/>
  <c r="I35" i="9" s="1"/>
  <c r="H22" i="9"/>
  <c r="H35" i="9" s="1"/>
  <c r="G22" i="9"/>
  <c r="F22" i="9"/>
  <c r="F35" i="9" s="1"/>
  <c r="E22" i="9"/>
  <c r="E35" i="9" s="1"/>
  <c r="D22" i="9"/>
  <c r="D35" i="9" s="1"/>
  <c r="C22" i="9"/>
  <c r="C35" i="9" s="1"/>
  <c r="B22" i="9"/>
  <c r="A22" i="9"/>
  <c r="A35" i="9" s="1"/>
  <c r="C21" i="9"/>
  <c r="C34" i="9" s="1"/>
  <c r="B21" i="9"/>
  <c r="A21" i="9"/>
  <c r="A34" i="9" s="1"/>
  <c r="B20" i="9"/>
  <c r="C20" i="9" s="1"/>
  <c r="A20" i="9"/>
  <c r="A33" i="9" s="1"/>
  <c r="B19" i="9"/>
  <c r="C19" i="9" s="1"/>
  <c r="C32" i="9" s="1"/>
  <c r="A19" i="9"/>
  <c r="A32" i="9" s="1"/>
  <c r="B18" i="9"/>
  <c r="C18" i="9" s="1"/>
  <c r="A18" i="9"/>
  <c r="A31" i="9" s="1"/>
  <c r="B15" i="9"/>
  <c r="Q14" i="9"/>
  <c r="A2" i="9"/>
  <c r="A23" i="8"/>
  <c r="P21" i="8"/>
  <c r="L17" i="8"/>
  <c r="L16" i="8"/>
  <c r="K16" i="8"/>
  <c r="K17" i="8" s="1"/>
  <c r="A8" i="8"/>
  <c r="A17" i="14" s="1"/>
  <c r="A7" i="8"/>
  <c r="A16" i="14" s="1"/>
  <c r="A6" i="8"/>
  <c r="A15" i="14" s="1"/>
  <c r="D54" i="7"/>
  <c r="A54" i="7"/>
  <c r="D53" i="7"/>
  <c r="A53" i="7"/>
  <c r="A52" i="7"/>
  <c r="D51" i="7"/>
  <c r="A51" i="7"/>
  <c r="D50" i="7"/>
  <c r="A50" i="7"/>
  <c r="A49" i="7"/>
  <c r="A48" i="7"/>
  <c r="D47" i="7"/>
  <c r="A47" i="7"/>
  <c r="D46" i="7"/>
  <c r="A46" i="7"/>
  <c r="A45" i="7"/>
  <c r="A44" i="7"/>
  <c r="P38" i="7"/>
  <c r="R38" i="7" s="1"/>
  <c r="T38" i="7" s="1"/>
  <c r="C21" i="7"/>
  <c r="H16" i="8" s="1"/>
  <c r="H17" i="8" s="1"/>
  <c r="N10" i="7"/>
  <c r="O12" i="14" s="1"/>
  <c r="A5" i="7"/>
  <c r="A8" i="14" s="1"/>
  <c r="B4" i="7"/>
  <c r="C111" i="6"/>
  <c r="R107" i="6"/>
  <c r="Q107" i="6"/>
  <c r="P107" i="6"/>
  <c r="O107" i="6"/>
  <c r="N107" i="6"/>
  <c r="M107" i="6"/>
  <c r="L107" i="6"/>
  <c r="K107" i="6"/>
  <c r="J107" i="6"/>
  <c r="I107" i="6"/>
  <c r="H107" i="6"/>
  <c r="G107" i="6"/>
  <c r="F107" i="6"/>
  <c r="D107" i="6"/>
  <c r="C107" i="6"/>
  <c r="B107" i="6"/>
  <c r="R106" i="6"/>
  <c r="Q106" i="6"/>
  <c r="P106" i="6"/>
  <c r="O106" i="6"/>
  <c r="N106" i="6"/>
  <c r="M106" i="6"/>
  <c r="L106" i="6"/>
  <c r="K106" i="6"/>
  <c r="I106" i="6"/>
  <c r="H106" i="6"/>
  <c r="G106" i="6"/>
  <c r="F106" i="6"/>
  <c r="E106" i="6"/>
  <c r="D106" i="6"/>
  <c r="C106" i="6"/>
  <c r="B106" i="6"/>
  <c r="Q105" i="6"/>
  <c r="O105" i="6"/>
  <c r="N105" i="6"/>
  <c r="M105" i="6"/>
  <c r="L105" i="6"/>
  <c r="K105" i="6"/>
  <c r="J105" i="6"/>
  <c r="I105" i="6"/>
  <c r="H105" i="6"/>
  <c r="G105" i="6"/>
  <c r="F105" i="6"/>
  <c r="E105" i="6"/>
  <c r="D105" i="6"/>
  <c r="C105" i="6"/>
  <c r="B105" i="6"/>
  <c r="B104" i="6"/>
  <c r="F102" i="6"/>
  <c r="R101" i="6"/>
  <c r="Q101" i="6"/>
  <c r="P101" i="6"/>
  <c r="O101" i="6"/>
  <c r="L101" i="6"/>
  <c r="K101" i="6"/>
  <c r="J101" i="6"/>
  <c r="I101" i="6"/>
  <c r="H101" i="6"/>
  <c r="G101" i="6"/>
  <c r="F101" i="6"/>
  <c r="E101" i="6"/>
  <c r="D101" i="6"/>
  <c r="C101" i="6"/>
  <c r="R100" i="6"/>
  <c r="R102" i="6" s="1"/>
  <c r="Q100" i="6"/>
  <c r="O100" i="6"/>
  <c r="O102" i="6" s="1"/>
  <c r="N100" i="6"/>
  <c r="M100" i="6"/>
  <c r="L100" i="6"/>
  <c r="H100" i="6"/>
  <c r="H102" i="6" s="1"/>
  <c r="G100" i="6"/>
  <c r="G102" i="6" s="1"/>
  <c r="E28" i="5" s="1"/>
  <c r="F100" i="6"/>
  <c r="C97" i="6"/>
  <c r="C96" i="6"/>
  <c r="C95" i="6"/>
  <c r="C92" i="6"/>
  <c r="B82" i="6"/>
  <c r="D81" i="6"/>
  <c r="C81" i="6"/>
  <c r="B81" i="6"/>
  <c r="C80" i="6"/>
  <c r="B80" i="6"/>
  <c r="D77" i="6"/>
  <c r="C77" i="6"/>
  <c r="B77" i="6"/>
  <c r="B76" i="6"/>
  <c r="B75" i="6"/>
  <c r="C74" i="6"/>
  <c r="B74" i="6"/>
  <c r="C73" i="6"/>
  <c r="B73" i="6"/>
  <c r="B72" i="6"/>
  <c r="C71" i="6"/>
  <c r="B71" i="6"/>
  <c r="D67" i="6"/>
  <c r="B18" i="16" s="1"/>
  <c r="C67" i="6"/>
  <c r="B67" i="6"/>
  <c r="B66" i="6"/>
  <c r="C65" i="6"/>
  <c r="B65" i="6"/>
  <c r="D64" i="6"/>
  <c r="B56" i="17" s="1"/>
  <c r="C64" i="6"/>
  <c r="B64" i="6"/>
  <c r="C63" i="6"/>
  <c r="B63" i="6"/>
  <c r="C62" i="6"/>
  <c r="B62" i="6"/>
  <c r="D61" i="6"/>
  <c r="C61" i="6"/>
  <c r="B61" i="6"/>
  <c r="E60" i="6"/>
  <c r="C60" i="6"/>
  <c r="B60" i="6"/>
  <c r="C57" i="6"/>
  <c r="B57" i="6"/>
  <c r="C56" i="6"/>
  <c r="B56" i="6"/>
  <c r="B55" i="6"/>
  <c r="B54" i="6"/>
  <c r="C51" i="6"/>
  <c r="O43" i="6"/>
  <c r="N43" i="6"/>
  <c r="M43" i="6"/>
  <c r="L43" i="6"/>
  <c r="K43" i="6"/>
  <c r="J43" i="6"/>
  <c r="I43" i="6"/>
  <c r="H43" i="6"/>
  <c r="G43" i="6"/>
  <c r="F43" i="6"/>
  <c r="E43" i="6"/>
  <c r="D43" i="6"/>
  <c r="C43" i="6"/>
  <c r="B43" i="6"/>
  <c r="C41" i="6"/>
  <c r="B41" i="6"/>
  <c r="M38" i="6"/>
  <c r="K41" i="17" s="1"/>
  <c r="K38" i="6"/>
  <c r="I41" i="17" s="1"/>
  <c r="J38" i="6"/>
  <c r="H41" i="17" s="1"/>
  <c r="C38" i="6"/>
  <c r="B38" i="6"/>
  <c r="N37" i="6"/>
  <c r="M37" i="6"/>
  <c r="L37" i="6"/>
  <c r="J37" i="6"/>
  <c r="I37" i="6"/>
  <c r="E37" i="6"/>
  <c r="C37" i="6"/>
  <c r="B37" i="6"/>
  <c r="N36" i="6"/>
  <c r="M36" i="6"/>
  <c r="L36" i="6"/>
  <c r="K36" i="6"/>
  <c r="I36" i="6"/>
  <c r="H36" i="6"/>
  <c r="F36" i="6"/>
  <c r="C36" i="6"/>
  <c r="B36" i="6"/>
  <c r="O35" i="6"/>
  <c r="M35" i="6"/>
  <c r="I35" i="6"/>
  <c r="H35" i="6"/>
  <c r="D35" i="6"/>
  <c r="C35" i="6"/>
  <c r="B35" i="6"/>
  <c r="O34" i="6"/>
  <c r="N34" i="6"/>
  <c r="L34" i="6"/>
  <c r="K34" i="6"/>
  <c r="J34" i="6"/>
  <c r="I34" i="6"/>
  <c r="H34" i="6"/>
  <c r="G34" i="6"/>
  <c r="F34" i="6"/>
  <c r="E34" i="6"/>
  <c r="C34" i="6"/>
  <c r="B34" i="6"/>
  <c r="O33" i="6"/>
  <c r="N33" i="6"/>
  <c r="K33" i="6"/>
  <c r="J33" i="6"/>
  <c r="H33" i="6"/>
  <c r="G33" i="6"/>
  <c r="F33" i="6"/>
  <c r="E33" i="6"/>
  <c r="C33" i="6"/>
  <c r="B33" i="6"/>
  <c r="O32" i="6"/>
  <c r="N32" i="6"/>
  <c r="I32" i="6"/>
  <c r="C32" i="6"/>
  <c r="B32" i="6"/>
  <c r="N31" i="6"/>
  <c r="M31" i="6"/>
  <c r="J31" i="6"/>
  <c r="I31" i="6"/>
  <c r="F31" i="6"/>
  <c r="C31" i="6"/>
  <c r="N30" i="6"/>
  <c r="L30" i="6"/>
  <c r="K30" i="6"/>
  <c r="F30" i="6"/>
  <c r="D30" i="6"/>
  <c r="C30" i="6"/>
  <c r="B30" i="6"/>
  <c r="O29" i="6"/>
  <c r="N29" i="6"/>
  <c r="L29" i="6"/>
  <c r="J29" i="6"/>
  <c r="G29" i="6"/>
  <c r="F29" i="6"/>
  <c r="C29" i="6"/>
  <c r="O28" i="6"/>
  <c r="N28" i="6"/>
  <c r="M28" i="6"/>
  <c r="L28" i="6"/>
  <c r="K28" i="6"/>
  <c r="J28" i="6"/>
  <c r="I28" i="6"/>
  <c r="H28" i="6"/>
  <c r="G28" i="6"/>
  <c r="F28" i="6"/>
  <c r="E28" i="6"/>
  <c r="C28" i="6"/>
  <c r="C27" i="6"/>
  <c r="B27" i="6"/>
  <c r="O26" i="6"/>
  <c r="N26" i="6"/>
  <c r="M26" i="6"/>
  <c r="K26" i="6"/>
  <c r="J26" i="6"/>
  <c r="I26" i="6"/>
  <c r="H26" i="6"/>
  <c r="G26" i="6"/>
  <c r="F26" i="6"/>
  <c r="E26" i="6"/>
  <c r="C26" i="6"/>
  <c r="C25" i="6"/>
  <c r="C24" i="6"/>
  <c r="C23" i="6"/>
  <c r="C22" i="6"/>
  <c r="B22" i="6"/>
  <c r="C21" i="6"/>
  <c r="B21" i="6"/>
  <c r="B16" i="6"/>
  <c r="B15" i="6"/>
  <c r="R11" i="6"/>
  <c r="Q11" i="6"/>
  <c r="M11" i="6"/>
  <c r="L11" i="6"/>
  <c r="K11" i="6"/>
  <c r="J11" i="6"/>
  <c r="I11" i="6"/>
  <c r="H11" i="6"/>
  <c r="G11" i="6"/>
  <c r="F11" i="6"/>
  <c r="E11" i="6"/>
  <c r="D11" i="6"/>
  <c r="B11" i="6"/>
  <c r="B10" i="6"/>
  <c r="B9" i="6"/>
  <c r="B8" i="6"/>
  <c r="B1" i="6"/>
  <c r="A1" i="4"/>
  <c r="C31" i="3"/>
  <c r="B31" i="3"/>
  <c r="G28" i="3"/>
  <c r="F28" i="3"/>
  <c r="C23" i="3"/>
  <c r="C25" i="3" s="1"/>
  <c r="C33" i="3" s="1"/>
  <c r="B23" i="3"/>
  <c r="B25" i="3" s="1"/>
  <c r="B33" i="3" s="1"/>
  <c r="G15" i="3"/>
  <c r="F15" i="3"/>
  <c r="C15" i="3"/>
  <c r="B15" i="3"/>
  <c r="C11" i="3"/>
  <c r="B11" i="3"/>
  <c r="G10" i="3"/>
  <c r="F10" i="3"/>
  <c r="F16" i="3" s="1"/>
  <c r="F29" i="3" s="1"/>
  <c r="F31" i="3" s="1"/>
  <c r="A2" i="3"/>
  <c r="B40" i="2"/>
  <c r="I36" i="2"/>
  <c r="H36" i="2"/>
  <c r="G36" i="2"/>
  <c r="C34" i="2"/>
  <c r="B34" i="2"/>
  <c r="B41" i="2" s="1"/>
  <c r="D31" i="2"/>
  <c r="C31" i="2"/>
  <c r="L11" i="2" s="1"/>
  <c r="B31" i="2"/>
  <c r="L24" i="2"/>
  <c r="M21" i="2"/>
  <c r="L21" i="2"/>
  <c r="D21" i="2"/>
  <c r="C21" i="2"/>
  <c r="B21" i="2"/>
  <c r="M20" i="2"/>
  <c r="L20" i="2"/>
  <c r="P19" i="2"/>
  <c r="M19" i="2"/>
  <c r="L19" i="2"/>
  <c r="M18" i="2"/>
  <c r="M22" i="2" s="1"/>
  <c r="L18" i="2"/>
  <c r="L22" i="2" s="1"/>
  <c r="I16" i="2"/>
  <c r="I37" i="2" s="1"/>
  <c r="I39" i="2" s="1"/>
  <c r="M15" i="2"/>
  <c r="L15" i="2"/>
  <c r="I15" i="2"/>
  <c r="H15" i="2"/>
  <c r="G15" i="2"/>
  <c r="M14" i="2"/>
  <c r="L14" i="2"/>
  <c r="L16" i="2" s="1"/>
  <c r="B13" i="2"/>
  <c r="M11" i="2"/>
  <c r="M10" i="2"/>
  <c r="L10" i="2"/>
  <c r="I10" i="2"/>
  <c r="H10" i="2"/>
  <c r="H16" i="2" s="1"/>
  <c r="G10" i="2"/>
  <c r="G16" i="2" s="1"/>
  <c r="M9" i="2"/>
  <c r="L9" i="2"/>
  <c r="L6" i="2"/>
  <c r="G6" i="2"/>
  <c r="C6" i="2"/>
  <c r="B6" i="2" s="1"/>
  <c r="A1" i="2"/>
  <c r="C105" i="14" l="1"/>
  <c r="D80" i="6" s="1"/>
  <c r="G21" i="12"/>
  <c r="N10" i="10"/>
  <c r="K24" i="14" s="1"/>
  <c r="L24" i="6" s="1"/>
  <c r="N15" i="13"/>
  <c r="D61" i="14"/>
  <c r="M16" i="8"/>
  <c r="M17" i="8" s="1"/>
  <c r="O10" i="10"/>
  <c r="L24" i="14" s="1"/>
  <c r="M24" i="6" s="1"/>
  <c r="M15" i="10"/>
  <c r="J27" i="14" s="1"/>
  <c r="K27" i="6" s="1"/>
  <c r="G17" i="11"/>
  <c r="D86" i="14" s="1"/>
  <c r="E61" i="6" s="1"/>
  <c r="Q84" i="11"/>
  <c r="O15" i="13"/>
  <c r="C61" i="14"/>
  <c r="N35" i="17"/>
  <c r="F8" i="10"/>
  <c r="C23" i="14" s="1"/>
  <c r="D23" i="6" s="1"/>
  <c r="B7" i="6"/>
  <c r="B14" i="6"/>
  <c r="N102" i="6"/>
  <c r="L68" i="17" s="1"/>
  <c r="N16" i="8"/>
  <c r="N17" i="8" s="1"/>
  <c r="O35" i="9"/>
  <c r="G81" i="11"/>
  <c r="E81" i="11"/>
  <c r="G21" i="11"/>
  <c r="F7" i="12"/>
  <c r="C97" i="14" s="1"/>
  <c r="D72" i="6" s="1"/>
  <c r="J61" i="14"/>
  <c r="Q64" i="14"/>
  <c r="R105" i="6" s="1"/>
  <c r="E88" i="12"/>
  <c r="F88" i="12" s="1"/>
  <c r="E61" i="14"/>
  <c r="I61" i="14"/>
  <c r="F61" i="14"/>
  <c r="H61" i="14"/>
  <c r="H37" i="2"/>
  <c r="H39" i="2" s="1"/>
  <c r="H8" i="10"/>
  <c r="I8" i="10"/>
  <c r="F23" i="14" s="1"/>
  <c r="G23" i="6" s="1"/>
  <c r="K8" i="10"/>
  <c r="H23" i="14" s="1"/>
  <c r="I23" i="6" s="1"/>
  <c r="O39" i="9"/>
  <c r="B91" i="14"/>
  <c r="C66" i="6" s="1"/>
  <c r="P8" i="10"/>
  <c r="C23" i="7"/>
  <c r="C37" i="11"/>
  <c r="F11" i="12"/>
  <c r="E92" i="12"/>
  <c r="E93" i="12" s="1"/>
  <c r="O33" i="12"/>
  <c r="I15" i="13"/>
  <c r="K61" i="14"/>
  <c r="L61" i="14"/>
  <c r="I100" i="6"/>
  <c r="I102" i="6" s="1"/>
  <c r="I10" i="10"/>
  <c r="F24" i="14" s="1"/>
  <c r="G24" i="6" s="1"/>
  <c r="B19" i="5"/>
  <c r="R19" i="10"/>
  <c r="O29" i="14" s="1"/>
  <c r="P29" i="6" s="1"/>
  <c r="H15" i="11"/>
  <c r="M61" i="14"/>
  <c r="C17" i="3"/>
  <c r="J100" i="6"/>
  <c r="J102" i="6" s="1"/>
  <c r="K10" i="10"/>
  <c r="H24" i="14" s="1"/>
  <c r="I24" i="6" s="1"/>
  <c r="D80" i="11"/>
  <c r="E80" i="11" s="1"/>
  <c r="L15" i="13"/>
  <c r="B61" i="14"/>
  <c r="M16" i="2"/>
  <c r="F42" i="10"/>
  <c r="F68" i="17"/>
  <c r="F27" i="16"/>
  <c r="F28" i="5"/>
  <c r="P11" i="6"/>
  <c r="G37" i="2"/>
  <c r="G39" i="2" s="1"/>
  <c r="D27" i="16"/>
  <c r="D68" i="17"/>
  <c r="D28" i="5"/>
  <c r="C39" i="6"/>
  <c r="C40" i="6" s="1"/>
  <c r="C42" i="6" s="1"/>
  <c r="C44" i="6" s="1"/>
  <c r="B68" i="17"/>
  <c r="B27" i="16"/>
  <c r="P27" i="16"/>
  <c r="D29" i="4"/>
  <c r="P28" i="5"/>
  <c r="L6" i="8"/>
  <c r="J6" i="8"/>
  <c r="B17" i="3"/>
  <c r="A1" i="17"/>
  <c r="A1" i="16"/>
  <c r="A1" i="5"/>
  <c r="L27" i="16"/>
  <c r="E21" i="9"/>
  <c r="N21" i="9"/>
  <c r="F6" i="8"/>
  <c r="C5" i="14"/>
  <c r="C4" i="7"/>
  <c r="B5" i="8"/>
  <c r="D14" i="7"/>
  <c r="C17" i="9"/>
  <c r="C30" i="9" s="1"/>
  <c r="D21" i="9"/>
  <c r="D34" i="9" s="1"/>
  <c r="M68" i="17"/>
  <c r="M27" i="16"/>
  <c r="M28" i="5"/>
  <c r="F6" i="10"/>
  <c r="C31" i="9"/>
  <c r="C27" i="9"/>
  <c r="D18" i="9"/>
  <c r="O26" i="9"/>
  <c r="K6" i="8"/>
  <c r="G68" i="17"/>
  <c r="G27" i="16"/>
  <c r="G28" i="5"/>
  <c r="K27" i="16"/>
  <c r="K68" i="17"/>
  <c r="K28" i="5"/>
  <c r="K102" i="6"/>
  <c r="M8" i="2"/>
  <c r="M12" i="2" s="1"/>
  <c r="M23" i="2" s="1"/>
  <c r="L102" i="6"/>
  <c r="I6" i="8"/>
  <c r="C33" i="9"/>
  <c r="C38" i="9"/>
  <c r="O38" i="9" s="1"/>
  <c r="O25" i="9"/>
  <c r="D20" i="9"/>
  <c r="O23" i="9"/>
  <c r="F36" i="9"/>
  <c r="O36" i="9" s="1"/>
  <c r="I16" i="8"/>
  <c r="I17" i="8" s="1"/>
  <c r="G16" i="8"/>
  <c r="G17" i="8" s="1"/>
  <c r="E16" i="8"/>
  <c r="E17" i="8" s="1"/>
  <c r="D16" i="8"/>
  <c r="J16" i="8"/>
  <c r="J17" i="8" s="1"/>
  <c r="F16" i="8"/>
  <c r="F17" i="8" s="1"/>
  <c r="R17" i="10"/>
  <c r="G16" i="3"/>
  <c r="G29" i="3" s="1"/>
  <c r="G31" i="3" s="1"/>
  <c r="C22" i="7"/>
  <c r="O16" i="8"/>
  <c r="O17" i="8" s="1"/>
  <c r="O22" i="9"/>
  <c r="A2" i="12"/>
  <c r="A1" i="3"/>
  <c r="A2" i="7"/>
  <c r="A2" i="11"/>
  <c r="O37" i="9"/>
  <c r="B23" i="2"/>
  <c r="B43" i="2" s="1"/>
  <c r="D19" i="9"/>
  <c r="F30" i="14"/>
  <c r="G30" i="6" s="1"/>
  <c r="R25" i="10"/>
  <c r="Q102" i="6"/>
  <c r="A2" i="8"/>
  <c r="R23" i="10"/>
  <c r="C31" i="14"/>
  <c r="D31" i="6" s="1"/>
  <c r="J10" i="10"/>
  <c r="G24" i="14" s="1"/>
  <c r="H24" i="6" s="1"/>
  <c r="M10" i="10"/>
  <c r="J24" i="14" s="1"/>
  <c r="K24" i="6" s="1"/>
  <c r="Q10" i="10"/>
  <c r="N24" i="14" s="1"/>
  <c r="O24" i="6" s="1"/>
  <c r="P10" i="10"/>
  <c r="M24" i="14" s="1"/>
  <c r="N24" i="6" s="1"/>
  <c r="H10" i="10"/>
  <c r="E24" i="14" s="1"/>
  <c r="F24" i="6" s="1"/>
  <c r="F80" i="11"/>
  <c r="G80" i="11" s="1"/>
  <c r="H80" i="11" s="1"/>
  <c r="F10" i="10"/>
  <c r="C36" i="14"/>
  <c r="D36" i="6" s="1"/>
  <c r="R35" i="10"/>
  <c r="G38" i="14"/>
  <c r="H38" i="6" s="1"/>
  <c r="F41" i="17" s="1"/>
  <c r="R37" i="10"/>
  <c r="G10" i="10"/>
  <c r="D24" i="14" s="1"/>
  <c r="E24" i="6" s="1"/>
  <c r="N15" i="10"/>
  <c r="K27" i="14" s="1"/>
  <c r="L27" i="6" s="1"/>
  <c r="I15" i="10"/>
  <c r="F27" i="14" s="1"/>
  <c r="G27" i="6" s="1"/>
  <c r="H15" i="10"/>
  <c r="E27" i="14" s="1"/>
  <c r="F27" i="6" s="1"/>
  <c r="G15" i="10"/>
  <c r="D27" i="14" s="1"/>
  <c r="E27" i="6" s="1"/>
  <c r="F15" i="10"/>
  <c r="L15" i="10"/>
  <c r="I27" i="14" s="1"/>
  <c r="J27" i="6" s="1"/>
  <c r="K15" i="10"/>
  <c r="H27" i="14" s="1"/>
  <c r="I27" i="6" s="1"/>
  <c r="J15" i="10"/>
  <c r="G27" i="14" s="1"/>
  <c r="H27" i="6" s="1"/>
  <c r="R43" i="10"/>
  <c r="J78" i="11"/>
  <c r="E85" i="14"/>
  <c r="I15" i="11"/>
  <c r="R33" i="10"/>
  <c r="E82" i="11"/>
  <c r="F82" i="11" s="1"/>
  <c r="G82" i="11" s="1"/>
  <c r="H82" i="11" s="1"/>
  <c r="I82" i="11" s="1"/>
  <c r="J82" i="11" s="1"/>
  <c r="K82" i="11" s="1"/>
  <c r="L82" i="11" s="1"/>
  <c r="M82" i="11" s="1"/>
  <c r="N82" i="11" s="1"/>
  <c r="O82" i="11" s="1"/>
  <c r="D23" i="14"/>
  <c r="E23" i="6" s="1"/>
  <c r="C32" i="14"/>
  <c r="D32" i="6" s="1"/>
  <c r="R21" i="10"/>
  <c r="E23" i="14"/>
  <c r="F23" i="6" s="1"/>
  <c r="M23" i="14"/>
  <c r="N23" i="6" s="1"/>
  <c r="N23" i="14"/>
  <c r="O23" i="6" s="1"/>
  <c r="C37" i="14"/>
  <c r="D37" i="6" s="1"/>
  <c r="R29" i="10"/>
  <c r="F45" i="10"/>
  <c r="C41" i="14" s="1"/>
  <c r="C68" i="17"/>
  <c r="C27" i="16"/>
  <c r="O57" i="14"/>
  <c r="R82" i="11"/>
  <c r="Q82" i="11"/>
  <c r="E27" i="16"/>
  <c r="E68" i="17"/>
  <c r="O24" i="9"/>
  <c r="J72" i="11"/>
  <c r="K72" i="11" s="1"/>
  <c r="L72" i="11" s="1"/>
  <c r="M72" i="11" s="1"/>
  <c r="N72" i="11" s="1"/>
  <c r="O72" i="11" s="1"/>
  <c r="P72" i="11" s="1"/>
  <c r="Q72" i="11" s="1"/>
  <c r="Q86" i="11"/>
  <c r="O59" i="14"/>
  <c r="O61" i="14" s="1"/>
  <c r="R86" i="11"/>
  <c r="P77" i="11"/>
  <c r="J8" i="10"/>
  <c r="L8" i="10"/>
  <c r="R31" i="10"/>
  <c r="M8" i="10"/>
  <c r="P86" i="11"/>
  <c r="N8" i="10"/>
  <c r="C33" i="14"/>
  <c r="D33" i="6" s="1"/>
  <c r="R13" i="10"/>
  <c r="C26" i="14"/>
  <c r="D26" i="6" s="1"/>
  <c r="R27" i="10"/>
  <c r="O37" i="11"/>
  <c r="P83" i="11"/>
  <c r="O8" i="10"/>
  <c r="C34" i="14"/>
  <c r="D34" i="6" s="1"/>
  <c r="D81" i="11"/>
  <c r="D87" i="11" s="1"/>
  <c r="N85" i="11"/>
  <c r="M85" i="11"/>
  <c r="D85" i="11"/>
  <c r="G23" i="12"/>
  <c r="E74" i="12"/>
  <c r="F23" i="11"/>
  <c r="F81" i="11"/>
  <c r="R84" i="11"/>
  <c r="B63" i="14"/>
  <c r="B101" i="14"/>
  <c r="C76" i="6" s="1"/>
  <c r="F17" i="12"/>
  <c r="V5" i="13"/>
  <c r="D35" i="14"/>
  <c r="E35" i="6" s="1"/>
  <c r="R78" i="11"/>
  <c r="H81" i="11"/>
  <c r="F85" i="11"/>
  <c r="G8" i="12"/>
  <c r="D50" i="14" s="1"/>
  <c r="I81" i="11"/>
  <c r="G85" i="11"/>
  <c r="D70" i="12"/>
  <c r="P79" i="11"/>
  <c r="J81" i="11"/>
  <c r="H85" i="11"/>
  <c r="F19" i="11"/>
  <c r="K81" i="11"/>
  <c r="I85" i="11"/>
  <c r="G7" i="12"/>
  <c r="G28" i="11"/>
  <c r="L81" i="11"/>
  <c r="D84" i="11"/>
  <c r="J85" i="11"/>
  <c r="G19" i="12"/>
  <c r="F92" i="12"/>
  <c r="M81" i="11"/>
  <c r="K85" i="11"/>
  <c r="N81" i="11"/>
  <c r="L85" i="11"/>
  <c r="E94" i="12"/>
  <c r="G61" i="14"/>
  <c r="B100" i="14"/>
  <c r="H17" i="11"/>
  <c r="R25" i="11"/>
  <c r="O85" i="11"/>
  <c r="P15" i="13"/>
  <c r="B39" i="14"/>
  <c r="B40" i="14" s="1"/>
  <c r="B42" i="14" s="1"/>
  <c r="B44" i="14" s="1"/>
  <c r="Q15" i="13"/>
  <c r="Q61" i="14"/>
  <c r="V6" i="13"/>
  <c r="X6" i="13" s="1"/>
  <c r="Z6" i="13" s="1"/>
  <c r="I29" i="17"/>
  <c r="F29" i="17"/>
  <c r="P61" i="14"/>
  <c r="H29" i="17"/>
  <c r="N10" i="17"/>
  <c r="N12" i="17" s="1"/>
  <c r="N14" i="17" s="1"/>
  <c r="D29" i="17"/>
  <c r="M29" i="17"/>
  <c r="N23" i="17"/>
  <c r="E89" i="12" l="1"/>
  <c r="E90" i="12" s="1"/>
  <c r="L28" i="5"/>
  <c r="L8" i="2"/>
  <c r="L12" i="2" s="1"/>
  <c r="L23" i="2" s="1"/>
  <c r="L25" i="2" s="1"/>
  <c r="C39" i="2"/>
  <c r="D88" i="14"/>
  <c r="H21" i="11"/>
  <c r="S19" i="10"/>
  <c r="D105" i="14"/>
  <c r="E80" i="6" s="1"/>
  <c r="H21" i="12"/>
  <c r="C99" i="14"/>
  <c r="D74" i="6" s="1"/>
  <c r="G11" i="12"/>
  <c r="B107" i="14"/>
  <c r="B53" i="14"/>
  <c r="C94" i="6"/>
  <c r="C98" i="6" s="1"/>
  <c r="M6" i="8"/>
  <c r="C87" i="14"/>
  <c r="G19" i="11"/>
  <c r="B67" i="14"/>
  <c r="C104" i="6"/>
  <c r="C108" i="6" s="1"/>
  <c r="G23" i="14"/>
  <c r="H23" i="6" s="1"/>
  <c r="F85" i="14"/>
  <c r="J15" i="11"/>
  <c r="C24" i="14"/>
  <c r="D24" i="6" s="1"/>
  <c r="R10" i="10"/>
  <c r="C6" i="8"/>
  <c r="E84" i="11"/>
  <c r="F84" i="11" s="1"/>
  <c r="G84" i="11" s="1"/>
  <c r="H84" i="11" s="1"/>
  <c r="I84" i="11" s="1"/>
  <c r="J84" i="11" s="1"/>
  <c r="K84" i="11" s="1"/>
  <c r="L84" i="11" s="1"/>
  <c r="M84" i="11" s="1"/>
  <c r="N84" i="11" s="1"/>
  <c r="O84" i="11" s="1"/>
  <c r="D41" i="6"/>
  <c r="F60" i="6"/>
  <c r="E6" i="8"/>
  <c r="G6" i="8"/>
  <c r="H68" i="17"/>
  <c r="H27" i="16"/>
  <c r="H28" i="5"/>
  <c r="S29" i="10"/>
  <c r="O37" i="14"/>
  <c r="P37" i="6" s="1"/>
  <c r="K78" i="11"/>
  <c r="I80" i="11"/>
  <c r="P23" i="9"/>
  <c r="P36" i="9" s="1"/>
  <c r="Q23" i="9"/>
  <c r="Q36" i="9" s="1"/>
  <c r="E86" i="14"/>
  <c r="F61" i="6" s="1"/>
  <c r="I17" i="11"/>
  <c r="H23" i="12"/>
  <c r="D106" i="14"/>
  <c r="O26" i="14"/>
  <c r="P26" i="6" s="1"/>
  <c r="S27" i="10"/>
  <c r="P22" i="9"/>
  <c r="P35" i="9" s="1"/>
  <c r="D33" i="9"/>
  <c r="E20" i="9"/>
  <c r="N29" i="17"/>
  <c r="B70" i="14"/>
  <c r="C9" i="2"/>
  <c r="J3" i="13"/>
  <c r="C35" i="11"/>
  <c r="A38" i="11"/>
  <c r="D41" i="7"/>
  <c r="O33" i="14"/>
  <c r="P33" i="6" s="1"/>
  <c r="S13" i="10"/>
  <c r="P24" i="9"/>
  <c r="P37" i="9" s="1"/>
  <c r="R8" i="10"/>
  <c r="P25" i="9"/>
  <c r="P38" i="9" s="1"/>
  <c r="F3" i="10"/>
  <c r="F41" i="10" s="1"/>
  <c r="F5" i="11" s="1"/>
  <c r="F14" i="11" s="1"/>
  <c r="D13" i="8"/>
  <c r="D5" i="14"/>
  <c r="E14" i="7"/>
  <c r="D17" i="9"/>
  <c r="D30" i="9" s="1"/>
  <c r="D4" i="7"/>
  <c r="C5" i="8"/>
  <c r="K15" i="14"/>
  <c r="C27" i="14"/>
  <c r="D27" i="6" s="1"/>
  <c r="R15" i="10"/>
  <c r="C76" i="14"/>
  <c r="D5" i="6"/>
  <c r="F27" i="11"/>
  <c r="F12" i="10"/>
  <c r="O32" i="14"/>
  <c r="P32" i="6" s="1"/>
  <c r="S21" i="10"/>
  <c r="O27" i="7"/>
  <c r="O44" i="7" s="1"/>
  <c r="M27" i="7"/>
  <c r="M44" i="7" s="1"/>
  <c r="G27" i="7"/>
  <c r="G44" i="7" s="1"/>
  <c r="H27" i="7"/>
  <c r="H44" i="7" s="1"/>
  <c r="F27" i="7"/>
  <c r="F44" i="7" s="1"/>
  <c r="E27" i="7"/>
  <c r="E44" i="7" s="1"/>
  <c r="C24" i="7"/>
  <c r="K27" i="7"/>
  <c r="K44" i="7" s="1"/>
  <c r="I27" i="7"/>
  <c r="I44" i="7" s="1"/>
  <c r="L27" i="7"/>
  <c r="L44" i="7" s="1"/>
  <c r="J27" i="7"/>
  <c r="J44" i="7" s="1"/>
  <c r="D27" i="7"/>
  <c r="N27" i="7"/>
  <c r="N44" i="7" s="1"/>
  <c r="L15" i="14"/>
  <c r="P100" i="6"/>
  <c r="P102" i="6" s="1"/>
  <c r="M15" i="14"/>
  <c r="F90" i="12"/>
  <c r="K23" i="14"/>
  <c r="L23" i="6" s="1"/>
  <c r="G87" i="11"/>
  <c r="P29" i="14"/>
  <c r="Q29" i="6" s="1"/>
  <c r="T19" i="10"/>
  <c r="Q29" i="14" s="1"/>
  <c r="R29" i="6" s="1"/>
  <c r="D92" i="14"/>
  <c r="E67" i="6" s="1"/>
  <c r="H28" i="11"/>
  <c r="E69" i="12"/>
  <c r="E70" i="12" s="1"/>
  <c r="C89" i="14"/>
  <c r="G23" i="11"/>
  <c r="E75" i="12"/>
  <c r="G42" i="10"/>
  <c r="B103" i="14"/>
  <c r="C75" i="6"/>
  <c r="C78" i="6" s="1"/>
  <c r="D97" i="14"/>
  <c r="E72" i="6" s="1"/>
  <c r="P85" i="11"/>
  <c r="J23" i="14"/>
  <c r="K23" i="6" s="1"/>
  <c r="O27" i="16"/>
  <c r="O28" i="5"/>
  <c r="C29" i="4"/>
  <c r="J68" i="17"/>
  <c r="J27" i="16"/>
  <c r="J28" i="5"/>
  <c r="G6" i="10"/>
  <c r="D21" i="14" s="1"/>
  <c r="D31" i="9"/>
  <c r="D27" i="9"/>
  <c r="E18" i="9"/>
  <c r="L23" i="14"/>
  <c r="M23" i="6" s="1"/>
  <c r="O38" i="14"/>
  <c r="P38" i="6" s="1"/>
  <c r="S37" i="10"/>
  <c r="O30" i="14"/>
  <c r="P30" i="6" s="1"/>
  <c r="S25" i="10"/>
  <c r="O28" i="14"/>
  <c r="P28" i="6" s="1"/>
  <c r="S17" i="10"/>
  <c r="G15" i="14"/>
  <c r="J15" i="14"/>
  <c r="P26" i="9"/>
  <c r="P39" i="9" s="1"/>
  <c r="P81" i="11"/>
  <c r="F87" i="11"/>
  <c r="G92" i="12"/>
  <c r="F93" i="12"/>
  <c r="X5" i="13"/>
  <c r="V15" i="13"/>
  <c r="E87" i="11"/>
  <c r="P82" i="11"/>
  <c r="D6" i="8"/>
  <c r="I68" i="17"/>
  <c r="I27" i="16"/>
  <c r="I28" i="5"/>
  <c r="G88" i="12"/>
  <c r="F89" i="12"/>
  <c r="O31" i="14"/>
  <c r="P31" i="6" s="1"/>
  <c r="S23" i="10"/>
  <c r="C101" i="14"/>
  <c r="D76" i="6" s="1"/>
  <c r="B62" i="17" s="1"/>
  <c r="F18" i="12"/>
  <c r="O34" i="14"/>
  <c r="P34" i="6" s="1"/>
  <c r="S31" i="10"/>
  <c r="O36" i="14"/>
  <c r="P36" i="6" s="1"/>
  <c r="S35" i="10"/>
  <c r="H6" i="8"/>
  <c r="F7" i="10"/>
  <c r="C40" i="9"/>
  <c r="F21" i="9"/>
  <c r="E34" i="9"/>
  <c r="D102" i="14"/>
  <c r="E77" i="6" s="1"/>
  <c r="H19" i="12"/>
  <c r="I23" i="14"/>
  <c r="J23" i="6" s="1"/>
  <c r="O35" i="14"/>
  <c r="P35" i="6" s="1"/>
  <c r="S33" i="10"/>
  <c r="E19" i="9"/>
  <c r="D32" i="9"/>
  <c r="P16" i="8"/>
  <c r="D17" i="8"/>
  <c r="C21" i="14"/>
  <c r="Q25" i="9" l="1"/>
  <c r="Q38" i="9" s="1"/>
  <c r="D99" i="14"/>
  <c r="E74" i="6" s="1"/>
  <c r="H11" i="12"/>
  <c r="E105" i="14"/>
  <c r="F80" i="6" s="1"/>
  <c r="I21" i="12"/>
  <c r="E88" i="14"/>
  <c r="I21" i="11"/>
  <c r="E63" i="6"/>
  <c r="E64" i="6"/>
  <c r="C56" i="17" s="1"/>
  <c r="Q24" i="9"/>
  <c r="Q37" i="9" s="1"/>
  <c r="C40" i="2"/>
  <c r="C41" i="2" s="1"/>
  <c r="D39" i="2"/>
  <c r="D40" i="2" s="1"/>
  <c r="D41" i="2" s="1"/>
  <c r="H87" i="11"/>
  <c r="H14" i="6"/>
  <c r="F69" i="12"/>
  <c r="I8" i="12" s="1"/>
  <c r="F50" i="14" s="1"/>
  <c r="P27" i="7"/>
  <c r="R27" i="7" s="1"/>
  <c r="D44" i="7"/>
  <c r="H5" i="7"/>
  <c r="O27" i="14"/>
  <c r="P27" i="6" s="1"/>
  <c r="S15" i="10"/>
  <c r="P33" i="14"/>
  <c r="Q33" i="6" s="1"/>
  <c r="T13" i="10"/>
  <c r="Q33" i="14" s="1"/>
  <c r="R33" i="6" s="1"/>
  <c r="E81" i="6"/>
  <c r="G85" i="14"/>
  <c r="K15" i="11"/>
  <c r="C18" i="16"/>
  <c r="C19" i="5"/>
  <c r="J5" i="7"/>
  <c r="E106" i="14"/>
  <c r="I23" i="12"/>
  <c r="H15" i="14"/>
  <c r="G60" i="6"/>
  <c r="L14" i="6"/>
  <c r="F86" i="14"/>
  <c r="G61" i="6" s="1"/>
  <c r="J17" i="11"/>
  <c r="F19" i="9"/>
  <c r="E32" i="9"/>
  <c r="P34" i="14"/>
  <c r="Q34" i="6" s="1"/>
  <c r="T31" i="10"/>
  <c r="Q34" i="14" s="1"/>
  <c r="R34" i="6" s="1"/>
  <c r="G5" i="7"/>
  <c r="C5" i="7"/>
  <c r="D5" i="7"/>
  <c r="E5" i="14"/>
  <c r="E4" i="7"/>
  <c r="E17" i="9"/>
  <c r="E30" i="9" s="1"/>
  <c r="F14" i="7"/>
  <c r="D5" i="8"/>
  <c r="C13" i="2"/>
  <c r="C23" i="2" s="1"/>
  <c r="C43" i="2" s="1"/>
  <c r="M24" i="2"/>
  <c r="M25" i="2" s="1"/>
  <c r="D9" i="2" s="1"/>
  <c r="D13" i="2" s="1"/>
  <c r="D23" i="2" s="1"/>
  <c r="D43" i="2" s="1"/>
  <c r="D87" i="14"/>
  <c r="H19" i="11"/>
  <c r="E92" i="14"/>
  <c r="F67" i="6" s="1"/>
  <c r="I28" i="11"/>
  <c r="P35" i="14"/>
  <c r="Q35" i="6" s="1"/>
  <c r="T33" i="10"/>
  <c r="Q35" i="14" s="1"/>
  <c r="R35" i="6" s="1"/>
  <c r="P28" i="14"/>
  <c r="Q28" i="6" s="1"/>
  <c r="T17" i="10"/>
  <c r="Q28" i="14" s="1"/>
  <c r="R28" i="6" s="1"/>
  <c r="P38" i="14"/>
  <c r="Q38" i="6" s="1"/>
  <c r="T37" i="10"/>
  <c r="Q38" i="14" s="1"/>
  <c r="R38" i="6" s="1"/>
  <c r="E13" i="8"/>
  <c r="G3" i="10"/>
  <c r="G41" i="10" s="1"/>
  <c r="G5" i="11" s="1"/>
  <c r="G14" i="11" s="1"/>
  <c r="G90" i="12"/>
  <c r="F5" i="7"/>
  <c r="D62" i="6"/>
  <c r="Z5" i="13"/>
  <c r="Z15" i="13" s="1"/>
  <c r="X15" i="13"/>
  <c r="I27" i="11"/>
  <c r="I12" i="10"/>
  <c r="K28" i="7"/>
  <c r="O28" i="7"/>
  <c r="N28" i="7"/>
  <c r="M28" i="7"/>
  <c r="J28" i="7"/>
  <c r="E28" i="7"/>
  <c r="L28" i="7"/>
  <c r="I28" i="7"/>
  <c r="H28" i="7"/>
  <c r="G28" i="7"/>
  <c r="D28" i="7"/>
  <c r="F28" i="7"/>
  <c r="I19" i="12"/>
  <c r="E102" i="14"/>
  <c r="F77" i="6" s="1"/>
  <c r="J27" i="11"/>
  <c r="J12" i="10"/>
  <c r="B48" i="17"/>
  <c r="B12" i="5"/>
  <c r="F94" i="12"/>
  <c r="C63" i="14"/>
  <c r="F25" i="12"/>
  <c r="P30" i="14"/>
  <c r="Q30" i="6" s="1"/>
  <c r="T25" i="10"/>
  <c r="Q30" i="14" s="1"/>
  <c r="R30" i="6" s="1"/>
  <c r="P31" i="14"/>
  <c r="Q31" i="6" s="1"/>
  <c r="T23" i="10"/>
  <c r="Q31" i="14" s="1"/>
  <c r="R31" i="6" s="1"/>
  <c r="H92" i="12"/>
  <c r="G93" i="12"/>
  <c r="F34" i="9"/>
  <c r="G21" i="9"/>
  <c r="H12" i="10"/>
  <c r="H27" i="11"/>
  <c r="M5" i="7"/>
  <c r="L78" i="11"/>
  <c r="C22" i="14"/>
  <c r="D22" i="6" s="1"/>
  <c r="E31" i="9"/>
  <c r="E27" i="9"/>
  <c r="H6" i="10"/>
  <c r="F18" i="9"/>
  <c r="N14" i="6"/>
  <c r="P32" i="14"/>
  <c r="Q32" i="6" s="1"/>
  <c r="T21" i="10"/>
  <c r="Q32" i="14" s="1"/>
  <c r="R32" i="6" s="1"/>
  <c r="F4" i="12"/>
  <c r="F16" i="12" s="1"/>
  <c r="C64" i="12" s="1"/>
  <c r="D73" i="12" s="1"/>
  <c r="D76" i="11"/>
  <c r="E33" i="9"/>
  <c r="F20" i="9"/>
  <c r="P84" i="11"/>
  <c r="F15" i="14"/>
  <c r="D76" i="14"/>
  <c r="E5" i="6"/>
  <c r="N15" i="14"/>
  <c r="J80" i="11"/>
  <c r="I87" i="11"/>
  <c r="H88" i="12"/>
  <c r="G89" i="12"/>
  <c r="D15" i="14"/>
  <c r="C110" i="6"/>
  <c r="C112" i="6" s="1"/>
  <c r="D111" i="6" s="1"/>
  <c r="N27" i="16"/>
  <c r="N28" i="5"/>
  <c r="B29" i="4"/>
  <c r="N68" i="17"/>
  <c r="B69" i="14"/>
  <c r="B71" i="14" s="1"/>
  <c r="Q26" i="9"/>
  <c r="Q39" i="9" s="1"/>
  <c r="G7" i="10"/>
  <c r="D22" i="14" s="1"/>
  <c r="E22" i="6" s="1"/>
  <c r="D40" i="9"/>
  <c r="E76" i="12"/>
  <c r="M14" i="6"/>
  <c r="P37" i="14"/>
  <c r="Q37" i="6" s="1"/>
  <c r="T29" i="10"/>
  <c r="Q37" i="14" s="1"/>
  <c r="R37" i="6" s="1"/>
  <c r="D21" i="6"/>
  <c r="E21" i="6"/>
  <c r="D89" i="14"/>
  <c r="H23" i="11"/>
  <c r="C25" i="14"/>
  <c r="D25" i="6" s="1"/>
  <c r="C45" i="14"/>
  <c r="D95" i="6" s="1"/>
  <c r="F39" i="10"/>
  <c r="O23" i="14"/>
  <c r="P23" i="6" s="1"/>
  <c r="S8" i="10"/>
  <c r="Q22" i="9"/>
  <c r="Q35" i="9" s="1"/>
  <c r="P17" i="8"/>
  <c r="B6" i="8"/>
  <c r="I15" i="14"/>
  <c r="K14" i="6"/>
  <c r="F26" i="11"/>
  <c r="B108" i="14"/>
  <c r="B110" i="14" s="1"/>
  <c r="C82" i="6"/>
  <c r="C83" i="6" s="1"/>
  <c r="C85" i="6" s="1"/>
  <c r="G27" i="11"/>
  <c r="G12" i="10"/>
  <c r="I5" i="7"/>
  <c r="E5" i="7"/>
  <c r="K3" i="13"/>
  <c r="A39" i="11"/>
  <c r="D35" i="11"/>
  <c r="E41" i="7"/>
  <c r="K5" i="7"/>
  <c r="P36" i="14"/>
  <c r="Q36" i="6" s="1"/>
  <c r="T35" i="10"/>
  <c r="Q36" i="14" s="1"/>
  <c r="R36" i="6" s="1"/>
  <c r="E15" i="14"/>
  <c r="H8" i="12"/>
  <c r="L5" i="7"/>
  <c r="B5" i="16"/>
  <c r="B35" i="16" s="1"/>
  <c r="D51" i="6"/>
  <c r="B5" i="5"/>
  <c r="D92" i="6"/>
  <c r="P26" i="14"/>
  <c r="Q26" i="6" s="1"/>
  <c r="T27" i="10"/>
  <c r="Q26" i="14" s="1"/>
  <c r="R26" i="6" s="1"/>
  <c r="O24" i="14"/>
  <c r="P24" i="6" s="1"/>
  <c r="S10" i="10"/>
  <c r="F88" i="14" l="1"/>
  <c r="J21" i="11"/>
  <c r="F64" i="6"/>
  <c r="D56" i="17" s="1"/>
  <c r="F63" i="6"/>
  <c r="F105" i="14"/>
  <c r="G80" i="6" s="1"/>
  <c r="J21" i="12"/>
  <c r="E99" i="14"/>
  <c r="F74" i="6" s="1"/>
  <c r="I11" i="12"/>
  <c r="K12" i="10"/>
  <c r="K27" i="11"/>
  <c r="E21" i="14"/>
  <c r="G34" i="9"/>
  <c r="H21" i="9"/>
  <c r="D18" i="16"/>
  <c r="D19" i="5"/>
  <c r="H85" i="14"/>
  <c r="L15" i="11"/>
  <c r="E87" i="14"/>
  <c r="I19" i="11"/>
  <c r="H60" i="6"/>
  <c r="J8" i="14"/>
  <c r="K80" i="11"/>
  <c r="J87" i="11"/>
  <c r="D25" i="14"/>
  <c r="E25" i="6" s="1"/>
  <c r="E39" i="6" s="1"/>
  <c r="D45" i="14"/>
  <c r="E95" i="6" s="1"/>
  <c r="G39" i="10"/>
  <c r="P23" i="14"/>
  <c r="Q23" i="6" s="1"/>
  <c r="T8" i="10"/>
  <c r="H7" i="10"/>
  <c r="E22" i="14" s="1"/>
  <c r="F22" i="6" s="1"/>
  <c r="E40" i="9"/>
  <c r="E62" i="6"/>
  <c r="O14" i="6"/>
  <c r="I92" i="12"/>
  <c r="H93" i="12"/>
  <c r="F32" i="9"/>
  <c r="G19" i="9"/>
  <c r="C5" i="16"/>
  <c r="C35" i="16" s="1"/>
  <c r="E51" i="6"/>
  <c r="C5" i="5"/>
  <c r="E92" i="6"/>
  <c r="G86" i="14"/>
  <c r="H61" i="6" s="1"/>
  <c r="K17" i="11"/>
  <c r="D45" i="7"/>
  <c r="D32" i="7"/>
  <c r="D35" i="7"/>
  <c r="P28" i="7"/>
  <c r="R28" i="7" s="1"/>
  <c r="D31" i="7"/>
  <c r="E29" i="7"/>
  <c r="L3" i="13"/>
  <c r="E35" i="11"/>
  <c r="A40" i="11"/>
  <c r="F41" i="7"/>
  <c r="P27" i="14"/>
  <c r="Q27" i="6" s="1"/>
  <c r="T15" i="10"/>
  <c r="Q27" i="14" s="1"/>
  <c r="R27" i="6" s="1"/>
  <c r="B79" i="14"/>
  <c r="C70" i="14"/>
  <c r="O70" i="14" s="1"/>
  <c r="G14" i="6"/>
  <c r="G35" i="7"/>
  <c r="G52" i="7" s="1"/>
  <c r="G31" i="7"/>
  <c r="G48" i="7" s="1"/>
  <c r="E7" i="7" s="1"/>
  <c r="F10" i="14" s="1"/>
  <c r="G9" i="6" s="1"/>
  <c r="G32" i="7"/>
  <c r="G49" i="7" s="1"/>
  <c r="G45" i="7"/>
  <c r="G8" i="14"/>
  <c r="H45" i="7"/>
  <c r="H35" i="7"/>
  <c r="H52" i="7" s="1"/>
  <c r="H31" i="7"/>
  <c r="H48" i="7" s="1"/>
  <c r="F7" i="7" s="1"/>
  <c r="G10" i="14" s="1"/>
  <c r="H9" i="6" s="1"/>
  <c r="H32" i="7"/>
  <c r="H49" i="7" s="1"/>
  <c r="F5" i="14"/>
  <c r="F17" i="9"/>
  <c r="F30" i="9" s="1"/>
  <c r="G14" i="7"/>
  <c r="E5" i="8"/>
  <c r="F4" i="7"/>
  <c r="F31" i="7"/>
  <c r="F48" i="7" s="1"/>
  <c r="D7" i="7" s="1"/>
  <c r="E10" i="14" s="1"/>
  <c r="F9" i="6" s="1"/>
  <c r="F35" i="7"/>
  <c r="F52" i="7" s="1"/>
  <c r="F32" i="7"/>
  <c r="F49" i="7" s="1"/>
  <c r="F45" i="7"/>
  <c r="E89" i="14"/>
  <c r="I23" i="11"/>
  <c r="F33" i="9"/>
  <c r="G20" i="9"/>
  <c r="I45" i="7"/>
  <c r="I32" i="7"/>
  <c r="I49" i="7" s="1"/>
  <c r="I35" i="7"/>
  <c r="I52" i="7" s="1"/>
  <c r="I31" i="7"/>
  <c r="I48" i="7" s="1"/>
  <c r="G7" i="7" s="1"/>
  <c r="H10" i="14" s="1"/>
  <c r="I9" i="6" s="1"/>
  <c r="G4" i="12"/>
  <c r="G16" i="12" s="1"/>
  <c r="D64" i="12" s="1"/>
  <c r="E73" i="12" s="1"/>
  <c r="E76" i="11"/>
  <c r="E76" i="14"/>
  <c r="F5" i="6"/>
  <c r="I8" i="14"/>
  <c r="L45" i="7"/>
  <c r="L35" i="7"/>
  <c r="L52" i="7" s="1"/>
  <c r="L31" i="7"/>
  <c r="L48" i="7" s="1"/>
  <c r="J7" i="7" s="1"/>
  <c r="K10" i="14" s="1"/>
  <c r="L9" i="6" s="1"/>
  <c r="L32" i="7"/>
  <c r="L49" i="7" s="1"/>
  <c r="P44" i="7"/>
  <c r="B5" i="7"/>
  <c r="H3" i="10"/>
  <c r="H41" i="10" s="1"/>
  <c r="H5" i="11" s="1"/>
  <c r="H14" i="11" s="1"/>
  <c r="F13" i="8"/>
  <c r="L8" i="14"/>
  <c r="T10" i="10"/>
  <c r="Q24" i="14" s="1"/>
  <c r="R24" i="6" s="1"/>
  <c r="P24" i="14"/>
  <c r="Q24" i="6" s="1"/>
  <c r="I14" i="6"/>
  <c r="R44" i="7"/>
  <c r="T27" i="7"/>
  <c r="T44" i="7" s="1"/>
  <c r="E35" i="7"/>
  <c r="E52" i="7" s="1"/>
  <c r="E32" i="7"/>
  <c r="E49" i="7" s="1"/>
  <c r="E31" i="7"/>
  <c r="E48" i="7" s="1"/>
  <c r="C7" i="7" s="1"/>
  <c r="D10" i="14" s="1"/>
  <c r="E9" i="6" s="1"/>
  <c r="E45" i="7"/>
  <c r="C39" i="14"/>
  <c r="E8" i="14"/>
  <c r="F81" i="6"/>
  <c r="F70" i="12"/>
  <c r="E50" i="14"/>
  <c r="H7" i="12"/>
  <c r="F14" i="6"/>
  <c r="C90" i="14"/>
  <c r="G26" i="11"/>
  <c r="M78" i="11"/>
  <c r="F8" i="14"/>
  <c r="J14" i="6"/>
  <c r="E14" i="6"/>
  <c r="G94" i="12"/>
  <c r="H94" i="12" s="1"/>
  <c r="N32" i="7"/>
  <c r="N49" i="7" s="1"/>
  <c r="N35" i="7"/>
  <c r="N52" i="7" s="1"/>
  <c r="N31" i="7"/>
  <c r="N48" i="7" s="1"/>
  <c r="L7" i="7" s="1"/>
  <c r="M10" i="14" s="1"/>
  <c r="N9" i="6" s="1"/>
  <c r="N45" i="7"/>
  <c r="J19" i="12"/>
  <c r="F102" i="14"/>
  <c r="G77" i="6" s="1"/>
  <c r="D39" i="6"/>
  <c r="N8" i="14"/>
  <c r="H8" i="14"/>
  <c r="K8" i="14"/>
  <c r="B36" i="17"/>
  <c r="P111" i="6"/>
  <c r="C67" i="14"/>
  <c r="D104" i="6"/>
  <c r="D108" i="6" s="1"/>
  <c r="J45" i="7"/>
  <c r="J32" i="7"/>
  <c r="J49" i="7" s="1"/>
  <c r="J35" i="7"/>
  <c r="J52" i="7" s="1"/>
  <c r="J31" i="7"/>
  <c r="J48" i="7" s="1"/>
  <c r="H7" i="7" s="1"/>
  <c r="I10" i="14" s="1"/>
  <c r="J9" i="6" s="1"/>
  <c r="J23" i="12"/>
  <c r="F106" i="14"/>
  <c r="C15" i="14"/>
  <c r="D14" i="6" s="1"/>
  <c r="N6" i="8"/>
  <c r="M8" i="14"/>
  <c r="K31" i="7"/>
  <c r="K48" i="7" s="1"/>
  <c r="I7" i="7" s="1"/>
  <c r="J10" i="14" s="1"/>
  <c r="K9" i="6" s="1"/>
  <c r="K45" i="7"/>
  <c r="K35" i="7"/>
  <c r="K52" i="7" s="1"/>
  <c r="K32" i="7"/>
  <c r="K49" i="7" s="1"/>
  <c r="D77" i="12"/>
  <c r="D81" i="12" s="1"/>
  <c r="D87" i="12"/>
  <c r="D91" i="12" s="1"/>
  <c r="D95" i="12" s="1"/>
  <c r="M31" i="7"/>
  <c r="M48" i="7" s="1"/>
  <c r="K7" i="7" s="1"/>
  <c r="L10" i="14" s="1"/>
  <c r="M9" i="6" s="1"/>
  <c r="M45" i="7"/>
  <c r="M35" i="7"/>
  <c r="M52" i="7" s="1"/>
  <c r="M32" i="7"/>
  <c r="M49" i="7" s="1"/>
  <c r="D8" i="14"/>
  <c r="O31" i="7"/>
  <c r="O48" i="7" s="1"/>
  <c r="M7" i="7" s="1"/>
  <c r="N10" i="14" s="1"/>
  <c r="O9" i="6" s="1"/>
  <c r="O45" i="7"/>
  <c r="O32" i="7"/>
  <c r="O49" i="7" s="1"/>
  <c r="O35" i="7"/>
  <c r="O52" i="7" s="1"/>
  <c r="G17" i="12"/>
  <c r="F74" i="12"/>
  <c r="H89" i="12"/>
  <c r="H90" i="12" s="1"/>
  <c r="I88" i="12"/>
  <c r="F27" i="9"/>
  <c r="F31" i="9"/>
  <c r="I6" i="10"/>
  <c r="F21" i="14" s="1"/>
  <c r="G18" i="9"/>
  <c r="E25" i="14"/>
  <c r="F25" i="6" s="1"/>
  <c r="E45" i="14"/>
  <c r="F95" i="6" s="1"/>
  <c r="H39" i="10"/>
  <c r="G45" i="14"/>
  <c r="H95" i="6" s="1"/>
  <c r="G25" i="14"/>
  <c r="H25" i="6" s="1"/>
  <c r="J39" i="10"/>
  <c r="F45" i="14"/>
  <c r="G95" i="6" s="1"/>
  <c r="F25" i="14"/>
  <c r="G25" i="6" s="1"/>
  <c r="I39" i="10"/>
  <c r="F92" i="14"/>
  <c r="G67" i="6" s="1"/>
  <c r="J28" i="11"/>
  <c r="F99" i="14" l="1"/>
  <c r="G74" i="6" s="1"/>
  <c r="J11" i="12"/>
  <c r="G105" i="14"/>
  <c r="H80" i="6" s="1"/>
  <c r="K21" i="12"/>
  <c r="G88" i="14"/>
  <c r="K21" i="11"/>
  <c r="G64" i="6"/>
  <c r="E56" i="17" s="1"/>
  <c r="G63" i="6"/>
  <c r="G92" i="14"/>
  <c r="H67" i="6" s="1"/>
  <c r="K28" i="11"/>
  <c r="I85" i="14"/>
  <c r="M15" i="11"/>
  <c r="Q23" i="14"/>
  <c r="R23" i="6" s="1"/>
  <c r="I60" i="6"/>
  <c r="B69" i="17"/>
  <c r="B28" i="16"/>
  <c r="B29" i="5"/>
  <c r="H4" i="12"/>
  <c r="H16" i="12" s="1"/>
  <c r="E64" i="12" s="1"/>
  <c r="F73" i="12" s="1"/>
  <c r="F76" i="11"/>
  <c r="C8" i="14"/>
  <c r="N5" i="7"/>
  <c r="H19" i="9"/>
  <c r="G32" i="9"/>
  <c r="H34" i="9"/>
  <c r="I21" i="9"/>
  <c r="G33" i="9"/>
  <c r="H20" i="9"/>
  <c r="L7" i="6"/>
  <c r="F89" i="14"/>
  <c r="J23" i="11"/>
  <c r="H7" i="6"/>
  <c r="P31" i="7"/>
  <c r="R31" i="7" s="1"/>
  <c r="D48" i="7"/>
  <c r="E39" i="14"/>
  <c r="F21" i="6"/>
  <c r="F39" i="6" s="1"/>
  <c r="E97" i="14"/>
  <c r="F72" i="6" s="1"/>
  <c r="I7" i="12"/>
  <c r="D101" i="14"/>
  <c r="E76" i="6" s="1"/>
  <c r="C62" i="17" s="1"/>
  <c r="G18" i="12"/>
  <c r="E77" i="12"/>
  <c r="E81" i="12" s="1"/>
  <c r="E87" i="12"/>
  <c r="E91" i="12" s="1"/>
  <c r="E95" i="12" s="1"/>
  <c r="N7" i="6"/>
  <c r="F29" i="7"/>
  <c r="E30" i="7"/>
  <c r="E46" i="7"/>
  <c r="T28" i="7"/>
  <c r="T45" i="7" s="1"/>
  <c r="R45" i="7"/>
  <c r="J92" i="12"/>
  <c r="I93" i="12"/>
  <c r="I94" i="12" s="1"/>
  <c r="L12" i="10"/>
  <c r="L27" i="11"/>
  <c r="B83" i="14"/>
  <c r="B93" i="14" s="1"/>
  <c r="C54" i="6"/>
  <c r="C58" i="6" s="1"/>
  <c r="C68" i="6" s="1"/>
  <c r="E18" i="16"/>
  <c r="E19" i="5"/>
  <c r="F76" i="14"/>
  <c r="G5" i="6"/>
  <c r="F7" i="6"/>
  <c r="D52" i="7"/>
  <c r="E36" i="7"/>
  <c r="P35" i="7"/>
  <c r="R35" i="7" s="1"/>
  <c r="L80" i="11"/>
  <c r="K87" i="11"/>
  <c r="C36" i="17"/>
  <c r="H45" i="14"/>
  <c r="I95" i="6" s="1"/>
  <c r="H25" i="14"/>
  <c r="I25" i="6" s="1"/>
  <c r="K39" i="10"/>
  <c r="H18" i="9"/>
  <c r="G31" i="9"/>
  <c r="G27" i="9"/>
  <c r="J6" i="10"/>
  <c r="G21" i="14" s="1"/>
  <c r="O15" i="14"/>
  <c r="N78" i="11"/>
  <c r="D39" i="14"/>
  <c r="D49" i="7"/>
  <c r="E33" i="7"/>
  <c r="P32" i="7"/>
  <c r="R32" i="7" s="1"/>
  <c r="F75" i="12"/>
  <c r="H42" i="10"/>
  <c r="C46" i="17"/>
  <c r="C10" i="16"/>
  <c r="C10" i="5"/>
  <c r="R5" i="7"/>
  <c r="B6" i="7"/>
  <c r="P45" i="7"/>
  <c r="K7" i="6"/>
  <c r="E7" i="6"/>
  <c r="B46" i="17"/>
  <c r="B10" i="16"/>
  <c r="B10" i="5"/>
  <c r="D90" i="14"/>
  <c r="H26" i="11"/>
  <c r="P5" i="7"/>
  <c r="M7" i="6"/>
  <c r="I7" i="6"/>
  <c r="O7" i="6"/>
  <c r="I7" i="10"/>
  <c r="F22" i="14" s="1"/>
  <c r="G22" i="6" s="1"/>
  <c r="F40" i="9"/>
  <c r="D65" i="6"/>
  <c r="B57" i="17" s="1"/>
  <c r="C91" i="14"/>
  <c r="D66" i="6" s="1"/>
  <c r="F39" i="14"/>
  <c r="G21" i="6"/>
  <c r="J7" i="6"/>
  <c r="G5" i="14"/>
  <c r="G17" i="9"/>
  <c r="G30" i="9" s="1"/>
  <c r="H14" i="7"/>
  <c r="F5" i="8"/>
  <c r="G4" i="7"/>
  <c r="G81" i="6"/>
  <c r="G102" i="14"/>
  <c r="H77" i="6" s="1"/>
  <c r="K19" i="12"/>
  <c r="I3" i="10"/>
  <c r="I41" i="10" s="1"/>
  <c r="I5" i="11" s="1"/>
  <c r="I14" i="11" s="1"/>
  <c r="G13" i="8"/>
  <c r="F87" i="14"/>
  <c r="J19" i="11"/>
  <c r="G69" i="12"/>
  <c r="G7" i="6"/>
  <c r="I89" i="12"/>
  <c r="I90" i="12" s="1"/>
  <c r="J88" i="12"/>
  <c r="G106" i="14"/>
  <c r="K23" i="12"/>
  <c r="D5" i="16"/>
  <c r="D35" i="16" s="1"/>
  <c r="F92" i="6"/>
  <c r="F51" i="6"/>
  <c r="D5" i="5"/>
  <c r="M3" i="13"/>
  <c r="F35" i="11"/>
  <c r="A41" i="11"/>
  <c r="G41" i="7"/>
  <c r="H86" i="14"/>
  <c r="I61" i="6" s="1"/>
  <c r="L17" i="11"/>
  <c r="F62" i="6"/>
  <c r="H88" i="14" l="1"/>
  <c r="L21" i="11"/>
  <c r="H63" i="6"/>
  <c r="H64" i="6"/>
  <c r="F56" i="17" s="1"/>
  <c r="L21" i="12"/>
  <c r="H105" i="14"/>
  <c r="I80" i="6" s="1"/>
  <c r="G99" i="14"/>
  <c r="H74" i="6" s="1"/>
  <c r="K11" i="12"/>
  <c r="G39" i="6"/>
  <c r="J90" i="12"/>
  <c r="P14" i="6"/>
  <c r="P52" i="7"/>
  <c r="B9" i="7"/>
  <c r="E10" i="16"/>
  <c r="E46" i="17"/>
  <c r="E10" i="5"/>
  <c r="I25" i="14"/>
  <c r="J25" i="6" s="1"/>
  <c r="I45" i="14"/>
  <c r="J95" i="6" s="1"/>
  <c r="L39" i="10"/>
  <c r="J7" i="10"/>
  <c r="G22" i="14" s="1"/>
  <c r="H22" i="6" s="1"/>
  <c r="G40" i="9"/>
  <c r="O8" i="14"/>
  <c r="H102" i="14"/>
  <c r="I77" i="6" s="1"/>
  <c r="L19" i="12"/>
  <c r="F76" i="12"/>
  <c r="K92" i="12"/>
  <c r="J93" i="12"/>
  <c r="J94" i="12" s="1"/>
  <c r="F97" i="14"/>
  <c r="G72" i="6" s="1"/>
  <c r="H33" i="9"/>
  <c r="I20" i="9"/>
  <c r="D7" i="6"/>
  <c r="J85" i="14"/>
  <c r="N15" i="11"/>
  <c r="E50" i="7"/>
  <c r="E34" i="7"/>
  <c r="F33" i="7"/>
  <c r="J60" i="6"/>
  <c r="E90" i="14"/>
  <c r="I26" i="11"/>
  <c r="B17" i="16"/>
  <c r="B18" i="5"/>
  <c r="G39" i="14"/>
  <c r="H21" i="6"/>
  <c r="H39" i="6" s="1"/>
  <c r="I86" i="14"/>
  <c r="J61" i="6" s="1"/>
  <c r="M17" i="11"/>
  <c r="N3" i="13"/>
  <c r="G35" i="11"/>
  <c r="A42" i="11"/>
  <c r="H41" i="7"/>
  <c r="P49" i="7"/>
  <c r="B8" i="7"/>
  <c r="B7" i="7"/>
  <c r="P48" i="7"/>
  <c r="D55" i="7"/>
  <c r="D56" i="7" s="1"/>
  <c r="I34" i="9"/>
  <c r="J21" i="9"/>
  <c r="I4" i="12"/>
  <c r="I16" i="12" s="1"/>
  <c r="F64" i="12" s="1"/>
  <c r="G73" i="12" s="1"/>
  <c r="G76" i="11"/>
  <c r="D63" i="14"/>
  <c r="G25" i="12"/>
  <c r="H31" i="9"/>
  <c r="I18" i="9"/>
  <c r="K6" i="10"/>
  <c r="H21" i="14" s="1"/>
  <c r="H27" i="9"/>
  <c r="H5" i="14"/>
  <c r="H17" i="9"/>
  <c r="H30" i="9" s="1"/>
  <c r="G5" i="8"/>
  <c r="H4" i="7"/>
  <c r="I14" i="7"/>
  <c r="R49" i="7"/>
  <c r="T32" i="7"/>
  <c r="T49" i="7" s="1"/>
  <c r="J3" i="10"/>
  <c r="J41" i="10" s="1"/>
  <c r="J5" i="11" s="1"/>
  <c r="J14" i="11" s="1"/>
  <c r="H13" i="8"/>
  <c r="D10" i="16"/>
  <c r="D46" i="17"/>
  <c r="D10" i="5"/>
  <c r="J8" i="12"/>
  <c r="T31" i="7"/>
  <c r="T48" i="7" s="1"/>
  <c r="R7" i="7" s="1"/>
  <c r="R48" i="7"/>
  <c r="P7" i="7" s="1"/>
  <c r="H92" i="14"/>
  <c r="I67" i="6" s="1"/>
  <c r="L28" i="11"/>
  <c r="C9" i="14"/>
  <c r="D8" i="6" s="1"/>
  <c r="M27" i="11"/>
  <c r="M12" i="10"/>
  <c r="E47" i="7"/>
  <c r="F18" i="16"/>
  <c r="F19" i="5"/>
  <c r="P8" i="14"/>
  <c r="K88" i="12"/>
  <c r="J89" i="12"/>
  <c r="E65" i="6"/>
  <c r="C57" i="17" s="1"/>
  <c r="D91" i="14"/>
  <c r="E66" i="6" s="1"/>
  <c r="M80" i="11"/>
  <c r="L87" i="11"/>
  <c r="H32" i="9"/>
  <c r="I19" i="9"/>
  <c r="F87" i="12"/>
  <c r="F91" i="12" s="1"/>
  <c r="F95" i="12" s="1"/>
  <c r="F77" i="12"/>
  <c r="F81" i="12" s="1"/>
  <c r="O78" i="11"/>
  <c r="F46" i="7"/>
  <c r="G29" i="7"/>
  <c r="F30" i="7"/>
  <c r="F47" i="7" s="1"/>
  <c r="G89" i="14"/>
  <c r="K23" i="11"/>
  <c r="R52" i="7"/>
  <c r="T35" i="7"/>
  <c r="T52" i="7" s="1"/>
  <c r="G70" i="12"/>
  <c r="G76" i="14"/>
  <c r="H5" i="6"/>
  <c r="D36" i="17"/>
  <c r="E5" i="16"/>
  <c r="E35" i="16" s="1"/>
  <c r="G92" i="6"/>
  <c r="E5" i="5"/>
  <c r="G51" i="6"/>
  <c r="G87" i="14"/>
  <c r="K19" i="11"/>
  <c r="G62" i="6"/>
  <c r="L23" i="12"/>
  <c r="H106" i="14"/>
  <c r="Q8" i="14"/>
  <c r="H81" i="6"/>
  <c r="E37" i="7"/>
  <c r="E53" i="7"/>
  <c r="F36" i="7"/>
  <c r="L11" i="12" l="1"/>
  <c r="H99" i="14"/>
  <c r="I74" i="6" s="1"/>
  <c r="I105" i="14"/>
  <c r="J80" i="6" s="1"/>
  <c r="M21" i="12"/>
  <c r="I88" i="14"/>
  <c r="M21" i="11"/>
  <c r="I63" i="6"/>
  <c r="I64" i="6"/>
  <c r="G56" i="17" s="1"/>
  <c r="C11" i="14"/>
  <c r="D10" i="6" s="1"/>
  <c r="F65" i="6"/>
  <c r="D57" i="17" s="1"/>
  <c r="E91" i="14"/>
  <c r="F66" i="6" s="1"/>
  <c r="H62" i="6"/>
  <c r="G30" i="7"/>
  <c r="G47" i="7" s="1"/>
  <c r="G46" i="7"/>
  <c r="H29" i="7"/>
  <c r="F37" i="7"/>
  <c r="F54" i="7" s="1"/>
  <c r="F53" i="7"/>
  <c r="D9" i="7" s="1"/>
  <c r="G36" i="7"/>
  <c r="I27" i="9"/>
  <c r="J18" i="9"/>
  <c r="L6" i="10"/>
  <c r="I21" i="14" s="1"/>
  <c r="I31" i="9"/>
  <c r="F50" i="7"/>
  <c r="F34" i="7"/>
  <c r="F51" i="7" s="1"/>
  <c r="G33" i="7"/>
  <c r="I21" i="6"/>
  <c r="Q7" i="6"/>
  <c r="P78" i="11"/>
  <c r="K7" i="10"/>
  <c r="H40" i="9"/>
  <c r="E51" i="7"/>
  <c r="C8" i="7" s="1"/>
  <c r="D11" i="14" s="1"/>
  <c r="E10" i="6" s="1"/>
  <c r="L92" i="12"/>
  <c r="K93" i="12"/>
  <c r="K94" i="12" s="1"/>
  <c r="H89" i="14"/>
  <c r="L23" i="11"/>
  <c r="P10" i="14"/>
  <c r="Q9" i="6" s="1"/>
  <c r="H17" i="12"/>
  <c r="G74" i="12"/>
  <c r="D67" i="14"/>
  <c r="E104" i="6"/>
  <c r="E108" i="6" s="1"/>
  <c r="O15" i="11"/>
  <c r="K85" i="14"/>
  <c r="E36" i="17"/>
  <c r="K60" i="6"/>
  <c r="I102" i="14"/>
  <c r="J77" i="6" s="1"/>
  <c r="M19" i="12"/>
  <c r="C9" i="7"/>
  <c r="G50" i="14"/>
  <c r="E54" i="7"/>
  <c r="J86" i="14"/>
  <c r="K61" i="6" s="1"/>
  <c r="N17" i="11"/>
  <c r="P7" i="6"/>
  <c r="G87" i="12"/>
  <c r="G91" i="12" s="1"/>
  <c r="G95" i="12" s="1"/>
  <c r="G77" i="12"/>
  <c r="G81" i="12" s="1"/>
  <c r="F5" i="16"/>
  <c r="F35" i="16" s="1"/>
  <c r="F5" i="5"/>
  <c r="H92" i="6"/>
  <c r="H51" i="6"/>
  <c r="J20" i="9"/>
  <c r="I33" i="9"/>
  <c r="C6" i="7"/>
  <c r="I32" i="9"/>
  <c r="J19" i="9"/>
  <c r="J25" i="14"/>
  <c r="K25" i="6" s="1"/>
  <c r="J45" i="14"/>
  <c r="K95" i="6" s="1"/>
  <c r="M39" i="10"/>
  <c r="H69" i="12"/>
  <c r="F10" i="16"/>
  <c r="F46" i="17"/>
  <c r="F10" i="5"/>
  <c r="D6" i="7"/>
  <c r="H76" i="11"/>
  <c r="J4" i="12"/>
  <c r="J16" i="12" s="1"/>
  <c r="G64" i="12" s="1"/>
  <c r="H73" i="12" s="1"/>
  <c r="N27" i="11"/>
  <c r="N12" i="10"/>
  <c r="K21" i="9"/>
  <c r="J34" i="9"/>
  <c r="R7" i="6"/>
  <c r="I81" i="6"/>
  <c r="I5" i="14"/>
  <c r="H5" i="8"/>
  <c r="I17" i="9"/>
  <c r="I30" i="9" s="1"/>
  <c r="J14" i="7"/>
  <c r="I4" i="7"/>
  <c r="J7" i="12"/>
  <c r="H87" i="14"/>
  <c r="L19" i="11"/>
  <c r="K89" i="12"/>
  <c r="K90" i="12" s="1"/>
  <c r="L88" i="12"/>
  <c r="N80" i="11"/>
  <c r="M87" i="11"/>
  <c r="H35" i="11"/>
  <c r="O3" i="13"/>
  <c r="A43" i="11"/>
  <c r="I41" i="7"/>
  <c r="I92" i="14"/>
  <c r="J67" i="6" s="1"/>
  <c r="M28" i="11"/>
  <c r="F6" i="12"/>
  <c r="D24" i="8"/>
  <c r="F9" i="11"/>
  <c r="C36" i="11"/>
  <c r="F11" i="11"/>
  <c r="F6" i="11"/>
  <c r="F7" i="11"/>
  <c r="D20" i="8"/>
  <c r="D18" i="8"/>
  <c r="M23" i="12"/>
  <c r="I106" i="14"/>
  <c r="C17" i="16"/>
  <c r="C18" i="5"/>
  <c r="G18" i="16"/>
  <c r="G19" i="5"/>
  <c r="K3" i="10"/>
  <c r="K41" i="10" s="1"/>
  <c r="K5" i="11" s="1"/>
  <c r="K14" i="11" s="1"/>
  <c r="I13" i="8"/>
  <c r="C10" i="14"/>
  <c r="D9" i="6" s="1"/>
  <c r="P9" i="6" s="1"/>
  <c r="N7" i="7"/>
  <c r="B11" i="7"/>
  <c r="Q10" i="14"/>
  <c r="R9" i="6" s="1"/>
  <c r="H76" i="14"/>
  <c r="I5" i="6"/>
  <c r="F90" i="14"/>
  <c r="J26" i="11"/>
  <c r="J88" i="14" l="1"/>
  <c r="N21" i="11"/>
  <c r="J63" i="6"/>
  <c r="J64" i="6"/>
  <c r="H56" i="17" s="1"/>
  <c r="F55" i="7"/>
  <c r="F56" i="7" s="1"/>
  <c r="H6" i="12" s="1"/>
  <c r="N21" i="12"/>
  <c r="J105" i="14"/>
  <c r="K80" i="6" s="1"/>
  <c r="I99" i="14"/>
  <c r="J74" i="6" s="1"/>
  <c r="M11" i="12"/>
  <c r="L85" i="14"/>
  <c r="P15" i="11"/>
  <c r="J21" i="6"/>
  <c r="H9" i="11"/>
  <c r="E47" i="14" s="1"/>
  <c r="E36" i="11"/>
  <c r="H11" i="11"/>
  <c r="E48" i="14" s="1"/>
  <c r="H7" i="11"/>
  <c r="E46" i="14" s="1"/>
  <c r="F20" i="8"/>
  <c r="F22" i="8" s="1"/>
  <c r="F24" i="8"/>
  <c r="F26" i="8" s="1"/>
  <c r="D8" i="8" s="1"/>
  <c r="E17" i="14" s="1"/>
  <c r="F16" i="6" s="1"/>
  <c r="I62" i="6"/>
  <c r="J31" i="9"/>
  <c r="J27" i="9"/>
  <c r="M6" i="10"/>
  <c r="J21" i="14" s="1"/>
  <c r="K18" i="9"/>
  <c r="C50" i="11"/>
  <c r="D38" i="11"/>
  <c r="O38" i="11" s="1"/>
  <c r="F8" i="11"/>
  <c r="C47" i="14"/>
  <c r="H87" i="12"/>
  <c r="H91" i="12" s="1"/>
  <c r="H95" i="12" s="1"/>
  <c r="H77" i="12"/>
  <c r="H81" i="12" s="1"/>
  <c r="C69" i="17"/>
  <c r="C28" i="16"/>
  <c r="C29" i="5"/>
  <c r="O10" i="14"/>
  <c r="D26" i="8"/>
  <c r="B8" i="8" s="1"/>
  <c r="G97" i="14"/>
  <c r="H72" i="6" s="1"/>
  <c r="H22" i="14"/>
  <c r="E9" i="14"/>
  <c r="D11" i="7"/>
  <c r="K20" i="9"/>
  <c r="J33" i="9"/>
  <c r="H36" i="7"/>
  <c r="G37" i="7"/>
  <c r="G53" i="7"/>
  <c r="G75" i="12"/>
  <c r="I42" i="10"/>
  <c r="J5" i="14"/>
  <c r="I5" i="8"/>
  <c r="J17" i="9"/>
  <c r="J30" i="9" s="1"/>
  <c r="J4" i="7"/>
  <c r="K14" i="7"/>
  <c r="J92" i="14"/>
  <c r="K67" i="6" s="1"/>
  <c r="N28" i="11"/>
  <c r="I35" i="11"/>
  <c r="P3" i="13"/>
  <c r="A44" i="11"/>
  <c r="J41" i="7"/>
  <c r="E101" i="14"/>
  <c r="F76" i="6" s="1"/>
  <c r="D62" i="17" s="1"/>
  <c r="H18" i="12"/>
  <c r="I76" i="11"/>
  <c r="K4" i="12"/>
  <c r="K16" i="12" s="1"/>
  <c r="H64" i="12" s="1"/>
  <c r="I73" i="12" s="1"/>
  <c r="L3" i="10"/>
  <c r="L41" i="10" s="1"/>
  <c r="L5" i="11" s="1"/>
  <c r="L14" i="11" s="1"/>
  <c r="J13" i="8"/>
  <c r="H30" i="7"/>
  <c r="H47" i="7" s="1"/>
  <c r="I29" i="7"/>
  <c r="H46" i="7"/>
  <c r="E6" i="7"/>
  <c r="C49" i="14"/>
  <c r="F5" i="12"/>
  <c r="K8" i="12"/>
  <c r="K7" i="12" s="1"/>
  <c r="J102" i="14"/>
  <c r="K77" i="6" s="1"/>
  <c r="N19" i="12"/>
  <c r="H18" i="16"/>
  <c r="H19" i="5"/>
  <c r="H70" i="12"/>
  <c r="C13" i="14"/>
  <c r="J81" i="6"/>
  <c r="O12" i="10"/>
  <c r="O27" i="11"/>
  <c r="J106" i="14"/>
  <c r="N23" i="12"/>
  <c r="G50" i="7"/>
  <c r="H33" i="7"/>
  <c r="G34" i="7"/>
  <c r="I76" i="14"/>
  <c r="J5" i="6"/>
  <c r="L21" i="9"/>
  <c r="K34" i="9"/>
  <c r="I89" i="14"/>
  <c r="M23" i="11"/>
  <c r="G65" i="6"/>
  <c r="E57" i="17" s="1"/>
  <c r="F91" i="14"/>
  <c r="G66" i="6" s="1"/>
  <c r="D22" i="8"/>
  <c r="G5" i="16"/>
  <c r="G35" i="16" s="1"/>
  <c r="I92" i="6"/>
  <c r="I51" i="6"/>
  <c r="G5" i="5"/>
  <c r="J32" i="9"/>
  <c r="K19" i="9"/>
  <c r="O80" i="11"/>
  <c r="O87" i="11" s="1"/>
  <c r="N87" i="11"/>
  <c r="D17" i="16"/>
  <c r="D18" i="5"/>
  <c r="G90" i="14"/>
  <c r="K26" i="11"/>
  <c r="C46" i="14"/>
  <c r="M88" i="12"/>
  <c r="L89" i="12"/>
  <c r="L90" i="12" s="1"/>
  <c r="K25" i="14"/>
  <c r="L25" i="6" s="1"/>
  <c r="K45" i="14"/>
  <c r="L95" i="6" s="1"/>
  <c r="N39" i="10"/>
  <c r="D12" i="6"/>
  <c r="F36" i="17"/>
  <c r="M92" i="12"/>
  <c r="L93" i="12"/>
  <c r="L94" i="12" s="1"/>
  <c r="D8" i="7"/>
  <c r="E11" i="14" s="1"/>
  <c r="F10" i="6" s="1"/>
  <c r="C80" i="14"/>
  <c r="D55" i="6" s="1"/>
  <c r="B52" i="17" s="1"/>
  <c r="C48" i="14"/>
  <c r="F10" i="11"/>
  <c r="I87" i="14"/>
  <c r="M19" i="11"/>
  <c r="D9" i="14"/>
  <c r="C11" i="7"/>
  <c r="K86" i="14"/>
  <c r="L61" i="6" s="1"/>
  <c r="O17" i="11"/>
  <c r="L60" i="6"/>
  <c r="E55" i="7"/>
  <c r="E56" i="7" s="1"/>
  <c r="I40" i="9"/>
  <c r="L7" i="10"/>
  <c r="I22" i="14" s="1"/>
  <c r="J22" i="6" s="1"/>
  <c r="N11" i="12" l="1"/>
  <c r="J99" i="14"/>
  <c r="K74" i="6" s="1"/>
  <c r="O21" i="12"/>
  <c r="K105" i="14"/>
  <c r="L80" i="6" s="1"/>
  <c r="P80" i="11"/>
  <c r="P87" i="11" s="1"/>
  <c r="R12" i="10" s="1"/>
  <c r="O25" i="14" s="1"/>
  <c r="P25" i="6" s="1"/>
  <c r="F18" i="8"/>
  <c r="O21" i="11"/>
  <c r="K88" i="14"/>
  <c r="K64" i="6"/>
  <c r="I56" i="17" s="1"/>
  <c r="K63" i="6"/>
  <c r="G76" i="12"/>
  <c r="D96" i="6"/>
  <c r="C32" i="12"/>
  <c r="C53" i="12"/>
  <c r="B7" i="8"/>
  <c r="D27" i="8"/>
  <c r="C82" i="14"/>
  <c r="D57" i="6" s="1"/>
  <c r="B54" i="17" s="1"/>
  <c r="C96" i="14"/>
  <c r="H90" i="14"/>
  <c r="L26" i="11"/>
  <c r="E17" i="16"/>
  <c r="E18" i="5"/>
  <c r="K106" i="14"/>
  <c r="O23" i="12"/>
  <c r="G54" i="7"/>
  <c r="E9" i="7" s="1"/>
  <c r="E49" i="14"/>
  <c r="H53" i="7"/>
  <c r="I36" i="7"/>
  <c r="H37" i="7"/>
  <c r="H54" i="7" s="1"/>
  <c r="E53" i="12"/>
  <c r="E55" i="12" s="1"/>
  <c r="E32" i="12"/>
  <c r="D7" i="8"/>
  <c r="F27" i="8"/>
  <c r="P27" i="11"/>
  <c r="P12" i="10"/>
  <c r="N23" i="11"/>
  <c r="J89" i="14"/>
  <c r="F6" i="7"/>
  <c r="F96" i="6"/>
  <c r="K33" i="9"/>
  <c r="L20" i="9"/>
  <c r="C81" i="14"/>
  <c r="D56" i="6" s="1"/>
  <c r="B53" i="17" s="1"/>
  <c r="F40" i="11"/>
  <c r="O40" i="11" s="1"/>
  <c r="L25" i="14"/>
  <c r="M25" i="6" s="1"/>
  <c r="L45" i="14"/>
  <c r="M95" i="6" s="1"/>
  <c r="O39" i="10"/>
  <c r="F9" i="14"/>
  <c r="O45" i="14"/>
  <c r="R39" i="10"/>
  <c r="G9" i="11"/>
  <c r="D36" i="11"/>
  <c r="G11" i="11"/>
  <c r="G10" i="11" s="1"/>
  <c r="G6" i="12"/>
  <c r="G7" i="11"/>
  <c r="E24" i="8"/>
  <c r="E20" i="8"/>
  <c r="E18" i="8"/>
  <c r="Q27" i="11"/>
  <c r="Q12" i="10"/>
  <c r="K92" i="14"/>
  <c r="L67" i="6" s="1"/>
  <c r="O28" i="11"/>
  <c r="G36" i="17"/>
  <c r="L34" i="9"/>
  <c r="M21" i="9"/>
  <c r="I18" i="16"/>
  <c r="I19" i="5"/>
  <c r="F8" i="6"/>
  <c r="F12" i="6" s="1"/>
  <c r="E13" i="14"/>
  <c r="C51" i="11"/>
  <c r="J39" i="6"/>
  <c r="P17" i="11"/>
  <c r="L86" i="14"/>
  <c r="M61" i="6" s="1"/>
  <c r="B43" i="17"/>
  <c r="B7" i="16"/>
  <c r="B7" i="5"/>
  <c r="H5" i="16"/>
  <c r="H35" i="16" s="1"/>
  <c r="H5" i="5"/>
  <c r="J92" i="6"/>
  <c r="J51" i="6"/>
  <c r="Q3" i="13"/>
  <c r="J35" i="11"/>
  <c r="A45" i="11"/>
  <c r="K41" i="7"/>
  <c r="I39" i="14"/>
  <c r="I22" i="6"/>
  <c r="I39" i="6" s="1"/>
  <c r="H39" i="14"/>
  <c r="M85" i="14"/>
  <c r="Q15" i="11"/>
  <c r="L4" i="12"/>
  <c r="L16" i="12" s="1"/>
  <c r="I64" i="12" s="1"/>
  <c r="J73" i="12" s="1"/>
  <c r="J76" i="11"/>
  <c r="K5" i="14"/>
  <c r="K17" i="9"/>
  <c r="K30" i="9" s="1"/>
  <c r="J5" i="8"/>
  <c r="K4" i="7"/>
  <c r="L14" i="7"/>
  <c r="I77" i="12"/>
  <c r="I81" i="12" s="1"/>
  <c r="I87" i="12"/>
  <c r="I91" i="12" s="1"/>
  <c r="I95" i="12" s="1"/>
  <c r="N6" i="10"/>
  <c r="K21" i="14" s="1"/>
  <c r="K31" i="9"/>
  <c r="L18" i="9"/>
  <c r="K27" i="9"/>
  <c r="M60" i="6"/>
  <c r="H65" i="6"/>
  <c r="F57" i="17" s="1"/>
  <c r="G91" i="14"/>
  <c r="H66" i="6" s="1"/>
  <c r="K81" i="6"/>
  <c r="I30" i="7"/>
  <c r="I47" i="7" s="1"/>
  <c r="I46" i="7"/>
  <c r="J29" i="7"/>
  <c r="N92" i="12"/>
  <c r="M93" i="12"/>
  <c r="M94" i="12" s="1"/>
  <c r="H97" i="14"/>
  <c r="I72" i="6" s="1"/>
  <c r="K21" i="6"/>
  <c r="K39" i="6" s="1"/>
  <c r="C17" i="14"/>
  <c r="D16" i="6" s="1"/>
  <c r="K32" i="9"/>
  <c r="L19" i="9"/>
  <c r="K102" i="14"/>
  <c r="L77" i="6" s="1"/>
  <c r="O19" i="12"/>
  <c r="M3" i="10"/>
  <c r="M41" i="10" s="1"/>
  <c r="M5" i="11" s="1"/>
  <c r="M14" i="11" s="1"/>
  <c r="K13" i="8"/>
  <c r="E8" i="6"/>
  <c r="D13" i="14"/>
  <c r="G51" i="7"/>
  <c r="M90" i="12"/>
  <c r="J76" i="14"/>
  <c r="K5" i="6"/>
  <c r="J87" i="14"/>
  <c r="N19" i="11"/>
  <c r="H34" i="7"/>
  <c r="H51" i="7" s="1"/>
  <c r="H50" i="7"/>
  <c r="F8" i="7" s="1"/>
  <c r="G11" i="14" s="1"/>
  <c r="H10" i="6" s="1"/>
  <c r="I33" i="7"/>
  <c r="J40" i="9"/>
  <c r="M7" i="10"/>
  <c r="J22" i="14" s="1"/>
  <c r="K22" i="6" s="1"/>
  <c r="I69" i="12"/>
  <c r="J62" i="6"/>
  <c r="M89" i="12"/>
  <c r="N88" i="12"/>
  <c r="E8" i="7"/>
  <c r="F11" i="14" s="1"/>
  <c r="G10" i="6" s="1"/>
  <c r="H50" i="14"/>
  <c r="E63" i="14"/>
  <c r="H25" i="12"/>
  <c r="L63" i="6" l="1"/>
  <c r="L64" i="6"/>
  <c r="J56" i="17" s="1"/>
  <c r="L88" i="14"/>
  <c r="P21" i="11"/>
  <c r="L105" i="14"/>
  <c r="M80" i="6" s="1"/>
  <c r="P21" i="12"/>
  <c r="K99" i="14"/>
  <c r="L74" i="6" s="1"/>
  <c r="O11" i="12"/>
  <c r="D82" i="14"/>
  <c r="E57" i="6" s="1"/>
  <c r="C54" i="17" s="1"/>
  <c r="H10" i="11"/>
  <c r="D49" i="14"/>
  <c r="M18" i="9"/>
  <c r="O6" i="10"/>
  <c r="L21" i="14" s="1"/>
  <c r="L31" i="9"/>
  <c r="L27" i="9"/>
  <c r="K62" i="6"/>
  <c r="I46" i="17"/>
  <c r="I10" i="16"/>
  <c r="I10" i="5"/>
  <c r="K40" i="9"/>
  <c r="N7" i="10"/>
  <c r="K22" i="14" s="1"/>
  <c r="L22" i="6" s="1"/>
  <c r="D43" i="17"/>
  <c r="D7" i="16"/>
  <c r="D7" i="5"/>
  <c r="D48" i="14"/>
  <c r="D50" i="11"/>
  <c r="D51" i="11" s="1"/>
  <c r="E39" i="11"/>
  <c r="H55" i="7"/>
  <c r="H56" i="7" s="1"/>
  <c r="I5" i="16"/>
  <c r="I35" i="16" s="1"/>
  <c r="K51" i="6"/>
  <c r="I5" i="5"/>
  <c r="K92" i="6"/>
  <c r="J39" i="14"/>
  <c r="L21" i="6"/>
  <c r="L39" i="6" s="1"/>
  <c r="D47" i="14"/>
  <c r="G9" i="14"/>
  <c r="G46" i="17"/>
  <c r="G10" i="16"/>
  <c r="G10" i="5"/>
  <c r="D46" i="14"/>
  <c r="G6" i="11"/>
  <c r="K87" i="14"/>
  <c r="O19" i="11"/>
  <c r="M34" i="9"/>
  <c r="O21" i="9"/>
  <c r="N34" i="9"/>
  <c r="K89" i="14"/>
  <c r="O23" i="11"/>
  <c r="M25" i="14"/>
  <c r="N25" i="6" s="1"/>
  <c r="M45" i="14"/>
  <c r="N95" i="6" s="1"/>
  <c r="P39" i="10"/>
  <c r="G55" i="7"/>
  <c r="G56" i="7" s="1"/>
  <c r="O92" i="12"/>
  <c r="N93" i="12"/>
  <c r="N94" i="12" s="1"/>
  <c r="R3" i="13"/>
  <c r="K35" i="11"/>
  <c r="A46" i="11"/>
  <c r="L41" i="7"/>
  <c r="H36" i="17"/>
  <c r="E11" i="7"/>
  <c r="J30" i="7"/>
  <c r="J46" i="7"/>
  <c r="K29" i="7"/>
  <c r="L5" i="14"/>
  <c r="K5" i="8"/>
  <c r="M14" i="7"/>
  <c r="L4" i="7"/>
  <c r="L17" i="9"/>
  <c r="L30" i="9" s="1"/>
  <c r="L92" i="14"/>
  <c r="M67" i="6" s="1"/>
  <c r="P28" i="11"/>
  <c r="G8" i="6"/>
  <c r="G12" i="6" s="1"/>
  <c r="F13" i="14"/>
  <c r="C16" i="14"/>
  <c r="D15" i="6" s="1"/>
  <c r="D17" i="6" s="1"/>
  <c r="B9" i="8"/>
  <c r="C18" i="14" s="1"/>
  <c r="C19" i="14" s="1"/>
  <c r="C40" i="14" s="1"/>
  <c r="C42" i="14" s="1"/>
  <c r="C44" i="14" s="1"/>
  <c r="N89" i="12"/>
  <c r="N90" i="12" s="1"/>
  <c r="O88" i="12"/>
  <c r="E16" i="14"/>
  <c r="D9" i="8"/>
  <c r="P23" i="12"/>
  <c r="L106" i="14"/>
  <c r="C55" i="12"/>
  <c r="E12" i="6"/>
  <c r="L8" i="12"/>
  <c r="F36" i="12"/>
  <c r="O36" i="12" s="1"/>
  <c r="L81" i="6"/>
  <c r="C46" i="12"/>
  <c r="D34" i="12"/>
  <c r="O34" i="12" s="1"/>
  <c r="E67" i="14"/>
  <c r="F104" i="6"/>
  <c r="F108" i="6" s="1"/>
  <c r="N3" i="10"/>
  <c r="N41" i="10" s="1"/>
  <c r="N5" i="11" s="1"/>
  <c r="N14" i="11" s="1"/>
  <c r="L13" i="8"/>
  <c r="M4" i="12"/>
  <c r="M16" i="12" s="1"/>
  <c r="J64" i="12" s="1"/>
  <c r="K73" i="12" s="1"/>
  <c r="K76" i="11"/>
  <c r="K76" i="14"/>
  <c r="L5" i="6"/>
  <c r="N45" i="14"/>
  <c r="O95" i="6" s="1"/>
  <c r="P95" i="6" s="1"/>
  <c r="N25" i="14"/>
  <c r="O25" i="6" s="1"/>
  <c r="Q39" i="10"/>
  <c r="I17" i="12"/>
  <c r="H74" i="12"/>
  <c r="P19" i="12"/>
  <c r="L102" i="14"/>
  <c r="M77" i="6" s="1"/>
  <c r="J77" i="12"/>
  <c r="J81" i="12" s="1"/>
  <c r="J87" i="12"/>
  <c r="J91" i="12" s="1"/>
  <c r="J95" i="12" s="1"/>
  <c r="R27" i="11"/>
  <c r="J36" i="7"/>
  <c r="I53" i="7"/>
  <c r="I37" i="7"/>
  <c r="I90" i="14"/>
  <c r="M26" i="11"/>
  <c r="F17" i="16"/>
  <c r="F18" i="5"/>
  <c r="N85" i="14"/>
  <c r="R15" i="11"/>
  <c r="M86" i="14"/>
  <c r="N61" i="6" s="1"/>
  <c r="Q17" i="11"/>
  <c r="G8" i="11"/>
  <c r="F9" i="7"/>
  <c r="F11" i="7" s="1"/>
  <c r="I65" i="6"/>
  <c r="G57" i="17" s="1"/>
  <c r="H91" i="14"/>
  <c r="I66" i="6" s="1"/>
  <c r="G6" i="7"/>
  <c r="J18" i="16"/>
  <c r="J19" i="5"/>
  <c r="I70" i="12"/>
  <c r="M19" i="9"/>
  <c r="L32" i="9"/>
  <c r="N60" i="6"/>
  <c r="H46" i="17"/>
  <c r="H10" i="16"/>
  <c r="H10" i="5"/>
  <c r="G5" i="12"/>
  <c r="E22" i="8"/>
  <c r="J33" i="7"/>
  <c r="I50" i="7"/>
  <c r="I34" i="7"/>
  <c r="I51" i="7" s="1"/>
  <c r="E26" i="8"/>
  <c r="C8" i="8" s="1"/>
  <c r="M20" i="9"/>
  <c r="L33" i="9"/>
  <c r="D71" i="6"/>
  <c r="B59" i="17" s="1"/>
  <c r="L99" i="14" l="1"/>
  <c r="M74" i="6" s="1"/>
  <c r="P11" i="12"/>
  <c r="M105" i="14"/>
  <c r="N80" i="6" s="1"/>
  <c r="Q21" i="12"/>
  <c r="M64" i="6"/>
  <c r="K56" i="17" s="1"/>
  <c r="M63" i="6"/>
  <c r="K39" i="14"/>
  <c r="M88" i="14"/>
  <c r="Q21" i="11"/>
  <c r="O34" i="9"/>
  <c r="M13" i="8"/>
  <c r="O3" i="10"/>
  <c r="O41" i="10" s="1"/>
  <c r="O5" i="11" s="1"/>
  <c r="O14" i="11" s="1"/>
  <c r="L76" i="14"/>
  <c r="M5" i="6"/>
  <c r="J11" i="11"/>
  <c r="G48" i="14" s="1"/>
  <c r="J9" i="11"/>
  <c r="G47" i="14" s="1"/>
  <c r="G36" i="11"/>
  <c r="J7" i="11"/>
  <c r="G46" i="14" s="1"/>
  <c r="H20" i="8"/>
  <c r="H22" i="8" s="1"/>
  <c r="H24" i="8"/>
  <c r="H26" i="8" s="1"/>
  <c r="F8" i="8" s="1"/>
  <c r="G17" i="14" s="1"/>
  <c r="H16" i="6" s="1"/>
  <c r="J6" i="12"/>
  <c r="H18" i="8"/>
  <c r="O7" i="10"/>
  <c r="L22" i="14" s="1"/>
  <c r="M22" i="6" s="1"/>
  <c r="L40" i="9"/>
  <c r="M81" i="6"/>
  <c r="M21" i="6"/>
  <c r="G17" i="16"/>
  <c r="G18" i="5"/>
  <c r="N4" i="12"/>
  <c r="N16" i="12" s="1"/>
  <c r="K64" i="12" s="1"/>
  <c r="L73" i="12" s="1"/>
  <c r="L76" i="11"/>
  <c r="D69" i="17"/>
  <c r="D28" i="16"/>
  <c r="D29" i="5"/>
  <c r="O39" i="11"/>
  <c r="E50" i="11"/>
  <c r="G8" i="7"/>
  <c r="M106" i="14"/>
  <c r="Q23" i="12"/>
  <c r="K30" i="7"/>
  <c r="K47" i="7" s="1"/>
  <c r="L29" i="7"/>
  <c r="K46" i="7"/>
  <c r="J34" i="7"/>
  <c r="J51" i="7" s="1"/>
  <c r="K33" i="7"/>
  <c r="J50" i="7"/>
  <c r="D81" i="14"/>
  <c r="E56" i="6" s="1"/>
  <c r="C53" i="17" s="1"/>
  <c r="H8" i="11"/>
  <c r="F15" i="6"/>
  <c r="F17" i="6" s="1"/>
  <c r="E18" i="14"/>
  <c r="E19" i="14" s="1"/>
  <c r="E40" i="14" s="1"/>
  <c r="J47" i="7"/>
  <c r="H6" i="7" s="1"/>
  <c r="L89" i="14"/>
  <c r="P23" i="11"/>
  <c r="P6" i="10"/>
  <c r="M21" i="14" s="1"/>
  <c r="M27" i="9"/>
  <c r="M31" i="9"/>
  <c r="N18" i="9"/>
  <c r="D53" i="12"/>
  <c r="D32" i="12"/>
  <c r="C7" i="8"/>
  <c r="E27" i="8"/>
  <c r="N86" i="14"/>
  <c r="O61" i="6" s="1"/>
  <c r="R17" i="11"/>
  <c r="M102" i="14"/>
  <c r="N77" i="6" s="1"/>
  <c r="Q19" i="12"/>
  <c r="H5" i="12"/>
  <c r="D96" i="14"/>
  <c r="H75" i="12"/>
  <c r="J42" i="10"/>
  <c r="O89" i="12"/>
  <c r="P89" i="12" s="1"/>
  <c r="P88" i="12"/>
  <c r="H8" i="6"/>
  <c r="H12" i="6" s="1"/>
  <c r="G13" i="14"/>
  <c r="H9" i="14"/>
  <c r="K36" i="7"/>
  <c r="J37" i="7"/>
  <c r="J54" i="7" s="1"/>
  <c r="J53" i="7"/>
  <c r="O85" i="14"/>
  <c r="S15" i="11"/>
  <c r="E51" i="11"/>
  <c r="O60" i="6"/>
  <c r="C47" i="12"/>
  <c r="F101" i="14"/>
  <c r="G76" i="6" s="1"/>
  <c r="E62" i="17" s="1"/>
  <c r="I18" i="12"/>
  <c r="D94" i="6"/>
  <c r="C107" i="14"/>
  <c r="I36" i="17"/>
  <c r="J46" i="17"/>
  <c r="J10" i="16"/>
  <c r="J10" i="5"/>
  <c r="B44" i="17"/>
  <c r="B45" i="17" s="1"/>
  <c r="B47" i="17" s="1"/>
  <c r="B49" i="17" s="1"/>
  <c r="B8" i="16"/>
  <c r="B8" i="5"/>
  <c r="D19" i="6"/>
  <c r="P21" i="9"/>
  <c r="P34" i="9" s="1"/>
  <c r="E7" i="16"/>
  <c r="E43" i="17"/>
  <c r="E7" i="5"/>
  <c r="L87" i="14"/>
  <c r="P19" i="11"/>
  <c r="K77" i="12"/>
  <c r="K81" i="12" s="1"/>
  <c r="K87" i="12"/>
  <c r="K91" i="12" s="1"/>
  <c r="K95" i="12" s="1"/>
  <c r="C58" i="12"/>
  <c r="S3" i="13"/>
  <c r="A47" i="11"/>
  <c r="L35" i="11"/>
  <c r="M41" i="7"/>
  <c r="J90" i="14"/>
  <c r="N26" i="11"/>
  <c r="M92" i="14"/>
  <c r="N67" i="6" s="1"/>
  <c r="Q28" i="11"/>
  <c r="L62" i="6"/>
  <c r="J65" i="6"/>
  <c r="H57" i="17" s="1"/>
  <c r="I91" i="14"/>
  <c r="J66" i="6" s="1"/>
  <c r="K18" i="16"/>
  <c r="K19" i="5"/>
  <c r="M32" i="9"/>
  <c r="N19" i="9"/>
  <c r="M33" i="9"/>
  <c r="N20" i="9"/>
  <c r="J69" i="12"/>
  <c r="M8" i="12" s="1"/>
  <c r="J50" i="14" s="1"/>
  <c r="J70" i="12"/>
  <c r="J5" i="16"/>
  <c r="J35" i="16" s="1"/>
  <c r="J5" i="5"/>
  <c r="L92" i="6"/>
  <c r="L51" i="6"/>
  <c r="I50" i="14"/>
  <c r="L7" i="12"/>
  <c r="I54" i="7"/>
  <c r="D96" i="12"/>
  <c r="O93" i="12"/>
  <c r="P93" i="12" s="1"/>
  <c r="P92" i="12"/>
  <c r="H6" i="11"/>
  <c r="D80" i="14"/>
  <c r="E55" i="6" s="1"/>
  <c r="C52" i="17" s="1"/>
  <c r="E82" i="14"/>
  <c r="F57" i="6" s="1"/>
  <c r="D54" i="17" s="1"/>
  <c r="D17" i="14"/>
  <c r="E16" i="6" s="1"/>
  <c r="C7" i="16"/>
  <c r="C43" i="17"/>
  <c r="C7" i="5"/>
  <c r="M5" i="14"/>
  <c r="M4" i="7"/>
  <c r="L5" i="8"/>
  <c r="N14" i="7"/>
  <c r="M17" i="9"/>
  <c r="M30" i="9" s="1"/>
  <c r="I9" i="11"/>
  <c r="I7" i="11"/>
  <c r="I6" i="12"/>
  <c r="G20" i="8"/>
  <c r="I11" i="11"/>
  <c r="F36" i="11"/>
  <c r="G24" i="8"/>
  <c r="G18" i="8"/>
  <c r="E96" i="6"/>
  <c r="Q21" i="9" l="1"/>
  <c r="Q34" i="9" s="1"/>
  <c r="J55" i="7"/>
  <c r="J56" i="7" s="1"/>
  <c r="N88" i="14"/>
  <c r="R21" i="11"/>
  <c r="N64" i="6"/>
  <c r="L56" i="17" s="1"/>
  <c r="N63" i="6"/>
  <c r="N105" i="14"/>
  <c r="O80" i="6" s="1"/>
  <c r="R21" i="12"/>
  <c r="M99" i="14"/>
  <c r="N74" i="6" s="1"/>
  <c r="Q11" i="12"/>
  <c r="L6" i="12"/>
  <c r="I36" i="11"/>
  <c r="L7" i="11"/>
  <c r="I46" i="14" s="1"/>
  <c r="L9" i="11"/>
  <c r="I47" i="14" s="1"/>
  <c r="L11" i="11"/>
  <c r="I48" i="14" s="1"/>
  <c r="J24" i="8"/>
  <c r="J26" i="8" s="1"/>
  <c r="H8" i="8" s="1"/>
  <c r="I17" i="14" s="1"/>
  <c r="J16" i="6" s="1"/>
  <c r="J20" i="8"/>
  <c r="J22" i="8" s="1"/>
  <c r="J18" i="8"/>
  <c r="G22" i="8"/>
  <c r="N33" i="9"/>
  <c r="O33" i="9" s="1"/>
  <c r="O20" i="9"/>
  <c r="H17" i="16"/>
  <c r="H18" i="5"/>
  <c r="H9" i="7"/>
  <c r="N5" i="14"/>
  <c r="O14" i="7"/>
  <c r="M5" i="8"/>
  <c r="N17" i="9"/>
  <c r="N30" i="9" s="1"/>
  <c r="N4" i="7"/>
  <c r="N106" i="14"/>
  <c r="R23" i="12"/>
  <c r="F49" i="14"/>
  <c r="B9" i="16"/>
  <c r="D40" i="6"/>
  <c r="B9" i="5"/>
  <c r="N81" i="6"/>
  <c r="M87" i="14"/>
  <c r="Q19" i="11"/>
  <c r="O26" i="11"/>
  <c r="K90" i="14"/>
  <c r="M89" i="14"/>
  <c r="Q23" i="11"/>
  <c r="F46" i="14"/>
  <c r="E80" i="14"/>
  <c r="F55" i="6" s="1"/>
  <c r="D52" i="17" s="1"/>
  <c r="I6" i="11"/>
  <c r="N32" i="9"/>
  <c r="O32" i="9" s="1"/>
  <c r="O19" i="9"/>
  <c r="F10" i="12"/>
  <c r="C59" i="12"/>
  <c r="H76" i="12"/>
  <c r="H11" i="14"/>
  <c r="I10" i="6" s="1"/>
  <c r="F47" i="14"/>
  <c r="R77" i="11"/>
  <c r="Q77" i="11"/>
  <c r="T15" i="11"/>
  <c r="Q85" i="14" s="1"/>
  <c r="P85" i="14"/>
  <c r="E71" i="6"/>
  <c r="C59" i="17" s="1"/>
  <c r="P60" i="6"/>
  <c r="E96" i="14"/>
  <c r="I5" i="12"/>
  <c r="G49" i="14"/>
  <c r="T3" i="13"/>
  <c r="A48" i="11"/>
  <c r="M35" i="11"/>
  <c r="N41" i="7"/>
  <c r="D97" i="12"/>
  <c r="E96" i="12"/>
  <c r="D44" i="17"/>
  <c r="D45" i="17" s="1"/>
  <c r="D47" i="17" s="1"/>
  <c r="D8" i="16"/>
  <c r="D8" i="5"/>
  <c r="F19" i="6"/>
  <c r="G32" i="12"/>
  <c r="G53" i="12"/>
  <c r="G55" i="12" s="1"/>
  <c r="F7" i="8"/>
  <c r="H27" i="8"/>
  <c r="N102" i="14"/>
  <c r="O77" i="6" s="1"/>
  <c r="R19" i="12"/>
  <c r="E81" i="14"/>
  <c r="F56" i="6" s="1"/>
  <c r="D53" i="17" s="1"/>
  <c r="I8" i="11"/>
  <c r="H96" i="6"/>
  <c r="N13" i="8"/>
  <c r="P3" i="10"/>
  <c r="P41" i="10" s="1"/>
  <c r="P5" i="11" s="1"/>
  <c r="P14" i="11" s="1"/>
  <c r="O86" i="14"/>
  <c r="P61" i="6" s="1"/>
  <c r="S17" i="11"/>
  <c r="H42" i="11"/>
  <c r="O42" i="11" s="1"/>
  <c r="G50" i="11"/>
  <c r="I9" i="14"/>
  <c r="H11" i="7"/>
  <c r="M76" i="14"/>
  <c r="N5" i="6"/>
  <c r="I55" i="7"/>
  <c r="I56" i="7" s="1"/>
  <c r="M62" i="6"/>
  <c r="J36" i="17"/>
  <c r="K37" i="7"/>
  <c r="K54" i="7" s="1"/>
  <c r="K53" i="7"/>
  <c r="I9" i="7" s="1"/>
  <c r="L36" i="7"/>
  <c r="M7" i="12"/>
  <c r="I97" i="14"/>
  <c r="J72" i="6" s="1"/>
  <c r="N92" i="14"/>
  <c r="O67" i="6" s="1"/>
  <c r="R28" i="11"/>
  <c r="D82" i="6"/>
  <c r="D83" i="6" s="1"/>
  <c r="C108" i="14"/>
  <c r="H8" i="7"/>
  <c r="I11" i="14" s="1"/>
  <c r="J10" i="6" s="1"/>
  <c r="L18" i="16"/>
  <c r="L19" i="5"/>
  <c r="I8" i="6"/>
  <c r="D16" i="14"/>
  <c r="C9" i="8"/>
  <c r="K50" i="7"/>
  <c r="L33" i="7"/>
  <c r="K34" i="7"/>
  <c r="K51" i="7" s="1"/>
  <c r="L77" i="12"/>
  <c r="L81" i="12" s="1"/>
  <c r="L87" i="12"/>
  <c r="L91" i="12" s="1"/>
  <c r="L95" i="12" s="1"/>
  <c r="K5" i="16"/>
  <c r="K35" i="16" s="1"/>
  <c r="M92" i="6"/>
  <c r="M51" i="6"/>
  <c r="K5" i="5"/>
  <c r="K65" i="6"/>
  <c r="I57" i="17" s="1"/>
  <c r="J91" i="14"/>
  <c r="K66" i="6" s="1"/>
  <c r="N27" i="9"/>
  <c r="Q6" i="10"/>
  <c r="N31" i="9"/>
  <c r="O18" i="9"/>
  <c r="M39" i="6"/>
  <c r="D46" i="12"/>
  <c r="E35" i="12"/>
  <c r="P7" i="10"/>
  <c r="M22" i="14" s="1"/>
  <c r="N22" i="6" s="1"/>
  <c r="M40" i="9"/>
  <c r="I6" i="7"/>
  <c r="K55" i="7"/>
  <c r="K56" i="7" s="1"/>
  <c r="L39" i="14"/>
  <c r="F63" i="14"/>
  <c r="I25" i="12"/>
  <c r="F43" i="17"/>
  <c r="F7" i="16"/>
  <c r="F7" i="5"/>
  <c r="D55" i="12"/>
  <c r="M76" i="11"/>
  <c r="O4" i="12"/>
  <c r="O16" i="12" s="1"/>
  <c r="L64" i="12" s="1"/>
  <c r="M73" i="12" s="1"/>
  <c r="G9" i="7"/>
  <c r="G11" i="7" s="1"/>
  <c r="F50" i="11"/>
  <c r="F51" i="11" s="1"/>
  <c r="G41" i="11"/>
  <c r="O41" i="11" s="1"/>
  <c r="K69" i="12"/>
  <c r="N8" i="12" s="1"/>
  <c r="K50" i="14" s="1"/>
  <c r="L46" i="7"/>
  <c r="L30" i="7"/>
  <c r="L47" i="7" s="1"/>
  <c r="M29" i="7"/>
  <c r="O94" i="12"/>
  <c r="G26" i="8"/>
  <c r="E8" i="8" s="1"/>
  <c r="F48" i="14"/>
  <c r="I10" i="11"/>
  <c r="N21" i="6"/>
  <c r="O90" i="12"/>
  <c r="P90" i="12" s="1"/>
  <c r="J96" i="6" l="1"/>
  <c r="N99" i="14"/>
  <c r="O74" i="6" s="1"/>
  <c r="R11" i="12"/>
  <c r="O105" i="14"/>
  <c r="P80" i="6" s="1"/>
  <c r="S21" i="12"/>
  <c r="O88" i="14"/>
  <c r="S21" i="11"/>
  <c r="O64" i="6"/>
  <c r="M56" i="17" s="1"/>
  <c r="O63" i="6"/>
  <c r="G51" i="11"/>
  <c r="N62" i="6"/>
  <c r="U3" i="13"/>
  <c r="O41" i="7"/>
  <c r="A49" i="11"/>
  <c r="N35" i="11"/>
  <c r="M39" i="14"/>
  <c r="J10" i="11"/>
  <c r="F82" i="14"/>
  <c r="G57" i="6" s="1"/>
  <c r="E54" i="17" s="1"/>
  <c r="K36" i="17"/>
  <c r="O102" i="14"/>
  <c r="P77" i="6" s="1"/>
  <c r="S19" i="12"/>
  <c r="J17" i="12"/>
  <c r="I74" i="12"/>
  <c r="N76" i="14"/>
  <c r="O76" i="14" s="1"/>
  <c r="P76" i="14" s="1"/>
  <c r="Q76" i="14" s="1"/>
  <c r="O5" i="14"/>
  <c r="P5" i="14" s="1"/>
  <c r="Q5" i="14" s="1"/>
  <c r="O5" i="6"/>
  <c r="K20" i="8"/>
  <c r="K22" i="8" s="1"/>
  <c r="J36" i="11"/>
  <c r="M11" i="11"/>
  <c r="J48" i="14" s="1"/>
  <c r="M6" i="12"/>
  <c r="M9" i="11"/>
  <c r="J47" i="14" s="1"/>
  <c r="M7" i="11"/>
  <c r="J46" i="14" s="1"/>
  <c r="K24" i="8"/>
  <c r="K26" i="8" s="1"/>
  <c r="I8" i="8" s="1"/>
  <c r="J17" i="14" s="1"/>
  <c r="K16" i="6" s="1"/>
  <c r="K18" i="8"/>
  <c r="J9" i="14"/>
  <c r="M77" i="12"/>
  <c r="M81" i="12" s="1"/>
  <c r="M87" i="12"/>
  <c r="M91" i="12" s="1"/>
  <c r="M95" i="12" s="1"/>
  <c r="K6" i="12"/>
  <c r="K9" i="11"/>
  <c r="H36" i="11"/>
  <c r="K11" i="11"/>
  <c r="K7" i="11"/>
  <c r="I20" i="8"/>
  <c r="I24" i="8"/>
  <c r="I18" i="8"/>
  <c r="G16" i="14"/>
  <c r="F9" i="8"/>
  <c r="F96" i="14"/>
  <c r="J5" i="12"/>
  <c r="D56" i="12"/>
  <c r="D58" i="12" s="1"/>
  <c r="F71" i="6"/>
  <c r="D59" i="17" s="1"/>
  <c r="C51" i="14"/>
  <c r="F9" i="12"/>
  <c r="F13" i="12"/>
  <c r="P20" i="9"/>
  <c r="P33" i="9" s="1"/>
  <c r="L5" i="16"/>
  <c r="L35" i="16" s="1"/>
  <c r="N51" i="6"/>
  <c r="L5" i="5"/>
  <c r="N92" i="6"/>
  <c r="H38" i="12"/>
  <c r="O38" i="12" s="1"/>
  <c r="D9" i="16"/>
  <c r="D9" i="5"/>
  <c r="F40" i="6"/>
  <c r="P19" i="9"/>
  <c r="P32" i="9" s="1"/>
  <c r="B23" i="16"/>
  <c r="B24" i="5"/>
  <c r="B64" i="17"/>
  <c r="B11" i="16"/>
  <c r="D42" i="6"/>
  <c r="D44" i="6" s="1"/>
  <c r="B11" i="5"/>
  <c r="F53" i="12"/>
  <c r="F32" i="12"/>
  <c r="E7" i="8"/>
  <c r="G27" i="8"/>
  <c r="O35" i="12"/>
  <c r="E46" i="12"/>
  <c r="L50" i="7"/>
  <c r="M33" i="7"/>
  <c r="L34" i="7"/>
  <c r="L51" i="7" s="1"/>
  <c r="I32" i="12"/>
  <c r="I53" i="12"/>
  <c r="I55" i="12" s="1"/>
  <c r="H7" i="8"/>
  <c r="J27" i="8"/>
  <c r="J8" i="6"/>
  <c r="J12" i="6" s="1"/>
  <c r="I13" i="14"/>
  <c r="I8" i="7"/>
  <c r="J11" i="14" s="1"/>
  <c r="K10" i="6" s="1"/>
  <c r="M18" i="16"/>
  <c r="M19" i="5"/>
  <c r="Q60" i="6"/>
  <c r="J6" i="11"/>
  <c r="F80" i="14"/>
  <c r="G55" i="6" s="1"/>
  <c r="E52" i="17" s="1"/>
  <c r="R60" i="6"/>
  <c r="G96" i="6"/>
  <c r="N7" i="12"/>
  <c r="J97" i="14"/>
  <c r="K72" i="6" s="1"/>
  <c r="N89" i="14"/>
  <c r="R23" i="11"/>
  <c r="O106" i="14"/>
  <c r="S23" i="12"/>
  <c r="F17" i="14"/>
  <c r="G16" i="6" s="1"/>
  <c r="M30" i="7"/>
  <c r="M47" i="7" s="1"/>
  <c r="N29" i="7"/>
  <c r="M46" i="7"/>
  <c r="O27" i="9"/>
  <c r="P18" i="9"/>
  <c r="N76" i="11"/>
  <c r="P4" i="12"/>
  <c r="P16" i="12" s="1"/>
  <c r="M64" i="12" s="1"/>
  <c r="N73" i="12" s="1"/>
  <c r="O81" i="6"/>
  <c r="D47" i="12"/>
  <c r="N21" i="14"/>
  <c r="R6" i="10"/>
  <c r="O21" i="14" s="1"/>
  <c r="H13" i="14"/>
  <c r="M36" i="7"/>
  <c r="L37" i="7"/>
  <c r="L53" i="7"/>
  <c r="L65" i="6"/>
  <c r="J57" i="17" s="1"/>
  <c r="K91" i="14"/>
  <c r="L66" i="6" s="1"/>
  <c r="P14" i="7"/>
  <c r="O17" i="9"/>
  <c r="O30" i="9" s="1"/>
  <c r="P4" i="7"/>
  <c r="J44" i="11"/>
  <c r="O44" i="11" s="1"/>
  <c r="T17" i="11"/>
  <c r="Q86" i="14" s="1"/>
  <c r="R61" i="6" s="1"/>
  <c r="R79" i="11"/>
  <c r="Q79" i="11"/>
  <c r="P86" i="14"/>
  <c r="Q61" i="6" s="1"/>
  <c r="F96" i="12"/>
  <c r="E97" i="12"/>
  <c r="Q7" i="10"/>
  <c r="N40" i="9"/>
  <c r="O31" i="9"/>
  <c r="O40" i="9" s="1"/>
  <c r="E15" i="6"/>
  <c r="E17" i="6" s="1"/>
  <c r="D18" i="14"/>
  <c r="D19" i="14" s="1"/>
  <c r="D40" i="14" s="1"/>
  <c r="F67" i="14"/>
  <c r="G104" i="6"/>
  <c r="G108" i="6" s="1"/>
  <c r="I12" i="6"/>
  <c r="P26" i="11"/>
  <c r="L90" i="14"/>
  <c r="I49" i="14"/>
  <c r="K10" i="16"/>
  <c r="K46" i="17"/>
  <c r="K10" i="5"/>
  <c r="O92" i="14"/>
  <c r="P67" i="6" s="1"/>
  <c r="S28" i="11"/>
  <c r="D98" i="12"/>
  <c r="P94" i="12"/>
  <c r="J6" i="7"/>
  <c r="N39" i="6"/>
  <c r="K70" i="12"/>
  <c r="I17" i="16"/>
  <c r="I18" i="5"/>
  <c r="F81" i="14"/>
  <c r="G56" i="6" s="1"/>
  <c r="E53" i="17" s="1"/>
  <c r="J8" i="11"/>
  <c r="N87" i="14"/>
  <c r="R19" i="11"/>
  <c r="Q3" i="10"/>
  <c r="O13" i="8"/>
  <c r="N5" i="8"/>
  <c r="P5" i="8" s="1"/>
  <c r="R5" i="8" s="1"/>
  <c r="E98" i="12" l="1"/>
  <c r="P88" i="14"/>
  <c r="R83" i="11"/>
  <c r="Q83" i="11"/>
  <c r="T21" i="11"/>
  <c r="Q88" i="14" s="1"/>
  <c r="P64" i="6"/>
  <c r="N56" i="17" s="1"/>
  <c r="P63" i="6"/>
  <c r="P105" i="14"/>
  <c r="Q80" i="6" s="1"/>
  <c r="T21" i="12"/>
  <c r="Q105" i="14" s="1"/>
  <c r="R80" i="6" s="1"/>
  <c r="O99" i="14"/>
  <c r="P74" i="6" s="1"/>
  <c r="S12" i="12"/>
  <c r="P52" i="14" s="1"/>
  <c r="S11" i="12"/>
  <c r="N46" i="7"/>
  <c r="O29" i="7"/>
  <c r="N30" i="7"/>
  <c r="N47" i="7" s="1"/>
  <c r="G10" i="12"/>
  <c r="G9" i="12" s="1"/>
  <c r="G101" i="14"/>
  <c r="H76" i="6" s="1"/>
  <c r="F62" i="17" s="1"/>
  <c r="J18" i="12"/>
  <c r="K9" i="14"/>
  <c r="P102" i="14"/>
  <c r="Q77" i="6" s="1"/>
  <c r="T19" i="12"/>
  <c r="Q102" i="14" s="1"/>
  <c r="R77" i="6" s="1"/>
  <c r="I11" i="7"/>
  <c r="L10" i="16"/>
  <c r="L46" i="17"/>
  <c r="L10" i="5"/>
  <c r="K8" i="6"/>
  <c r="K12" i="6" s="1"/>
  <c r="J13" i="14"/>
  <c r="L36" i="17"/>
  <c r="C44" i="17"/>
  <c r="C45" i="17" s="1"/>
  <c r="C47" i="17" s="1"/>
  <c r="C8" i="16"/>
  <c r="C8" i="5"/>
  <c r="E19" i="6"/>
  <c r="P106" i="14"/>
  <c r="T23" i="12"/>
  <c r="Q106" i="14" s="1"/>
  <c r="G96" i="14"/>
  <c r="K5" i="12"/>
  <c r="L54" i="7"/>
  <c r="J9" i="7" s="1"/>
  <c r="N36" i="7"/>
  <c r="M37" i="7"/>
  <c r="M54" i="7" s="1"/>
  <c r="M53" i="7"/>
  <c r="K9" i="7" s="1"/>
  <c r="P92" i="14"/>
  <c r="Q67" i="6" s="1"/>
  <c r="T28" i="11"/>
  <c r="Q92" i="14" s="1"/>
  <c r="R67" i="6" s="1"/>
  <c r="O21" i="6"/>
  <c r="O89" i="14"/>
  <c r="S23" i="11"/>
  <c r="F16" i="14"/>
  <c r="E9" i="8"/>
  <c r="G82" i="14"/>
  <c r="H57" i="6" s="1"/>
  <c r="F54" i="17" s="1"/>
  <c r="K10" i="11"/>
  <c r="D59" i="12"/>
  <c r="G44" i="10"/>
  <c r="N22" i="14"/>
  <c r="O22" i="6" s="1"/>
  <c r="R7" i="10"/>
  <c r="O22" i="14" s="1"/>
  <c r="P22" i="6" s="1"/>
  <c r="P21" i="6"/>
  <c r="P81" i="6"/>
  <c r="G71" i="6"/>
  <c r="E59" i="17" s="1"/>
  <c r="N18" i="16"/>
  <c r="B20" i="4"/>
  <c r="N19" i="5"/>
  <c r="F97" i="12"/>
  <c r="F98" i="12" s="1"/>
  <c r="G96" i="12"/>
  <c r="E47" i="12"/>
  <c r="F46" i="12"/>
  <c r="G37" i="12"/>
  <c r="K96" i="6"/>
  <c r="H15" i="6"/>
  <c r="H17" i="6" s="1"/>
  <c r="G18" i="14"/>
  <c r="G19" i="14" s="1"/>
  <c r="G40" i="14" s="1"/>
  <c r="J49" i="14"/>
  <c r="Q41" i="10"/>
  <c r="R3" i="10"/>
  <c r="S3" i="10" s="1"/>
  <c r="T3" i="10" s="1"/>
  <c r="I16" i="14"/>
  <c r="H9" i="8"/>
  <c r="B12" i="16"/>
  <c r="B13" i="5"/>
  <c r="D45" i="6"/>
  <c r="I26" i="8"/>
  <c r="G8" i="8" s="1"/>
  <c r="N87" i="12"/>
  <c r="N91" i="12" s="1"/>
  <c r="N95" i="12" s="1"/>
  <c r="N77" i="12"/>
  <c r="N81" i="12" s="1"/>
  <c r="K97" i="14"/>
  <c r="L72" i="6" s="1"/>
  <c r="I22" i="8"/>
  <c r="K45" i="11"/>
  <c r="O45" i="11" s="1"/>
  <c r="J50" i="11"/>
  <c r="H43" i="17"/>
  <c r="H7" i="16"/>
  <c r="H7" i="5"/>
  <c r="F55" i="12"/>
  <c r="O87" i="14"/>
  <c r="S19" i="11"/>
  <c r="J32" i="12"/>
  <c r="J53" i="12"/>
  <c r="J55" i="12" s="1"/>
  <c r="I7" i="8"/>
  <c r="K27" i="8"/>
  <c r="O62" i="6"/>
  <c r="J40" i="12"/>
  <c r="O40" i="12" s="1"/>
  <c r="H46" i="14"/>
  <c r="G81" i="14"/>
  <c r="H56" i="6" s="1"/>
  <c r="F53" i="17" s="1"/>
  <c r="K8" i="11"/>
  <c r="M65" i="6"/>
  <c r="K57" i="17" s="1"/>
  <c r="L91" i="14"/>
  <c r="M66" i="6" s="1"/>
  <c r="P27" i="9"/>
  <c r="S6" i="10" s="1"/>
  <c r="P21" i="14" s="1"/>
  <c r="P31" i="9"/>
  <c r="P40" i="9" s="1"/>
  <c r="S7" i="10" s="1"/>
  <c r="P22" i="14" s="1"/>
  <c r="Q22" i="6" s="1"/>
  <c r="Q20" i="9"/>
  <c r="Q33" i="9" s="1"/>
  <c r="H48" i="14"/>
  <c r="M5" i="16"/>
  <c r="O92" i="6"/>
  <c r="P92" i="6" s="1"/>
  <c r="Q92" i="6" s="1"/>
  <c r="R92" i="6" s="1"/>
  <c r="M5" i="5"/>
  <c r="N5" i="5" s="1"/>
  <c r="O5" i="5" s="1"/>
  <c r="P5" i="5" s="1"/>
  <c r="P5" i="6"/>
  <c r="O51" i="6"/>
  <c r="P51" i="6" s="1"/>
  <c r="Q51" i="6" s="1"/>
  <c r="R51" i="6" s="1"/>
  <c r="M90" i="14"/>
  <c r="Q26" i="11"/>
  <c r="R4" i="7"/>
  <c r="Q14" i="7"/>
  <c r="P17" i="9"/>
  <c r="P30" i="9" s="1"/>
  <c r="Q18" i="9"/>
  <c r="N33" i="7"/>
  <c r="M34" i="7"/>
  <c r="M51" i="7" s="1"/>
  <c r="M50" i="7"/>
  <c r="H50" i="11"/>
  <c r="H51" i="11" s="1"/>
  <c r="I43" i="11"/>
  <c r="J8" i="7"/>
  <c r="K11" i="14" s="1"/>
  <c r="L10" i="6" s="1"/>
  <c r="Q19" i="9"/>
  <c r="Q32" i="9" s="1"/>
  <c r="C98" i="14"/>
  <c r="H47" i="14"/>
  <c r="G43" i="17"/>
  <c r="G7" i="16"/>
  <c r="G7" i="5"/>
  <c r="V4" i="13"/>
  <c r="O35" i="11"/>
  <c r="P41" i="7"/>
  <c r="H49" i="14"/>
  <c r="I75" i="12"/>
  <c r="K42" i="10"/>
  <c r="L69" i="12"/>
  <c r="O8" i="12" s="1"/>
  <c r="L50" i="14" s="1"/>
  <c r="L70" i="12"/>
  <c r="E69" i="17"/>
  <c r="E28" i="16"/>
  <c r="E29" i="5"/>
  <c r="J17" i="16"/>
  <c r="J18" i="5"/>
  <c r="K6" i="7"/>
  <c r="M55" i="7"/>
  <c r="M56" i="7" s="1"/>
  <c r="G80" i="14"/>
  <c r="H55" i="6" s="1"/>
  <c r="F52" i="17" s="1"/>
  <c r="K6" i="11"/>
  <c r="D11" i="16"/>
  <c r="D11" i="5"/>
  <c r="D97" i="6"/>
  <c r="C53" i="14"/>
  <c r="C69" i="14" s="1"/>
  <c r="T12" i="12" l="1"/>
  <c r="Q52" i="14" s="1"/>
  <c r="P99" i="14"/>
  <c r="Q74" i="6" s="1"/>
  <c r="T11" i="12"/>
  <c r="Q99" i="14" s="1"/>
  <c r="R74" i="6" s="1"/>
  <c r="O39" i="6"/>
  <c r="N39" i="14"/>
  <c r="I96" i="6"/>
  <c r="R63" i="6"/>
  <c r="R64" i="6"/>
  <c r="Q63" i="6"/>
  <c r="Q64" i="6"/>
  <c r="J11" i="7"/>
  <c r="D98" i="14"/>
  <c r="O33" i="7"/>
  <c r="N34" i="7"/>
  <c r="N51" i="7" s="1"/>
  <c r="N50" i="7"/>
  <c r="L8" i="7" s="1"/>
  <c r="M11" i="14" s="1"/>
  <c r="N10" i="6" s="1"/>
  <c r="P87" i="14"/>
  <c r="T19" i="11"/>
  <c r="Q87" i="14" s="1"/>
  <c r="R81" i="11"/>
  <c r="Q81" i="11"/>
  <c r="H17" i="14"/>
  <c r="I16" i="6" s="1"/>
  <c r="X4" i="13"/>
  <c r="Q41" i="7"/>
  <c r="P35" i="11"/>
  <c r="J46" i="12"/>
  <c r="K41" i="12"/>
  <c r="O41" i="12" s="1"/>
  <c r="G45" i="10"/>
  <c r="D41" i="14" s="1"/>
  <c r="K8" i="7"/>
  <c r="L11" i="14" s="1"/>
  <c r="M10" i="6" s="1"/>
  <c r="P62" i="6"/>
  <c r="F47" i="12"/>
  <c r="H96" i="14"/>
  <c r="L5" i="12"/>
  <c r="Q21" i="6"/>
  <c r="H96" i="12"/>
  <c r="G97" i="12"/>
  <c r="G98" i="12" s="1"/>
  <c r="E56" i="12"/>
  <c r="H71" i="6"/>
  <c r="F59" i="17" s="1"/>
  <c r="R81" i="6"/>
  <c r="Q81" i="6"/>
  <c r="L36" i="11"/>
  <c r="O11" i="11"/>
  <c r="L48" i="14" s="1"/>
  <c r="O6" i="12"/>
  <c r="O7" i="11"/>
  <c r="L46" i="14" s="1"/>
  <c r="M20" i="8"/>
  <c r="M22" i="8" s="1"/>
  <c r="O9" i="11"/>
  <c r="L47" i="14" s="1"/>
  <c r="M24" i="8"/>
  <c r="M26" i="8" s="1"/>
  <c r="K8" i="8" s="1"/>
  <c r="L17" i="14" s="1"/>
  <c r="M16" i="6" s="1"/>
  <c r="M18" i="8"/>
  <c r="Q31" i="9"/>
  <c r="Q40" i="9" s="1"/>
  <c r="T7" i="10" s="1"/>
  <c r="Q22" i="14" s="1"/>
  <c r="R22" i="6" s="1"/>
  <c r="Q27" i="9"/>
  <c r="T6" i="10" s="1"/>
  <c r="Q21" i="14" s="1"/>
  <c r="L9" i="14"/>
  <c r="K11" i="7"/>
  <c r="H81" i="14"/>
  <c r="I56" i="6" s="1"/>
  <c r="G53" i="17" s="1"/>
  <c r="L8" i="11"/>
  <c r="C9" i="16"/>
  <c r="C9" i="5"/>
  <c r="E40" i="6"/>
  <c r="J15" i="6"/>
  <c r="J17" i="6" s="1"/>
  <c r="I18" i="14"/>
  <c r="I19" i="14" s="1"/>
  <c r="I40" i="14" s="1"/>
  <c r="S14" i="7"/>
  <c r="Q17" i="9"/>
  <c r="Q30" i="9" s="1"/>
  <c r="G15" i="6"/>
  <c r="G17" i="6" s="1"/>
  <c r="F18" i="14"/>
  <c r="F19" i="14" s="1"/>
  <c r="F40" i="14" s="1"/>
  <c r="L8" i="6"/>
  <c r="L12" i="6" s="1"/>
  <c r="K13" i="14"/>
  <c r="G63" i="14"/>
  <c r="J25" i="12"/>
  <c r="N90" i="14"/>
  <c r="R26" i="11"/>
  <c r="M36" i="17"/>
  <c r="M46" i="17"/>
  <c r="M10" i="16"/>
  <c r="M10" i="5"/>
  <c r="H80" i="14"/>
  <c r="I55" i="6" s="1"/>
  <c r="G52" i="17" s="1"/>
  <c r="L6" i="11"/>
  <c r="K17" i="16"/>
  <c r="K18" i="5"/>
  <c r="H82" i="14"/>
  <c r="I57" i="6" s="1"/>
  <c r="G54" i="17" s="1"/>
  <c r="L10" i="11"/>
  <c r="T23" i="11"/>
  <c r="Q89" i="14" s="1"/>
  <c r="P89" i="14"/>
  <c r="R85" i="11"/>
  <c r="Q85" i="11"/>
  <c r="D51" i="14"/>
  <c r="E97" i="6" s="1"/>
  <c r="G13" i="12"/>
  <c r="P39" i="6"/>
  <c r="P18" i="16"/>
  <c r="P19" i="5"/>
  <c r="D20" i="4"/>
  <c r="I43" i="17"/>
  <c r="I7" i="16"/>
  <c r="I7" i="5"/>
  <c r="O7" i="12"/>
  <c r="F8" i="16"/>
  <c r="F44" i="17"/>
  <c r="F45" i="17" s="1"/>
  <c r="F47" i="17" s="1"/>
  <c r="F8" i="5"/>
  <c r="H19" i="6"/>
  <c r="O39" i="14"/>
  <c r="W39" i="10" s="1"/>
  <c r="O18" i="16"/>
  <c r="C20" i="4"/>
  <c r="O19" i="5"/>
  <c r="L55" i="7"/>
  <c r="L56" i="7" s="1"/>
  <c r="O46" i="7"/>
  <c r="O30" i="7"/>
  <c r="P29" i="7"/>
  <c r="R29" i="7" s="1"/>
  <c r="R41" i="10"/>
  <c r="Q5" i="11"/>
  <c r="N65" i="6"/>
  <c r="L57" i="17" s="1"/>
  <c r="M91" i="14"/>
  <c r="N66" i="6" s="1"/>
  <c r="M69" i="12"/>
  <c r="P8" i="12" s="1"/>
  <c r="M50" i="14" s="1"/>
  <c r="D73" i="6"/>
  <c r="B60" i="17" s="1"/>
  <c r="C100" i="14"/>
  <c r="B6" i="4"/>
  <c r="Q5" i="6"/>
  <c r="H32" i="12"/>
  <c r="H53" i="12"/>
  <c r="G7" i="8"/>
  <c r="I27" i="8"/>
  <c r="M35" i="16"/>
  <c r="N5" i="16"/>
  <c r="L6" i="7"/>
  <c r="C71" i="14"/>
  <c r="I76" i="12"/>
  <c r="J16" i="14"/>
  <c r="I9" i="8"/>
  <c r="D98" i="6"/>
  <c r="O43" i="11"/>
  <c r="I50" i="11"/>
  <c r="I51" i="11" s="1"/>
  <c r="J51" i="11" s="1"/>
  <c r="O37" i="12"/>
  <c r="G46" i="12"/>
  <c r="N53" i="7"/>
  <c r="O36" i="7"/>
  <c r="N37" i="7"/>
  <c r="N54" i="7" s="1"/>
  <c r="L9" i="7" l="1"/>
  <c r="M96" i="6"/>
  <c r="M70" i="12"/>
  <c r="L17" i="16"/>
  <c r="L18" i="5"/>
  <c r="G67" i="14"/>
  <c r="H104" i="6"/>
  <c r="H108" i="6" s="1"/>
  <c r="R21" i="6"/>
  <c r="M9" i="14"/>
  <c r="L11" i="7"/>
  <c r="Q14" i="11"/>
  <c r="R5" i="11"/>
  <c r="S5" i="11" s="1"/>
  <c r="T5" i="11" s="1"/>
  <c r="I82" i="14"/>
  <c r="J57" i="6" s="1"/>
  <c r="H54" i="17" s="1"/>
  <c r="M10" i="11"/>
  <c r="J43" i="17"/>
  <c r="J7" i="16"/>
  <c r="J7" i="5"/>
  <c r="I96" i="12"/>
  <c r="H97" i="12"/>
  <c r="H98" i="12" s="1"/>
  <c r="E44" i="17"/>
  <c r="E45" i="17" s="1"/>
  <c r="E47" i="17" s="1"/>
  <c r="E8" i="16"/>
  <c r="E8" i="5"/>
  <c r="G19" i="6"/>
  <c r="Q87" i="11"/>
  <c r="L32" i="12"/>
  <c r="K7" i="8"/>
  <c r="L53" i="12"/>
  <c r="L55" i="12" s="1"/>
  <c r="M27" i="8"/>
  <c r="I96" i="14"/>
  <c r="M5" i="12"/>
  <c r="R87" i="11"/>
  <c r="I71" i="6"/>
  <c r="G59" i="17" s="1"/>
  <c r="R62" i="6"/>
  <c r="K36" i="11"/>
  <c r="N11" i="11"/>
  <c r="N7" i="11"/>
  <c r="N6" i="12"/>
  <c r="N9" i="11"/>
  <c r="L20" i="8"/>
  <c r="L24" i="8"/>
  <c r="L18" i="8"/>
  <c r="G47" i="12"/>
  <c r="Q62" i="6"/>
  <c r="N69" i="12"/>
  <c r="N70" i="12" s="1"/>
  <c r="O70" i="12" s="1"/>
  <c r="M8" i="6"/>
  <c r="M12" i="6" s="1"/>
  <c r="L13" i="14"/>
  <c r="N35" i="16"/>
  <c r="O5" i="16"/>
  <c r="O37" i="7"/>
  <c r="O53" i="7"/>
  <c r="P36" i="7"/>
  <c r="R36" i="7" s="1"/>
  <c r="T29" i="7"/>
  <c r="T46" i="7" s="1"/>
  <c r="R46" i="7"/>
  <c r="O47" i="7"/>
  <c r="P47" i="7" s="1"/>
  <c r="P30" i="7"/>
  <c r="R30" i="7" s="1"/>
  <c r="P46" i="7"/>
  <c r="C65" i="12"/>
  <c r="C66" i="12" s="1"/>
  <c r="C79" i="14"/>
  <c r="D70" i="14"/>
  <c r="H44" i="10"/>
  <c r="E58" i="12"/>
  <c r="N55" i="7"/>
  <c r="N56" i="7" s="1"/>
  <c r="P13" i="8"/>
  <c r="S41" i="10"/>
  <c r="Z4" i="13"/>
  <c r="Q35" i="11"/>
  <c r="S41" i="7"/>
  <c r="I80" i="14"/>
  <c r="J55" i="6" s="1"/>
  <c r="H52" i="17" s="1"/>
  <c r="M6" i="11"/>
  <c r="L49" i="14"/>
  <c r="N10" i="16"/>
  <c r="N10" i="5"/>
  <c r="B11" i="4"/>
  <c r="N46" i="17"/>
  <c r="H8" i="16"/>
  <c r="H44" i="17"/>
  <c r="H45" i="17" s="1"/>
  <c r="H47" i="17" s="1"/>
  <c r="H8" i="5"/>
  <c r="J19" i="6"/>
  <c r="H46" i="12"/>
  <c r="I39" i="12"/>
  <c r="C11" i="16"/>
  <c r="C11" i="5"/>
  <c r="R5" i="6"/>
  <c r="D6" i="4" s="1"/>
  <c r="C6" i="4"/>
  <c r="N36" i="17"/>
  <c r="E41" i="6"/>
  <c r="D42" i="14"/>
  <c r="D44" i="14" s="1"/>
  <c r="O50" i="7"/>
  <c r="O34" i="7"/>
  <c r="P33" i="7"/>
  <c r="R33" i="7" s="1"/>
  <c r="L97" i="14"/>
  <c r="M72" i="6" s="1"/>
  <c r="P7" i="12"/>
  <c r="H16" i="14"/>
  <c r="G9" i="8"/>
  <c r="M47" i="11"/>
  <c r="O47" i="11" s="1"/>
  <c r="B26" i="16"/>
  <c r="B67" i="17"/>
  <c r="D110" i="6"/>
  <c r="B27" i="5"/>
  <c r="F9" i="16"/>
  <c r="F9" i="5"/>
  <c r="H40" i="6"/>
  <c r="K15" i="6"/>
  <c r="K17" i="6" s="1"/>
  <c r="J18" i="14"/>
  <c r="J19" i="14" s="1"/>
  <c r="J40" i="14" s="1"/>
  <c r="C103" i="14"/>
  <c r="C110" i="14" s="1"/>
  <c r="D75" i="6"/>
  <c r="O90" i="14"/>
  <c r="I81" i="14"/>
  <c r="J56" i="6" s="1"/>
  <c r="H53" i="17" s="1"/>
  <c r="M8" i="11"/>
  <c r="H55" i="12"/>
  <c r="K17" i="12"/>
  <c r="J74" i="12"/>
  <c r="O65" i="6"/>
  <c r="M57" i="17" s="1"/>
  <c r="N91" i="14"/>
  <c r="O66" i="6" s="1"/>
  <c r="E73" i="6"/>
  <c r="C60" i="17" s="1"/>
  <c r="D100" i="14"/>
  <c r="M6" i="7" l="1"/>
  <c r="P69" i="12"/>
  <c r="S8" i="12" s="1"/>
  <c r="P50" i="14" s="1"/>
  <c r="P70" i="12"/>
  <c r="B20" i="16"/>
  <c r="B61" i="17"/>
  <c r="B21" i="5"/>
  <c r="D78" i="6"/>
  <c r="C48" i="17"/>
  <c r="C49" i="17" s="1"/>
  <c r="C12" i="5"/>
  <c r="J96" i="14"/>
  <c r="N5" i="12"/>
  <c r="J75" i="12"/>
  <c r="J76" i="12" s="1"/>
  <c r="K74" i="12" s="1"/>
  <c r="L42" i="10"/>
  <c r="O35" i="16"/>
  <c r="P5" i="16"/>
  <c r="P35" i="16" s="1"/>
  <c r="B29" i="16"/>
  <c r="D112" i="6"/>
  <c r="B30" i="5"/>
  <c r="B70" i="17"/>
  <c r="Q8" i="12"/>
  <c r="Q7" i="12" s="1"/>
  <c r="O69" i="12"/>
  <c r="J71" i="6"/>
  <c r="H59" i="17" s="1"/>
  <c r="N9" i="14"/>
  <c r="N6" i="7"/>
  <c r="R47" i="7"/>
  <c r="P6" i="7" s="1"/>
  <c r="T30" i="7"/>
  <c r="T47" i="7" s="1"/>
  <c r="R6" i="7" s="1"/>
  <c r="H47" i="12"/>
  <c r="H101" i="14"/>
  <c r="I76" i="6" s="1"/>
  <c r="G62" i="17" s="1"/>
  <c r="K18" i="12"/>
  <c r="N6" i="11"/>
  <c r="J80" i="14"/>
  <c r="K55" i="6" s="1"/>
  <c r="I52" i="17" s="1"/>
  <c r="O76" i="11"/>
  <c r="R14" i="11"/>
  <c r="Q4" i="12"/>
  <c r="L16" i="14"/>
  <c r="K9" i="8"/>
  <c r="M43" i="12"/>
  <c r="O43" i="12" s="1"/>
  <c r="E42" i="6"/>
  <c r="E44" i="6" s="1"/>
  <c r="L26" i="8"/>
  <c r="J8" i="8" s="1"/>
  <c r="P25" i="14"/>
  <c r="S27" i="11"/>
  <c r="S26" i="11" s="1"/>
  <c r="S12" i="10"/>
  <c r="L22" i="8"/>
  <c r="J81" i="14"/>
  <c r="K56" i="6" s="1"/>
  <c r="I53" i="17" s="1"/>
  <c r="N8" i="11"/>
  <c r="E9" i="16"/>
  <c r="E9" i="5"/>
  <c r="G40" i="6"/>
  <c r="N8" i="6"/>
  <c r="N12" i="6" s="1"/>
  <c r="M13" i="14"/>
  <c r="R53" i="7"/>
  <c r="T36" i="7"/>
  <c r="T53" i="7" s="1"/>
  <c r="K47" i="14"/>
  <c r="J82" i="14"/>
  <c r="K57" i="6" s="1"/>
  <c r="I54" i="17" s="1"/>
  <c r="N10" i="11"/>
  <c r="P65" i="6"/>
  <c r="N57" i="17" s="1"/>
  <c r="O91" i="14"/>
  <c r="P66" i="6" s="1"/>
  <c r="P53" i="7"/>
  <c r="K49" i="14"/>
  <c r="I15" i="6"/>
  <c r="I17" i="6" s="1"/>
  <c r="H18" i="14"/>
  <c r="H19" i="14" s="1"/>
  <c r="H40" i="14" s="1"/>
  <c r="O39" i="12"/>
  <c r="I46" i="12"/>
  <c r="T41" i="10"/>
  <c r="S13" i="8" s="1"/>
  <c r="Q13" i="8"/>
  <c r="O54" i="7"/>
  <c r="P54" i="7" s="1"/>
  <c r="P37" i="7"/>
  <c r="R37" i="7" s="1"/>
  <c r="K46" i="14"/>
  <c r="F69" i="17"/>
  <c r="F28" i="16"/>
  <c r="F29" i="5"/>
  <c r="K48" i="14"/>
  <c r="H9" i="16"/>
  <c r="J40" i="6"/>
  <c r="H9" i="5"/>
  <c r="M36" i="11"/>
  <c r="P11" i="11"/>
  <c r="M48" i="14" s="1"/>
  <c r="P7" i="11"/>
  <c r="M46" i="14" s="1"/>
  <c r="P6" i="12"/>
  <c r="N24" i="8"/>
  <c r="N26" i="8" s="1"/>
  <c r="L8" i="8" s="1"/>
  <c r="M17" i="14" s="1"/>
  <c r="N16" i="6" s="1"/>
  <c r="P9" i="11"/>
  <c r="M47" i="14" s="1"/>
  <c r="N20" i="8"/>
  <c r="N22" i="8" s="1"/>
  <c r="N18" i="8"/>
  <c r="L46" i="11"/>
  <c r="K50" i="11"/>
  <c r="K51" i="11" s="1"/>
  <c r="M97" i="14"/>
  <c r="N72" i="6" s="1"/>
  <c r="T33" i="7"/>
  <c r="T50" i="7" s="1"/>
  <c r="R50" i="7"/>
  <c r="I44" i="17"/>
  <c r="I45" i="17" s="1"/>
  <c r="I47" i="17" s="1"/>
  <c r="I8" i="16"/>
  <c r="I8" i="5"/>
  <c r="K19" i="6"/>
  <c r="O51" i="7"/>
  <c r="P51" i="7" s="1"/>
  <c r="P34" i="7"/>
  <c r="R34" i="7" s="1"/>
  <c r="H10" i="12"/>
  <c r="E59" i="12"/>
  <c r="H45" i="10"/>
  <c r="E41" i="14" s="1"/>
  <c r="I97" i="12"/>
  <c r="I98" i="12" s="1"/>
  <c r="J96" i="12"/>
  <c r="M8" i="7"/>
  <c r="P50" i="7"/>
  <c r="D53" i="14"/>
  <c r="D69" i="14" s="1"/>
  <c r="E94" i="6"/>
  <c r="D107" i="14"/>
  <c r="D103" i="14"/>
  <c r="E75" i="6"/>
  <c r="F11" i="16"/>
  <c r="F11" i="5"/>
  <c r="M17" i="16"/>
  <c r="M18" i="5"/>
  <c r="C83" i="14"/>
  <c r="C93" i="14" s="1"/>
  <c r="C113" i="14" s="1"/>
  <c r="D54" i="6"/>
  <c r="K43" i="17"/>
  <c r="K7" i="16"/>
  <c r="K7" i="5"/>
  <c r="Q25" i="14"/>
  <c r="T27" i="11"/>
  <c r="T12" i="10"/>
  <c r="P55" i="7" l="1"/>
  <c r="P56" i="7" s="1"/>
  <c r="P18" i="8" s="1"/>
  <c r="M9" i="7"/>
  <c r="N9" i="7" s="1"/>
  <c r="C112" i="14"/>
  <c r="R25" i="6"/>
  <c r="R39" i="6" s="1"/>
  <c r="Q39" i="14"/>
  <c r="T34" i="7"/>
  <c r="T51" i="7" s="1"/>
  <c r="R51" i="7"/>
  <c r="K17" i="14"/>
  <c r="L16" i="6" s="1"/>
  <c r="I47" i="12"/>
  <c r="J47" i="12" s="1"/>
  <c r="P9" i="14"/>
  <c r="N96" i="6"/>
  <c r="C12" i="16"/>
  <c r="E45" i="6"/>
  <c r="C13" i="5"/>
  <c r="L17" i="12"/>
  <c r="C61" i="17"/>
  <c r="C20" i="16"/>
  <c r="E78" i="6"/>
  <c r="C21" i="5"/>
  <c r="I9" i="16"/>
  <c r="K40" i="6"/>
  <c r="I9" i="5"/>
  <c r="N48" i="11"/>
  <c r="O48" i="11" s="1"/>
  <c r="M50" i="11"/>
  <c r="K75" i="12"/>
  <c r="K76" i="12" s="1"/>
  <c r="M42" i="10"/>
  <c r="L43" i="17"/>
  <c r="L7" i="16"/>
  <c r="L7" i="5"/>
  <c r="O9" i="14"/>
  <c r="E82" i="6"/>
  <c r="E83" i="6" s="1"/>
  <c r="D108" i="14"/>
  <c r="D110" i="14" s="1"/>
  <c r="G44" i="17"/>
  <c r="G45" i="17" s="1"/>
  <c r="G47" i="17" s="1"/>
  <c r="G8" i="16"/>
  <c r="G8" i="5"/>
  <c r="I19" i="6"/>
  <c r="E11" i="16"/>
  <c r="E11" i="5"/>
  <c r="K96" i="14"/>
  <c r="O5" i="12"/>
  <c r="Q45" i="14"/>
  <c r="R95" i="6" s="1"/>
  <c r="T39" i="10"/>
  <c r="E98" i="6"/>
  <c r="P8" i="7"/>
  <c r="H11" i="16"/>
  <c r="H11" i="5"/>
  <c r="O8" i="6"/>
  <c r="K71" i="6"/>
  <c r="I59" i="17" s="1"/>
  <c r="M49" i="14"/>
  <c r="D71" i="14"/>
  <c r="R8" i="7"/>
  <c r="K81" i="14"/>
  <c r="L56" i="6" s="1"/>
  <c r="J53" i="17" s="1"/>
  <c r="O8" i="11"/>
  <c r="N11" i="14"/>
  <c r="O10" i="6" s="1"/>
  <c r="P10" i="6" s="1"/>
  <c r="N8" i="7"/>
  <c r="M15" i="6"/>
  <c r="M17" i="6" s="1"/>
  <c r="L18" i="14"/>
  <c r="L19" i="14" s="1"/>
  <c r="L40" i="14" s="1"/>
  <c r="B63" i="17"/>
  <c r="B21" i="16"/>
  <c r="B22" i="5"/>
  <c r="D85" i="6"/>
  <c r="J97" i="12"/>
  <c r="J98" i="12" s="1"/>
  <c r="K96" i="12"/>
  <c r="N97" i="14"/>
  <c r="O72" i="6" s="1"/>
  <c r="R7" i="12"/>
  <c r="Q16" i="12"/>
  <c r="R4" i="12"/>
  <c r="S4" i="12" s="1"/>
  <c r="T4" i="12" s="1"/>
  <c r="N50" i="14"/>
  <c r="R8" i="12"/>
  <c r="O50" i="14" s="1"/>
  <c r="N17" i="16"/>
  <c r="B19" i="4"/>
  <c r="N18" i="5"/>
  <c r="P76" i="11"/>
  <c r="S14" i="11"/>
  <c r="Q9" i="14"/>
  <c r="B15" i="16"/>
  <c r="B16" i="5"/>
  <c r="D58" i="6"/>
  <c r="F41" i="6"/>
  <c r="E42" i="14"/>
  <c r="E44" i="14" s="1"/>
  <c r="K82" i="14"/>
  <c r="L57" i="6" s="1"/>
  <c r="J54" i="17" s="1"/>
  <c r="O10" i="11"/>
  <c r="O55" i="7"/>
  <c r="O56" i="7" s="1"/>
  <c r="F56" i="12"/>
  <c r="O46" i="11"/>
  <c r="L50" i="11"/>
  <c r="L51" i="11" s="1"/>
  <c r="M51" i="11" s="1"/>
  <c r="P45" i="14"/>
  <c r="Q95" i="6" s="1"/>
  <c r="S39" i="10"/>
  <c r="K80" i="14"/>
  <c r="L55" i="6" s="1"/>
  <c r="J52" i="17" s="1"/>
  <c r="O6" i="11"/>
  <c r="Q69" i="12"/>
  <c r="T8" i="12" s="1"/>
  <c r="Q50" i="14" s="1"/>
  <c r="P90" i="14"/>
  <c r="T26" i="11"/>
  <c r="Q90" i="14" s="1"/>
  <c r="K53" i="12"/>
  <c r="K32" i="12"/>
  <c r="J7" i="8"/>
  <c r="L27" i="8"/>
  <c r="L96" i="6"/>
  <c r="E51" i="14"/>
  <c r="F97" i="6" s="1"/>
  <c r="H13" i="12"/>
  <c r="H9" i="12"/>
  <c r="L7" i="8"/>
  <c r="M53" i="12"/>
  <c r="M55" i="12" s="1"/>
  <c r="M32" i="12"/>
  <c r="N27" i="8"/>
  <c r="R54" i="7"/>
  <c r="P9" i="7" s="1"/>
  <c r="T37" i="7"/>
  <c r="T54" i="7" s="1"/>
  <c r="T55" i="7" s="1"/>
  <c r="T56" i="7" s="1"/>
  <c r="Q25" i="6"/>
  <c r="Q39" i="6" s="1"/>
  <c r="P39" i="14"/>
  <c r="H63" i="14"/>
  <c r="K25" i="12"/>
  <c r="B30" i="16"/>
  <c r="E111" i="6"/>
  <c r="B31" i="5"/>
  <c r="B71" i="17"/>
  <c r="M11" i="7" l="1"/>
  <c r="T8" i="11"/>
  <c r="Q81" i="14" s="1"/>
  <c r="R56" i="6" s="1"/>
  <c r="T5" i="12"/>
  <c r="T10" i="11"/>
  <c r="Q82" i="14" s="1"/>
  <c r="R57" i="6" s="1"/>
  <c r="T6" i="11"/>
  <c r="Q80" i="14" s="1"/>
  <c r="R55" i="6" s="1"/>
  <c r="T20" i="8"/>
  <c r="T22" i="8" s="1"/>
  <c r="T17" i="8"/>
  <c r="T24" i="8"/>
  <c r="T26" i="8" s="1"/>
  <c r="R8" i="8" s="1"/>
  <c r="P11" i="7"/>
  <c r="Q9" i="7" s="1"/>
  <c r="K98" i="12"/>
  <c r="M17" i="12"/>
  <c r="L74" i="12"/>
  <c r="E53" i="14"/>
  <c r="E69" i="14" s="1"/>
  <c r="F94" i="6"/>
  <c r="H67" i="14"/>
  <c r="I104" i="6"/>
  <c r="I108" i="6" s="1"/>
  <c r="R65" i="6"/>
  <c r="Q91" i="14"/>
  <c r="R66" i="6" s="1"/>
  <c r="D48" i="17"/>
  <c r="D49" i="17" s="1"/>
  <c r="D12" i="5"/>
  <c r="F42" i="6"/>
  <c r="F44" i="6" s="1"/>
  <c r="N64" i="12"/>
  <c r="R16" i="12"/>
  <c r="S16" i="12" s="1"/>
  <c r="T16" i="12" s="1"/>
  <c r="L96" i="14"/>
  <c r="P5" i="12"/>
  <c r="Q65" i="6"/>
  <c r="P91" i="14"/>
  <c r="Q66" i="6" s="1"/>
  <c r="B55" i="17"/>
  <c r="B16" i="16"/>
  <c r="B17" i="5"/>
  <c r="D68" i="6"/>
  <c r="E70" i="14"/>
  <c r="D79" i="14"/>
  <c r="D65" i="12"/>
  <c r="D66" i="12" s="1"/>
  <c r="L71" i="6"/>
  <c r="J59" i="17" s="1"/>
  <c r="O97" i="14"/>
  <c r="P72" i="6" s="1"/>
  <c r="S7" i="12"/>
  <c r="O10" i="16"/>
  <c r="O10" i="5"/>
  <c r="C11" i="4"/>
  <c r="Q70" i="12"/>
  <c r="L80" i="14"/>
  <c r="M55" i="6" s="1"/>
  <c r="K52" i="17" s="1"/>
  <c r="P6" i="11"/>
  <c r="K97" i="12"/>
  <c r="L96" i="12"/>
  <c r="R8" i="6"/>
  <c r="R12" i="6" s="1"/>
  <c r="N13" i="14"/>
  <c r="O12" i="6"/>
  <c r="P8" i="6"/>
  <c r="P12" i="6" s="1"/>
  <c r="G9" i="16"/>
  <c r="G9" i="5"/>
  <c r="I40" i="6"/>
  <c r="N44" i="12"/>
  <c r="O44" i="12" s="1"/>
  <c r="M46" i="12"/>
  <c r="M16" i="14"/>
  <c r="L9" i="8"/>
  <c r="Q76" i="11"/>
  <c r="T14" i="11"/>
  <c r="R76" i="11" s="1"/>
  <c r="I11" i="16"/>
  <c r="I11" i="5"/>
  <c r="Q8" i="6"/>
  <c r="C23" i="16"/>
  <c r="C24" i="5"/>
  <c r="C64" i="17"/>
  <c r="K44" i="17"/>
  <c r="K45" i="17" s="1"/>
  <c r="K47" i="17" s="1"/>
  <c r="K8" i="16"/>
  <c r="K8" i="5"/>
  <c r="M19" i="6"/>
  <c r="N36" i="11"/>
  <c r="Q7" i="11"/>
  <c r="O24" i="8"/>
  <c r="Q11" i="11"/>
  <c r="Q6" i="12"/>
  <c r="Q9" i="11"/>
  <c r="O20" i="8"/>
  <c r="O18" i="8"/>
  <c r="R55" i="7"/>
  <c r="R56" i="7" s="1"/>
  <c r="P11" i="14"/>
  <c r="Q10" i="6" s="1"/>
  <c r="O11" i="14"/>
  <c r="O8" i="7"/>
  <c r="N11" i="7"/>
  <c r="L82" i="14"/>
  <c r="M57" i="6" s="1"/>
  <c r="K54" i="17" s="1"/>
  <c r="P10" i="11"/>
  <c r="C67" i="17"/>
  <c r="C26" i="16"/>
  <c r="C27" i="5"/>
  <c r="E110" i="6"/>
  <c r="O13" i="14"/>
  <c r="L81" i="14"/>
  <c r="M56" i="6" s="1"/>
  <c r="K53" i="17" s="1"/>
  <c r="P8" i="11"/>
  <c r="R9" i="7"/>
  <c r="K16" i="14"/>
  <c r="J9" i="8"/>
  <c r="L18" i="12"/>
  <c r="I101" i="14"/>
  <c r="J76" i="6" s="1"/>
  <c r="H62" i="17" s="1"/>
  <c r="P10" i="16"/>
  <c r="D11" i="4"/>
  <c r="P10" i="5"/>
  <c r="E98" i="14"/>
  <c r="I44" i="10"/>
  <c r="F58" i="12"/>
  <c r="E107" i="14"/>
  <c r="L42" i="12"/>
  <c r="K46" i="12"/>
  <c r="K47" i="12" s="1"/>
  <c r="C21" i="16"/>
  <c r="C63" i="17"/>
  <c r="E85" i="6"/>
  <c r="C22" i="5"/>
  <c r="K55" i="12"/>
  <c r="Q11" i="14"/>
  <c r="R10" i="6" s="1"/>
  <c r="C29" i="16" l="1"/>
  <c r="C30" i="5"/>
  <c r="E112" i="6"/>
  <c r="C70" i="17"/>
  <c r="O26" i="8"/>
  <c r="M8" i="8" s="1"/>
  <c r="P24" i="8"/>
  <c r="P26" i="8" s="1"/>
  <c r="R11" i="7"/>
  <c r="S9" i="7" s="1"/>
  <c r="O22" i="8"/>
  <c r="P20" i="8"/>
  <c r="P22" i="8" s="1"/>
  <c r="P7" i="16"/>
  <c r="D8" i="4"/>
  <c r="P7" i="5"/>
  <c r="L11" i="15"/>
  <c r="L12" i="15"/>
  <c r="L10" i="15"/>
  <c r="K9" i="16"/>
  <c r="M40" i="6"/>
  <c r="K9" i="5"/>
  <c r="F73" i="6"/>
  <c r="D60" i="17" s="1"/>
  <c r="E100" i="14"/>
  <c r="M81" i="14"/>
  <c r="N56" i="6" s="1"/>
  <c r="L53" i="17" s="1"/>
  <c r="Q8" i="11"/>
  <c r="N47" i="14"/>
  <c r="R9" i="11"/>
  <c r="O47" i="14" s="1"/>
  <c r="L97" i="12"/>
  <c r="L98" i="12" s="1"/>
  <c r="M96" i="12"/>
  <c r="B19" i="16"/>
  <c r="B58" i="17"/>
  <c r="D117" i="6"/>
  <c r="B20" i="5"/>
  <c r="B35" i="5" s="1"/>
  <c r="F98" i="6"/>
  <c r="N49" i="14"/>
  <c r="R6" i="12"/>
  <c r="E71" i="14"/>
  <c r="N48" i="14"/>
  <c r="R11" i="11"/>
  <c r="O48" i="14" s="1"/>
  <c r="M80" i="14"/>
  <c r="N55" i="6" s="1"/>
  <c r="L52" i="17" s="1"/>
  <c r="Q6" i="11"/>
  <c r="N42" i="10"/>
  <c r="L75" i="12"/>
  <c r="L76" i="12" s="1"/>
  <c r="M74" i="12" s="1"/>
  <c r="F82" i="6"/>
  <c r="F83" i="6" s="1"/>
  <c r="E108" i="14"/>
  <c r="J101" i="14"/>
  <c r="K76" i="6" s="1"/>
  <c r="I62" i="17" s="1"/>
  <c r="M18" i="12"/>
  <c r="I10" i="12"/>
  <c r="F59" i="12"/>
  <c r="N46" i="14"/>
  <c r="R7" i="11"/>
  <c r="O46" i="14" s="1"/>
  <c r="O17" i="16"/>
  <c r="C19" i="4"/>
  <c r="O18" i="5"/>
  <c r="I45" i="10"/>
  <c r="F41" i="14" s="1"/>
  <c r="N50" i="11"/>
  <c r="O36" i="11"/>
  <c r="N15" i="6"/>
  <c r="N17" i="6" s="1"/>
  <c r="M18" i="14"/>
  <c r="M19" i="14" s="1"/>
  <c r="M40" i="14" s="1"/>
  <c r="M96" i="14"/>
  <c r="Q5" i="12"/>
  <c r="Q10" i="7"/>
  <c r="Q5" i="7"/>
  <c r="Q7" i="7"/>
  <c r="Q6" i="7"/>
  <c r="Q17" i="14"/>
  <c r="R16" i="6" s="1"/>
  <c r="S8" i="8"/>
  <c r="M71" i="6"/>
  <c r="K59" i="17" s="1"/>
  <c r="O73" i="12"/>
  <c r="O64" i="12"/>
  <c r="D12" i="16"/>
  <c r="F45" i="6"/>
  <c r="D13" i="5"/>
  <c r="Q53" i="12"/>
  <c r="Q55" i="12" s="1"/>
  <c r="Q32" i="12"/>
  <c r="R7" i="8"/>
  <c r="O42" i="12"/>
  <c r="L46" i="12"/>
  <c r="L47" i="12" s="1"/>
  <c r="M47" i="12" s="1"/>
  <c r="O10" i="7"/>
  <c r="O6" i="8"/>
  <c r="O5" i="7"/>
  <c r="O7" i="7"/>
  <c r="O6" i="7"/>
  <c r="O9" i="7"/>
  <c r="G11" i="16"/>
  <c r="G11" i="5"/>
  <c r="Q96" i="14"/>
  <c r="L13" i="15"/>
  <c r="M82" i="14"/>
  <c r="N57" i="6" s="1"/>
  <c r="L54" i="17" s="1"/>
  <c r="Q10" i="11"/>
  <c r="T7" i="12"/>
  <c r="Q97" i="14" s="1"/>
  <c r="R72" i="6" s="1"/>
  <c r="P97" i="14"/>
  <c r="Q72" i="6" s="1"/>
  <c r="T27" i="8"/>
  <c r="R6" i="8"/>
  <c r="N7" i="16"/>
  <c r="N7" i="5"/>
  <c r="B8" i="4"/>
  <c r="N43" i="17"/>
  <c r="J12" i="15"/>
  <c r="J11" i="15"/>
  <c r="J10" i="15"/>
  <c r="J13" i="15"/>
  <c r="L25" i="12"/>
  <c r="I63" i="14"/>
  <c r="Q8" i="7"/>
  <c r="M43" i="17"/>
  <c r="M7" i="16"/>
  <c r="M7" i="5"/>
  <c r="P17" i="16"/>
  <c r="D19" i="4"/>
  <c r="P18" i="5"/>
  <c r="S5" i="12"/>
  <c r="R20" i="8"/>
  <c r="R22" i="8" s="1"/>
  <c r="S6" i="11"/>
  <c r="R24" i="8"/>
  <c r="R26" i="8" s="1"/>
  <c r="P8" i="8" s="1"/>
  <c r="S10" i="11"/>
  <c r="R17" i="8"/>
  <c r="S8" i="11"/>
  <c r="P13" i="14"/>
  <c r="L15" i="6"/>
  <c r="L17" i="6" s="1"/>
  <c r="K18" i="14"/>
  <c r="K19" i="14" s="1"/>
  <c r="K40" i="14" s="1"/>
  <c r="Q12" i="6"/>
  <c r="E18" i="15" s="1"/>
  <c r="Q13" i="14"/>
  <c r="D83" i="14"/>
  <c r="D93" i="14" s="1"/>
  <c r="E54" i="6"/>
  <c r="G28" i="16"/>
  <c r="G69" i="17"/>
  <c r="G29" i="5"/>
  <c r="M75" i="12" l="1"/>
  <c r="O42" i="10"/>
  <c r="R71" i="6"/>
  <c r="P80" i="14"/>
  <c r="Q55" i="6" s="1"/>
  <c r="T7" i="11"/>
  <c r="Q46" i="14" s="1"/>
  <c r="L44" i="17"/>
  <c r="L45" i="17" s="1"/>
  <c r="L47" i="17" s="1"/>
  <c r="L8" i="16"/>
  <c r="L8" i="5"/>
  <c r="N19" i="6"/>
  <c r="D23" i="16"/>
  <c r="D24" i="5"/>
  <c r="D64" i="17"/>
  <c r="P17" i="14"/>
  <c r="Q16" i="6" s="1"/>
  <c r="Q8" i="8"/>
  <c r="P96" i="14"/>
  <c r="P73" i="12"/>
  <c r="P87" i="12" s="1"/>
  <c r="O87" i="12"/>
  <c r="O91" i="12" s="1"/>
  <c r="O77" i="12"/>
  <c r="N80" i="14"/>
  <c r="O55" i="6" s="1"/>
  <c r="M52" i="17" s="1"/>
  <c r="R6" i="11"/>
  <c r="P27" i="8"/>
  <c r="N81" i="14"/>
  <c r="O56" i="6" s="1"/>
  <c r="M53" i="17" s="1"/>
  <c r="R8" i="11"/>
  <c r="N53" i="12"/>
  <c r="N32" i="12"/>
  <c r="M7" i="8"/>
  <c r="O27" i="8"/>
  <c r="D113" i="14"/>
  <c r="D112" i="14"/>
  <c r="S10" i="7"/>
  <c r="S5" i="7"/>
  <c r="S7" i="7"/>
  <c r="S6" i="7"/>
  <c r="S8" i="7"/>
  <c r="Q15" i="14"/>
  <c r="R9" i="8"/>
  <c r="S6" i="8"/>
  <c r="E103" i="14"/>
  <c r="E110" i="14" s="1"/>
  <c r="F75" i="6"/>
  <c r="N17" i="14"/>
  <c r="O16" i="6" s="1"/>
  <c r="N8" i="8"/>
  <c r="O96" i="6"/>
  <c r="P96" i="6" s="1"/>
  <c r="O49" i="14"/>
  <c r="R13" i="12"/>
  <c r="K11" i="16"/>
  <c r="K11" i="5"/>
  <c r="O50" i="11"/>
  <c r="N51" i="11"/>
  <c r="O51" i="11" s="1"/>
  <c r="N96" i="12"/>
  <c r="M97" i="12"/>
  <c r="M98" i="12" s="1"/>
  <c r="P64" i="12"/>
  <c r="O52" i="12"/>
  <c r="G41" i="6"/>
  <c r="F42" i="14"/>
  <c r="F44" i="14" s="1"/>
  <c r="C15" i="16"/>
  <c r="C16" i="5"/>
  <c r="E58" i="6"/>
  <c r="O7" i="16"/>
  <c r="D18" i="15"/>
  <c r="O7" i="5"/>
  <c r="C8" i="4"/>
  <c r="K12" i="15"/>
  <c r="K11" i="15"/>
  <c r="K10" i="15"/>
  <c r="K13" i="15"/>
  <c r="F70" i="14"/>
  <c r="E79" i="14"/>
  <c r="E65" i="12"/>
  <c r="E66" i="12" s="1"/>
  <c r="G56" i="12"/>
  <c r="J44" i="17"/>
  <c r="J45" i="17" s="1"/>
  <c r="J47" i="17" s="1"/>
  <c r="J8" i="16"/>
  <c r="J8" i="5"/>
  <c r="L19" i="6"/>
  <c r="N82" i="14"/>
  <c r="O57" i="6" s="1"/>
  <c r="M54" i="17" s="1"/>
  <c r="R10" i="11"/>
  <c r="N17" i="12"/>
  <c r="M76" i="12"/>
  <c r="I67" i="14"/>
  <c r="J104" i="6"/>
  <c r="J108" i="6" s="1"/>
  <c r="P81" i="14"/>
  <c r="Q56" i="6" s="1"/>
  <c r="T9" i="11"/>
  <c r="Q47" i="14" s="1"/>
  <c r="N96" i="14"/>
  <c r="R5" i="12"/>
  <c r="O96" i="14" s="1"/>
  <c r="F51" i="14"/>
  <c r="G97" i="6" s="1"/>
  <c r="I13" i="12"/>
  <c r="I9" i="12"/>
  <c r="C30" i="16"/>
  <c r="F111" i="6"/>
  <c r="C31" i="5"/>
  <c r="C71" i="17"/>
  <c r="P6" i="8"/>
  <c r="R27" i="8"/>
  <c r="N71" i="6"/>
  <c r="L59" i="17" s="1"/>
  <c r="J63" i="14"/>
  <c r="M25" i="12"/>
  <c r="D67" i="17"/>
  <c r="D26" i="16"/>
  <c r="F110" i="6"/>
  <c r="D27" i="5"/>
  <c r="P53" i="12"/>
  <c r="P55" i="12" s="1"/>
  <c r="P32" i="12"/>
  <c r="P7" i="8"/>
  <c r="P82" i="14"/>
  <c r="Q57" i="6" s="1"/>
  <c r="T11" i="11"/>
  <c r="Q48" i="14" s="1"/>
  <c r="T6" i="12"/>
  <c r="Q16" i="14"/>
  <c r="R15" i="6" s="1"/>
  <c r="S7" i="8"/>
  <c r="S6" i="12" l="1"/>
  <c r="F98" i="14"/>
  <c r="P16" i="14"/>
  <c r="Q15" i="6" s="1"/>
  <c r="Q7" i="8"/>
  <c r="P71" i="6"/>
  <c r="J44" i="10"/>
  <c r="G58" i="12"/>
  <c r="N46" i="12"/>
  <c r="O32" i="12"/>
  <c r="L9" i="16"/>
  <c r="N40" i="6"/>
  <c r="L9" i="5"/>
  <c r="N16" i="14"/>
  <c r="M9" i="8"/>
  <c r="N7" i="8"/>
  <c r="D61" i="17"/>
  <c r="D20" i="16"/>
  <c r="F78" i="6"/>
  <c r="D21" i="5"/>
  <c r="N55" i="12"/>
  <c r="O53" i="12"/>
  <c r="C55" i="17"/>
  <c r="C16" i="16"/>
  <c r="C17" i="5"/>
  <c r="E68" i="6"/>
  <c r="O17" i="14"/>
  <c r="P16" i="6" s="1"/>
  <c r="O8" i="8"/>
  <c r="D29" i="16"/>
  <c r="D30" i="5"/>
  <c r="F112" i="6"/>
  <c r="D70" i="17"/>
  <c r="O71" i="6"/>
  <c r="M59" i="17" s="1"/>
  <c r="E83" i="14"/>
  <c r="E93" i="14" s="1"/>
  <c r="E113" i="14" s="1"/>
  <c r="F54" i="6"/>
  <c r="E48" i="17"/>
  <c r="E49" i="17" s="1"/>
  <c r="E12" i="5"/>
  <c r="G42" i="6"/>
  <c r="G44" i="6" s="1"/>
  <c r="S9" i="8"/>
  <c r="O80" i="14"/>
  <c r="P55" i="6" s="1"/>
  <c r="D10" i="15" s="1"/>
  <c r="S7" i="11"/>
  <c r="P46" i="14" s="1"/>
  <c r="R96" i="6"/>
  <c r="O81" i="14"/>
  <c r="P56" i="6" s="1"/>
  <c r="S9" i="11"/>
  <c r="P47" i="14" s="1"/>
  <c r="F53" i="14"/>
  <c r="F69" i="14" s="1"/>
  <c r="G94" i="6"/>
  <c r="F107" i="14"/>
  <c r="J67" i="14"/>
  <c r="K104" i="6"/>
  <c r="K108" i="6" s="1"/>
  <c r="Q64" i="12"/>
  <c r="Q52" i="12" s="1"/>
  <c r="P52" i="12"/>
  <c r="Q18" i="14"/>
  <c r="Q19" i="14" s="1"/>
  <c r="Q40" i="14" s="1"/>
  <c r="R14" i="6"/>
  <c r="R17" i="6" s="1"/>
  <c r="E10" i="15"/>
  <c r="O81" i="12"/>
  <c r="P81" i="12" s="1"/>
  <c r="P77" i="12"/>
  <c r="H28" i="16"/>
  <c r="H69" i="17"/>
  <c r="H29" i="5"/>
  <c r="O17" i="12"/>
  <c r="N97" i="12"/>
  <c r="N98" i="12" s="1"/>
  <c r="O96" i="12"/>
  <c r="O95" i="12"/>
  <c r="P95" i="12" s="1"/>
  <c r="P91" i="12"/>
  <c r="P15" i="14"/>
  <c r="P9" i="8"/>
  <c r="Q6" i="8"/>
  <c r="Q9" i="8" s="1"/>
  <c r="K101" i="14"/>
  <c r="L76" i="6" s="1"/>
  <c r="J62" i="17" s="1"/>
  <c r="N18" i="12"/>
  <c r="P50" i="11"/>
  <c r="P51" i="11" s="1"/>
  <c r="P49" i="14"/>
  <c r="Q71" i="6"/>
  <c r="Q49" i="14"/>
  <c r="N74" i="12"/>
  <c r="O82" i="14"/>
  <c r="P57" i="6" s="1"/>
  <c r="S11" i="11"/>
  <c r="P48" i="14" s="1"/>
  <c r="J9" i="16"/>
  <c r="L40" i="6"/>
  <c r="J9" i="5"/>
  <c r="C10" i="15"/>
  <c r="E112" i="14" l="1"/>
  <c r="Q50" i="11"/>
  <c r="Q51" i="11" s="1"/>
  <c r="O46" i="12"/>
  <c r="N47" i="12"/>
  <c r="O47" i="12" s="1"/>
  <c r="N75" i="12"/>
  <c r="N76" i="12" s="1"/>
  <c r="O74" i="12" s="1"/>
  <c r="P42" i="10"/>
  <c r="G98" i="6"/>
  <c r="N53" i="17"/>
  <c r="Q96" i="6"/>
  <c r="C58" i="17"/>
  <c r="C19" i="16"/>
  <c r="E117" i="6"/>
  <c r="C20" i="5"/>
  <c r="C35" i="5" s="1"/>
  <c r="J45" i="10"/>
  <c r="G41" i="14" s="1"/>
  <c r="G82" i="6"/>
  <c r="G83" i="6" s="1"/>
  <c r="F108" i="14"/>
  <c r="F71" i="14"/>
  <c r="L101" i="14"/>
  <c r="M76" i="6" s="1"/>
  <c r="K62" i="17" s="1"/>
  <c r="O18" i="12"/>
  <c r="L8" i="15"/>
  <c r="P8" i="16"/>
  <c r="E12" i="15"/>
  <c r="E11" i="15"/>
  <c r="D9" i="4"/>
  <c r="P8" i="5"/>
  <c r="R19" i="6"/>
  <c r="E12" i="16"/>
  <c r="G45" i="6"/>
  <c r="E13" i="5"/>
  <c r="O55" i="12"/>
  <c r="J11" i="16"/>
  <c r="J11" i="5"/>
  <c r="P18" i="14"/>
  <c r="P19" i="14" s="1"/>
  <c r="P40" i="14" s="1"/>
  <c r="Q14" i="6"/>
  <c r="Q17" i="6" s="1"/>
  <c r="D15" i="16"/>
  <c r="D16" i="5"/>
  <c r="F58" i="6"/>
  <c r="D63" i="17"/>
  <c r="D21" i="16"/>
  <c r="D22" i="5"/>
  <c r="F85" i="6"/>
  <c r="O97" i="12"/>
  <c r="P97" i="12" s="1"/>
  <c r="P96" i="12"/>
  <c r="O16" i="14"/>
  <c r="O7" i="8"/>
  <c r="O9" i="8" s="1"/>
  <c r="N9" i="8"/>
  <c r="O15" i="6"/>
  <c r="O17" i="6" s="1"/>
  <c r="N18" i="14"/>
  <c r="N19" i="14" s="1"/>
  <c r="N40" i="14" s="1"/>
  <c r="D30" i="16"/>
  <c r="G111" i="6"/>
  <c r="D31" i="5"/>
  <c r="D71" i="17"/>
  <c r="L11" i="16"/>
  <c r="L11" i="5"/>
  <c r="N52" i="17"/>
  <c r="J10" i="12"/>
  <c r="G59" i="12"/>
  <c r="K63" i="14"/>
  <c r="N25" i="12"/>
  <c r="N59" i="17"/>
  <c r="I69" i="17"/>
  <c r="I28" i="16"/>
  <c r="I29" i="5"/>
  <c r="N54" i="17"/>
  <c r="G73" i="6"/>
  <c r="E60" i="17" s="1"/>
  <c r="F100" i="14"/>
  <c r="O75" i="12" l="1"/>
  <c r="P75" i="12" s="1"/>
  <c r="Q42" i="10"/>
  <c r="P74" i="12"/>
  <c r="G51" i="14"/>
  <c r="H97" i="6" s="1"/>
  <c r="J13" i="12"/>
  <c r="J9" i="12"/>
  <c r="L9" i="15"/>
  <c r="P9" i="16"/>
  <c r="R40" i="6"/>
  <c r="P9" i="5"/>
  <c r="D10" i="4"/>
  <c r="F103" i="14"/>
  <c r="F110" i="14" s="1"/>
  <c r="G75" i="6"/>
  <c r="D55" i="17"/>
  <c r="D16" i="16"/>
  <c r="D17" i="5"/>
  <c r="F68" i="6"/>
  <c r="L63" i="14"/>
  <c r="O25" i="12"/>
  <c r="F79" i="14"/>
  <c r="G70" i="14"/>
  <c r="F65" i="12"/>
  <c r="F66" i="12" s="1"/>
  <c r="E23" i="16"/>
  <c r="E24" i="5"/>
  <c r="E64" i="17"/>
  <c r="P46" i="12"/>
  <c r="P47" i="12"/>
  <c r="K8" i="15"/>
  <c r="D11" i="15"/>
  <c r="D12" i="15"/>
  <c r="O8" i="16"/>
  <c r="C9" i="4"/>
  <c r="O8" i="5"/>
  <c r="Q19" i="6"/>
  <c r="E67" i="17"/>
  <c r="E26" i="16"/>
  <c r="G110" i="6"/>
  <c r="E27" i="5"/>
  <c r="P17" i="12"/>
  <c r="O76" i="12"/>
  <c r="M44" i="17"/>
  <c r="M45" i="17" s="1"/>
  <c r="M47" i="17" s="1"/>
  <c r="M8" i="16"/>
  <c r="M8" i="5"/>
  <c r="O19" i="6"/>
  <c r="O98" i="12"/>
  <c r="P98" i="12" s="1"/>
  <c r="K67" i="14"/>
  <c r="L104" i="6"/>
  <c r="L108" i="6" s="1"/>
  <c r="P15" i="6"/>
  <c r="P17" i="6" s="1"/>
  <c r="O18" i="14"/>
  <c r="O19" i="14" s="1"/>
  <c r="O40" i="14" s="1"/>
  <c r="H41" i="6"/>
  <c r="G42" i="14"/>
  <c r="G44" i="14" s="1"/>
  <c r="H56" i="12"/>
  <c r="C12" i="15" l="1"/>
  <c r="N8" i="16"/>
  <c r="J8" i="15"/>
  <c r="C11" i="15"/>
  <c r="B9" i="4"/>
  <c r="N8" i="5"/>
  <c r="N44" i="17"/>
  <c r="N45" i="17" s="1"/>
  <c r="N47" i="17" s="1"/>
  <c r="P19" i="6"/>
  <c r="J69" i="17"/>
  <c r="J28" i="16"/>
  <c r="J29" i="5"/>
  <c r="E61" i="17"/>
  <c r="E20" i="16"/>
  <c r="E21" i="5"/>
  <c r="G78" i="6"/>
  <c r="M9" i="16"/>
  <c r="O40" i="6"/>
  <c r="M9" i="5"/>
  <c r="Q46" i="12"/>
  <c r="Q47" i="12" s="1"/>
  <c r="L15" i="15"/>
  <c r="L14" i="15"/>
  <c r="P11" i="16"/>
  <c r="D12" i="4"/>
  <c r="P11" i="5"/>
  <c r="P76" i="12"/>
  <c r="Q17" i="12"/>
  <c r="M101" i="14"/>
  <c r="N76" i="6" s="1"/>
  <c r="L62" i="17" s="1"/>
  <c r="P18" i="12"/>
  <c r="G98" i="14"/>
  <c r="E29" i="16"/>
  <c r="E30" i="5"/>
  <c r="G112" i="6"/>
  <c r="E70" i="17"/>
  <c r="F83" i="14"/>
  <c r="F93" i="14" s="1"/>
  <c r="F113" i="14" s="1"/>
  <c r="G54" i="6"/>
  <c r="K44" i="10"/>
  <c r="H58" i="12"/>
  <c r="R42" i="10"/>
  <c r="G53" i="14"/>
  <c r="G69" i="14" s="1"/>
  <c r="H94" i="6"/>
  <c r="G107" i="14"/>
  <c r="O9" i="16"/>
  <c r="K9" i="15"/>
  <c r="C10" i="4"/>
  <c r="Q40" i="6"/>
  <c r="O9" i="5"/>
  <c r="L67" i="14"/>
  <c r="M104" i="6"/>
  <c r="M108" i="6" s="1"/>
  <c r="F48" i="17"/>
  <c r="F49" i="17" s="1"/>
  <c r="F12" i="5"/>
  <c r="H42" i="6"/>
  <c r="H44" i="6" s="1"/>
  <c r="D19" i="16"/>
  <c r="F117" i="6"/>
  <c r="D20" i="5"/>
  <c r="D35" i="5" s="1"/>
  <c r="D58" i="17"/>
  <c r="D78" i="12"/>
  <c r="F112" i="14" l="1"/>
  <c r="H73" i="6"/>
  <c r="F60" i="17" s="1"/>
  <c r="G100" i="14"/>
  <c r="E21" i="16"/>
  <c r="E63" i="17"/>
  <c r="G85" i="6"/>
  <c r="E22" i="5"/>
  <c r="P25" i="12"/>
  <c r="M63" i="14"/>
  <c r="H82" i="6"/>
  <c r="H83" i="6" s="1"/>
  <c r="G108" i="14"/>
  <c r="N101" i="14"/>
  <c r="O76" i="6" s="1"/>
  <c r="M62" i="17" s="1"/>
  <c r="R17" i="12"/>
  <c r="O101" i="14" s="1"/>
  <c r="P76" i="6" s="1"/>
  <c r="Q18" i="12"/>
  <c r="H98" i="6"/>
  <c r="D79" i="12"/>
  <c r="G71" i="14"/>
  <c r="K10" i="12"/>
  <c r="H59" i="12"/>
  <c r="F12" i="16"/>
  <c r="H45" i="6"/>
  <c r="F13" i="5"/>
  <c r="E15" i="16"/>
  <c r="G58" i="6"/>
  <c r="E16" i="5"/>
  <c r="E30" i="16"/>
  <c r="E31" i="5"/>
  <c r="H111" i="6"/>
  <c r="E71" i="17"/>
  <c r="N9" i="16"/>
  <c r="J9" i="15"/>
  <c r="P40" i="6"/>
  <c r="B10" i="4"/>
  <c r="N9" i="5"/>
  <c r="K45" i="10"/>
  <c r="H41" i="14" s="1"/>
  <c r="K69" i="17"/>
  <c r="K28" i="16"/>
  <c r="K29" i="5"/>
  <c r="M11" i="16"/>
  <c r="M11" i="5"/>
  <c r="O11" i="16"/>
  <c r="K14" i="15"/>
  <c r="K15" i="15"/>
  <c r="C12" i="4"/>
  <c r="O11" i="5"/>
  <c r="D80" i="12" l="1"/>
  <c r="I56" i="12"/>
  <c r="H51" i="14"/>
  <c r="I97" i="6" s="1"/>
  <c r="K13" i="12"/>
  <c r="K9" i="12"/>
  <c r="N62" i="17"/>
  <c r="E16" i="16"/>
  <c r="E55" i="17"/>
  <c r="G68" i="6"/>
  <c r="E17" i="5"/>
  <c r="I41" i="6"/>
  <c r="H42" i="14"/>
  <c r="H44" i="14" s="1"/>
  <c r="G79" i="14"/>
  <c r="H70" i="14"/>
  <c r="G65" i="12"/>
  <c r="G66" i="12" s="1"/>
  <c r="F67" i="17"/>
  <c r="F26" i="16"/>
  <c r="F27" i="5"/>
  <c r="H110" i="6"/>
  <c r="Q25" i="12"/>
  <c r="N63" i="14"/>
  <c r="R18" i="12"/>
  <c r="F23" i="16"/>
  <c r="F24" i="5"/>
  <c r="F64" i="17"/>
  <c r="M67" i="14"/>
  <c r="N104" i="6"/>
  <c r="N108" i="6" s="1"/>
  <c r="N11" i="16"/>
  <c r="J15" i="15"/>
  <c r="J14" i="15"/>
  <c r="B12" i="4"/>
  <c r="N11" i="5"/>
  <c r="G103" i="14"/>
  <c r="G110" i="14" s="1"/>
  <c r="H75" i="6"/>
  <c r="G83" i="14" l="1"/>
  <c r="G93" i="14" s="1"/>
  <c r="G113" i="14" s="1"/>
  <c r="H54" i="6"/>
  <c r="H53" i="14"/>
  <c r="H69" i="14" s="1"/>
  <c r="H71" i="14" s="1"/>
  <c r="I94" i="6"/>
  <c r="I98" i="6" s="1"/>
  <c r="H107" i="14"/>
  <c r="G48" i="17"/>
  <c r="G49" i="17" s="1"/>
  <c r="G12" i="5"/>
  <c r="I42" i="6"/>
  <c r="I44" i="6" s="1"/>
  <c r="L69" i="17"/>
  <c r="L28" i="16"/>
  <c r="L29" i="5"/>
  <c r="E19" i="16"/>
  <c r="G117" i="6"/>
  <c r="E20" i="5"/>
  <c r="E35" i="5" s="1"/>
  <c r="E58" i="17"/>
  <c r="O63" i="14"/>
  <c r="R25" i="12"/>
  <c r="H98" i="14"/>
  <c r="N67" i="14"/>
  <c r="O104" i="6"/>
  <c r="O108" i="6" s="1"/>
  <c r="F29" i="16"/>
  <c r="F30" i="5"/>
  <c r="H112" i="6"/>
  <c r="F70" i="17"/>
  <c r="L44" i="10"/>
  <c r="L45" i="10" s="1"/>
  <c r="I41" i="14" s="1"/>
  <c r="I58" i="12"/>
  <c r="F61" i="17"/>
  <c r="F20" i="16"/>
  <c r="H78" i="6"/>
  <c r="F21" i="5"/>
  <c r="G112" i="14"/>
  <c r="E78" i="12"/>
  <c r="O67" i="14" l="1"/>
  <c r="P104" i="6"/>
  <c r="P108" i="6" s="1"/>
  <c r="F63" i="17"/>
  <c r="F21" i="16"/>
  <c r="H85" i="6"/>
  <c r="F22" i="5"/>
  <c r="I70" i="14"/>
  <c r="H65" i="12"/>
  <c r="H66" i="12" s="1"/>
  <c r="H79" i="14"/>
  <c r="F15" i="16"/>
  <c r="H58" i="6"/>
  <c r="F16" i="5"/>
  <c r="E79" i="12"/>
  <c r="L10" i="12"/>
  <c r="I59" i="12"/>
  <c r="J41" i="6"/>
  <c r="I42" i="14"/>
  <c r="I44" i="14" s="1"/>
  <c r="I107" i="14" s="1"/>
  <c r="G12" i="16"/>
  <c r="I45" i="6"/>
  <c r="G13" i="5"/>
  <c r="F30" i="16"/>
  <c r="I111" i="6"/>
  <c r="F31" i="5"/>
  <c r="F71" i="17"/>
  <c r="I82" i="6"/>
  <c r="I83" i="6" s="1"/>
  <c r="H108" i="14"/>
  <c r="M69" i="17"/>
  <c r="M28" i="16"/>
  <c r="M29" i="5"/>
  <c r="G67" i="17"/>
  <c r="G26" i="16"/>
  <c r="I110" i="6"/>
  <c r="G27" i="5"/>
  <c r="I73" i="6"/>
  <c r="G60" i="17" s="1"/>
  <c r="H100" i="14"/>
  <c r="J56" i="12" l="1"/>
  <c r="I51" i="14"/>
  <c r="J97" i="6" s="1"/>
  <c r="L13" i="12"/>
  <c r="L9" i="12"/>
  <c r="E80" i="12"/>
  <c r="F16" i="16"/>
  <c r="F55" i="17"/>
  <c r="F17" i="5"/>
  <c r="H68" i="6"/>
  <c r="G23" i="16"/>
  <c r="G24" i="5"/>
  <c r="G64" i="17"/>
  <c r="J82" i="6"/>
  <c r="J83" i="6" s="1"/>
  <c r="I108" i="14"/>
  <c r="H83" i="14"/>
  <c r="H93" i="14" s="1"/>
  <c r="H113" i="14" s="1"/>
  <c r="I54" i="6"/>
  <c r="H48" i="17"/>
  <c r="H49" i="17" s="1"/>
  <c r="H12" i="5"/>
  <c r="J42" i="6"/>
  <c r="J44" i="6" s="1"/>
  <c r="G29" i="16"/>
  <c r="G30" i="5"/>
  <c r="I112" i="6"/>
  <c r="G70" i="17"/>
  <c r="H103" i="14"/>
  <c r="H110" i="14" s="1"/>
  <c r="I75" i="6"/>
  <c r="N28" i="16"/>
  <c r="B30" i="4"/>
  <c r="N29" i="5"/>
  <c r="N69" i="17"/>
  <c r="I53" i="14"/>
  <c r="I69" i="14" s="1"/>
  <c r="I71" i="14" s="1"/>
  <c r="J94" i="6"/>
  <c r="J98" i="6" s="1"/>
  <c r="J70" i="14" l="1"/>
  <c r="I65" i="12"/>
  <c r="I66" i="12" s="1"/>
  <c r="I79" i="14"/>
  <c r="H23" i="16"/>
  <c r="H24" i="5"/>
  <c r="H64" i="17"/>
  <c r="F19" i="16"/>
  <c r="H117" i="6"/>
  <c r="F20" i="5"/>
  <c r="F35" i="5" s="1"/>
  <c r="F58" i="17"/>
  <c r="G61" i="17"/>
  <c r="G20" i="16"/>
  <c r="I78" i="6"/>
  <c r="G21" i="5"/>
  <c r="H112" i="14"/>
  <c r="G30" i="16"/>
  <c r="G31" i="5"/>
  <c r="J111" i="6"/>
  <c r="G71" i="17"/>
  <c r="H12" i="16"/>
  <c r="J45" i="6"/>
  <c r="H13" i="5"/>
  <c r="M44" i="10"/>
  <c r="M45" i="10" s="1"/>
  <c r="J41" i="14" s="1"/>
  <c r="J58" i="12"/>
  <c r="H26" i="16"/>
  <c r="H67" i="17"/>
  <c r="J110" i="6"/>
  <c r="H27" i="5"/>
  <c r="F78" i="12"/>
  <c r="I98" i="14"/>
  <c r="G15" i="16"/>
  <c r="I58" i="6"/>
  <c r="G16" i="5"/>
  <c r="G55" i="17" l="1"/>
  <c r="G16" i="16"/>
  <c r="I68" i="6"/>
  <c r="G17" i="5"/>
  <c r="J73" i="6"/>
  <c r="H60" i="17" s="1"/>
  <c r="I100" i="14"/>
  <c r="G63" i="17"/>
  <c r="G21" i="16"/>
  <c r="G22" i="5"/>
  <c r="I85" i="6"/>
  <c r="F79" i="12"/>
  <c r="H29" i="16"/>
  <c r="J112" i="6"/>
  <c r="H30" i="5"/>
  <c r="H70" i="17"/>
  <c r="M10" i="12"/>
  <c r="J59" i="12"/>
  <c r="K41" i="6"/>
  <c r="J42" i="14"/>
  <c r="J44" i="14" s="1"/>
  <c r="I83" i="14"/>
  <c r="I93" i="14" s="1"/>
  <c r="J54" i="6"/>
  <c r="J51" i="14" l="1"/>
  <c r="K97" i="6" s="1"/>
  <c r="M13" i="12"/>
  <c r="M9" i="12"/>
  <c r="H30" i="16"/>
  <c r="H31" i="5"/>
  <c r="K111" i="6"/>
  <c r="H71" i="17"/>
  <c r="F80" i="12"/>
  <c r="I103" i="14"/>
  <c r="I110" i="14" s="1"/>
  <c r="I112" i="14" s="1"/>
  <c r="J75" i="6"/>
  <c r="H15" i="16"/>
  <c r="J58" i="6"/>
  <c r="H16" i="5"/>
  <c r="I113" i="14"/>
  <c r="J53" i="14"/>
  <c r="J69" i="14" s="1"/>
  <c r="J71" i="14" s="1"/>
  <c r="K94" i="6"/>
  <c r="K98" i="6" s="1"/>
  <c r="J107" i="14"/>
  <c r="G19" i="16"/>
  <c r="G20" i="5"/>
  <c r="G35" i="5" s="1"/>
  <c r="I117" i="6"/>
  <c r="G58" i="17"/>
  <c r="I48" i="17"/>
  <c r="I49" i="17" s="1"/>
  <c r="I12" i="5"/>
  <c r="K42" i="6"/>
  <c r="K44" i="6" s="1"/>
  <c r="K56" i="12"/>
  <c r="I26" i="16" l="1"/>
  <c r="I67" i="17"/>
  <c r="K110" i="6"/>
  <c r="I27" i="5"/>
  <c r="G78" i="12"/>
  <c r="I12" i="16"/>
  <c r="K45" i="6"/>
  <c r="I13" i="5"/>
  <c r="J98" i="14"/>
  <c r="K82" i="6"/>
  <c r="K83" i="6" s="1"/>
  <c r="J108" i="14"/>
  <c r="J79" i="14"/>
  <c r="J65" i="12"/>
  <c r="J66" i="12" s="1"/>
  <c r="K70" i="14"/>
  <c r="N44" i="10"/>
  <c r="N45" i="10" s="1"/>
  <c r="K41" i="14" s="1"/>
  <c r="K58" i="12"/>
  <c r="H16" i="16"/>
  <c r="H55" i="17"/>
  <c r="J68" i="6"/>
  <c r="H17" i="5"/>
  <c r="H61" i="17"/>
  <c r="H20" i="16"/>
  <c r="J78" i="6"/>
  <c r="H21" i="5"/>
  <c r="L41" i="6" l="1"/>
  <c r="K42" i="14"/>
  <c r="K44" i="14" s="1"/>
  <c r="J83" i="14"/>
  <c r="J93" i="14" s="1"/>
  <c r="K54" i="6"/>
  <c r="I23" i="16"/>
  <c r="I24" i="5"/>
  <c r="I64" i="17"/>
  <c r="H63" i="17"/>
  <c r="H21" i="16"/>
  <c r="J85" i="6"/>
  <c r="H22" i="5"/>
  <c r="K73" i="6"/>
  <c r="I60" i="17" s="1"/>
  <c r="J100" i="14"/>
  <c r="G79" i="12"/>
  <c r="H19" i="16"/>
  <c r="J117" i="6"/>
  <c r="H20" i="5"/>
  <c r="H58" i="17"/>
  <c r="I29" i="16"/>
  <c r="K112" i="6"/>
  <c r="I30" i="5"/>
  <c r="I70" i="17"/>
  <c r="N10" i="12"/>
  <c r="K59" i="12"/>
  <c r="G80" i="12" l="1"/>
  <c r="J103" i="14"/>
  <c r="J110" i="14" s="1"/>
  <c r="J112" i="14" s="1"/>
  <c r="K75" i="6"/>
  <c r="L56" i="12"/>
  <c r="L94" i="6"/>
  <c r="K107" i="14"/>
  <c r="K51" i="14"/>
  <c r="L97" i="6" s="1"/>
  <c r="N13" i="12"/>
  <c r="N9" i="12"/>
  <c r="I30" i="16"/>
  <c r="L111" i="6"/>
  <c r="I31" i="5"/>
  <c r="I71" i="17"/>
  <c r="I15" i="16"/>
  <c r="I16" i="5"/>
  <c r="K58" i="6"/>
  <c r="H35" i="5"/>
  <c r="J48" i="17"/>
  <c r="J49" i="17" s="1"/>
  <c r="J12" i="5"/>
  <c r="L42" i="6"/>
  <c r="L44" i="6" s="1"/>
  <c r="K98" i="14" l="1"/>
  <c r="L82" i="6"/>
  <c r="L83" i="6" s="1"/>
  <c r="K108" i="14"/>
  <c r="L98" i="6"/>
  <c r="K53" i="14"/>
  <c r="K69" i="14" s="1"/>
  <c r="K71" i="14" s="1"/>
  <c r="O44" i="10"/>
  <c r="O45" i="10" s="1"/>
  <c r="L41" i="14" s="1"/>
  <c r="L58" i="12"/>
  <c r="J12" i="16"/>
  <c r="J13" i="5"/>
  <c r="L45" i="6"/>
  <c r="I61" i="17"/>
  <c r="I20" i="16"/>
  <c r="K78" i="6"/>
  <c r="I21" i="5"/>
  <c r="H78" i="12"/>
  <c r="I55" i="17"/>
  <c r="I16" i="16"/>
  <c r="I17" i="5"/>
  <c r="K68" i="6"/>
  <c r="J113" i="14"/>
  <c r="H79" i="12" l="1"/>
  <c r="I63" i="17"/>
  <c r="I21" i="16"/>
  <c r="K85" i="6"/>
  <c r="I22" i="5"/>
  <c r="K79" i="14"/>
  <c r="L70" i="14"/>
  <c r="K65" i="12"/>
  <c r="K66" i="12" s="1"/>
  <c r="O10" i="12"/>
  <c r="L59" i="12"/>
  <c r="J67" i="17"/>
  <c r="J26" i="16"/>
  <c r="J27" i="5"/>
  <c r="L110" i="6"/>
  <c r="I19" i="16"/>
  <c r="K117" i="6"/>
  <c r="I20" i="5"/>
  <c r="I58" i="17"/>
  <c r="M41" i="6"/>
  <c r="L42" i="14"/>
  <c r="L44" i="14" s="1"/>
  <c r="J23" i="16"/>
  <c r="J24" i="5"/>
  <c r="J64" i="17"/>
  <c r="L73" i="6"/>
  <c r="J60" i="17" s="1"/>
  <c r="K100" i="14"/>
  <c r="J29" i="16" l="1"/>
  <c r="L112" i="6"/>
  <c r="J30" i="5"/>
  <c r="J70" i="17"/>
  <c r="M56" i="12"/>
  <c r="L51" i="14"/>
  <c r="M97" i="6" s="1"/>
  <c r="O13" i="12"/>
  <c r="O9" i="12"/>
  <c r="K103" i="14"/>
  <c r="K110" i="14" s="1"/>
  <c r="L75" i="6"/>
  <c r="K83" i="14"/>
  <c r="K93" i="14" s="1"/>
  <c r="K113" i="14" s="1"/>
  <c r="L54" i="6"/>
  <c r="L53" i="14"/>
  <c r="L69" i="14" s="1"/>
  <c r="L71" i="14" s="1"/>
  <c r="M94" i="6"/>
  <c r="M98" i="6" s="1"/>
  <c r="L107" i="14"/>
  <c r="K48" i="17"/>
  <c r="K49" i="17" s="1"/>
  <c r="K12" i="5"/>
  <c r="M42" i="6"/>
  <c r="M44" i="6" s="1"/>
  <c r="H80" i="12"/>
  <c r="I35" i="5"/>
  <c r="M70" i="14" l="1"/>
  <c r="L79" i="14"/>
  <c r="L65" i="12"/>
  <c r="L66" i="12" s="1"/>
  <c r="J15" i="16"/>
  <c r="J16" i="5"/>
  <c r="L58" i="6"/>
  <c r="J61" i="17"/>
  <c r="J20" i="16"/>
  <c r="J21" i="5"/>
  <c r="L78" i="6"/>
  <c r="M82" i="6"/>
  <c r="M83" i="6" s="1"/>
  <c r="L108" i="14"/>
  <c r="K26" i="16"/>
  <c r="K67" i="17"/>
  <c r="M110" i="6"/>
  <c r="K27" i="5"/>
  <c r="K112" i="14"/>
  <c r="L98" i="14"/>
  <c r="P44" i="10"/>
  <c r="P45" i="10" s="1"/>
  <c r="M41" i="14" s="1"/>
  <c r="M58" i="12"/>
  <c r="I78" i="12"/>
  <c r="J30" i="16"/>
  <c r="M111" i="6"/>
  <c r="J31" i="5"/>
  <c r="J71" i="17"/>
  <c r="K12" i="16"/>
  <c r="K13" i="5"/>
  <c r="M45" i="6"/>
  <c r="K29" i="16" l="1"/>
  <c r="K30" i="5"/>
  <c r="M112" i="6"/>
  <c r="K70" i="17"/>
  <c r="K23" i="16"/>
  <c r="K24" i="5"/>
  <c r="K64" i="17"/>
  <c r="J63" i="17"/>
  <c r="J21" i="16"/>
  <c r="L85" i="6"/>
  <c r="J22" i="5"/>
  <c r="I79" i="12"/>
  <c r="I80" i="12" s="1"/>
  <c r="J55" i="17"/>
  <c r="J16" i="16"/>
  <c r="J17" i="5"/>
  <c r="L68" i="6"/>
  <c r="P10" i="12"/>
  <c r="M59" i="12"/>
  <c r="N41" i="6"/>
  <c r="M42" i="14"/>
  <c r="M44" i="14" s="1"/>
  <c r="L83" i="14"/>
  <c r="L93" i="14" s="1"/>
  <c r="M54" i="6"/>
  <c r="M73" i="6"/>
  <c r="K60" i="17" s="1"/>
  <c r="L100" i="14"/>
  <c r="J19" i="16" l="1"/>
  <c r="L117" i="6"/>
  <c r="J20" i="5"/>
  <c r="J35" i="5" s="1"/>
  <c r="J58" i="17"/>
  <c r="J78" i="12"/>
  <c r="K15" i="16"/>
  <c r="K16" i="5"/>
  <c r="M58" i="6"/>
  <c r="M51" i="14"/>
  <c r="N97" i="6" s="1"/>
  <c r="P13" i="12"/>
  <c r="P9" i="12"/>
  <c r="L103" i="14"/>
  <c r="L110" i="14" s="1"/>
  <c r="L112" i="14" s="1"/>
  <c r="M75" i="6"/>
  <c r="L113" i="14"/>
  <c r="M53" i="14"/>
  <c r="M69" i="14" s="1"/>
  <c r="M71" i="14" s="1"/>
  <c r="N94" i="6"/>
  <c r="N98" i="6" s="1"/>
  <c r="M107" i="14"/>
  <c r="K30" i="16"/>
  <c r="N111" i="6"/>
  <c r="K31" i="5"/>
  <c r="K71" i="17"/>
  <c r="L48" i="17"/>
  <c r="L49" i="17" s="1"/>
  <c r="L12" i="5"/>
  <c r="N42" i="6"/>
  <c r="N44" i="6" s="1"/>
  <c r="N56" i="12"/>
  <c r="N82" i="6" l="1"/>
  <c r="N83" i="6" s="1"/>
  <c r="M108" i="14"/>
  <c r="M79" i="14"/>
  <c r="N70" i="14"/>
  <c r="M65" i="12"/>
  <c r="M66" i="12" s="1"/>
  <c r="M98" i="14"/>
  <c r="L12" i="16"/>
  <c r="N45" i="6"/>
  <c r="L13" i="5"/>
  <c r="Q44" i="10"/>
  <c r="N58" i="12"/>
  <c r="O56" i="12"/>
  <c r="J79" i="12"/>
  <c r="J80" i="12" s="1"/>
  <c r="L67" i="17"/>
  <c r="L26" i="16"/>
  <c r="L27" i="5"/>
  <c r="N110" i="6"/>
  <c r="K20" i="16"/>
  <c r="K61" i="17"/>
  <c r="M78" i="6"/>
  <c r="K21" i="5"/>
  <c r="K55" i="17"/>
  <c r="K16" i="16"/>
  <c r="M68" i="6"/>
  <c r="K17" i="5"/>
  <c r="K78" i="12" l="1"/>
  <c r="Q10" i="12"/>
  <c r="O58" i="12"/>
  <c r="N59" i="12"/>
  <c r="O59" i="12" s="1"/>
  <c r="Q45" i="10"/>
  <c r="N41" i="14" s="1"/>
  <c r="R44" i="10"/>
  <c r="R45" i="10" s="1"/>
  <c r="K19" i="16"/>
  <c r="K20" i="5"/>
  <c r="K58" i="17"/>
  <c r="N73" i="6"/>
  <c r="L60" i="17" s="1"/>
  <c r="M100" i="14"/>
  <c r="K63" i="17"/>
  <c r="K21" i="16"/>
  <c r="K22" i="5"/>
  <c r="M85" i="6"/>
  <c r="M117" i="6" s="1"/>
  <c r="L29" i="16"/>
  <c r="L30" i="5"/>
  <c r="N112" i="6"/>
  <c r="L70" i="17"/>
  <c r="M83" i="14"/>
  <c r="M93" i="14" s="1"/>
  <c r="N54" i="6"/>
  <c r="L23" i="16"/>
  <c r="L24" i="5"/>
  <c r="L64" i="17"/>
  <c r="K35" i="5" l="1"/>
  <c r="N51" i="14"/>
  <c r="O97" i="6" s="1"/>
  <c r="P97" i="6" s="1"/>
  <c r="Q13" i="12"/>
  <c r="R10" i="12"/>
  <c r="O51" i="14" s="1"/>
  <c r="Q9" i="12"/>
  <c r="M103" i="14"/>
  <c r="M110" i="14" s="1"/>
  <c r="M112" i="14" s="1"/>
  <c r="N75" i="6"/>
  <c r="O41" i="6"/>
  <c r="N42" i="14"/>
  <c r="N44" i="14" s="1"/>
  <c r="O41" i="14"/>
  <c r="L15" i="16"/>
  <c r="N58" i="6"/>
  <c r="L16" i="5"/>
  <c r="P56" i="12"/>
  <c r="L30" i="16"/>
  <c r="O111" i="6"/>
  <c r="L31" i="5"/>
  <c r="L71" i="17"/>
  <c r="K79" i="12"/>
  <c r="K80" i="12" s="1"/>
  <c r="L78" i="12"/>
  <c r="S44" i="10" l="1"/>
  <c r="P58" i="12"/>
  <c r="L55" i="17"/>
  <c r="L16" i="16"/>
  <c r="N68" i="6"/>
  <c r="L17" i="5"/>
  <c r="P41" i="6"/>
  <c r="O42" i="14"/>
  <c r="N53" i="14"/>
  <c r="N69" i="14" s="1"/>
  <c r="O94" i="6"/>
  <c r="N107" i="14"/>
  <c r="M48" i="17"/>
  <c r="M49" i="17" s="1"/>
  <c r="M12" i="5"/>
  <c r="O42" i="6"/>
  <c r="O44" i="6" s="1"/>
  <c r="L61" i="17"/>
  <c r="L20" i="16"/>
  <c r="N78" i="6"/>
  <c r="L21" i="5"/>
  <c r="N98" i="14"/>
  <c r="R9" i="12"/>
  <c r="L79" i="12"/>
  <c r="L80" i="12" s="1"/>
  <c r="M113" i="14"/>
  <c r="M78" i="12" l="1"/>
  <c r="L63" i="17"/>
  <c r="L21" i="16"/>
  <c r="L22" i="5"/>
  <c r="N85" i="6"/>
  <c r="N117" i="6" s="1"/>
  <c r="M12" i="16"/>
  <c r="O45" i="6"/>
  <c r="M13" i="5"/>
  <c r="O107" i="14"/>
  <c r="O82" i="6"/>
  <c r="O83" i="6" s="1"/>
  <c r="N108" i="14"/>
  <c r="N71" i="14"/>
  <c r="O69" i="14"/>
  <c r="O71" i="14" s="1"/>
  <c r="O43" i="14"/>
  <c r="P43" i="6" s="1"/>
  <c r="N12" i="5"/>
  <c r="N48" i="17"/>
  <c r="N49" i="17" s="1"/>
  <c r="C13" i="15"/>
  <c r="P42" i="6"/>
  <c r="L58" i="17"/>
  <c r="L19" i="16"/>
  <c r="L20" i="5"/>
  <c r="O98" i="14"/>
  <c r="S10" i="12"/>
  <c r="P59" i="12"/>
  <c r="O98" i="6"/>
  <c r="P94" i="6"/>
  <c r="P98" i="6" s="1"/>
  <c r="O73" i="6"/>
  <c r="M60" i="17" s="1"/>
  <c r="N100" i="14"/>
  <c r="O44" i="14" l="1"/>
  <c r="O53" i="14" s="1"/>
  <c r="P70" i="14"/>
  <c r="O79" i="14"/>
  <c r="O65" i="12"/>
  <c r="O66" i="12" s="1"/>
  <c r="M23" i="16"/>
  <c r="M24" i="5"/>
  <c r="M64" i="17"/>
  <c r="Q56" i="12"/>
  <c r="P82" i="6"/>
  <c r="P83" i="6" s="1"/>
  <c r="O108" i="14"/>
  <c r="P51" i="14"/>
  <c r="Q97" i="6" s="1"/>
  <c r="S13" i="12"/>
  <c r="P73" i="6"/>
  <c r="N60" i="17" s="1"/>
  <c r="O100" i="14"/>
  <c r="S9" i="12"/>
  <c r="L35" i="5"/>
  <c r="N103" i="14"/>
  <c r="N110" i="14" s="1"/>
  <c r="O75" i="6"/>
  <c r="N79" i="14"/>
  <c r="N65" i="12"/>
  <c r="N66" i="12" s="1"/>
  <c r="N26" i="16"/>
  <c r="B28" i="4"/>
  <c r="P110" i="6"/>
  <c r="N27" i="5"/>
  <c r="N67" i="17"/>
  <c r="M26" i="16"/>
  <c r="M67" i="17"/>
  <c r="O110" i="6"/>
  <c r="M27" i="5"/>
  <c r="M79" i="12"/>
  <c r="M80" i="12" s="1"/>
  <c r="J16" i="15"/>
  <c r="P44" i="6"/>
  <c r="N12" i="16" l="1"/>
  <c r="C15" i="15"/>
  <c r="P45" i="6"/>
  <c r="B14" i="4"/>
  <c r="N13" i="5"/>
  <c r="P98" i="14"/>
  <c r="O103" i="14"/>
  <c r="O110" i="14" s="1"/>
  <c r="P75" i="6"/>
  <c r="N78" i="12"/>
  <c r="M29" i="16"/>
  <c r="M30" i="5"/>
  <c r="O112" i="6"/>
  <c r="M70" i="17"/>
  <c r="N23" i="16"/>
  <c r="B25" i="4"/>
  <c r="N24" i="5"/>
  <c r="N64" i="17"/>
  <c r="T44" i="10"/>
  <c r="Q58" i="12"/>
  <c r="O83" i="14"/>
  <c r="P54" i="6"/>
  <c r="N29" i="16"/>
  <c r="B31" i="4"/>
  <c r="P112" i="6"/>
  <c r="N30" i="5"/>
  <c r="N70" i="17"/>
  <c r="N83" i="14"/>
  <c r="N93" i="14" s="1"/>
  <c r="N113" i="14" s="1"/>
  <c r="O54" i="6"/>
  <c r="M61" i="17"/>
  <c r="M20" i="16"/>
  <c r="O78" i="6"/>
  <c r="M21" i="5"/>
  <c r="M63" i="17" l="1"/>
  <c r="M21" i="16"/>
  <c r="M22" i="5"/>
  <c r="O85" i="6"/>
  <c r="M30" i="16"/>
  <c r="M31" i="5"/>
  <c r="M71" i="17"/>
  <c r="M15" i="16"/>
  <c r="O58" i="6"/>
  <c r="M16" i="5"/>
  <c r="N30" i="16"/>
  <c r="Q111" i="6"/>
  <c r="N31" i="5"/>
  <c r="B32" i="4"/>
  <c r="B33" i="4"/>
  <c r="N71" i="17"/>
  <c r="O112" i="14"/>
  <c r="Q73" i="6"/>
  <c r="P100" i="14"/>
  <c r="N79" i="12"/>
  <c r="N80" i="12" s="1"/>
  <c r="O78" i="12"/>
  <c r="N20" i="16"/>
  <c r="P78" i="6"/>
  <c r="B22" i="4"/>
  <c r="N21" i="5"/>
  <c r="N61" i="17"/>
  <c r="N15" i="16"/>
  <c r="P58" i="6"/>
  <c r="B17" i="4"/>
  <c r="N16" i="5"/>
  <c r="C9" i="15"/>
  <c r="O93" i="14"/>
  <c r="O113" i="14" s="1"/>
  <c r="T10" i="12"/>
  <c r="Q59" i="12"/>
  <c r="N112" i="14"/>
  <c r="Q51" i="14" l="1"/>
  <c r="R97" i="6" s="1"/>
  <c r="T13" i="12"/>
  <c r="T9" i="12"/>
  <c r="Q98" i="14" s="1"/>
  <c r="M55" i="17"/>
  <c r="M16" i="16"/>
  <c r="O68" i="6"/>
  <c r="M17" i="5"/>
  <c r="O79" i="12"/>
  <c r="P79" i="12" s="1"/>
  <c r="P78" i="12"/>
  <c r="S42" i="10" s="1"/>
  <c r="S45" i="10" s="1"/>
  <c r="P41" i="14" s="1"/>
  <c r="O80" i="12"/>
  <c r="N16" i="16"/>
  <c r="C8" i="15"/>
  <c r="P68" i="6"/>
  <c r="J31" i="15" s="1"/>
  <c r="B18" i="4"/>
  <c r="N17" i="5"/>
  <c r="N55" i="17"/>
  <c r="N63" i="17"/>
  <c r="N21" i="16"/>
  <c r="C14" i="15"/>
  <c r="N22" i="5"/>
  <c r="P85" i="6"/>
  <c r="B23" i="4"/>
  <c r="Q75" i="6"/>
  <c r="N19" i="16" l="1"/>
  <c r="N20" i="5"/>
  <c r="N35" i="5" s="1"/>
  <c r="P117" i="6"/>
  <c r="B21" i="4"/>
  <c r="B37" i="4" s="1"/>
  <c r="N58" i="17"/>
  <c r="J28" i="15"/>
  <c r="J26" i="15"/>
  <c r="J24" i="15"/>
  <c r="J25" i="15"/>
  <c r="J22" i="15"/>
  <c r="J27" i="15"/>
  <c r="J21" i="15"/>
  <c r="J20" i="15"/>
  <c r="J30" i="15"/>
  <c r="C16" i="15"/>
  <c r="J32" i="15"/>
  <c r="J19" i="15"/>
  <c r="J29" i="15"/>
  <c r="J23" i="15"/>
  <c r="S17" i="12"/>
  <c r="P80" i="12"/>
  <c r="O20" i="16"/>
  <c r="C22" i="4"/>
  <c r="O21" i="5"/>
  <c r="Q41" i="6"/>
  <c r="P42" i="14"/>
  <c r="D82" i="12"/>
  <c r="M19" i="16"/>
  <c r="O117" i="6"/>
  <c r="M20" i="5"/>
  <c r="M35" i="5" s="1"/>
  <c r="M58" i="17"/>
  <c r="C17" i="15"/>
  <c r="R73" i="6"/>
  <c r="Q100" i="14"/>
  <c r="P43" i="14" l="1"/>
  <c r="Q43" i="6" s="1"/>
  <c r="D83" i="12"/>
  <c r="O12" i="5"/>
  <c r="D13" i="15"/>
  <c r="Q42" i="6"/>
  <c r="P101" i="14"/>
  <c r="S18" i="12"/>
  <c r="R75" i="6"/>
  <c r="Q76" i="6" l="1"/>
  <c r="P103" i="14"/>
  <c r="P20" i="16"/>
  <c r="D22" i="4"/>
  <c r="P21" i="5"/>
  <c r="S25" i="12"/>
  <c r="P63" i="14"/>
  <c r="K16" i="15"/>
  <c r="Q44" i="6"/>
  <c r="D84" i="12"/>
  <c r="P44" i="14"/>
  <c r="P53" i="14" l="1"/>
  <c r="Q94" i="6"/>
  <c r="Q98" i="6" s="1"/>
  <c r="P107" i="14"/>
  <c r="E82" i="12"/>
  <c r="D19" i="15"/>
  <c r="O12" i="16"/>
  <c r="Q45" i="6"/>
  <c r="O13" i="5"/>
  <c r="C14" i="4"/>
  <c r="P67" i="14"/>
  <c r="Q104" i="6"/>
  <c r="Q108" i="6" s="1"/>
  <c r="Q78" i="6"/>
  <c r="O21" i="16" l="1"/>
  <c r="O22" i="5"/>
  <c r="C23" i="4"/>
  <c r="O28" i="16"/>
  <c r="C30" i="4"/>
  <c r="O29" i="5"/>
  <c r="E83" i="12"/>
  <c r="Q82" i="6"/>
  <c r="Q83" i="6" s="1"/>
  <c r="P108" i="14"/>
  <c r="P110" i="14" s="1"/>
  <c r="O26" i="16"/>
  <c r="C28" i="4"/>
  <c r="Q110" i="6"/>
  <c r="O27" i="5"/>
  <c r="P69" i="14"/>
  <c r="P71" i="14" s="1"/>
  <c r="O29" i="16" l="1"/>
  <c r="Q112" i="6"/>
  <c r="O30" i="5"/>
  <c r="C31" i="4"/>
  <c r="O23" i="16"/>
  <c r="C25" i="4"/>
  <c r="O24" i="5"/>
  <c r="D15" i="15"/>
  <c r="E84" i="12"/>
  <c r="P79" i="14"/>
  <c r="Q70" i="14"/>
  <c r="P65" i="12"/>
  <c r="P66" i="12" s="1"/>
  <c r="Q85" i="6"/>
  <c r="D14" i="15"/>
  <c r="P83" i="14" l="1"/>
  <c r="Q54" i="6"/>
  <c r="F82" i="12"/>
  <c r="O30" i="16"/>
  <c r="R111" i="6"/>
  <c r="C33" i="4"/>
  <c r="O31" i="5"/>
  <c r="C32" i="4"/>
  <c r="F83" i="12" l="1"/>
  <c r="O15" i="16"/>
  <c r="Q58" i="6"/>
  <c r="O16" i="5"/>
  <c r="C17" i="4"/>
  <c r="P93" i="14"/>
  <c r="D9" i="15"/>
  <c r="P113" i="14" l="1"/>
  <c r="P112" i="14"/>
  <c r="D8" i="15"/>
  <c r="O16" i="16"/>
  <c r="C18" i="4"/>
  <c r="Q68" i="6"/>
  <c r="K23" i="15" s="1"/>
  <c r="O17" i="5"/>
  <c r="F84" i="12"/>
  <c r="G82" i="12" l="1"/>
  <c r="O19" i="16"/>
  <c r="Q117" i="6"/>
  <c r="O20" i="5"/>
  <c r="C21" i="4"/>
  <c r="C37" i="4" s="1"/>
  <c r="K28" i="15"/>
  <c r="K26" i="15"/>
  <c r="K24" i="15"/>
  <c r="K25" i="15"/>
  <c r="K20" i="15"/>
  <c r="K22" i="15"/>
  <c r="K21" i="15"/>
  <c r="K27" i="15"/>
  <c r="K29" i="15"/>
  <c r="D17" i="15"/>
  <c r="D16" i="15"/>
  <c r="K30" i="15"/>
  <c r="K31" i="15"/>
  <c r="K32" i="15"/>
  <c r="K19" i="15"/>
  <c r="G83" i="12" l="1"/>
  <c r="G84" i="12" l="1"/>
  <c r="H82" i="12" l="1"/>
  <c r="H83" i="12" l="1"/>
  <c r="H84" i="12" l="1"/>
  <c r="I82" i="12" l="1"/>
  <c r="I83" i="12" l="1"/>
  <c r="I84" i="12" s="1"/>
  <c r="J82" i="12"/>
  <c r="J83" i="12" l="1"/>
  <c r="J84" i="12"/>
  <c r="K82" i="12" l="1"/>
  <c r="K83" i="12" l="1"/>
  <c r="K84" i="12" s="1"/>
  <c r="L82" i="12"/>
  <c r="L83" i="12" l="1"/>
  <c r="L84" i="12"/>
  <c r="M82" i="12" l="1"/>
  <c r="M83" i="12" l="1"/>
  <c r="M84" i="12" s="1"/>
  <c r="N82" i="12" s="1"/>
  <c r="N83" i="12" l="1"/>
  <c r="N84" i="12"/>
  <c r="O82" i="12" l="1"/>
  <c r="O83" i="12" l="1"/>
  <c r="P82" i="12"/>
  <c r="T42" i="10" s="1"/>
  <c r="T45" i="10" s="1"/>
  <c r="Q41" i="14" s="1"/>
  <c r="R41" i="6" l="1"/>
  <c r="Q42" i="14"/>
  <c r="P83" i="12"/>
  <c r="O84" i="12"/>
  <c r="P84" i="12" l="1"/>
  <c r="T17" i="12"/>
  <c r="Q43" i="14"/>
  <c r="R43" i="6" s="1"/>
  <c r="P12" i="5"/>
  <c r="E13" i="15"/>
  <c r="R42" i="6"/>
  <c r="L16" i="15" l="1"/>
  <c r="R44" i="6"/>
  <c r="Q44" i="14"/>
  <c r="Q101" i="14"/>
  <c r="T18" i="12"/>
  <c r="Q63" i="14" l="1"/>
  <c r="T25" i="12"/>
  <c r="R76" i="6"/>
  <c r="Q103" i="14"/>
  <c r="Q53" i="14"/>
  <c r="R94" i="6"/>
  <c r="R98" i="6" s="1"/>
  <c r="Q107" i="14"/>
  <c r="E19" i="15"/>
  <c r="P12" i="16"/>
  <c r="R45" i="6"/>
  <c r="P13" i="5"/>
  <c r="D14" i="4"/>
  <c r="R82" i="6" l="1"/>
  <c r="R83" i="6" s="1"/>
  <c r="Q108" i="14"/>
  <c r="P26" i="16"/>
  <c r="D28" i="4"/>
  <c r="P27" i="5"/>
  <c r="Q110" i="14"/>
  <c r="R78" i="6"/>
  <c r="Q67" i="14"/>
  <c r="Q69" i="14" s="1"/>
  <c r="Q71" i="14" s="1"/>
  <c r="R104" i="6"/>
  <c r="R108" i="6" s="1"/>
  <c r="Q79" i="14" l="1"/>
  <c r="Q65" i="12"/>
  <c r="Q66" i="12" s="1"/>
  <c r="P28" i="16"/>
  <c r="P29" i="5"/>
  <c r="D30" i="4"/>
  <c r="P21" i="16"/>
  <c r="E14" i="15"/>
  <c r="R85" i="6"/>
  <c r="D23" i="4"/>
  <c r="P22" i="5"/>
  <c r="R110" i="6"/>
  <c r="P23" i="16"/>
  <c r="P24" i="5"/>
  <c r="D25" i="4"/>
  <c r="E15" i="15"/>
  <c r="P29" i="16" l="1"/>
  <c r="R112" i="6"/>
  <c r="P30" i="5"/>
  <c r="D31" i="4"/>
  <c r="Q83" i="14"/>
  <c r="R54" i="6"/>
  <c r="P15" i="16" l="1"/>
  <c r="R58" i="6"/>
  <c r="P16" i="5"/>
  <c r="D17" i="4"/>
  <c r="E9" i="15"/>
  <c r="Q93" i="14"/>
  <c r="P30" i="16"/>
  <c r="P31" i="5"/>
  <c r="D32" i="4"/>
  <c r="D33" i="4"/>
  <c r="Q113" i="14" l="1"/>
  <c r="Q112" i="14"/>
  <c r="P16" i="16"/>
  <c r="E8" i="15"/>
  <c r="P17" i="5"/>
  <c r="R68" i="6"/>
  <c r="D18" i="4"/>
  <c r="P19" i="16" l="1"/>
  <c r="P20" i="5"/>
  <c r="D21" i="4"/>
  <c r="D37" i="4" s="1"/>
  <c r="R117" i="6"/>
  <c r="L28" i="15"/>
  <c r="L26" i="15"/>
  <c r="L21" i="15"/>
  <c r="L20" i="15"/>
  <c r="L24" i="15"/>
  <c r="L25" i="15"/>
  <c r="L22" i="15"/>
  <c r="L27" i="15"/>
  <c r="L29" i="15"/>
  <c r="E17" i="15"/>
  <c r="E16" i="15"/>
  <c r="L30" i="15"/>
  <c r="L31" i="15"/>
  <c r="L32" i="15"/>
  <c r="L19" i="15"/>
  <c r="L23" i="1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Darrell Day</author>
  </authors>
  <commentList>
    <comment ref="S5" authorId="0" shapeId="0" xr:uid="{00000000-0006-0000-0900-000001000000}">
      <text>
        <r>
          <rPr>
            <sz val="11"/>
            <color theme="1"/>
            <rFont val="SF Pro Text"/>
            <scheme val="minor"/>
          </rPr>
          <t>Jim Herrin:
enter estimated growth for Year</t>
        </r>
      </text>
    </comment>
    <comment ref="T5" authorId="0" shapeId="0" xr:uid="{00000000-0006-0000-0900-000002000000}">
      <text>
        <r>
          <rPr>
            <sz val="11"/>
            <color theme="1"/>
            <rFont val="SF Pro Text"/>
            <scheme val="minor"/>
          </rPr>
          <t>Jim Herrin:
enter estimated growth for Year</t>
        </r>
      </text>
    </comment>
  </commentList>
</comments>
</file>

<file path=xl/sharedStrings.xml><?xml version="1.0" encoding="utf-8"?>
<sst xmlns="http://schemas.openxmlformats.org/spreadsheetml/2006/main" count="884" uniqueCount="460">
  <si>
    <t>Financial Projection Model</t>
  </si>
  <si>
    <t>Company Information Sheet</t>
  </si>
  <si>
    <t>Company name</t>
  </si>
  <si>
    <t>Draper Yoga</t>
  </si>
  <si>
    <t xml:space="preserve">Forcasting start date (MM/DD/YYYY) </t>
  </si>
  <si>
    <t xml:space="preserve"> </t>
  </si>
  <si>
    <t>Historical Financial Statements</t>
  </si>
  <si>
    <t>Balance Sheets</t>
  </si>
  <si>
    <t>Income Statement</t>
  </si>
  <si>
    <t>Cash Flow Statement</t>
  </si>
  <si>
    <t>2021ytd</t>
  </si>
  <si>
    <t>Assets</t>
  </si>
  <si>
    <t>Sales/Revenues</t>
  </si>
  <si>
    <t>Operating cash flow</t>
  </si>
  <si>
    <t>Current assets</t>
  </si>
  <si>
    <t>Sales</t>
  </si>
  <si>
    <t>Net income</t>
  </si>
  <si>
    <t>Cash</t>
  </si>
  <si>
    <t>Other revenues</t>
  </si>
  <si>
    <t>Add depreciation</t>
  </si>
  <si>
    <t>Accounts receivable</t>
  </si>
  <si>
    <t>Total revenue</t>
  </si>
  <si>
    <t>Change in current assets</t>
  </si>
  <si>
    <t>Inventory</t>
  </si>
  <si>
    <t>Cost of revenues</t>
  </si>
  <si>
    <t>Change in current liabilities</t>
  </si>
  <si>
    <t>Other current</t>
  </si>
  <si>
    <t>Direct Labor</t>
  </si>
  <si>
    <t>Net operating cash flow</t>
  </si>
  <si>
    <t>Total current assets</t>
  </si>
  <si>
    <t>Direct Materials</t>
  </si>
  <si>
    <t>Investing cash flow</t>
  </si>
  <si>
    <t>Fixed assets</t>
  </si>
  <si>
    <t>Other Direct Costs</t>
  </si>
  <si>
    <t>Change in fixed assets</t>
  </si>
  <si>
    <t>Furniture/Fixtures</t>
  </si>
  <si>
    <t>Total cost of revenues</t>
  </si>
  <si>
    <t>Change in other assets</t>
  </si>
  <si>
    <t>Equipment</t>
  </si>
  <si>
    <t>Gross profit</t>
  </si>
  <si>
    <t>Net investing cash flow</t>
  </si>
  <si>
    <t>Vehicles</t>
  </si>
  <si>
    <t>Operating expenses</t>
  </si>
  <si>
    <t>Financing cash flow</t>
  </si>
  <si>
    <t>Leasehold Improvements</t>
  </si>
  <si>
    <t>Payroll: Salaries &amp; wages</t>
  </si>
  <si>
    <t>Change in long-term loans</t>
  </si>
  <si>
    <t>Other fixed assets</t>
  </si>
  <si>
    <t>Payroll: taxes &amp; benefits</t>
  </si>
  <si>
    <t>Change in other LT debt</t>
  </si>
  <si>
    <t>Accumulated depr</t>
  </si>
  <si>
    <t>Advertising and Marketing</t>
  </si>
  <si>
    <t>Change in equity funding</t>
  </si>
  <si>
    <t>Net fixed assets</t>
  </si>
  <si>
    <t>Communications (IT, phone, postal)</t>
  </si>
  <si>
    <t>Change in Owner distributions</t>
  </si>
  <si>
    <t>Other assets</t>
  </si>
  <si>
    <t>Credit card processing</t>
  </si>
  <si>
    <t>Net financing cash flow</t>
  </si>
  <si>
    <t>Total assets</t>
  </si>
  <si>
    <t>Depr/amort</t>
  </si>
  <si>
    <t>Net cash flow</t>
  </si>
  <si>
    <t>External Services</t>
  </si>
  <si>
    <t xml:space="preserve">Beginning cash </t>
  </si>
  <si>
    <t>Liabilities</t>
  </si>
  <si>
    <t>Facility Lease</t>
  </si>
  <si>
    <t>Ending cash</t>
  </si>
  <si>
    <t>Current liabilities</t>
  </si>
  <si>
    <t>Insurance (non-benefit)</t>
  </si>
  <si>
    <t>Accounts payable</t>
  </si>
  <si>
    <t>Licenses/fees/taxes</t>
  </si>
  <si>
    <t>Line of credit</t>
  </si>
  <si>
    <t>Office expenses</t>
  </si>
  <si>
    <t>Credit cards</t>
  </si>
  <si>
    <t>Professional Services (legal, CPA)</t>
  </si>
  <si>
    <t xml:space="preserve">Other current </t>
  </si>
  <si>
    <t>Supplies</t>
  </si>
  <si>
    <t>Total current liabilities</t>
  </si>
  <si>
    <t>Training</t>
  </si>
  <si>
    <t>Long-term loans</t>
  </si>
  <si>
    <t xml:space="preserve">Travel &amp; Meals </t>
  </si>
  <si>
    <t>Other long-term debt</t>
  </si>
  <si>
    <t>Utilities</t>
  </si>
  <si>
    <t>Total Liabilities</t>
  </si>
  <si>
    <t>Vehicle (gas, repairs, maintenance)</t>
  </si>
  <si>
    <t>Other</t>
  </si>
  <si>
    <t>Owners equity</t>
  </si>
  <si>
    <t>Total operating expenses</t>
  </si>
  <si>
    <t>Capital, etc</t>
  </si>
  <si>
    <t>Operating income</t>
  </si>
  <si>
    <t>Owners distributions</t>
  </si>
  <si>
    <t>Other income (expense)</t>
  </si>
  <si>
    <t>Retained earnings</t>
  </si>
  <si>
    <t>Operating Income</t>
  </si>
  <si>
    <t>Total owners equity</t>
  </si>
  <si>
    <t>Total liabilities &amp; equity</t>
  </si>
  <si>
    <t>Balance Sheet</t>
  </si>
  <si>
    <t xml:space="preserve">As of </t>
  </si>
  <si>
    <t>Years Ending</t>
  </si>
  <si>
    <t>est 12/31/2020</t>
  </si>
  <si>
    <t>Revenues</t>
  </si>
  <si>
    <t>Professional Services</t>
  </si>
  <si>
    <t>Office Supplies</t>
  </si>
  <si>
    <t>Maintenance/repairs</t>
  </si>
  <si>
    <t>Long-term debt</t>
  </si>
  <si>
    <t>Tools</t>
  </si>
  <si>
    <t>Travel, meals, entertainment</t>
  </si>
  <si>
    <t>Net Income</t>
  </si>
  <si>
    <t xml:space="preserve"> Summary Projected Financial Statements</t>
  </si>
  <si>
    <t>COGS</t>
  </si>
  <si>
    <t>Gross Profit</t>
  </si>
  <si>
    <t>Operating Expenses</t>
  </si>
  <si>
    <t>Operating Profit</t>
  </si>
  <si>
    <t>Net Profit</t>
  </si>
  <si>
    <t>Total Current Assets</t>
  </si>
  <si>
    <t>Net Fixed Assets</t>
  </si>
  <si>
    <t>Net Other Assets</t>
  </si>
  <si>
    <t>Total Assets</t>
  </si>
  <si>
    <t>Total Current Liabilities</t>
  </si>
  <si>
    <t>Total Owner's Equity</t>
  </si>
  <si>
    <t>Cash from Operations</t>
  </si>
  <si>
    <t>Cash from Investing</t>
  </si>
  <si>
    <t>Cash from Financing</t>
  </si>
  <si>
    <t>Net Cash Flow</t>
  </si>
  <si>
    <t>Ending Cash Balance</t>
  </si>
  <si>
    <t>Summary Projected Financial Statements</t>
  </si>
  <si>
    <t>12 Months Ending</t>
  </si>
  <si>
    <t>Other income (expenses)</t>
  </si>
  <si>
    <t>Other Assets</t>
  </si>
  <si>
    <t>Total  Equity</t>
  </si>
  <si>
    <t>Projected Financial Statements</t>
  </si>
  <si>
    <t>Pre-opening</t>
  </si>
  <si>
    <t xml:space="preserve">Total revenue </t>
  </si>
  <si>
    <t>Cost of Revenues</t>
  </si>
  <si>
    <t>Operating profit</t>
  </si>
  <si>
    <t>Earnings before taxes</t>
  </si>
  <si>
    <t>Net profit</t>
  </si>
  <si>
    <t>Profit margin</t>
  </si>
  <si>
    <t>Last Day of</t>
  </si>
  <si>
    <t>Fixed Assets</t>
  </si>
  <si>
    <t>Cash from operations</t>
  </si>
  <si>
    <t>add depreciation</t>
  </si>
  <si>
    <t>Total cash from operation</t>
  </si>
  <si>
    <t>change in fixed assets</t>
  </si>
  <si>
    <t>Total cash from investing</t>
  </si>
  <si>
    <t>Total cash from finaincing</t>
  </si>
  <si>
    <t>Beginning cash</t>
  </si>
  <si>
    <t>Categories</t>
  </si>
  <si>
    <t>% of sales</t>
  </si>
  <si>
    <t>Unlimited Class Memberships</t>
  </si>
  <si>
    <t>Nutritional Numbers</t>
  </si>
  <si>
    <t>Nutritional Coaching</t>
  </si>
  <si>
    <t>Physicial Therapy &amp; Take Home Work</t>
  </si>
  <si>
    <t>Total  revenues</t>
  </si>
  <si>
    <t>Unit Sales</t>
  </si>
  <si>
    <t>assumptions</t>
  </si>
  <si>
    <t>Total Units</t>
  </si>
  <si>
    <t>% annual increase</t>
  </si>
  <si>
    <t>AT FULL CAPACITY</t>
  </si>
  <si>
    <t>classrooms</t>
  </si>
  <si>
    <t>max classes/day</t>
  </si>
  <si>
    <t>days per week</t>
  </si>
  <si>
    <t>max students per class</t>
  </si>
  <si>
    <t>max classes/month</t>
  </si>
  <si>
    <t>max attendence/month</t>
  </si>
  <si>
    <t>max classes/student/month</t>
  </si>
  <si>
    <t>max students/mth</t>
  </si>
  <si>
    <t>Unit Sales at % of Capacity</t>
  </si>
  <si>
    <t>Products/Services</t>
  </si>
  <si>
    <t>% of capacity</t>
  </si>
  <si>
    <t>Drop-Ins</t>
  </si>
  <si>
    <t>% of total students</t>
  </si>
  <si>
    <t>Unlimited Class Memberships - new</t>
  </si>
  <si>
    <t>monthly renewal</t>
  </si>
  <si>
    <t>cumulative of new</t>
  </si>
  <si>
    <t>churn</t>
  </si>
  <si>
    <t>churn rate</t>
  </si>
  <si>
    <t>Nutritional  Numbers Add-on</t>
  </si>
  <si>
    <t>% of unlimited</t>
  </si>
  <si>
    <t>Nutrition Coaching Add-on - new</t>
  </si>
  <si>
    <t>% of unlimited  - new</t>
  </si>
  <si>
    <t>Physical Therapy &amp; Take Home Work - new</t>
  </si>
  <si>
    <t>Dollar Sales</t>
  </si>
  <si>
    <t>Products</t>
  </si>
  <si>
    <t>Unit Price</t>
  </si>
  <si>
    <t>Dollar Sales by Month</t>
  </si>
  <si>
    <t>Total Sales</t>
  </si>
  <si>
    <t>% price 
change</t>
  </si>
  <si>
    <t xml:space="preserve">% price 
change </t>
  </si>
  <si>
    <t>per class</t>
  </si>
  <si>
    <t>per new student</t>
  </si>
  <si>
    <t>per month</t>
  </si>
  <si>
    <t>Total Revenues</t>
  </si>
  <si>
    <t>Cost of Goods Sold</t>
  </si>
  <si>
    <t>Total cost of revenue</t>
  </si>
  <si>
    <t>Product</t>
  </si>
  <si>
    <t>Unit Cost</t>
  </si>
  <si>
    <t>% of total revenue</t>
  </si>
  <si>
    <t>Cost of Sales by Month</t>
  </si>
  <si>
    <t>Total Cost 
of Sales</t>
  </si>
  <si>
    <t>% change 
in unit cost</t>
  </si>
  <si>
    <t>classes per month</t>
  </si>
  <si>
    <t>% of revenue</t>
  </si>
  <si>
    <t>various</t>
  </si>
  <si>
    <t>of revenue</t>
  </si>
  <si>
    <t>Total Materials Costs</t>
  </si>
  <si>
    <t>Total Other Direct Costs</t>
  </si>
  <si>
    <t>Total Cost of Sales</t>
  </si>
  <si>
    <t>PAYROLL PROJECTIONS (Indirect Labor Only, i.e. management, admin, sales, other)</t>
  </si>
  <si>
    <t>Assumptions</t>
  </si>
  <si>
    <t>Job Title</t>
  </si>
  <si>
    <t>Number of employees</t>
  </si>
  <si>
    <t>FT or PT</t>
  </si>
  <si>
    <t>Start Year</t>
  </si>
  <si>
    <t xml:space="preserve">Start Month if Year 1 </t>
  </si>
  <si>
    <t xml:space="preserve"> Number of Months </t>
  </si>
  <si>
    <t>Annual Salary 
(FT Only)</t>
  </si>
  <si>
    <t>Hourly Wage (PT Only)</t>
  </si>
  <si>
    <t>Hours/ Week</t>
  </si>
  <si>
    <t>Yr 2 Raise</t>
  </si>
  <si>
    <t>Yr 3 Raise</t>
  </si>
  <si>
    <t>EMPLOYER Payroll Taxes &amp; Benefits</t>
  </si>
  <si>
    <t>2021 Wage Base</t>
  </si>
  <si>
    <t>% of Salary/Wage</t>
  </si>
  <si>
    <t>Owner/Head Instructor</t>
  </si>
  <si>
    <t>FT</t>
  </si>
  <si>
    <t>Social Security</t>
  </si>
  <si>
    <t>Office manager</t>
  </si>
  <si>
    <t>Medicare</t>
  </si>
  <si>
    <t>Studio managers</t>
  </si>
  <si>
    <t>PT</t>
  </si>
  <si>
    <t>Federal Unemployment Tax (FUTA)</t>
  </si>
  <si>
    <t>Front desk</t>
  </si>
  <si>
    <t>State Unemployment Tax (SUTA)</t>
  </si>
  <si>
    <t xml:space="preserve">(range 0.2% to 7.2%) </t>
  </si>
  <si>
    <t>Title 5</t>
  </si>
  <si>
    <t>Worker's Compensation</t>
  </si>
  <si>
    <t>(average % of wages or salary)</t>
  </si>
  <si>
    <t>Title 6</t>
  </si>
  <si>
    <t>Retirement Program</t>
  </si>
  <si>
    <t>Title 7</t>
  </si>
  <si>
    <t>Health Insurance</t>
  </si>
  <si>
    <t>Title 8</t>
  </si>
  <si>
    <t>Other Employee Benefit Programs</t>
  </si>
  <si>
    <t>Title 9</t>
  </si>
  <si>
    <t>Total % of Full Time Paycheck</t>
  </si>
  <si>
    <t>Salary &amp; Wages</t>
  </si>
  <si>
    <t>#REF!</t>
  </si>
  <si>
    <t xml:space="preserve">Monthly </t>
  </si>
  <si>
    <t>Total indirect salaries/wages</t>
  </si>
  <si>
    <t>Est Taxes &amp; Benefits</t>
  </si>
  <si>
    <t>Total indirect taxes/benefits</t>
  </si>
  <si>
    <t>PreOpening</t>
  </si>
  <si>
    <t>% of Annual Total (for seasonality)</t>
  </si>
  <si>
    <t>expense incease</t>
  </si>
  <si>
    <t>Annual amount</t>
  </si>
  <si>
    <t>0=manual input
 1=annual  2=seasonal</t>
  </si>
  <si>
    <t>from P&amp;L-Payroll</t>
  </si>
  <si>
    <t>from schedule</t>
  </si>
  <si>
    <t>Contractors</t>
  </si>
  <si>
    <t>Repairs/maintenance</t>
  </si>
  <si>
    <t>Other expenses</t>
  </si>
  <si>
    <t>Loan interest expense</t>
  </si>
  <si>
    <t>Loan closing cost amortization</t>
  </si>
  <si>
    <t>Credit card &amp; LOC interest expense</t>
  </si>
  <si>
    <t>Beg Bal</t>
  </si>
  <si>
    <t>from Revenue worksheet</t>
  </si>
  <si>
    <t>Change in accounts receivable</t>
  </si>
  <si>
    <t xml:space="preserve">Inventory </t>
  </si>
  <si>
    <t>from COGS worksheet</t>
  </si>
  <si>
    <t>Change in inventory</t>
  </si>
  <si>
    <t>Other current assets balance</t>
  </si>
  <si>
    <t>Change in other current assets</t>
  </si>
  <si>
    <t>enter as -(neg) for increase; +(pos) for decrease</t>
  </si>
  <si>
    <t>Fixed and other assets</t>
  </si>
  <si>
    <t>Change in furniture/fixtures</t>
  </si>
  <si>
    <t>Change in equipment</t>
  </si>
  <si>
    <t>Change in vehicles</t>
  </si>
  <si>
    <t xml:space="preserve">Facility buildout </t>
  </si>
  <si>
    <t>2400 sqft @ $65/sqft</t>
  </si>
  <si>
    <t>Change in leasehold improvements</t>
  </si>
  <si>
    <t>Facilities puchased</t>
  </si>
  <si>
    <t>Boarding facility purchase</t>
  </si>
  <si>
    <t>Change in facilities purchased</t>
  </si>
  <si>
    <t>Net change in fixed assets</t>
  </si>
  <si>
    <t>Accumulated Depreciation</t>
  </si>
  <si>
    <t>Change in accumulated depreciation</t>
  </si>
  <si>
    <t xml:space="preserve">Other assets </t>
  </si>
  <si>
    <t>deposit ($30 x 2400/12)</t>
  </si>
  <si>
    <t>.</t>
  </si>
  <si>
    <t>SCHEDULES</t>
  </si>
  <si>
    <t>Accounts Receivable Schedule</t>
  </si>
  <si>
    <t>percent credit sales</t>
  </si>
  <si>
    <t>Average days receivable</t>
  </si>
  <si>
    <t>(0, 30, 60, 90, or 120)</t>
  </si>
  <si>
    <t>pre</t>
  </si>
  <si>
    <t xml:space="preserve">new receivables </t>
  </si>
  <si>
    <t>balance from previous period</t>
  </si>
  <si>
    <t>change</t>
  </si>
  <si>
    <t>balance</t>
  </si>
  <si>
    <t>Inventory Schedule</t>
  </si>
  <si>
    <t>Average days in inventory</t>
  </si>
  <si>
    <t>(0, 30, 90, or 120 days)</t>
  </si>
  <si>
    <t xml:space="preserve">new inventory received </t>
  </si>
  <si>
    <t>inventory use</t>
  </si>
  <si>
    <t>Depreciation Schedules</t>
  </si>
  <si>
    <t>type</t>
  </si>
  <si>
    <t>SL Years</t>
  </si>
  <si>
    <t>current</t>
  </si>
  <si>
    <t>new</t>
  </si>
  <si>
    <t>Facilities purchased</t>
  </si>
  <si>
    <t>Total Depreciation</t>
  </si>
  <si>
    <t>Liabilities &amp; Owner's Equity</t>
  </si>
  <si>
    <t>Accounts payable balance</t>
  </si>
  <si>
    <t>From COGS Worksheet</t>
  </si>
  <si>
    <t>Change in accounts payable</t>
  </si>
  <si>
    <t>Line of credit balance</t>
  </si>
  <si>
    <t>See LOC schedule below</t>
  </si>
  <si>
    <t>Change in line of credit</t>
  </si>
  <si>
    <t>Change in credit cards</t>
  </si>
  <si>
    <t>enter as +(pos) for increase; -(neg) for decrease</t>
  </si>
  <si>
    <t>Other current liabilities balance</t>
  </si>
  <si>
    <t>Change in other current liabilities</t>
  </si>
  <si>
    <t>Net change in current liabilities</t>
  </si>
  <si>
    <t>Long-term financing &amp; Owner distributions</t>
  </si>
  <si>
    <t>Long term loans balance</t>
  </si>
  <si>
    <t xml:space="preserve">see loan schedules below </t>
  </si>
  <si>
    <t>Other long-term debt balance</t>
  </si>
  <si>
    <t>Change in other long-term debt</t>
  </si>
  <si>
    <t xml:space="preserve">Equity funding </t>
  </si>
  <si>
    <t>Owner contributions/distributions</t>
  </si>
  <si>
    <t xml:space="preserve">owner distributions beginning </t>
  </si>
  <si>
    <t>Change in owner contributions/distributions</t>
  </si>
  <si>
    <t xml:space="preserve"> enter contributions as +(pos); distributions as -(neg)</t>
  </si>
  <si>
    <t>Net change in financing</t>
  </si>
  <si>
    <t>Accounts Payable Schedule</t>
  </si>
  <si>
    <t>% of COGS material purchases on credit</t>
  </si>
  <si>
    <t>Average days payable</t>
  </si>
  <si>
    <t xml:space="preserve">new payables </t>
  </si>
  <si>
    <t>#ERROR!</t>
  </si>
  <si>
    <t xml:space="preserve">Credit Card Schedule  </t>
  </si>
  <si>
    <t>% COGS not purchased on credit</t>
  </si>
  <si>
    <t>this is the difference from total materials and new accounts payable</t>
  </si>
  <si>
    <t>interest rate</t>
  </si>
  <si>
    <t>purchases - COGS</t>
  </si>
  <si>
    <t xml:space="preserve">purchases - expenses (travel, </t>
  </si>
  <si>
    <t>total credit card purchases</t>
  </si>
  <si>
    <t>interest on balance</t>
  </si>
  <si>
    <t>payments</t>
  </si>
  <si>
    <t>LOANS</t>
  </si>
  <si>
    <t>Line of Credit Schedule</t>
  </si>
  <si>
    <t>minimum cash balance</t>
  </si>
  <si>
    <t>Ending cash balance</t>
  </si>
  <si>
    <t>Over(under) minimum cash balance</t>
  </si>
  <si>
    <t>Use of line of credit (enter as positive)</t>
  </si>
  <si>
    <t>Pay down line of credit (enter as negative)</t>
  </si>
  <si>
    <t>Interest on balance                interest rate</t>
  </si>
  <si>
    <t>Line of Credit Balance</t>
  </si>
  <si>
    <t>LT Loan 1 schedule - new</t>
  </si>
  <si>
    <t>Terms</t>
  </si>
  <si>
    <t>Amount</t>
  </si>
  <si>
    <t>Yr1</t>
  </si>
  <si>
    <t>Rate</t>
  </si>
  <si>
    <t>interest</t>
  </si>
  <si>
    <t>Term (years)</t>
  </si>
  <si>
    <t>principal</t>
  </si>
  <si>
    <t>Monthly payment</t>
  </si>
  <si>
    <t>Start Month</t>
  </si>
  <si>
    <t>Yr2</t>
  </si>
  <si>
    <t>Yr3</t>
  </si>
  <si>
    <t>LT Loan 2 schedule - new</t>
  </si>
  <si>
    <t>Pre</t>
  </si>
  <si>
    <t>12 months ending</t>
  </si>
  <si>
    <t>14 months ending</t>
  </si>
  <si>
    <t>Title or Responsibility</t>
  </si>
  <si>
    <t>FT/PT</t>
  </si>
  <si>
    <t>Wage</t>
  </si>
  <si>
    <t>Hours/Wk</t>
  </si>
  <si>
    <t>Salary</t>
  </si>
  <si>
    <t>Start</t>
  </si>
  <si>
    <t>Mths Pre</t>
  </si>
  <si>
    <t>% increase</t>
  </si>
  <si>
    <t>Employee 1</t>
  </si>
  <si>
    <t>Owner/Manager</t>
  </si>
  <si>
    <t>Employee 2</t>
  </si>
  <si>
    <t>Adimin Assistant</t>
  </si>
  <si>
    <t>Employee 3</t>
  </si>
  <si>
    <t>Tester, etc</t>
  </si>
  <si>
    <t>Employee 4</t>
  </si>
  <si>
    <t>Employee 5</t>
  </si>
  <si>
    <t>Employee 6</t>
  </si>
  <si>
    <t>Employee 7</t>
  </si>
  <si>
    <t>Employee 8</t>
  </si>
  <si>
    <t>Employee 9</t>
  </si>
  <si>
    <t>Employee 10</t>
  </si>
  <si>
    <t>Total</t>
  </si>
  <si>
    <t>Cash Flow Projections</t>
  </si>
  <si>
    <t>Detailed Cash Flow</t>
  </si>
  <si>
    <t xml:space="preserve">Other income (expense) </t>
  </si>
  <si>
    <t>Provision for income tax (@25%)</t>
  </si>
  <si>
    <t>add Depreciation</t>
  </si>
  <si>
    <t>Net cash from operations</t>
  </si>
  <si>
    <t>Cash from investing</t>
  </si>
  <si>
    <t>Change in other fixed assets</t>
  </si>
  <si>
    <t>Net cash from investing</t>
  </si>
  <si>
    <t>Cash from financing</t>
  </si>
  <si>
    <t>Net cash from financing</t>
  </si>
  <si>
    <t>Beginning Cash</t>
  </si>
  <si>
    <t>Ending Cash</t>
  </si>
  <si>
    <t>Other currents assets</t>
  </si>
  <si>
    <t>Long-term loan</t>
  </si>
  <si>
    <t>Equity Investment</t>
  </si>
  <si>
    <t>Industry Financial Data &amp; Ratios</t>
  </si>
  <si>
    <t>(source: bizminer.com)</t>
  </si>
  <si>
    <t>NAICS</t>
  </si>
  <si>
    <t>Yoga Instruction</t>
  </si>
  <si>
    <t>Ratios, etc.</t>
  </si>
  <si>
    <t>Income Statement Data (% of Sales)</t>
  </si>
  <si>
    <t>Industry</t>
  </si>
  <si>
    <t>Year 1 Projected</t>
  </si>
  <si>
    <t>Year 2 Projected</t>
  </si>
  <si>
    <t>Year 3 Projected</t>
  </si>
  <si>
    <t>Current Ratio</t>
  </si>
  <si>
    <t>Cost of sales</t>
  </si>
  <si>
    <t>Quick Ratio</t>
  </si>
  <si>
    <t>Gross margin</t>
  </si>
  <si>
    <t>Accounts Receivable Days</t>
  </si>
  <si>
    <t xml:space="preserve">Payroll </t>
  </si>
  <si>
    <t>Inventory Days</t>
  </si>
  <si>
    <t>Rent</t>
  </si>
  <si>
    <t>Accounts Payable Days</t>
  </si>
  <si>
    <t>Advertising</t>
  </si>
  <si>
    <t>Interest Coverage Ratio</t>
  </si>
  <si>
    <t>Debt-to-Equity Ratio</t>
  </si>
  <si>
    <t>Return on Equity</t>
  </si>
  <si>
    <t>EBITDA</t>
  </si>
  <si>
    <t>Return on Assets</t>
  </si>
  <si>
    <t>Pre-tax profit</t>
  </si>
  <si>
    <t>Fixed Asset Turnover</t>
  </si>
  <si>
    <t>Sales Growth</t>
  </si>
  <si>
    <t>Balance Sheet Data (% of Assets)</t>
  </si>
  <si>
    <t>Profit Growth</t>
  </si>
  <si>
    <t xml:space="preserve">Accounts receivable </t>
  </si>
  <si>
    <t>Other current assets</t>
  </si>
  <si>
    <t>Gross fixed assets</t>
  </si>
  <si>
    <t>Other current liabilities</t>
  </si>
  <si>
    <t>Long term liabilities</t>
  </si>
  <si>
    <t>Total liabilities</t>
  </si>
  <si>
    <t>Total equity (net worth)</t>
  </si>
  <si>
    <t>12-Month Summary Financial Statements</t>
  </si>
  <si>
    <t>PROJECTED</t>
  </si>
  <si>
    <t>13 Months Ending</t>
  </si>
  <si>
    <t>14 Months Ending</t>
  </si>
  <si>
    <t>ACTUAL</t>
  </si>
  <si>
    <t>12-MONTH SUMMARY FINANCIAL STATEMENTS</t>
  </si>
  <si>
    <t>Accounts Receivable</t>
  </si>
  <si>
    <t>Accounts Payable</t>
  </si>
  <si>
    <t>Other Current Liabilities</t>
  </si>
  <si>
    <t>Long-term Liabilities</t>
  </si>
  <si>
    <t>VARIANCE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</si>
</sst>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yy"/>
    <numFmt numFmtId="165" formatCode="_(* #,##0_);_(* \(#,##0\);_(* &quot;-&quot;??_);_(@_)"/>
    <numFmt numFmtId="166" formatCode="0.0%"/>
    <numFmt numFmtId="167" formatCode="[$-409]mmm"/>
    <numFmt numFmtId="168" formatCode="[$-409]mmm\-yyyy"/>
    <numFmt numFmtId="169" formatCode="_(&quot;$&quot;* #,##0_);_(&quot;$&quot;* \(#,##0\);_(&quot;$&quot;* &quot;-&quot;??_);_(@_)"/>
    <numFmt numFmtId="170" formatCode="_(&quot;$&quot;* #,##0.0_);_(&quot;$&quot;* \(#,##0.0\);_(&quot;$&quot;* &quot;-&quot;??_);_(@_)"/>
    <numFmt numFmtId="171" formatCode="mmm"/>
    <numFmt numFmtId="172" formatCode="mmm\-yyyy"/>
    <numFmt numFmtId="173" formatCode="_(* #,##0.0_);_(* \(#,##0.0\);_(* &quot;-&quot;??_);_(@_)"/>
    <numFmt numFmtId="174" formatCode="_(* #,##0.0000_);_(* \(#,##0.0000\);_(* &quot;-&quot;??_);_(@_)"/>
    <numFmt numFmtId="175" formatCode="[$-409]mmm\-yy"/>
    <numFmt numFmtId="176" formatCode="[$-409]yyyy"/>
    <numFmt numFmtId="177" formatCode="0.0"/>
  </numFmts>
  <fonts count="73" x14ac:knownFonts="1">
    <font>
      <sz val="11"/>
      <color theme="1"/>
      <name val="Calibri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b/>
      <sz val="12"/>
      <color rgb="FF0070C0"/>
      <name val="Calibri"/>
      <family val="2"/>
    </font>
    <font>
      <sz val="10"/>
      <color theme="1"/>
      <name val="Calibri"/>
      <family val="2"/>
    </font>
    <font>
      <b/>
      <sz val="11"/>
      <color theme="1"/>
      <name val="Calibri"/>
      <family val="2"/>
    </font>
    <font>
      <b/>
      <sz val="10"/>
      <color theme="1"/>
      <name val="Calibri"/>
      <family val="2"/>
    </font>
    <font>
      <b/>
      <sz val="9"/>
      <color theme="1"/>
      <name val="Calibri"/>
      <family val="2"/>
    </font>
    <font>
      <sz val="10"/>
      <color rgb="FF0070C0"/>
      <name val="Calibri"/>
      <family val="2"/>
    </font>
    <font>
      <b/>
      <sz val="10"/>
      <color theme="0"/>
      <name val="Calibri"/>
      <family val="2"/>
    </font>
    <font>
      <sz val="11"/>
      <color theme="1"/>
      <name val="Calibri"/>
      <family val="2"/>
    </font>
    <font>
      <sz val="10"/>
      <color theme="0"/>
      <name val="Calibri"/>
      <family val="2"/>
    </font>
    <font>
      <sz val="14"/>
      <color theme="1"/>
      <name val="Calibri"/>
      <family val="2"/>
    </font>
    <font>
      <i/>
      <sz val="9"/>
      <color rgb="FF7F7F7F"/>
      <name val="Calibri"/>
      <family val="2"/>
    </font>
    <font>
      <i/>
      <sz val="10"/>
      <color rgb="FFA5A5A5"/>
      <name val="Calibri"/>
      <family val="2"/>
    </font>
    <font>
      <i/>
      <sz val="10"/>
      <color rgb="FF7F7F7F"/>
      <name val="Calibri"/>
      <family val="2"/>
    </font>
    <font>
      <b/>
      <sz val="10"/>
      <color rgb="FF0070C0"/>
      <name val="Calibri"/>
      <family val="2"/>
    </font>
    <font>
      <i/>
      <sz val="10"/>
      <color theme="1"/>
      <name val="Calibri"/>
      <family val="2"/>
    </font>
    <font>
      <i/>
      <sz val="10"/>
      <color rgb="FF0070C0"/>
      <name val="Calibri"/>
      <family val="2"/>
    </font>
    <font>
      <b/>
      <sz val="10"/>
      <color rgb="FF7F7F7F"/>
      <name val="Calibri"/>
      <family val="2"/>
    </font>
    <font>
      <i/>
      <sz val="9"/>
      <color rgb="FF0070C0"/>
      <name val="Calibri"/>
      <family val="2"/>
    </font>
    <font>
      <sz val="10"/>
      <color rgb="FF000000"/>
      <name val="Calibri"/>
      <family val="2"/>
    </font>
    <font>
      <b/>
      <sz val="10"/>
      <color rgb="FF000000"/>
      <name val="Calibri"/>
      <family val="2"/>
    </font>
    <font>
      <b/>
      <sz val="11"/>
      <color theme="0"/>
      <name val="Calibri"/>
      <family val="2"/>
    </font>
    <font>
      <sz val="9"/>
      <color theme="1"/>
      <name val="Calibri"/>
      <family val="2"/>
    </font>
    <font>
      <sz val="9"/>
      <color rgb="FF0070C0"/>
      <name val="Calibri"/>
      <family val="2"/>
    </font>
    <font>
      <sz val="11"/>
      <color rgb="FF0070C0"/>
      <name val="Calibri"/>
      <family val="2"/>
    </font>
    <font>
      <sz val="14"/>
      <color theme="1"/>
      <name val="SF Pro Text Semibold"/>
    </font>
    <font>
      <sz val="12"/>
      <color theme="1"/>
      <name val="SF Pro Text Semibold"/>
    </font>
    <font>
      <sz val="12"/>
      <color rgb="FF0000FF"/>
      <name val="SF Pro Text Semibold"/>
    </font>
    <font>
      <sz val="12"/>
      <color rgb="FF0000FF"/>
      <name val="SF Mono Semibold"/>
    </font>
    <font>
      <sz val="12"/>
      <color theme="1"/>
      <name val="SF Pro Text"/>
    </font>
    <font>
      <sz val="11"/>
      <color theme="1"/>
      <name val="SF Pro Text Semibold"/>
    </font>
    <font>
      <sz val="9"/>
      <color theme="1"/>
      <name val="SF Mono Semibold"/>
    </font>
    <font>
      <sz val="10"/>
      <color theme="1"/>
      <name val="SF Pro Text Semibold"/>
    </font>
    <font>
      <sz val="10"/>
      <color rgb="FF0000FF"/>
      <name val="SF Pro Text"/>
    </font>
    <font>
      <sz val="10"/>
      <color theme="1"/>
      <name val="SF Pro Text"/>
    </font>
    <font>
      <sz val="10"/>
      <color theme="1"/>
      <name val="SF Mono"/>
    </font>
    <font>
      <sz val="10"/>
      <color theme="1"/>
      <name val="SF Mono Semibold"/>
    </font>
    <font>
      <sz val="11"/>
      <color theme="1"/>
      <name val="SF Mono Semibold"/>
    </font>
    <font>
      <sz val="11"/>
      <color theme="1"/>
      <name val="SF Pro Text"/>
    </font>
    <font>
      <sz val="10"/>
      <color theme="0"/>
      <name val="SF Pro Text"/>
    </font>
    <font>
      <sz val="10"/>
      <color theme="0"/>
      <name val="SF Mono"/>
    </font>
    <font>
      <i/>
      <sz val="8"/>
      <color theme="1"/>
      <name val="SF Mono"/>
    </font>
    <font>
      <i/>
      <sz val="9"/>
      <color rgb="FF475569"/>
      <name val="SF Pro Text"/>
    </font>
    <font>
      <i/>
      <sz val="9"/>
      <color rgb="FF475569"/>
      <name val="SF Mono"/>
    </font>
    <font>
      <sz val="10"/>
      <color theme="0"/>
      <name val="SF Pro Text Semibold"/>
    </font>
    <font>
      <sz val="12"/>
      <color theme="0"/>
      <name val="SF Pro Text Semibold"/>
    </font>
    <font>
      <sz val="10"/>
      <color theme="0"/>
      <name val="SF Mono Semibold"/>
    </font>
    <font>
      <sz val="10"/>
      <color rgb="FF475569"/>
      <name val="SF Mono"/>
    </font>
    <font>
      <sz val="10"/>
      <color rgb="FF0000FF"/>
      <name val="SF Mono Semibold"/>
    </font>
    <font>
      <sz val="10"/>
      <color rgb="FF0000FF"/>
      <name val="SF Mono"/>
    </font>
    <font>
      <i/>
      <sz val="10"/>
      <color theme="1"/>
      <name val="SF Mono"/>
    </font>
    <font>
      <i/>
      <sz val="9"/>
      <color theme="1"/>
      <name val="SF Pro Text"/>
    </font>
    <font>
      <i/>
      <sz val="9"/>
      <color theme="1"/>
      <name val="SF Mono"/>
    </font>
    <font>
      <sz val="10"/>
      <color rgb="FF000000"/>
      <name val="SF Pro Text Semibold"/>
    </font>
    <font>
      <sz val="10"/>
      <color rgb="FF000000"/>
      <name val="SF Mono"/>
    </font>
    <font>
      <i/>
      <sz val="10"/>
      <color theme="1"/>
      <name val="SF Pro Text Semibold"/>
    </font>
    <font>
      <i/>
      <sz val="9"/>
      <color theme="1"/>
      <name val="SF Pro Text Semibold"/>
    </font>
    <font>
      <i/>
      <sz val="10"/>
      <color rgb="FF0000FF"/>
      <name val="SF Mono"/>
    </font>
    <font>
      <i/>
      <sz val="10"/>
      <color rgb="FF0000FF"/>
      <name val="SF Mono Semibold"/>
    </font>
    <font>
      <sz val="11"/>
      <color theme="0"/>
      <name val="SF Mono Semibold"/>
    </font>
    <font>
      <sz val="11"/>
      <color theme="1"/>
      <name val="SF Mono"/>
    </font>
    <font>
      <sz val="9"/>
      <color theme="1"/>
      <name val="SF Pro Text Semibold"/>
    </font>
    <font>
      <sz val="9"/>
      <color theme="0"/>
      <name val="SF Pro Text Semibold"/>
    </font>
    <font>
      <sz val="9"/>
      <color theme="0"/>
      <name val="SF Mono Semibold"/>
    </font>
    <font>
      <sz val="9"/>
      <color theme="1"/>
      <name val="SF Pro Text"/>
    </font>
    <font>
      <sz val="9"/>
      <color rgb="FF0000FF"/>
      <name val="SF Mono"/>
    </font>
    <font>
      <sz val="9"/>
      <color theme="1"/>
      <name val="SF Mono"/>
    </font>
    <font>
      <sz val="9"/>
      <color rgb="FF0000FF"/>
      <name val="SF Mono Semibold"/>
    </font>
    <font>
      <sz val="11"/>
      <color rgb="FF0000FF"/>
      <name val="SF Mono"/>
    </font>
    <font>
      <sz val="10"/>
      <color rgb="FF0000FF"/>
      <name val="SF Pro Text Semibold"/>
    </font>
    <font>
      <sz val="11"/>
      <color rgb="FFC00000"/>
      <name val="SF Pro Text Semibold"/>
    </font>
  </fonts>
  <fills count="10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rgb="FFE7E6E6"/>
        <bgColor rgb="FFE7E6E6"/>
      </patternFill>
    </fill>
    <fill>
      <patternFill patternType="solid">
        <fgColor rgb="FFF1F5F9"/>
      </patternFill>
    </fill>
    <fill>
      <patternFill patternType="solid">
        <fgColor rgb="FFEFF6FF"/>
      </patternFill>
    </fill>
    <fill>
      <patternFill patternType="solid">
        <fgColor rgb="FFBBF7D0"/>
      </patternFill>
    </fill>
    <fill>
      <patternFill patternType="solid">
        <fgColor rgb="FF1E293B"/>
      </patternFill>
    </fill>
    <fill>
      <patternFill patternType="solid">
        <fgColor rgb="FF205867"/>
      </patternFill>
    </fill>
  </fills>
  <borders count="8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/>
      <diagonal/>
    </border>
    <border>
      <left style="thin">
        <color rgb="FF000000"/>
      </left>
      <right/>
      <top style="double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</borders>
  <cellStyleXfs count="1">
    <xf numFmtId="0" fontId="0" fillId="0" borderId="2"/>
  </cellStyleXfs>
  <cellXfs count="1162">
    <xf numFmtId="0" fontId="0" fillId="0" borderId="0" xfId="0" applyBorder="1"/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2" fillId="0" borderId="0" xfId="0" applyFont="1" applyBorder="1"/>
    <xf numFmtId="0" fontId="1" fillId="0" borderId="0" xfId="0" applyFont="1" applyBorder="1" applyAlignment="1">
      <alignment horizontal="left"/>
    </xf>
    <xf numFmtId="0" fontId="3" fillId="0" borderId="0" xfId="0" applyFont="1" applyBorder="1"/>
    <xf numFmtId="0" fontId="3" fillId="0" borderId="0" xfId="0" applyFont="1" applyBorder="1" applyAlignment="1">
      <alignment horizontal="left"/>
    </xf>
    <xf numFmtId="14" fontId="3" fillId="0" borderId="0" xfId="0" applyNumberFormat="1" applyFont="1" applyBorder="1" applyAlignment="1">
      <alignment horizontal="left"/>
    </xf>
    <xf numFmtId="14" fontId="3" fillId="0" borderId="0" xfId="0" applyNumberFormat="1" applyFont="1" applyBorder="1"/>
    <xf numFmtId="0" fontId="4" fillId="0" borderId="0" xfId="0" applyFont="1" applyBorder="1"/>
    <xf numFmtId="0" fontId="6" fillId="0" borderId="0" xfId="0" applyFont="1" applyBorder="1"/>
    <xf numFmtId="0" fontId="6" fillId="0" borderId="0" xfId="0" applyFont="1" applyBorder="1" applyAlignment="1">
      <alignment horizontal="center" vertical="top"/>
    </xf>
    <xf numFmtId="165" fontId="4" fillId="0" borderId="0" xfId="0" applyNumberFormat="1" applyFont="1" applyBorder="1"/>
    <xf numFmtId="165" fontId="6" fillId="2" borderId="4" xfId="0" applyNumberFormat="1" applyFont="1" applyFill="1" applyBorder="1"/>
    <xf numFmtId="0" fontId="4" fillId="2" borderId="7" xfId="0" applyFont="1" applyFill="1" applyBorder="1"/>
    <xf numFmtId="0" fontId="4" fillId="2" borderId="8" xfId="0" applyFont="1" applyFill="1" applyBorder="1"/>
    <xf numFmtId="0" fontId="4" fillId="0" borderId="0" xfId="0" applyFont="1" applyBorder="1" applyAlignment="1">
      <alignment wrapText="1"/>
    </xf>
    <xf numFmtId="165" fontId="4" fillId="0" borderId="0" xfId="0" applyNumberFormat="1" applyFont="1" applyBorder="1" applyAlignment="1">
      <alignment wrapText="1"/>
    </xf>
    <xf numFmtId="165" fontId="6" fillId="0" borderId="0" xfId="0" applyNumberFormat="1" applyFont="1" applyBorder="1" applyAlignment="1">
      <alignment wrapText="1"/>
    </xf>
    <xf numFmtId="165" fontId="8" fillId="0" borderId="0" xfId="0" applyNumberFormat="1" applyFont="1" applyBorder="1" applyAlignment="1">
      <alignment wrapText="1"/>
    </xf>
    <xf numFmtId="165" fontId="6" fillId="0" borderId="0" xfId="0" applyNumberFormat="1" applyFont="1" applyBorder="1" applyAlignment="1">
      <alignment horizontal="center"/>
    </xf>
    <xf numFmtId="165" fontId="10" fillId="0" borderId="0" xfId="0" applyNumberFormat="1" applyFont="1" applyBorder="1"/>
    <xf numFmtId="165" fontId="4" fillId="0" borderId="11" xfId="0" applyNumberFormat="1" applyFont="1" applyBorder="1" applyAlignment="1">
      <alignment horizontal="left" wrapText="1"/>
    </xf>
    <xf numFmtId="165" fontId="4" fillId="0" borderId="12" xfId="0" applyNumberFormat="1" applyFont="1" applyBorder="1" applyAlignment="1">
      <alignment wrapText="1"/>
    </xf>
    <xf numFmtId="166" fontId="4" fillId="0" borderId="0" xfId="0" applyNumberFormat="1" applyFont="1" applyBorder="1" applyAlignment="1">
      <alignment horizontal="center" wrapText="1"/>
    </xf>
    <xf numFmtId="165" fontId="4" fillId="0" borderId="1" xfId="0" applyNumberFormat="1" applyFont="1" applyBorder="1" applyAlignment="1">
      <alignment wrapText="1"/>
    </xf>
    <xf numFmtId="0" fontId="4" fillId="2" borderId="26" xfId="0" applyFont="1" applyFill="1" applyBorder="1" applyAlignment="1">
      <alignment wrapText="1"/>
    </xf>
    <xf numFmtId="9" fontId="16" fillId="4" borderId="27" xfId="0" applyNumberFormat="1" applyFont="1" applyFill="1" applyBorder="1" applyAlignment="1">
      <alignment horizontal="center" wrapText="1"/>
    </xf>
    <xf numFmtId="165" fontId="18" fillId="2" borderId="28" xfId="0" applyNumberFormat="1" applyFont="1" applyFill="1" applyBorder="1" applyAlignment="1">
      <alignment wrapText="1"/>
    </xf>
    <xf numFmtId="169" fontId="4" fillId="0" borderId="30" xfId="0" applyNumberFormat="1" applyFont="1" applyBorder="1" applyAlignment="1">
      <alignment horizontal="center" wrapText="1"/>
    </xf>
    <xf numFmtId="0" fontId="5" fillId="0" borderId="0" xfId="0" applyFont="1" applyBorder="1"/>
    <xf numFmtId="0" fontId="6" fillId="0" borderId="0" xfId="0" applyFont="1" applyBorder="1" applyAlignment="1">
      <alignment horizontal="left"/>
    </xf>
    <xf numFmtId="165" fontId="4" fillId="0" borderId="19" xfId="0" applyNumberFormat="1" applyFont="1" applyBorder="1" applyAlignment="1">
      <alignment wrapText="1"/>
    </xf>
    <xf numFmtId="165" fontId="6" fillId="0" borderId="0" xfId="0" applyNumberFormat="1" applyFont="1" applyBorder="1"/>
    <xf numFmtId="166" fontId="19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9" fillId="0" borderId="19" xfId="0" applyFont="1" applyBorder="1" applyAlignment="1">
      <alignment horizontal="center" wrapText="1"/>
    </xf>
    <xf numFmtId="0" fontId="9" fillId="0" borderId="0" xfId="0" applyFont="1" applyBorder="1" applyAlignment="1">
      <alignment horizontal="center" wrapText="1"/>
    </xf>
    <xf numFmtId="0" fontId="4" fillId="0" borderId="46" xfId="0" applyFont="1" applyBorder="1" applyAlignment="1">
      <alignment horizontal="center" wrapText="1"/>
    </xf>
    <xf numFmtId="168" fontId="9" fillId="0" borderId="0" xfId="0" applyNumberFormat="1" applyFont="1" applyBorder="1" applyAlignment="1">
      <alignment horizontal="center" wrapText="1"/>
    </xf>
    <xf numFmtId="168" fontId="9" fillId="0" borderId="38" xfId="0" applyNumberFormat="1" applyFont="1" applyBorder="1" applyAlignment="1">
      <alignment horizontal="center" wrapText="1"/>
    </xf>
    <xf numFmtId="0" fontId="6" fillId="0" borderId="22" xfId="0" applyFont="1" applyBorder="1"/>
    <xf numFmtId="0" fontId="6" fillId="0" borderId="33" xfId="0" applyFont="1" applyBorder="1"/>
    <xf numFmtId="0" fontId="8" fillId="0" borderId="13" xfId="0" applyFont="1" applyBorder="1" applyAlignment="1">
      <alignment wrapText="1"/>
    </xf>
    <xf numFmtId="166" fontId="16" fillId="0" borderId="18" xfId="0" applyNumberFormat="1" applyFont="1" applyBorder="1" applyAlignment="1">
      <alignment horizontal="center"/>
    </xf>
    <xf numFmtId="0" fontId="8" fillId="2" borderId="48" xfId="0" applyFont="1" applyFill="1" applyBorder="1" applyAlignment="1">
      <alignment horizontal="left"/>
    </xf>
    <xf numFmtId="43" fontId="8" fillId="2" borderId="50" xfId="0" applyNumberFormat="1" applyFont="1" applyFill="1" applyBorder="1" applyAlignment="1">
      <alignment horizontal="center" vertical="center"/>
    </xf>
    <xf numFmtId="168" fontId="4" fillId="0" borderId="0" xfId="0" applyNumberFormat="1" applyFont="1" applyBorder="1"/>
    <xf numFmtId="169" fontId="6" fillId="0" borderId="0" xfId="0" applyNumberFormat="1" applyFont="1" applyBorder="1"/>
    <xf numFmtId="166" fontId="6" fillId="0" borderId="0" xfId="0" applyNumberFormat="1" applyFont="1" applyBorder="1" applyAlignment="1">
      <alignment horizontal="center"/>
    </xf>
    <xf numFmtId="0" fontId="21" fillId="0" borderId="0" xfId="0" applyFont="1" applyBorder="1"/>
    <xf numFmtId="14" fontId="5" fillId="0" borderId="0" xfId="0" applyNumberFormat="1" applyFont="1" applyBorder="1" applyAlignment="1">
      <alignment horizontal="left"/>
    </xf>
    <xf numFmtId="14" fontId="6" fillId="0" borderId="0" xfId="0" applyNumberFormat="1" applyFont="1" applyBorder="1" applyAlignment="1">
      <alignment horizontal="left"/>
    </xf>
    <xf numFmtId="0" fontId="6" fillId="0" borderId="0" xfId="0" applyFont="1" applyBorder="1" applyAlignment="1">
      <alignment horizontal="center"/>
    </xf>
    <xf numFmtId="0" fontId="21" fillId="2" borderId="4" xfId="0" applyFont="1" applyFill="1" applyBorder="1"/>
    <xf numFmtId="10" fontId="8" fillId="0" borderId="0" xfId="0" applyNumberFormat="1" applyFont="1" applyBorder="1" applyAlignment="1">
      <alignment horizontal="left"/>
    </xf>
    <xf numFmtId="10" fontId="4" fillId="0" borderId="0" xfId="0" applyNumberFormat="1" applyFont="1" applyBorder="1" applyAlignment="1">
      <alignment horizontal="left"/>
    </xf>
    <xf numFmtId="10" fontId="8" fillId="0" borderId="0" xfId="0" applyNumberFormat="1" applyFont="1" applyBorder="1" applyAlignment="1">
      <alignment horizontal="center"/>
    </xf>
    <xf numFmtId="0" fontId="8" fillId="0" borderId="0" xfId="0" applyFont="1" applyBorder="1" applyAlignment="1">
      <alignment horizontal="left"/>
    </xf>
    <xf numFmtId="0" fontId="8" fillId="0" borderId="0" xfId="0" applyFont="1" applyBorder="1" applyAlignment="1">
      <alignment horizontal="center"/>
    </xf>
    <xf numFmtId="169" fontId="8" fillId="0" borderId="0" xfId="0" applyNumberFormat="1" applyFont="1" applyBorder="1"/>
    <xf numFmtId="44" fontId="8" fillId="0" borderId="0" xfId="0" applyNumberFormat="1" applyFont="1" applyBorder="1"/>
    <xf numFmtId="9" fontId="8" fillId="0" borderId="0" xfId="0" applyNumberFormat="1" applyFont="1" applyBorder="1" applyAlignment="1">
      <alignment horizontal="center"/>
    </xf>
    <xf numFmtId="165" fontId="4" fillId="0" borderId="11" xfId="0" applyNumberFormat="1" applyFont="1" applyBorder="1"/>
    <xf numFmtId="165" fontId="4" fillId="0" borderId="59" xfId="0" applyNumberFormat="1" applyFont="1" applyBorder="1"/>
    <xf numFmtId="165" fontId="6" fillId="0" borderId="0" xfId="0" applyNumberFormat="1" applyFont="1" applyBorder="1" applyAlignment="1">
      <alignment horizontal="right"/>
    </xf>
    <xf numFmtId="166" fontId="18" fillId="4" borderId="14" xfId="0" applyNumberFormat="1" applyFont="1" applyFill="1" applyBorder="1" applyAlignment="1">
      <alignment wrapText="1"/>
    </xf>
    <xf numFmtId="165" fontId="4" fillId="0" borderId="11" xfId="0" applyNumberFormat="1" applyFont="1" applyBorder="1" applyAlignment="1">
      <alignment wrapText="1"/>
    </xf>
    <xf numFmtId="165" fontId="4" fillId="0" borderId="59" xfId="0" applyNumberFormat="1" applyFont="1" applyBorder="1" applyAlignment="1">
      <alignment wrapText="1"/>
    </xf>
    <xf numFmtId="165" fontId="4" fillId="0" borderId="60" xfId="0" applyNumberFormat="1" applyFont="1" applyBorder="1" applyAlignment="1">
      <alignment wrapText="1"/>
    </xf>
    <xf numFmtId="165" fontId="4" fillId="0" borderId="66" xfId="0" applyNumberFormat="1" applyFont="1" applyBorder="1" applyAlignment="1">
      <alignment wrapText="1"/>
    </xf>
    <xf numFmtId="0" fontId="10" fillId="2" borderId="64" xfId="0" applyFont="1" applyFill="1" applyBorder="1"/>
    <xf numFmtId="165" fontId="5" fillId="0" borderId="0" xfId="0" applyNumberFormat="1" applyFont="1" applyBorder="1" applyAlignment="1">
      <alignment horizontal="center"/>
    </xf>
    <xf numFmtId="165" fontId="5" fillId="0" borderId="0" xfId="0" applyNumberFormat="1" applyFont="1" applyBorder="1" applyAlignment="1">
      <alignment wrapText="1"/>
    </xf>
    <xf numFmtId="165" fontId="4" fillId="2" borderId="64" xfId="0" applyNumberFormat="1" applyFont="1" applyFill="1" applyBorder="1" applyAlignment="1">
      <alignment wrapText="1"/>
    </xf>
    <xf numFmtId="165" fontId="10" fillId="2" borderId="14" xfId="0" applyNumberFormat="1" applyFont="1" applyFill="1" applyBorder="1"/>
    <xf numFmtId="0" fontId="7" fillId="0" borderId="0" xfId="0" applyFont="1" applyBorder="1"/>
    <xf numFmtId="165" fontId="4" fillId="0" borderId="10" xfId="0" applyNumberFormat="1" applyFont="1" applyBorder="1" applyAlignment="1">
      <alignment horizontal="center" vertical="center"/>
    </xf>
    <xf numFmtId="165" fontId="4" fillId="0" borderId="66" xfId="0" applyNumberFormat="1" applyFont="1" applyBorder="1" applyAlignment="1">
      <alignment horizontal="center" vertical="center"/>
    </xf>
    <xf numFmtId="165" fontId="8" fillId="2" borderId="36" xfId="0" applyNumberFormat="1" applyFont="1" applyFill="1" applyBorder="1" applyAlignment="1">
      <alignment horizontal="center" wrapText="1"/>
    </xf>
    <xf numFmtId="165" fontId="10" fillId="0" borderId="0" xfId="0" applyNumberFormat="1" applyFont="1" applyBorder="1" applyAlignment="1">
      <alignment horizontal="center"/>
    </xf>
    <xf numFmtId="165" fontId="5" fillId="0" borderId="0" xfId="0" applyNumberFormat="1" applyFont="1" applyBorder="1"/>
    <xf numFmtId="165" fontId="4" fillId="0" borderId="72" xfId="0" applyNumberFormat="1" applyFont="1" applyBorder="1" applyAlignment="1">
      <alignment horizontal="center"/>
    </xf>
    <xf numFmtId="165" fontId="4" fillId="0" borderId="72" xfId="0" applyNumberFormat="1" applyFont="1" applyBorder="1" applyAlignment="1">
      <alignment horizontal="right"/>
    </xf>
    <xf numFmtId="165" fontId="4" fillId="0" borderId="0" xfId="0" applyNumberFormat="1" applyFont="1" applyBorder="1" applyAlignment="1">
      <alignment horizontal="left" wrapText="1"/>
    </xf>
    <xf numFmtId="165" fontId="4" fillId="0" borderId="0" xfId="0" applyNumberFormat="1" applyFont="1" applyBorder="1" applyAlignment="1">
      <alignment horizontal="right" wrapText="1"/>
    </xf>
    <xf numFmtId="43" fontId="4" fillId="0" borderId="0" xfId="0" applyNumberFormat="1" applyFont="1" applyBorder="1" applyAlignment="1">
      <alignment horizontal="left"/>
    </xf>
    <xf numFmtId="165" fontId="4" fillId="0" borderId="10" xfId="0" applyNumberFormat="1" applyFont="1" applyBorder="1"/>
    <xf numFmtId="165" fontId="4" fillId="0" borderId="22" xfId="0" applyNumberFormat="1" applyFont="1" applyBorder="1"/>
    <xf numFmtId="168" fontId="4" fillId="0" borderId="11" xfId="0" applyNumberFormat="1" applyFont="1" applyBorder="1"/>
    <xf numFmtId="165" fontId="4" fillId="0" borderId="72" xfId="0" applyNumberFormat="1" applyFont="1" applyBorder="1"/>
    <xf numFmtId="174" fontId="4" fillId="0" borderId="0" xfId="0" applyNumberFormat="1" applyFont="1" applyBorder="1"/>
    <xf numFmtId="0" fontId="24" fillId="0" borderId="0" xfId="0" applyFont="1" applyBorder="1"/>
    <xf numFmtId="169" fontId="24" fillId="0" borderId="0" xfId="0" applyNumberFormat="1" applyFont="1" applyBorder="1"/>
    <xf numFmtId="165" fontId="10" fillId="0" borderId="19" xfId="0" applyNumberFormat="1" applyFont="1" applyBorder="1"/>
    <xf numFmtId="165" fontId="4" fillId="0" borderId="72" xfId="0" applyNumberFormat="1" applyFont="1" applyBorder="1" applyAlignment="1">
      <alignment horizontal="center" vertical="center" wrapText="1"/>
    </xf>
    <xf numFmtId="165" fontId="4" fillId="0" borderId="36" xfId="0" applyNumberFormat="1" applyFont="1" applyBorder="1" applyAlignment="1">
      <alignment horizontal="center" vertical="center" wrapText="1"/>
    </xf>
    <xf numFmtId="165" fontId="8" fillId="0" borderId="36" xfId="0" applyNumberFormat="1" applyFont="1" applyBorder="1" applyAlignment="1">
      <alignment horizontal="center"/>
    </xf>
    <xf numFmtId="165" fontId="4" fillId="0" borderId="66" xfId="0" applyNumberFormat="1" applyFont="1" applyBorder="1" applyAlignment="1">
      <alignment horizontal="right" wrapText="1"/>
    </xf>
    <xf numFmtId="165" fontId="10" fillId="0" borderId="38" xfId="0" applyNumberFormat="1" applyFont="1" applyBorder="1"/>
    <xf numFmtId="165" fontId="4" fillId="0" borderId="66" xfId="0" applyNumberFormat="1" applyFont="1" applyBorder="1" applyAlignment="1">
      <alignment horizontal="center" wrapText="1"/>
    </xf>
    <xf numFmtId="165" fontId="24" fillId="0" borderId="0" xfId="0" applyNumberFormat="1" applyFont="1" applyBorder="1" applyAlignment="1">
      <alignment wrapText="1"/>
    </xf>
    <xf numFmtId="165" fontId="4" fillId="0" borderId="20" xfId="0" applyNumberFormat="1" applyFont="1" applyBorder="1"/>
    <xf numFmtId="165" fontId="4" fillId="0" borderId="38" xfId="0" applyNumberFormat="1" applyFont="1" applyBorder="1"/>
    <xf numFmtId="168" fontId="4" fillId="0" borderId="38" xfId="0" applyNumberFormat="1" applyFont="1" applyBorder="1"/>
    <xf numFmtId="165" fontId="24" fillId="0" borderId="0" xfId="0" applyNumberFormat="1" applyFont="1" applyBorder="1"/>
    <xf numFmtId="166" fontId="24" fillId="0" borderId="0" xfId="0" applyNumberFormat="1" applyFont="1" applyBorder="1"/>
    <xf numFmtId="9" fontId="4" fillId="0" borderId="14" xfId="0" applyNumberFormat="1" applyFont="1" applyBorder="1" applyAlignment="1">
      <alignment horizontal="center"/>
    </xf>
    <xf numFmtId="168" fontId="11" fillId="0" borderId="0" xfId="0" applyNumberFormat="1" applyFont="1" applyBorder="1" applyAlignment="1">
      <alignment horizontal="left"/>
    </xf>
    <xf numFmtId="165" fontId="11" fillId="0" borderId="0" xfId="0" applyNumberFormat="1" applyFont="1" applyBorder="1"/>
    <xf numFmtId="165" fontId="7" fillId="0" borderId="0" xfId="0" applyNumberFormat="1" applyFont="1" applyBorder="1" applyAlignment="1">
      <alignment wrapText="1"/>
    </xf>
    <xf numFmtId="165" fontId="7" fillId="0" borderId="0" xfId="0" applyNumberFormat="1" applyFont="1" applyBorder="1"/>
    <xf numFmtId="165" fontId="24" fillId="0" borderId="25" xfId="0" applyNumberFormat="1" applyFont="1" applyBorder="1"/>
    <xf numFmtId="173" fontId="24" fillId="0" borderId="19" xfId="0" applyNumberFormat="1" applyFont="1" applyBorder="1" applyAlignment="1">
      <alignment wrapText="1"/>
    </xf>
    <xf numFmtId="0" fontId="24" fillId="0" borderId="0" xfId="0" applyFont="1" applyBorder="1" applyAlignment="1">
      <alignment horizontal="center"/>
    </xf>
    <xf numFmtId="175" fontId="7" fillId="0" borderId="0" xfId="0" applyNumberFormat="1" applyFont="1" applyBorder="1" applyAlignment="1">
      <alignment horizontal="center" wrapText="1"/>
    </xf>
    <xf numFmtId="0" fontId="24" fillId="0" borderId="38" xfId="0" applyFont="1" applyBorder="1"/>
    <xf numFmtId="44" fontId="10" fillId="0" borderId="0" xfId="0" applyNumberFormat="1" applyFont="1" applyBorder="1"/>
    <xf numFmtId="0" fontId="10" fillId="0" borderId="0" xfId="0" applyFont="1" applyBorder="1" applyAlignment="1">
      <alignment horizontal="center"/>
    </xf>
    <xf numFmtId="165" fontId="10" fillId="0" borderId="1" xfId="0" applyNumberFormat="1" applyFont="1" applyBorder="1"/>
    <xf numFmtId="44" fontId="5" fillId="0" borderId="0" xfId="0" applyNumberFormat="1" applyFont="1" applyBorder="1"/>
    <xf numFmtId="0" fontId="5" fillId="0" borderId="0" xfId="0" applyFont="1" applyBorder="1" applyAlignment="1">
      <alignment horizontal="center"/>
    </xf>
    <xf numFmtId="9" fontId="4" fillId="0" borderId="0" xfId="0" applyNumberFormat="1" applyFont="1" applyBorder="1" applyAlignment="1">
      <alignment wrapText="1"/>
    </xf>
    <xf numFmtId="166" fontId="6" fillId="0" borderId="0" xfId="0" applyNumberFormat="1" applyFont="1" applyBorder="1" applyAlignment="1">
      <alignment wrapText="1"/>
    </xf>
    <xf numFmtId="0" fontId="16" fillId="0" borderId="0" xfId="0" applyFont="1" applyBorder="1"/>
    <xf numFmtId="0" fontId="10" fillId="0" borderId="84" xfId="0" applyFont="1" applyBorder="1"/>
    <xf numFmtId="0" fontId="1" fillId="2" borderId="2" xfId="0" applyFont="1" applyFill="1" applyAlignment="1">
      <alignment horizontal="center"/>
    </xf>
    <xf numFmtId="0" fontId="4" fillId="2" borderId="2" xfId="0" applyFont="1" applyFill="1"/>
    <xf numFmtId="10" fontId="4" fillId="2" borderId="2" xfId="0" applyNumberFormat="1" applyFont="1" applyFill="1"/>
    <xf numFmtId="0" fontId="6" fillId="2" borderId="76" xfId="0" applyFont="1" applyFill="1" applyBorder="1"/>
    <xf numFmtId="0" fontId="6" fillId="2" borderId="2" xfId="0" applyFont="1" applyFill="1"/>
    <xf numFmtId="14" fontId="7" fillId="2" borderId="2" xfId="0" applyNumberFormat="1" applyFont="1" applyFill="1" applyAlignment="1">
      <alignment horizontal="center" wrapText="1"/>
    </xf>
    <xf numFmtId="14" fontId="7" fillId="2" borderId="2" xfId="0" applyNumberFormat="1" applyFont="1" applyFill="1" applyAlignment="1">
      <alignment horizontal="center" vertical="top" wrapText="1"/>
    </xf>
    <xf numFmtId="0" fontId="4" fillId="2" borderId="2" xfId="0" applyFont="1" applyFill="1" applyAlignment="1">
      <alignment horizontal="center"/>
    </xf>
    <xf numFmtId="0" fontId="6" fillId="2" borderId="2" xfId="0" applyFont="1" applyFill="1" applyAlignment="1">
      <alignment horizontal="center" vertical="top"/>
    </xf>
    <xf numFmtId="0" fontId="6" fillId="2" borderId="2" xfId="0" applyFont="1" applyFill="1" applyAlignment="1">
      <alignment horizontal="left"/>
    </xf>
    <xf numFmtId="9" fontId="4" fillId="2" borderId="2" xfId="0" applyNumberFormat="1" applyFont="1" applyFill="1"/>
    <xf numFmtId="165" fontId="4" fillId="2" borderId="2" xfId="0" applyNumberFormat="1" applyFont="1" applyFill="1"/>
    <xf numFmtId="165" fontId="8" fillId="3" borderId="2" xfId="0" applyNumberFormat="1" applyFont="1" applyFill="1"/>
    <xf numFmtId="165" fontId="6" fillId="2" borderId="76" xfId="0" applyNumberFormat="1" applyFont="1" applyFill="1" applyBorder="1"/>
    <xf numFmtId="166" fontId="4" fillId="2" borderId="2" xfId="0" applyNumberFormat="1" applyFont="1" applyFill="1"/>
    <xf numFmtId="166" fontId="6" fillId="2" borderId="2" xfId="0" applyNumberFormat="1" applyFont="1" applyFill="1"/>
    <xf numFmtId="165" fontId="6" fillId="2" borderId="2" xfId="0" applyNumberFormat="1" applyFont="1" applyFill="1"/>
    <xf numFmtId="0" fontId="9" fillId="2" borderId="2" xfId="0" applyFont="1" applyFill="1"/>
    <xf numFmtId="165" fontId="9" fillId="2" borderId="2" xfId="0" applyNumberFormat="1" applyFont="1" applyFill="1"/>
    <xf numFmtId="43" fontId="4" fillId="2" borderId="2" xfId="0" applyNumberFormat="1" applyFont="1" applyFill="1"/>
    <xf numFmtId="165" fontId="4" fillId="2" borderId="2" xfId="0" applyNumberFormat="1" applyFont="1" applyFill="1" applyAlignment="1">
      <alignment horizontal="left" wrapText="1"/>
    </xf>
    <xf numFmtId="0" fontId="2" fillId="2" borderId="2" xfId="0" applyFont="1" applyFill="1"/>
    <xf numFmtId="0" fontId="5" fillId="2" borderId="2" xfId="0" applyFont="1" applyFill="1" applyAlignment="1">
      <alignment horizontal="center"/>
    </xf>
    <xf numFmtId="0" fontId="10" fillId="2" borderId="2" xfId="0" applyFont="1" applyFill="1"/>
    <xf numFmtId="0" fontId="5" fillId="2" borderId="2" xfId="0" applyFont="1" applyFill="1"/>
    <xf numFmtId="14" fontId="5" fillId="2" borderId="2" xfId="0" applyNumberFormat="1" applyFont="1" applyFill="1" applyAlignment="1">
      <alignment horizontal="center" wrapText="1"/>
    </xf>
    <xf numFmtId="14" fontId="5" fillId="2" borderId="2" xfId="0" applyNumberFormat="1" applyFont="1" applyFill="1" applyAlignment="1">
      <alignment horizontal="center" vertical="top" wrapText="1"/>
    </xf>
    <xf numFmtId="0" fontId="5" fillId="2" borderId="2" xfId="0" applyFont="1" applyFill="1" applyAlignment="1">
      <alignment horizontal="center" vertical="top"/>
    </xf>
    <xf numFmtId="0" fontId="5" fillId="2" borderId="2" xfId="0" applyFont="1" applyFill="1" applyAlignment="1">
      <alignment horizontal="left"/>
    </xf>
    <xf numFmtId="165" fontId="10" fillId="2" borderId="2" xfId="0" applyNumberFormat="1" applyFont="1" applyFill="1" applyAlignment="1">
      <alignment horizontal="left"/>
    </xf>
    <xf numFmtId="165" fontId="10" fillId="2" borderId="2" xfId="0" applyNumberFormat="1" applyFont="1" applyFill="1" applyAlignment="1">
      <alignment horizontal="left" wrapText="1"/>
    </xf>
    <xf numFmtId="165" fontId="10" fillId="2" borderId="2" xfId="0" applyNumberFormat="1" applyFont="1" applyFill="1"/>
    <xf numFmtId="166" fontId="10" fillId="2" borderId="2" xfId="0" applyNumberFormat="1" applyFont="1" applyFill="1"/>
    <xf numFmtId="165" fontId="5" fillId="2" borderId="2" xfId="0" applyNumberFormat="1" applyFont="1" applyFill="1"/>
    <xf numFmtId="166" fontId="5" fillId="2" borderId="2" xfId="0" applyNumberFormat="1" applyFont="1" applyFill="1"/>
    <xf numFmtId="9" fontId="10" fillId="2" borderId="2" xfId="0" applyNumberFormat="1" applyFont="1" applyFill="1"/>
    <xf numFmtId="1" fontId="10" fillId="2" borderId="2" xfId="0" applyNumberFormat="1" applyFont="1" applyFill="1"/>
    <xf numFmtId="0" fontId="6" fillId="2" borderId="2" xfId="0" applyFont="1" applyFill="1" applyAlignment="1">
      <alignment horizontal="center"/>
    </xf>
    <xf numFmtId="0" fontId="11" fillId="2" borderId="2" xfId="0" applyFont="1" applyFill="1" applyAlignment="1">
      <alignment horizontal="left"/>
    </xf>
    <xf numFmtId="165" fontId="11" fillId="2" borderId="2" xfId="0" applyNumberFormat="1" applyFont="1" applyFill="1"/>
    <xf numFmtId="0" fontId="4" fillId="2" borderId="2" xfId="0" applyFont="1" applyFill="1" applyAlignment="1">
      <alignment wrapText="1"/>
    </xf>
    <xf numFmtId="0" fontId="5" fillId="2" borderId="84" xfId="0" applyFont="1" applyFill="1" applyBorder="1"/>
    <xf numFmtId="165" fontId="4" fillId="2" borderId="76" xfId="0" applyNumberFormat="1" applyFont="1" applyFill="1" applyBorder="1"/>
    <xf numFmtId="165" fontId="11" fillId="2" borderId="84" xfId="0" applyNumberFormat="1" applyFont="1" applyFill="1" applyBorder="1"/>
    <xf numFmtId="0" fontId="4" fillId="2" borderId="76" xfId="0" applyFont="1" applyFill="1" applyBorder="1"/>
    <xf numFmtId="0" fontId="4" fillId="2" borderId="63" xfId="0" applyFont="1" applyFill="1" applyBorder="1"/>
    <xf numFmtId="166" fontId="12" fillId="2" borderId="2" xfId="0" applyNumberFormat="1" applyFont="1" applyFill="1"/>
    <xf numFmtId="0" fontId="12" fillId="2" borderId="2" xfId="0" applyFont="1" applyFill="1"/>
    <xf numFmtId="166" fontId="2" fillId="2" borderId="2" xfId="0" applyNumberFormat="1" applyFont="1" applyFill="1"/>
    <xf numFmtId="0" fontId="1" fillId="2" borderId="2" xfId="0" applyFont="1" applyFill="1" applyAlignment="1">
      <alignment vertical="center" wrapText="1"/>
    </xf>
    <xf numFmtId="0" fontId="11" fillId="2" borderId="2" xfId="0" applyFont="1" applyFill="1" applyAlignment="1">
      <alignment wrapText="1"/>
    </xf>
    <xf numFmtId="166" fontId="4" fillId="2" borderId="2" xfId="0" applyNumberFormat="1" applyFont="1" applyFill="1" applyAlignment="1">
      <alignment vertical="center" wrapText="1"/>
    </xf>
    <xf numFmtId="0" fontId="4" fillId="2" borderId="2" xfId="0" applyFont="1" applyFill="1" applyAlignment="1">
      <alignment vertical="center" wrapText="1"/>
    </xf>
    <xf numFmtId="166" fontId="4" fillId="2" borderId="2" xfId="0" applyNumberFormat="1" applyFont="1" applyFill="1" applyAlignment="1">
      <alignment wrapText="1"/>
    </xf>
    <xf numFmtId="165" fontId="6" fillId="2" borderId="20" xfId="0" applyNumberFormat="1" applyFont="1" applyFill="1" applyBorder="1"/>
    <xf numFmtId="165" fontId="4" fillId="2" borderId="2" xfId="0" applyNumberFormat="1" applyFont="1" applyFill="1" applyAlignment="1">
      <alignment wrapText="1"/>
    </xf>
    <xf numFmtId="165" fontId="4" fillId="2" borderId="2" xfId="0" applyNumberFormat="1" applyFont="1" applyFill="1" applyAlignment="1">
      <alignment horizontal="left"/>
    </xf>
    <xf numFmtId="165" fontId="4" fillId="2" borderId="20" xfId="0" applyNumberFormat="1" applyFont="1" applyFill="1" applyBorder="1" applyAlignment="1">
      <alignment horizontal="left"/>
    </xf>
    <xf numFmtId="165" fontId="4" fillId="2" borderId="20" xfId="0" applyNumberFormat="1" applyFont="1" applyFill="1" applyBorder="1" applyAlignment="1">
      <alignment wrapText="1"/>
    </xf>
    <xf numFmtId="165" fontId="6" fillId="2" borderId="78" xfId="0" applyNumberFormat="1" applyFont="1" applyFill="1" applyBorder="1" applyAlignment="1">
      <alignment wrapText="1"/>
    </xf>
    <xf numFmtId="166" fontId="4" fillId="2" borderId="2" xfId="0" applyNumberFormat="1" applyFont="1" applyFill="1" applyAlignment="1">
      <alignment horizontal="center" wrapText="1"/>
    </xf>
    <xf numFmtId="1" fontId="4" fillId="2" borderId="2" xfId="0" applyNumberFormat="1" applyFont="1" applyFill="1" applyAlignment="1">
      <alignment wrapText="1"/>
    </xf>
    <xf numFmtId="165" fontId="4" fillId="2" borderId="20" xfId="0" applyNumberFormat="1" applyFont="1" applyFill="1" applyBorder="1" applyAlignment="1">
      <alignment horizontal="left" wrapText="1"/>
    </xf>
    <xf numFmtId="165" fontId="6" fillId="2" borderId="2" xfId="0" applyNumberFormat="1" applyFont="1" applyFill="1" applyAlignment="1">
      <alignment horizontal="left" wrapText="1"/>
    </xf>
    <xf numFmtId="165" fontId="6" fillId="2" borderId="20" xfId="0" applyNumberFormat="1" applyFont="1" applyFill="1" applyBorder="1" applyAlignment="1">
      <alignment horizontal="left" wrapText="1"/>
    </xf>
    <xf numFmtId="165" fontId="6" fillId="2" borderId="2" xfId="0" applyNumberFormat="1" applyFont="1" applyFill="1" applyAlignment="1">
      <alignment wrapText="1"/>
    </xf>
    <xf numFmtId="165" fontId="6" fillId="2" borderId="20" xfId="0" applyNumberFormat="1" applyFont="1" applyFill="1" applyBorder="1" applyAlignment="1">
      <alignment wrapText="1"/>
    </xf>
    <xf numFmtId="0" fontId="13" fillId="2" borderId="2" xfId="0" applyFont="1" applyFill="1" applyAlignment="1">
      <alignment horizontal="right"/>
    </xf>
    <xf numFmtId="0" fontId="1" fillId="2" borderId="2" xfId="0" applyFont="1" applyFill="1" applyAlignment="1">
      <alignment wrapText="1"/>
    </xf>
    <xf numFmtId="0" fontId="6" fillId="2" borderId="20" xfId="0" applyFont="1" applyFill="1" applyBorder="1"/>
    <xf numFmtId="0" fontId="6" fillId="2" borderId="20" xfId="0" applyFont="1" applyFill="1" applyBorder="1" applyAlignment="1">
      <alignment horizontal="left"/>
    </xf>
    <xf numFmtId="0" fontId="4" fillId="2" borderId="20" xfId="0" applyFont="1" applyFill="1" applyBorder="1"/>
    <xf numFmtId="0" fontId="1" fillId="2" borderId="2" xfId="0" applyFont="1" applyFill="1"/>
    <xf numFmtId="173" fontId="6" fillId="2" borderId="2" xfId="0" applyNumberFormat="1" applyFont="1" applyFill="1"/>
    <xf numFmtId="43" fontId="6" fillId="2" borderId="2" xfId="0" applyNumberFormat="1" applyFont="1" applyFill="1"/>
    <xf numFmtId="165" fontId="8" fillId="2" borderId="2" xfId="0" applyNumberFormat="1" applyFont="1" applyFill="1"/>
    <xf numFmtId="165" fontId="4" fillId="0" borderId="26" xfId="0" applyNumberFormat="1" applyFont="1" applyBorder="1" applyAlignment="1">
      <alignment wrapText="1"/>
    </xf>
    <xf numFmtId="165" fontId="9" fillId="2" borderId="2" xfId="0" applyNumberFormat="1" applyFont="1" applyFill="1" applyAlignment="1">
      <alignment wrapText="1"/>
    </xf>
    <xf numFmtId="165" fontId="11" fillId="2" borderId="2" xfId="0" applyNumberFormat="1" applyFont="1" applyFill="1" applyAlignment="1">
      <alignment vertical="top" wrapText="1"/>
    </xf>
    <xf numFmtId="9" fontId="9" fillId="2" borderId="2" xfId="0" applyNumberFormat="1" applyFont="1" applyFill="1" applyAlignment="1">
      <alignment horizontal="center"/>
    </xf>
    <xf numFmtId="165" fontId="6" fillId="2" borderId="19" xfId="0" applyNumberFormat="1" applyFont="1" applyFill="1" applyBorder="1"/>
    <xf numFmtId="165" fontId="14" fillId="2" borderId="2" xfId="0" applyNumberFormat="1" applyFont="1" applyFill="1" applyAlignment="1">
      <alignment horizontal="right"/>
    </xf>
    <xf numFmtId="166" fontId="15" fillId="2" borderId="2" xfId="0" applyNumberFormat="1" applyFont="1" applyFill="1" applyAlignment="1">
      <alignment horizontal="right"/>
    </xf>
    <xf numFmtId="165" fontId="4" fillId="2" borderId="2" xfId="0" applyNumberFormat="1" applyFont="1" applyFill="1" applyAlignment="1">
      <alignment vertical="top" wrapText="1"/>
    </xf>
    <xf numFmtId="43" fontId="1" fillId="2" borderId="2" xfId="0" applyNumberFormat="1" applyFont="1" applyFill="1" applyAlignment="1">
      <alignment horizontal="left" vertical="center"/>
    </xf>
    <xf numFmtId="43" fontId="4" fillId="2" borderId="61" xfId="0" applyNumberFormat="1" applyFont="1" applyFill="1" applyBorder="1" applyAlignment="1">
      <alignment wrapText="1"/>
    </xf>
    <xf numFmtId="43" fontId="4" fillId="2" borderId="41" xfId="0" applyNumberFormat="1" applyFont="1" applyFill="1" applyBorder="1" applyAlignment="1">
      <alignment wrapText="1"/>
    </xf>
    <xf numFmtId="0" fontId="4" fillId="2" borderId="40" xfId="0" applyFont="1" applyFill="1" applyBorder="1" applyAlignment="1">
      <alignment horizontal="center" wrapText="1"/>
    </xf>
    <xf numFmtId="0" fontId="6" fillId="2" borderId="41" xfId="0" applyFont="1" applyFill="1" applyBorder="1" applyAlignment="1">
      <alignment horizontal="center" wrapText="1"/>
    </xf>
    <xf numFmtId="43" fontId="16" fillId="2" borderId="2" xfId="0" applyNumberFormat="1" applyFont="1" applyFill="1" applyAlignment="1">
      <alignment wrapText="1"/>
    </xf>
    <xf numFmtId="43" fontId="16" fillId="2" borderId="38" xfId="0" applyNumberFormat="1" applyFont="1" applyFill="1" applyBorder="1" applyAlignment="1">
      <alignment wrapText="1"/>
    </xf>
    <xf numFmtId="0" fontId="4" fillId="2" borderId="19" xfId="0" applyFont="1" applyFill="1" applyBorder="1" applyAlignment="1">
      <alignment horizontal="center" wrapText="1"/>
    </xf>
    <xf numFmtId="0" fontId="6" fillId="2" borderId="2" xfId="0" applyFont="1" applyFill="1" applyAlignment="1">
      <alignment horizontal="center" wrapText="1"/>
    </xf>
    <xf numFmtId="0" fontId="6" fillId="2" borderId="38" xfId="0" applyFont="1" applyFill="1" applyBorder="1" applyAlignment="1">
      <alignment horizontal="center" wrapText="1"/>
    </xf>
    <xf numFmtId="13" fontId="16" fillId="2" borderId="2" xfId="0" applyNumberFormat="1" applyFont="1" applyFill="1" applyAlignment="1">
      <alignment wrapText="1"/>
    </xf>
    <xf numFmtId="0" fontId="6" fillId="2" borderId="19" xfId="0" applyFont="1" applyFill="1" applyBorder="1" applyAlignment="1">
      <alignment wrapText="1"/>
    </xf>
    <xf numFmtId="0" fontId="6" fillId="2" borderId="2" xfId="0" applyFont="1" applyFill="1" applyAlignment="1">
      <alignment wrapText="1"/>
    </xf>
    <xf numFmtId="0" fontId="6" fillId="2" borderId="38" xfId="0" applyFont="1" applyFill="1" applyBorder="1" applyAlignment="1">
      <alignment wrapText="1"/>
    </xf>
    <xf numFmtId="166" fontId="6" fillId="0" borderId="16" xfId="0" applyNumberFormat="1" applyFont="1" applyBorder="1" applyAlignment="1">
      <alignment horizontal="center" wrapText="1"/>
    </xf>
    <xf numFmtId="9" fontId="16" fillId="2" borderId="58" xfId="0" applyNumberFormat="1" applyFont="1" applyFill="1" applyBorder="1" applyAlignment="1">
      <alignment horizontal="center" wrapText="1"/>
    </xf>
    <xf numFmtId="0" fontId="6" fillId="0" borderId="44" xfId="0" applyFont="1" applyBorder="1" applyAlignment="1">
      <alignment horizontal="right" wrapText="1"/>
    </xf>
    <xf numFmtId="0" fontId="6" fillId="0" borderId="68" xfId="0" applyFont="1" applyBorder="1" applyAlignment="1">
      <alignment horizontal="right" wrapText="1"/>
    </xf>
    <xf numFmtId="165" fontId="18" fillId="2" borderId="35" xfId="0" applyNumberFormat="1" applyFont="1" applyFill="1" applyBorder="1" applyAlignment="1">
      <alignment wrapText="1"/>
    </xf>
    <xf numFmtId="0" fontId="8" fillId="2" borderId="19" xfId="0" applyFont="1" applyFill="1" applyBorder="1" applyAlignment="1">
      <alignment wrapText="1"/>
    </xf>
    <xf numFmtId="0" fontId="8" fillId="2" borderId="2" xfId="0" applyFont="1" applyFill="1" applyAlignment="1">
      <alignment wrapText="1"/>
    </xf>
    <xf numFmtId="165" fontId="18" fillId="2" borderId="2" xfId="0" applyNumberFormat="1" applyFont="1" applyFill="1" applyAlignment="1">
      <alignment wrapText="1"/>
    </xf>
    <xf numFmtId="165" fontId="4" fillId="2" borderId="68" xfId="0" applyNumberFormat="1" applyFont="1" applyFill="1" applyBorder="1" applyAlignment="1">
      <alignment wrapText="1"/>
    </xf>
    <xf numFmtId="166" fontId="8" fillId="2" borderId="68" xfId="0" applyNumberFormat="1" applyFont="1" applyFill="1" applyBorder="1" applyAlignment="1">
      <alignment horizontal="center" wrapText="1"/>
    </xf>
    <xf numFmtId="0" fontId="1" fillId="2" borderId="2" xfId="0" applyFont="1" applyFill="1" applyAlignment="1">
      <alignment vertical="center"/>
    </xf>
    <xf numFmtId="165" fontId="4" fillId="0" borderId="64" xfId="0" applyNumberFormat="1" applyFont="1" applyBorder="1" applyAlignment="1">
      <alignment wrapText="1"/>
    </xf>
    <xf numFmtId="168" fontId="9" fillId="0" borderId="41" xfId="0" applyNumberFormat="1" applyFont="1" applyBorder="1" applyAlignment="1">
      <alignment horizontal="center" wrapText="1"/>
    </xf>
    <xf numFmtId="0" fontId="4" fillId="0" borderId="48" xfId="0" applyFont="1" applyBorder="1" applyAlignment="1">
      <alignment horizontal="left"/>
    </xf>
    <xf numFmtId="165" fontId="17" fillId="0" borderId="26" xfId="0" applyNumberFormat="1" applyFont="1" applyBorder="1" applyAlignment="1">
      <alignment wrapText="1"/>
    </xf>
    <xf numFmtId="165" fontId="17" fillId="0" borderId="49" xfId="0" applyNumberFormat="1" applyFont="1" applyBorder="1" applyAlignment="1">
      <alignment wrapText="1"/>
    </xf>
    <xf numFmtId="0" fontId="8" fillId="2" borderId="19" xfId="0" applyFont="1" applyFill="1" applyBorder="1" applyAlignment="1">
      <alignment horizontal="left"/>
    </xf>
    <xf numFmtId="165" fontId="4" fillId="0" borderId="26" xfId="0" applyNumberFormat="1" applyFont="1" applyBorder="1"/>
    <xf numFmtId="165" fontId="4" fillId="0" borderId="76" xfId="0" applyNumberFormat="1" applyFont="1" applyBorder="1" applyAlignment="1">
      <alignment wrapText="1"/>
    </xf>
    <xf numFmtId="165" fontId="4" fillId="0" borderId="56" xfId="0" applyNumberFormat="1" applyFont="1" applyBorder="1"/>
    <xf numFmtId="0" fontId="21" fillId="2" borderId="2" xfId="0" applyFont="1" applyFill="1"/>
    <xf numFmtId="0" fontId="21" fillId="2" borderId="34" xfId="0" applyFont="1" applyFill="1" applyBorder="1"/>
    <xf numFmtId="165" fontId="4" fillId="2" borderId="19" xfId="0" applyNumberFormat="1" applyFont="1" applyFill="1" applyBorder="1" applyAlignment="1">
      <alignment vertical="top" wrapText="1"/>
    </xf>
    <xf numFmtId="165" fontId="4" fillId="0" borderId="65" xfId="0" applyNumberFormat="1" applyFont="1" applyBorder="1" applyAlignment="1">
      <alignment wrapText="1"/>
    </xf>
    <xf numFmtId="165" fontId="4" fillId="0" borderId="67" xfId="0" applyNumberFormat="1" applyFont="1" applyBorder="1" applyAlignment="1">
      <alignment wrapText="1"/>
    </xf>
    <xf numFmtId="165" fontId="4" fillId="2" borderId="66" xfId="0" applyNumberFormat="1" applyFont="1" applyFill="1" applyBorder="1" applyAlignment="1">
      <alignment wrapText="1"/>
    </xf>
    <xf numFmtId="165" fontId="4" fillId="0" borderId="64" xfId="0" applyNumberFormat="1" applyFont="1" applyBorder="1" applyAlignment="1">
      <alignment horizontal="center" wrapText="1"/>
    </xf>
    <xf numFmtId="165" fontId="4" fillId="0" borderId="64" xfId="0" applyNumberFormat="1" applyFont="1" applyBorder="1" applyAlignment="1">
      <alignment horizontal="center"/>
    </xf>
    <xf numFmtId="165" fontId="4" fillId="0" borderId="4" xfId="0" applyNumberFormat="1" applyFont="1" applyBorder="1"/>
    <xf numFmtId="168" fontId="4" fillId="0" borderId="4" xfId="0" applyNumberFormat="1" applyFont="1" applyBorder="1"/>
    <xf numFmtId="165" fontId="4" fillId="0" borderId="64" xfId="0" applyNumberFormat="1" applyFont="1" applyBorder="1"/>
    <xf numFmtId="165" fontId="4" fillId="0" borderId="76" xfId="0" applyNumberFormat="1" applyFont="1" applyBorder="1"/>
    <xf numFmtId="165" fontId="4" fillId="0" borderId="61" xfId="0" applyNumberFormat="1" applyFont="1" applyBorder="1"/>
    <xf numFmtId="168" fontId="4" fillId="0" borderId="64" xfId="0" applyNumberFormat="1" applyFont="1" applyBorder="1"/>
    <xf numFmtId="0" fontId="7" fillId="0" borderId="69" xfId="0" applyFont="1" applyBorder="1"/>
    <xf numFmtId="165" fontId="7" fillId="0" borderId="4" xfId="0" applyNumberFormat="1" applyFont="1" applyBorder="1"/>
    <xf numFmtId="165" fontId="24" fillId="0" borderId="4" xfId="0" applyNumberFormat="1" applyFont="1" applyBorder="1"/>
    <xf numFmtId="168" fontId="6" fillId="2" borderId="2" xfId="0" applyNumberFormat="1" applyFont="1" applyFill="1" applyAlignment="1">
      <alignment horizontal="center" wrapText="1"/>
    </xf>
    <xf numFmtId="176" fontId="6" fillId="2" borderId="84" xfId="0" applyNumberFormat="1" applyFont="1" applyFill="1" applyBorder="1" applyAlignment="1">
      <alignment horizontal="center" wrapText="1"/>
    </xf>
    <xf numFmtId="176" fontId="6" fillId="2" borderId="2" xfId="0" applyNumberFormat="1" applyFont="1" applyFill="1" applyAlignment="1">
      <alignment horizontal="center" wrapText="1"/>
    </xf>
    <xf numFmtId="165" fontId="6" fillId="2" borderId="20" xfId="0" applyNumberFormat="1" applyFont="1" applyFill="1" applyBorder="1" applyAlignment="1">
      <alignment horizontal="left"/>
    </xf>
    <xf numFmtId="165" fontId="6" fillId="2" borderId="2" xfId="0" applyNumberFormat="1" applyFont="1" applyFill="1" applyAlignment="1">
      <alignment horizontal="center" wrapText="1"/>
    </xf>
    <xf numFmtId="165" fontId="6" fillId="2" borderId="84" xfId="0" applyNumberFormat="1" applyFont="1" applyFill="1" applyBorder="1" applyAlignment="1">
      <alignment horizontal="center" wrapText="1"/>
    </xf>
    <xf numFmtId="165" fontId="4" fillId="2" borderId="84" xfId="0" applyNumberFormat="1" applyFont="1" applyFill="1" applyBorder="1" applyAlignment="1">
      <alignment wrapText="1"/>
    </xf>
    <xf numFmtId="165" fontId="6" fillId="2" borderId="78" xfId="0" applyNumberFormat="1" applyFont="1" applyFill="1" applyBorder="1" applyAlignment="1">
      <alignment horizontal="left" wrapText="1"/>
    </xf>
    <xf numFmtId="165" fontId="18" fillId="2" borderId="2" xfId="0" applyNumberFormat="1" applyFont="1" applyFill="1" applyAlignment="1">
      <alignment horizontal="right" wrapText="1"/>
    </xf>
    <xf numFmtId="165" fontId="9" fillId="2" borderId="20" xfId="0" applyNumberFormat="1" applyFont="1" applyFill="1" applyBorder="1" applyAlignment="1">
      <alignment wrapText="1"/>
    </xf>
    <xf numFmtId="165" fontId="9" fillId="2" borderId="84" xfId="0" applyNumberFormat="1" applyFont="1" applyFill="1" applyBorder="1" applyAlignment="1">
      <alignment wrapText="1"/>
    </xf>
    <xf numFmtId="0" fontId="4" fillId="2" borderId="84" xfId="0" applyFont="1" applyFill="1" applyBorder="1" applyAlignment="1">
      <alignment wrapText="1"/>
    </xf>
    <xf numFmtId="165" fontId="6" fillId="2" borderId="84" xfId="0" applyNumberFormat="1" applyFont="1" applyFill="1" applyBorder="1"/>
    <xf numFmtId="165" fontId="9" fillId="2" borderId="84" xfId="0" applyNumberFormat="1" applyFont="1" applyFill="1" applyBorder="1"/>
    <xf numFmtId="0" fontId="4" fillId="2" borderId="76" xfId="0" applyFont="1" applyFill="1" applyBorder="1" applyAlignment="1">
      <alignment horizontal="center"/>
    </xf>
    <xf numFmtId="165" fontId="4" fillId="2" borderId="76" xfId="0" applyNumberFormat="1" applyFont="1" applyFill="1" applyBorder="1" applyAlignment="1">
      <alignment horizontal="center"/>
    </xf>
    <xf numFmtId="0" fontId="4" fillId="2" borderId="78" xfId="0" applyFont="1" applyFill="1" applyBorder="1"/>
    <xf numFmtId="165" fontId="6" fillId="2" borderId="84" xfId="0" applyNumberFormat="1" applyFont="1" applyFill="1" applyBorder="1" applyAlignment="1">
      <alignment wrapText="1"/>
    </xf>
    <xf numFmtId="0" fontId="6" fillId="2" borderId="2" xfId="0" applyFont="1" applyFill="1" applyAlignment="1">
      <alignment horizontal="center" vertical="top" wrapText="1"/>
    </xf>
    <xf numFmtId="0" fontId="10" fillId="2" borderId="20" xfId="0" applyFont="1" applyFill="1" applyBorder="1"/>
    <xf numFmtId="177" fontId="4" fillId="2" borderId="2" xfId="0" applyNumberFormat="1" applyFont="1" applyFill="1" applyAlignment="1">
      <alignment horizontal="center"/>
    </xf>
    <xf numFmtId="166" fontId="4" fillId="2" borderId="20" xfId="0" applyNumberFormat="1" applyFont="1" applyFill="1" applyBorder="1" applyAlignment="1">
      <alignment horizontal="center" wrapText="1"/>
    </xf>
    <xf numFmtId="1" fontId="4" fillId="2" borderId="2" xfId="0" applyNumberFormat="1" applyFont="1" applyFill="1" applyAlignment="1">
      <alignment horizontal="center"/>
    </xf>
    <xf numFmtId="9" fontId="4" fillId="2" borderId="2" xfId="0" applyNumberFormat="1" applyFont="1" applyFill="1" applyAlignment="1">
      <alignment horizontal="center"/>
    </xf>
    <xf numFmtId="9" fontId="4" fillId="2" borderId="2" xfId="0" applyNumberFormat="1" applyFont="1" applyFill="1" applyAlignment="1">
      <alignment horizontal="center" wrapText="1"/>
    </xf>
    <xf numFmtId="165" fontId="4" fillId="2" borderId="84" xfId="0" applyNumberFormat="1" applyFont="1" applyFill="1" applyBorder="1" applyAlignment="1">
      <alignment vertical="top" wrapText="1"/>
    </xf>
    <xf numFmtId="0" fontId="4" fillId="2" borderId="2" xfId="0" applyFont="1" applyFill="1" applyAlignment="1">
      <alignment vertical="top"/>
    </xf>
    <xf numFmtId="165" fontId="10" fillId="2" borderId="84" xfId="0" applyNumberFormat="1" applyFont="1" applyFill="1" applyBorder="1"/>
    <xf numFmtId="0" fontId="4" fillId="2" borderId="84" xfId="0" applyFont="1" applyFill="1" applyBorder="1"/>
    <xf numFmtId="0" fontId="6" fillId="2" borderId="63" xfId="0" applyFont="1" applyFill="1" applyBorder="1"/>
    <xf numFmtId="0" fontId="6" fillId="2" borderId="78" xfId="0" applyFont="1" applyFill="1" applyBorder="1"/>
    <xf numFmtId="0" fontId="6" fillId="2" borderId="84" xfId="0" applyFont="1" applyFill="1" applyBorder="1"/>
    <xf numFmtId="0" fontId="6" fillId="0" borderId="32" xfId="0" applyFont="1" applyBorder="1" applyAlignment="1">
      <alignment horizontal="center" wrapText="1"/>
    </xf>
    <xf numFmtId="166" fontId="20" fillId="0" borderId="19" xfId="0" applyNumberFormat="1" applyFont="1" applyBorder="1" applyAlignment="1">
      <alignment horizontal="center"/>
    </xf>
    <xf numFmtId="43" fontId="4" fillId="0" borderId="79" xfId="0" applyNumberFormat="1" applyFont="1" applyBorder="1" applyAlignment="1">
      <alignment horizontal="center"/>
    </xf>
    <xf numFmtId="169" fontId="4" fillId="2" borderId="48" xfId="0" applyNumberFormat="1" applyFont="1" applyFill="1" applyBorder="1" applyAlignment="1">
      <alignment horizontal="right" wrapText="1"/>
    </xf>
    <xf numFmtId="165" fontId="4" fillId="2" borderId="68" xfId="0" applyNumberFormat="1" applyFont="1" applyFill="1" applyBorder="1" applyAlignment="1">
      <alignment horizontal="left" wrapText="1"/>
    </xf>
    <xf numFmtId="165" fontId="8" fillId="0" borderId="22" xfId="0" applyNumberFormat="1" applyFont="1" applyBorder="1" applyAlignment="1">
      <alignment horizontal="center" wrapText="1"/>
    </xf>
    <xf numFmtId="165" fontId="4" fillId="0" borderId="22" xfId="0" applyNumberFormat="1" applyFont="1" applyBorder="1" applyAlignment="1">
      <alignment horizontal="center" wrapText="1"/>
    </xf>
    <xf numFmtId="0" fontId="27" fillId="0" borderId="0" xfId="0" applyFont="1" applyBorder="1"/>
    <xf numFmtId="0" fontId="28" fillId="0" borderId="0" xfId="0" applyFont="1" applyBorder="1"/>
    <xf numFmtId="0" fontId="28" fillId="0" borderId="0" xfId="0" applyFont="1" applyBorder="1" applyAlignment="1">
      <alignment horizontal="left"/>
    </xf>
    <xf numFmtId="164" fontId="30" fillId="5" borderId="1" xfId="0" applyNumberFormat="1" applyFont="1" applyFill="1" applyBorder="1" applyAlignment="1">
      <alignment horizontal="center"/>
    </xf>
    <xf numFmtId="0" fontId="31" fillId="0" borderId="0" xfId="0" applyFont="1" applyBorder="1"/>
    <xf numFmtId="9" fontId="3" fillId="0" borderId="2" xfId="0" applyNumberFormat="1" applyFont="1" applyAlignment="1">
      <alignment horizontal="center"/>
    </xf>
    <xf numFmtId="14" fontId="33" fillId="2" borderId="76" xfId="0" applyNumberFormat="1" applyFont="1" applyFill="1" applyBorder="1" applyAlignment="1">
      <alignment horizontal="center" wrapText="1"/>
    </xf>
    <xf numFmtId="0" fontId="34" fillId="0" borderId="76" xfId="0" applyFont="1" applyBorder="1" applyAlignment="1">
      <alignment horizontal="center"/>
    </xf>
    <xf numFmtId="14" fontId="33" fillId="2" borderId="2" xfId="0" applyNumberFormat="1" applyFont="1" applyFill="1" applyAlignment="1">
      <alignment horizontal="center"/>
    </xf>
    <xf numFmtId="14" fontId="33" fillId="2" borderId="2" xfId="0" applyNumberFormat="1" applyFont="1" applyFill="1" applyAlignment="1">
      <alignment horizontal="center" wrapText="1"/>
    </xf>
    <xf numFmtId="0" fontId="34" fillId="2" borderId="2" xfId="0" applyFont="1" applyFill="1"/>
    <xf numFmtId="0" fontId="34" fillId="2" borderId="2" xfId="0" applyFont="1" applyFill="1" applyAlignment="1">
      <alignment horizontal="left"/>
    </xf>
    <xf numFmtId="165" fontId="35" fillId="6" borderId="2" xfId="0" applyNumberFormat="1" applyFont="1" applyFill="1" applyAlignment="1">
      <alignment horizontal="left" wrapText="1"/>
    </xf>
    <xf numFmtId="165" fontId="8" fillId="6" borderId="2" xfId="0" applyNumberFormat="1" applyFont="1" applyFill="1" applyAlignment="1">
      <alignment horizontal="left" wrapText="1"/>
    </xf>
    <xf numFmtId="165" fontId="8" fillId="6" borderId="2" xfId="0" applyNumberFormat="1" applyFont="1" applyFill="1"/>
    <xf numFmtId="0" fontId="36" fillId="2" borderId="2" xfId="0" applyFont="1" applyFill="1" applyAlignment="1">
      <alignment horizontal="left"/>
    </xf>
    <xf numFmtId="165" fontId="37" fillId="2" borderId="2" xfId="0" applyNumberFormat="1" applyFont="1" applyFill="1"/>
    <xf numFmtId="0" fontId="34" fillId="2" borderId="76" xfId="0" applyFont="1" applyFill="1" applyBorder="1"/>
    <xf numFmtId="165" fontId="38" fillId="2" borderId="76" xfId="0" applyNumberFormat="1" applyFont="1" applyFill="1" applyBorder="1"/>
    <xf numFmtId="0" fontId="35" fillId="6" borderId="2" xfId="0" applyFont="1" applyFill="1" applyAlignment="1">
      <alignment horizontal="left"/>
    </xf>
    <xf numFmtId="165" fontId="8" fillId="6" borderId="2" xfId="0" applyNumberFormat="1" applyFont="1" applyFill="1" applyAlignment="1">
      <alignment horizontal="left"/>
    </xf>
    <xf numFmtId="0" fontId="34" fillId="2" borderId="76" xfId="0" applyFont="1" applyFill="1" applyBorder="1" applyAlignment="1">
      <alignment horizontal="left"/>
    </xf>
    <xf numFmtId="0" fontId="34" fillId="5" borderId="2" xfId="0" applyFont="1" applyFill="1"/>
    <xf numFmtId="165" fontId="38" fillId="5" borderId="2" xfId="0" applyNumberFormat="1" applyFont="1" applyFill="1"/>
    <xf numFmtId="43" fontId="35" fillId="6" borderId="2" xfId="0" applyNumberFormat="1" applyFont="1" applyFill="1" applyAlignment="1">
      <alignment horizontal="left" wrapText="1"/>
    </xf>
    <xf numFmtId="0" fontId="37" fillId="0" borderId="0" xfId="0" applyFont="1" applyBorder="1"/>
    <xf numFmtId="0" fontId="34" fillId="5" borderId="34" xfId="0" applyFont="1" applyFill="1" applyBorder="1"/>
    <xf numFmtId="165" fontId="38" fillId="5" borderId="34" xfId="0" applyNumberFormat="1" applyFont="1" applyFill="1" applyBorder="1"/>
    <xf numFmtId="0" fontId="34" fillId="5" borderId="3" xfId="0" applyFont="1" applyFill="1" applyBorder="1"/>
    <xf numFmtId="165" fontId="38" fillId="3" borderId="3" xfId="0" applyNumberFormat="1" applyFont="1" applyFill="1" applyBorder="1"/>
    <xf numFmtId="43" fontId="35" fillId="6" borderId="2" xfId="0" applyNumberFormat="1" applyFont="1" applyFill="1" applyAlignment="1">
      <alignment horizontal="left"/>
    </xf>
    <xf numFmtId="1" fontId="8" fillId="6" borderId="2" xfId="0" applyNumberFormat="1" applyFont="1" applyFill="1"/>
    <xf numFmtId="165" fontId="6" fillId="5" borderId="2" xfId="0" applyNumberFormat="1" applyFont="1" applyFill="1"/>
    <xf numFmtId="165" fontId="35" fillId="6" borderId="2" xfId="0" applyNumberFormat="1" applyFont="1" applyFill="1" applyAlignment="1">
      <alignment horizontal="left"/>
    </xf>
    <xf numFmtId="0" fontId="8" fillId="6" borderId="2" xfId="0" applyFont="1" applyFill="1"/>
    <xf numFmtId="0" fontId="8" fillId="6" borderId="25" xfId="0" applyFont="1" applyFill="1" applyBorder="1"/>
    <xf numFmtId="165" fontId="34" fillId="2" borderId="76" xfId="0" applyNumberFormat="1" applyFont="1" applyFill="1" applyBorder="1" applyAlignment="1">
      <alignment wrapText="1"/>
    </xf>
    <xf numFmtId="165" fontId="34" fillId="5" borderId="2" xfId="0" applyNumberFormat="1" applyFont="1" applyFill="1" applyAlignment="1">
      <alignment horizontal="left" wrapText="1"/>
    </xf>
    <xf numFmtId="165" fontId="36" fillId="2" borderId="2" xfId="0" applyNumberFormat="1" applyFont="1" applyFill="1" applyAlignment="1">
      <alignment horizontal="left" wrapText="1"/>
    </xf>
    <xf numFmtId="165" fontId="37" fillId="6" borderId="2" xfId="0" applyNumberFormat="1" applyFont="1" applyFill="1"/>
    <xf numFmtId="165" fontId="34" fillId="5" borderId="2" xfId="0" applyNumberFormat="1" applyFont="1" applyFill="1" applyAlignment="1">
      <alignment wrapText="1"/>
    </xf>
    <xf numFmtId="165" fontId="37" fillId="0" borderId="0" xfId="0" applyNumberFormat="1" applyFont="1" applyBorder="1"/>
    <xf numFmtId="14" fontId="39" fillId="2" borderId="2" xfId="0" applyNumberFormat="1" applyFont="1" applyFill="1" applyAlignment="1">
      <alignment horizontal="center" wrapText="1"/>
    </xf>
    <xf numFmtId="14" fontId="32" fillId="2" borderId="2" xfId="0" applyNumberFormat="1" applyFont="1" applyFill="1" applyAlignment="1">
      <alignment horizontal="center" wrapText="1"/>
    </xf>
    <xf numFmtId="14" fontId="39" fillId="2" borderId="2" xfId="0" applyNumberFormat="1" applyFont="1" applyFill="1"/>
    <xf numFmtId="0" fontId="32" fillId="2" borderId="2" xfId="0" applyFont="1" applyFill="1"/>
    <xf numFmtId="0" fontId="32" fillId="2" borderId="2" xfId="0" applyFont="1" applyFill="1" applyAlignment="1">
      <alignment horizontal="left"/>
    </xf>
    <xf numFmtId="165" fontId="40" fillId="2" borderId="2" xfId="0" applyNumberFormat="1" applyFont="1" applyFill="1" applyAlignment="1">
      <alignment horizontal="left"/>
    </xf>
    <xf numFmtId="0" fontId="40" fillId="2" borderId="2" xfId="0" applyFont="1" applyFill="1" applyAlignment="1">
      <alignment horizontal="left"/>
    </xf>
    <xf numFmtId="0" fontId="32" fillId="2" borderId="76" xfId="0" applyFont="1" applyFill="1" applyBorder="1"/>
    <xf numFmtId="165" fontId="39" fillId="2" borderId="76" xfId="0" applyNumberFormat="1" applyFont="1" applyFill="1" applyBorder="1"/>
    <xf numFmtId="0" fontId="32" fillId="2" borderId="76" xfId="0" applyFont="1" applyFill="1" applyBorder="1" applyAlignment="1">
      <alignment horizontal="left"/>
    </xf>
    <xf numFmtId="0" fontId="32" fillId="5" borderId="34" xfId="0" applyFont="1" applyFill="1" applyBorder="1"/>
    <xf numFmtId="165" fontId="39" fillId="5" borderId="34" xfId="0" applyNumberFormat="1" applyFont="1" applyFill="1" applyBorder="1"/>
    <xf numFmtId="0" fontId="32" fillId="5" borderId="3" xfId="0" applyFont="1" applyFill="1" applyBorder="1"/>
    <xf numFmtId="165" fontId="39" fillId="5" borderId="3" xfId="0" applyNumberFormat="1" applyFont="1" applyFill="1" applyBorder="1"/>
    <xf numFmtId="165" fontId="32" fillId="2" borderId="76" xfId="0" applyNumberFormat="1" applyFont="1" applyFill="1" applyBorder="1"/>
    <xf numFmtId="165" fontId="32" fillId="5" borderId="34" xfId="0" applyNumberFormat="1" applyFont="1" applyFill="1" applyBorder="1" applyAlignment="1">
      <alignment horizontal="left"/>
    </xf>
    <xf numFmtId="165" fontId="32" fillId="5" borderId="3" xfId="0" applyNumberFormat="1" applyFont="1" applyFill="1" applyBorder="1"/>
    <xf numFmtId="0" fontId="4" fillId="7" borderId="2" xfId="0" applyFont="1" applyFill="1"/>
    <xf numFmtId="168" fontId="38" fillId="7" borderId="2" xfId="0" applyNumberFormat="1" applyFont="1" applyFill="1" applyAlignment="1">
      <alignment horizontal="right"/>
    </xf>
    <xf numFmtId="0" fontId="34" fillId="5" borderId="2" xfId="0" applyFont="1" applyFill="1" applyAlignment="1">
      <alignment horizontal="left"/>
    </xf>
    <xf numFmtId="0" fontId="34" fillId="5" borderId="3" xfId="0" applyFont="1" applyFill="1" applyBorder="1" applyAlignment="1">
      <alignment horizontal="left"/>
    </xf>
    <xf numFmtId="165" fontId="38" fillId="5" borderId="3" xfId="0" applyNumberFormat="1" applyFont="1" applyFill="1" applyBorder="1"/>
    <xf numFmtId="0" fontId="34" fillId="5" borderId="34" xfId="0" applyFont="1" applyFill="1" applyBorder="1" applyAlignment="1">
      <alignment horizontal="left"/>
    </xf>
    <xf numFmtId="0" fontId="34" fillId="5" borderId="4" xfId="0" applyFont="1" applyFill="1" applyBorder="1" applyAlignment="1">
      <alignment horizontal="left"/>
    </xf>
    <xf numFmtId="165" fontId="38" fillId="5" borderId="4" xfId="0" applyNumberFormat="1" applyFont="1" applyFill="1" applyBorder="1"/>
    <xf numFmtId="0" fontId="41" fillId="2" borderId="2" xfId="0" applyFont="1" applyFill="1" applyAlignment="1">
      <alignment horizontal="left"/>
    </xf>
    <xf numFmtId="165" fontId="42" fillId="2" borderId="2" xfId="0" applyNumberFormat="1" applyFont="1" applyFill="1"/>
    <xf numFmtId="165" fontId="43" fillId="0" borderId="0" xfId="0" applyNumberFormat="1" applyFont="1" applyBorder="1"/>
    <xf numFmtId="167" fontId="38" fillId="7" borderId="2" xfId="0" applyNumberFormat="1" applyFont="1" applyFill="1" applyAlignment="1">
      <alignment horizontal="right" wrapText="1"/>
    </xf>
    <xf numFmtId="168" fontId="38" fillId="7" borderId="84" xfId="0" applyNumberFormat="1" applyFont="1" applyFill="1" applyBorder="1" applyAlignment="1">
      <alignment horizontal="center" wrapText="1"/>
    </xf>
    <xf numFmtId="168" fontId="38" fillId="7" borderId="2" xfId="0" applyNumberFormat="1" applyFont="1" applyFill="1" applyAlignment="1">
      <alignment horizontal="center" wrapText="1"/>
    </xf>
    <xf numFmtId="165" fontId="37" fillId="2" borderId="84" xfId="0" applyNumberFormat="1" applyFont="1" applyFill="1" applyBorder="1"/>
    <xf numFmtId="165" fontId="38" fillId="2" borderId="63" xfId="0" applyNumberFormat="1" applyFont="1" applyFill="1" applyBorder="1"/>
    <xf numFmtId="0" fontId="34" fillId="2" borderId="4" xfId="0" applyFont="1" applyFill="1" applyBorder="1" applyAlignment="1">
      <alignment horizontal="left"/>
    </xf>
    <xf numFmtId="165" fontId="38" fillId="2" borderId="4" xfId="0" applyNumberFormat="1" applyFont="1" applyFill="1" applyBorder="1"/>
    <xf numFmtId="165" fontId="38" fillId="2" borderId="5" xfId="0" applyNumberFormat="1" applyFont="1" applyFill="1" applyBorder="1"/>
    <xf numFmtId="0" fontId="36" fillId="2" borderId="76" xfId="0" applyFont="1" applyFill="1" applyBorder="1" applyAlignment="1">
      <alignment horizontal="left"/>
    </xf>
    <xf numFmtId="165" fontId="37" fillId="2" borderId="76" xfId="0" applyNumberFormat="1" applyFont="1" applyFill="1" applyBorder="1"/>
    <xf numFmtId="165" fontId="37" fillId="2" borderId="63" xfId="0" applyNumberFormat="1" applyFont="1" applyFill="1" applyBorder="1"/>
    <xf numFmtId="165" fontId="38" fillId="5" borderId="6" xfId="0" applyNumberFormat="1" applyFont="1" applyFill="1" applyBorder="1"/>
    <xf numFmtId="165" fontId="38" fillId="5" borderId="71" xfId="0" applyNumberFormat="1" applyFont="1" applyFill="1" applyBorder="1"/>
    <xf numFmtId="165" fontId="38" fillId="5" borderId="5" xfId="0" applyNumberFormat="1" applyFont="1" applyFill="1" applyBorder="1"/>
    <xf numFmtId="0" fontId="28" fillId="2" borderId="2" xfId="0" applyFont="1" applyFill="1" applyAlignment="1">
      <alignment vertical="center" wrapText="1"/>
    </xf>
    <xf numFmtId="0" fontId="4" fillId="7" borderId="2" xfId="0" applyFont="1" applyFill="1" applyAlignment="1">
      <alignment wrapText="1"/>
    </xf>
    <xf numFmtId="0" fontId="34" fillId="7" borderId="20" xfId="0" applyFont="1" applyFill="1" applyBorder="1" applyAlignment="1">
      <alignment horizontal="center" wrapText="1"/>
    </xf>
    <xf numFmtId="167" fontId="38" fillId="7" borderId="20" xfId="0" applyNumberFormat="1" applyFont="1" applyFill="1" applyBorder="1" applyAlignment="1">
      <alignment horizontal="right" wrapText="1"/>
    </xf>
    <xf numFmtId="168" fontId="38" fillId="7" borderId="2" xfId="0" applyNumberFormat="1" applyFont="1" applyFill="1" applyAlignment="1">
      <alignment horizontal="right" wrapText="1"/>
    </xf>
    <xf numFmtId="165" fontId="34" fillId="2" borderId="2" xfId="0" applyNumberFormat="1" applyFont="1" applyFill="1"/>
    <xf numFmtId="165" fontId="36" fillId="2" borderId="2" xfId="0" applyNumberFormat="1" applyFont="1" applyFill="1" applyAlignment="1">
      <alignment horizontal="left"/>
    </xf>
    <xf numFmtId="165" fontId="37" fillId="2" borderId="2" xfId="0" applyNumberFormat="1" applyFont="1" applyFill="1" applyAlignment="1">
      <alignment wrapText="1"/>
    </xf>
    <xf numFmtId="165" fontId="37" fillId="2" borderId="20" xfId="0" applyNumberFormat="1" applyFont="1" applyFill="1" applyBorder="1" applyAlignment="1">
      <alignment wrapText="1"/>
    </xf>
    <xf numFmtId="165" fontId="37" fillId="2" borderId="2" xfId="0" applyNumberFormat="1" applyFont="1" applyFill="1" applyAlignment="1">
      <alignment horizontal="left"/>
    </xf>
    <xf numFmtId="165" fontId="38" fillId="2" borderId="76" xfId="0" applyNumberFormat="1" applyFont="1" applyFill="1" applyBorder="1" applyAlignment="1">
      <alignment wrapText="1"/>
    </xf>
    <xf numFmtId="165" fontId="38" fillId="2" borderId="78" xfId="0" applyNumberFormat="1" applyFont="1" applyFill="1" applyBorder="1" applyAlignment="1">
      <alignment wrapText="1"/>
    </xf>
    <xf numFmtId="165" fontId="6" fillId="5" borderId="20" xfId="0" applyNumberFormat="1" applyFont="1" applyFill="1" applyBorder="1" applyAlignment="1">
      <alignment wrapText="1"/>
    </xf>
    <xf numFmtId="165" fontId="38" fillId="5" borderId="2" xfId="0" applyNumberFormat="1" applyFont="1" applyFill="1" applyAlignment="1">
      <alignment wrapText="1"/>
    </xf>
    <xf numFmtId="165" fontId="38" fillId="5" borderId="20" xfId="0" applyNumberFormat="1" applyFont="1" applyFill="1" applyBorder="1" applyAlignment="1">
      <alignment wrapText="1"/>
    </xf>
    <xf numFmtId="165" fontId="34" fillId="2" borderId="76" xfId="0" applyNumberFormat="1" applyFont="1" applyFill="1" applyBorder="1"/>
    <xf numFmtId="165" fontId="34" fillId="5" borderId="3" xfId="0" applyNumberFormat="1" applyFont="1" applyFill="1" applyBorder="1" applyAlignment="1">
      <alignment wrapText="1"/>
    </xf>
    <xf numFmtId="165" fontId="38" fillId="5" borderId="9" xfId="0" applyNumberFormat="1" applyFont="1" applyFill="1" applyBorder="1" applyAlignment="1">
      <alignment wrapText="1"/>
    </xf>
    <xf numFmtId="165" fontId="38" fillId="5" borderId="3" xfId="0" applyNumberFormat="1" applyFont="1" applyFill="1" applyBorder="1" applyAlignment="1">
      <alignment wrapText="1"/>
    </xf>
    <xf numFmtId="0" fontId="44" fillId="2" borderId="2" xfId="0" applyFont="1" applyFill="1" applyAlignment="1">
      <alignment horizontal="right"/>
    </xf>
    <xf numFmtId="9" fontId="45" fillId="2" borderId="2" xfId="0" applyNumberFormat="1" applyFont="1" applyFill="1"/>
    <xf numFmtId="0" fontId="28" fillId="2" borderId="2" xfId="0" applyFont="1" applyFill="1" applyAlignment="1">
      <alignment wrapText="1"/>
    </xf>
    <xf numFmtId="167" fontId="34" fillId="7" borderId="20" xfId="0" applyNumberFormat="1" applyFont="1" applyFill="1" applyBorder="1" applyAlignment="1">
      <alignment horizontal="center" wrapText="1"/>
    </xf>
    <xf numFmtId="167" fontId="38" fillId="7" borderId="2" xfId="0" applyNumberFormat="1" applyFont="1" applyFill="1" applyAlignment="1">
      <alignment horizontal="center" wrapText="1"/>
    </xf>
    <xf numFmtId="167" fontId="38" fillId="7" borderId="20" xfId="0" applyNumberFormat="1" applyFont="1" applyFill="1" applyBorder="1" applyAlignment="1">
      <alignment horizontal="center" wrapText="1"/>
    </xf>
    <xf numFmtId="165" fontId="37" fillId="2" borderId="20" xfId="0" applyNumberFormat="1" applyFont="1" applyFill="1" applyBorder="1"/>
    <xf numFmtId="165" fontId="38" fillId="2" borderId="78" xfId="0" applyNumberFormat="1" applyFont="1" applyFill="1" applyBorder="1"/>
    <xf numFmtId="165" fontId="38" fillId="5" borderId="35" xfId="0" applyNumberFormat="1" applyFont="1" applyFill="1" applyBorder="1"/>
    <xf numFmtId="165" fontId="38" fillId="5" borderId="20" xfId="0" applyNumberFormat="1" applyFont="1" applyFill="1" applyBorder="1"/>
    <xf numFmtId="0" fontId="28" fillId="2" borderId="2" xfId="0" applyFont="1" applyFill="1"/>
    <xf numFmtId="0" fontId="34" fillId="2" borderId="76" xfId="0" applyFont="1" applyFill="1" applyBorder="1" applyAlignment="1">
      <alignment horizontal="left" vertical="top"/>
    </xf>
    <xf numFmtId="165" fontId="38" fillId="2" borderId="78" xfId="0" applyNumberFormat="1" applyFont="1" applyFill="1" applyBorder="1" applyAlignment="1">
      <alignment vertical="top"/>
    </xf>
    <xf numFmtId="165" fontId="38" fillId="2" borderId="76" xfId="0" applyNumberFormat="1" applyFont="1" applyFill="1" applyBorder="1" applyAlignment="1">
      <alignment vertical="top"/>
    </xf>
    <xf numFmtId="165" fontId="38" fillId="5" borderId="9" xfId="0" applyNumberFormat="1" applyFont="1" applyFill="1" applyBorder="1"/>
    <xf numFmtId="165" fontId="47" fillId="8" borderId="10" xfId="0" applyNumberFormat="1" applyFont="1" applyFill="1" applyBorder="1" applyAlignment="1">
      <alignment wrapText="1"/>
    </xf>
    <xf numFmtId="167" fontId="48" fillId="8" borderId="32" xfId="0" applyNumberFormat="1" applyFont="1" applyFill="1" applyBorder="1" applyAlignment="1">
      <alignment horizontal="center" wrapText="1"/>
    </xf>
    <xf numFmtId="167" fontId="48" fillId="8" borderId="22" xfId="0" applyNumberFormat="1" applyFont="1" applyFill="1" applyBorder="1" applyAlignment="1">
      <alignment horizontal="center" wrapText="1"/>
    </xf>
    <xf numFmtId="168" fontId="48" fillId="8" borderId="32" xfId="0" applyNumberFormat="1" applyFont="1" applyFill="1" applyBorder="1" applyAlignment="1">
      <alignment horizontal="center" wrapText="1"/>
    </xf>
    <xf numFmtId="165" fontId="46" fillId="8" borderId="33" xfId="0" applyNumberFormat="1" applyFont="1" applyFill="1" applyBorder="1" applyAlignment="1">
      <alignment horizontal="center" wrapText="1"/>
    </xf>
    <xf numFmtId="168" fontId="48" fillId="8" borderId="22" xfId="0" applyNumberFormat="1" applyFont="1" applyFill="1" applyBorder="1" applyAlignment="1">
      <alignment horizontal="center" wrapText="1"/>
    </xf>
    <xf numFmtId="165" fontId="36" fillId="0" borderId="11" xfId="0" applyNumberFormat="1" applyFont="1" applyBorder="1" applyAlignment="1">
      <alignment horizontal="left" wrapText="1"/>
    </xf>
    <xf numFmtId="165" fontId="37" fillId="0" borderId="12" xfId="0" applyNumberFormat="1" applyFont="1" applyBorder="1" applyAlignment="1">
      <alignment wrapText="1"/>
    </xf>
    <xf numFmtId="165" fontId="37" fillId="0" borderId="26" xfId="0" applyNumberFormat="1" applyFont="1" applyBorder="1" applyAlignment="1">
      <alignment wrapText="1"/>
    </xf>
    <xf numFmtId="166" fontId="49" fillId="0" borderId="13" xfId="0" applyNumberFormat="1" applyFont="1" applyBorder="1" applyAlignment="1">
      <alignment horizontal="center" wrapText="1"/>
    </xf>
    <xf numFmtId="165" fontId="36" fillId="0" borderId="11" xfId="0" applyNumberFormat="1" applyFont="1" applyBorder="1" applyAlignment="1">
      <alignment horizontal="left"/>
    </xf>
    <xf numFmtId="166" fontId="49" fillId="0" borderId="74" xfId="0" applyNumberFormat="1" applyFont="1" applyBorder="1" applyAlignment="1">
      <alignment horizontal="center" wrapText="1"/>
    </xf>
    <xf numFmtId="165" fontId="46" fillId="8" borderId="14" xfId="0" applyNumberFormat="1" applyFont="1" applyFill="1" applyBorder="1"/>
    <xf numFmtId="165" fontId="48" fillId="8" borderId="15" xfId="0" applyNumberFormat="1" applyFont="1" applyFill="1" applyBorder="1" applyAlignment="1">
      <alignment wrapText="1"/>
    </xf>
    <xf numFmtId="165" fontId="48" fillId="8" borderId="69" xfId="0" applyNumberFormat="1" applyFont="1" applyFill="1" applyBorder="1" applyAlignment="1">
      <alignment wrapText="1"/>
    </xf>
    <xf numFmtId="165" fontId="11" fillId="8" borderId="16" xfId="0" applyNumberFormat="1" applyFont="1" applyFill="1" applyBorder="1" applyAlignment="1">
      <alignment vertical="top" wrapText="1"/>
    </xf>
    <xf numFmtId="9" fontId="9" fillId="8" borderId="16" xfId="0" applyNumberFormat="1" applyFont="1" applyFill="1" applyBorder="1" applyAlignment="1">
      <alignment horizontal="center"/>
    </xf>
    <xf numFmtId="0" fontId="28" fillId="2" borderId="2" xfId="0" applyFont="1" applyFill="1" applyAlignment="1">
      <alignment horizontal="left" vertical="center"/>
    </xf>
    <xf numFmtId="167" fontId="48" fillId="8" borderId="15" xfId="0" applyNumberFormat="1" applyFont="1" applyFill="1" applyBorder="1" applyAlignment="1">
      <alignment horizontal="center"/>
    </xf>
    <xf numFmtId="167" fontId="48" fillId="8" borderId="69" xfId="0" applyNumberFormat="1" applyFont="1" applyFill="1" applyBorder="1" applyAlignment="1">
      <alignment horizontal="center"/>
    </xf>
    <xf numFmtId="168" fontId="48" fillId="8" borderId="17" xfId="0" applyNumberFormat="1" applyFont="1" applyFill="1" applyBorder="1" applyAlignment="1">
      <alignment horizontal="center"/>
    </xf>
    <xf numFmtId="0" fontId="9" fillId="8" borderId="18" xfId="0" applyFont="1" applyFill="1" applyBorder="1" applyAlignment="1">
      <alignment wrapText="1"/>
    </xf>
    <xf numFmtId="0" fontId="9" fillId="8" borderId="52" xfId="0" applyFont="1" applyFill="1" applyBorder="1" applyAlignment="1">
      <alignment horizontal="center" wrapText="1"/>
    </xf>
    <xf numFmtId="0" fontId="46" fillId="8" borderId="41" xfId="0" applyFont="1" applyFill="1" applyBorder="1" applyAlignment="1">
      <alignment horizontal="center" wrapText="1"/>
    </xf>
    <xf numFmtId="0" fontId="41" fillId="8" borderId="45" xfId="0" applyFont="1" applyFill="1" applyBorder="1" applyAlignment="1">
      <alignment horizontal="center" wrapText="1"/>
    </xf>
    <xf numFmtId="0" fontId="50" fillId="6" borderId="13" xfId="0" applyFont="1" applyFill="1" applyBorder="1" applyAlignment="1">
      <alignment horizontal="center" wrapText="1"/>
    </xf>
    <xf numFmtId="0" fontId="38" fillId="0" borderId="13" xfId="0" applyFont="1" applyBorder="1" applyAlignment="1">
      <alignment horizontal="center" wrapText="1"/>
    </xf>
    <xf numFmtId="1" fontId="38" fillId="0" borderId="13" xfId="0" applyNumberFormat="1" applyFont="1" applyBorder="1" applyAlignment="1">
      <alignment horizontal="center" wrapText="1"/>
    </xf>
    <xf numFmtId="0" fontId="34" fillId="2" borderId="19" xfId="0" applyFont="1" applyFill="1" applyBorder="1" applyAlignment="1">
      <alignment wrapText="1"/>
    </xf>
    <xf numFmtId="0" fontId="34" fillId="2" borderId="38" xfId="0" applyFont="1" applyFill="1" applyBorder="1" applyAlignment="1">
      <alignment horizontal="right" vertical="top" wrapText="1"/>
    </xf>
    <xf numFmtId="166" fontId="50" fillId="4" borderId="18" xfId="0" applyNumberFormat="1" applyFont="1" applyFill="1" applyBorder="1" applyAlignment="1">
      <alignment horizontal="center" wrapText="1"/>
    </xf>
    <xf numFmtId="166" fontId="50" fillId="4" borderId="17" xfId="0" applyNumberFormat="1" applyFont="1" applyFill="1" applyBorder="1" applyAlignment="1">
      <alignment horizontal="center" wrapText="1"/>
    </xf>
    <xf numFmtId="0" fontId="34" fillId="0" borderId="21" xfId="0" applyFont="1" applyBorder="1" applyAlignment="1">
      <alignment horizontal="left" wrapText="1"/>
    </xf>
    <xf numFmtId="0" fontId="36" fillId="0" borderId="22" xfId="0" applyFont="1" applyBorder="1" applyAlignment="1">
      <alignment horizontal="right" wrapText="1"/>
    </xf>
    <xf numFmtId="9" fontId="50" fillId="4" borderId="23" xfId="0" applyNumberFormat="1" applyFont="1" applyFill="1" applyBorder="1" applyAlignment="1">
      <alignment horizontal="center" wrapText="1"/>
    </xf>
    <xf numFmtId="165" fontId="37" fillId="2" borderId="24" xfId="0" applyNumberFormat="1" applyFont="1" applyFill="1" applyBorder="1" applyAlignment="1">
      <alignment horizontal="center" wrapText="1"/>
    </xf>
    <xf numFmtId="166" fontId="51" fillId="6" borderId="12" xfId="0" applyNumberFormat="1" applyFont="1" applyFill="1" applyBorder="1" applyAlignment="1">
      <alignment horizontal="center" wrapText="1"/>
    </xf>
    <xf numFmtId="165" fontId="37" fillId="0" borderId="4" xfId="0" applyNumberFormat="1" applyFont="1" applyBorder="1" applyAlignment="1">
      <alignment wrapText="1"/>
    </xf>
    <xf numFmtId="0" fontId="34" fillId="0" borderId="62" xfId="0" applyFont="1" applyBorder="1" applyAlignment="1">
      <alignment horizontal="left" wrapText="1"/>
    </xf>
    <xf numFmtId="0" fontId="36" fillId="0" borderId="25" xfId="0" applyFont="1" applyBorder="1" applyAlignment="1">
      <alignment horizontal="right" wrapText="1"/>
    </xf>
    <xf numFmtId="9" fontId="50" fillId="4" borderId="58" xfId="0" applyNumberFormat="1" applyFont="1" applyFill="1" applyBorder="1" applyAlignment="1">
      <alignment horizontal="center" wrapText="1"/>
    </xf>
    <xf numFmtId="0" fontId="36" fillId="0" borderId="62" xfId="0" applyFont="1" applyBorder="1" applyAlignment="1">
      <alignment horizontal="left" wrapText="1"/>
    </xf>
    <xf numFmtId="165" fontId="37" fillId="2" borderId="1" xfId="0" applyNumberFormat="1" applyFont="1" applyFill="1" applyBorder="1" applyAlignment="1">
      <alignment wrapText="1"/>
    </xf>
    <xf numFmtId="165" fontId="52" fillId="2" borderId="26" xfId="0" applyNumberFormat="1" applyFont="1" applyFill="1" applyBorder="1" applyAlignment="1">
      <alignment wrapText="1"/>
    </xf>
    <xf numFmtId="165" fontId="37" fillId="2" borderId="29" xfId="0" applyNumberFormat="1" applyFont="1" applyFill="1" applyBorder="1" applyAlignment="1">
      <alignment horizontal="center" wrapText="1"/>
    </xf>
    <xf numFmtId="166" fontId="8" fillId="6" borderId="30" xfId="0" applyNumberFormat="1" applyFont="1" applyFill="1" applyBorder="1" applyAlignment="1">
      <alignment horizontal="center" wrapText="1"/>
    </xf>
    <xf numFmtId="0" fontId="28" fillId="2" borderId="2" xfId="0" applyFont="1" applyFill="1" applyAlignment="1">
      <alignment vertical="center"/>
    </xf>
    <xf numFmtId="0" fontId="46" fillId="8" borderId="40" xfId="0" applyFont="1" applyFill="1" applyBorder="1" applyAlignment="1">
      <alignment horizontal="left"/>
    </xf>
    <xf numFmtId="0" fontId="9" fillId="8" borderId="61" xfId="0" applyFont="1" applyFill="1" applyBorder="1" applyAlignment="1">
      <alignment horizontal="left"/>
    </xf>
    <xf numFmtId="0" fontId="46" fillId="8" borderId="31" xfId="0" applyFont="1" applyFill="1" applyBorder="1" applyAlignment="1">
      <alignment horizontal="center"/>
    </xf>
    <xf numFmtId="0" fontId="46" fillId="8" borderId="31" xfId="0" applyFont="1" applyFill="1" applyBorder="1" applyAlignment="1">
      <alignment horizontal="center" wrapText="1"/>
    </xf>
    <xf numFmtId="0" fontId="41" fillId="8" borderId="18" xfId="0" applyFont="1" applyFill="1" applyBorder="1" applyAlignment="1">
      <alignment horizontal="center" wrapText="1"/>
    </xf>
    <xf numFmtId="0" fontId="6" fillId="0" borderId="10" xfId="0" applyFont="1" applyBorder="1" applyAlignment="1">
      <alignment horizontal="left" wrapText="1"/>
    </xf>
    <xf numFmtId="0" fontId="6" fillId="0" borderId="10" xfId="0" applyFont="1" applyBorder="1" applyAlignment="1">
      <alignment horizontal="center" wrapText="1"/>
    </xf>
    <xf numFmtId="0" fontId="34" fillId="0" borderId="12" xfId="0" applyFont="1" applyBorder="1" applyAlignment="1">
      <alignment horizontal="left" wrapText="1"/>
    </xf>
    <xf numFmtId="0" fontId="36" fillId="0" borderId="4" xfId="0" applyFont="1" applyBorder="1" applyAlignment="1">
      <alignment horizontal="right" wrapText="1"/>
    </xf>
    <xf numFmtId="44" fontId="50" fillId="4" borderId="13" xfId="0" applyNumberFormat="1" applyFont="1" applyFill="1" applyBorder="1" applyAlignment="1">
      <alignment horizontal="center" wrapText="1"/>
    </xf>
    <xf numFmtId="169" fontId="52" fillId="0" borderId="48" xfId="0" applyNumberFormat="1" applyFont="1" applyBorder="1" applyAlignment="1">
      <alignment wrapText="1"/>
    </xf>
    <xf numFmtId="169" fontId="52" fillId="0" borderId="1" xfId="0" applyNumberFormat="1" applyFont="1" applyBorder="1" applyAlignment="1">
      <alignment wrapText="1"/>
    </xf>
    <xf numFmtId="169" fontId="52" fillId="0" borderId="4" xfId="0" applyNumberFormat="1" applyFont="1" applyBorder="1" applyAlignment="1">
      <alignment wrapText="1"/>
    </xf>
    <xf numFmtId="169" fontId="37" fillId="0" borderId="4" xfId="0" applyNumberFormat="1" applyFont="1" applyBorder="1" applyAlignment="1">
      <alignment wrapText="1"/>
    </xf>
    <xf numFmtId="169" fontId="52" fillId="0" borderId="11" xfId="0" applyNumberFormat="1" applyFont="1" applyBorder="1" applyAlignment="1">
      <alignment wrapText="1"/>
    </xf>
    <xf numFmtId="0" fontId="36" fillId="0" borderId="12" xfId="0" applyFont="1" applyBorder="1" applyAlignment="1">
      <alignment horizontal="left" wrapText="1"/>
    </xf>
    <xf numFmtId="0" fontId="36" fillId="0" borderId="26" xfId="0" applyFont="1" applyBorder="1" applyAlignment="1">
      <alignment horizontal="right" wrapText="1"/>
    </xf>
    <xf numFmtId="44" fontId="50" fillId="6" borderId="1" xfId="0" applyNumberFormat="1" applyFont="1" applyFill="1" applyBorder="1" applyAlignment="1">
      <alignment horizontal="center" wrapText="1"/>
    </xf>
    <xf numFmtId="169" fontId="38" fillId="0" borderId="55" xfId="0" applyNumberFormat="1" applyFont="1" applyBorder="1" applyAlignment="1">
      <alignment wrapText="1"/>
    </xf>
    <xf numFmtId="169" fontId="38" fillId="0" borderId="28" xfId="0" applyNumberFormat="1" applyFont="1" applyBorder="1" applyAlignment="1">
      <alignment wrapText="1"/>
    </xf>
    <xf numFmtId="169" fontId="38" fillId="0" borderId="35" xfId="0" applyNumberFormat="1" applyFont="1" applyBorder="1" applyAlignment="1">
      <alignment wrapText="1"/>
    </xf>
    <xf numFmtId="169" fontId="38" fillId="0" borderId="30" xfId="0" applyNumberFormat="1" applyFont="1" applyBorder="1" applyAlignment="1">
      <alignment wrapText="1"/>
    </xf>
    <xf numFmtId="169" fontId="38" fillId="0" borderId="36" xfId="0" applyNumberFormat="1" applyFont="1" applyBorder="1" applyAlignment="1">
      <alignment wrapText="1"/>
    </xf>
    <xf numFmtId="169" fontId="48" fillId="8" borderId="17" xfId="0" applyNumberFormat="1" applyFont="1" applyFill="1" applyBorder="1"/>
    <xf numFmtId="169" fontId="9" fillId="8" borderId="17" xfId="0" applyNumberFormat="1" applyFont="1" applyFill="1" applyBorder="1"/>
    <xf numFmtId="169" fontId="48" fillId="8" borderId="31" xfId="0" applyNumberFormat="1" applyFont="1" applyFill="1" applyBorder="1"/>
    <xf numFmtId="0" fontId="32" fillId="0" borderId="0" xfId="0" applyFont="1" applyBorder="1"/>
    <xf numFmtId="0" fontId="34" fillId="0" borderId="0" xfId="0" applyFont="1" applyBorder="1"/>
    <xf numFmtId="165" fontId="47" fillId="8" borderId="14" xfId="0" applyNumberFormat="1" applyFont="1" applyFill="1" applyBorder="1"/>
    <xf numFmtId="167" fontId="48" fillId="8" borderId="15" xfId="0" applyNumberFormat="1" applyFont="1" applyFill="1" applyBorder="1" applyAlignment="1">
      <alignment horizontal="center" wrapText="1"/>
    </xf>
    <xf numFmtId="167" fontId="48" fillId="8" borderId="69" xfId="0" applyNumberFormat="1" applyFont="1" applyFill="1" applyBorder="1" applyAlignment="1">
      <alignment horizontal="center" wrapText="1"/>
    </xf>
    <xf numFmtId="168" fontId="48" fillId="8" borderId="18" xfId="0" applyNumberFormat="1" applyFont="1" applyFill="1" applyBorder="1" applyAlignment="1">
      <alignment horizontal="center" wrapText="1"/>
    </xf>
    <xf numFmtId="165" fontId="46" fillId="8" borderId="16" xfId="0" applyNumberFormat="1" applyFont="1" applyFill="1" applyBorder="1" applyAlignment="1">
      <alignment horizontal="center" wrapText="1"/>
    </xf>
    <xf numFmtId="168" fontId="48" fillId="8" borderId="37" xfId="0" applyNumberFormat="1" applyFont="1" applyFill="1" applyBorder="1" applyAlignment="1">
      <alignment horizontal="center" wrapText="1"/>
    </xf>
    <xf numFmtId="165" fontId="46" fillId="8" borderId="69" xfId="0" applyNumberFormat="1" applyFont="1" applyFill="1" applyBorder="1" applyAlignment="1">
      <alignment horizontal="center" wrapText="1"/>
    </xf>
    <xf numFmtId="165" fontId="46" fillId="8" borderId="31" xfId="0" applyNumberFormat="1" applyFont="1" applyFill="1" applyBorder="1" applyAlignment="1">
      <alignment horizontal="center" wrapText="1"/>
    </xf>
    <xf numFmtId="165" fontId="36" fillId="0" borderId="64" xfId="0" applyNumberFormat="1" applyFont="1" applyBorder="1" applyAlignment="1">
      <alignment wrapText="1"/>
    </xf>
    <xf numFmtId="165" fontId="37" fillId="0" borderId="19" xfId="0" applyNumberFormat="1" applyFont="1" applyBorder="1" applyAlignment="1">
      <alignment wrapText="1"/>
    </xf>
    <xf numFmtId="165" fontId="37" fillId="0" borderId="0" xfId="0" applyNumberFormat="1" applyFont="1" applyBorder="1" applyAlignment="1">
      <alignment wrapText="1"/>
    </xf>
    <xf numFmtId="166" fontId="49" fillId="0" borderId="38" xfId="0" applyNumberFormat="1" applyFont="1" applyBorder="1" applyAlignment="1">
      <alignment horizontal="center" wrapText="1"/>
    </xf>
    <xf numFmtId="166" fontId="49" fillId="0" borderId="0" xfId="0" applyNumberFormat="1" applyFont="1" applyBorder="1" applyAlignment="1">
      <alignment horizontal="center" wrapText="1"/>
    </xf>
    <xf numFmtId="165" fontId="48" fillId="8" borderId="18" xfId="0" applyNumberFormat="1" applyFont="1" applyFill="1" applyBorder="1" applyAlignment="1">
      <alignment wrapText="1"/>
    </xf>
    <xf numFmtId="166" fontId="48" fillId="8" borderId="31" xfId="0" applyNumberFormat="1" applyFont="1" applyFill="1" applyBorder="1" applyAlignment="1">
      <alignment horizontal="center"/>
    </xf>
    <xf numFmtId="166" fontId="48" fillId="8" borderId="39" xfId="0" applyNumberFormat="1" applyFont="1" applyFill="1" applyBorder="1" applyAlignment="1">
      <alignment horizontal="center"/>
    </xf>
    <xf numFmtId="168" fontId="48" fillId="8" borderId="14" xfId="0" applyNumberFormat="1" applyFont="1" applyFill="1" applyBorder="1" applyAlignment="1">
      <alignment horizontal="center"/>
    </xf>
    <xf numFmtId="0" fontId="46" fillId="8" borderId="45" xfId="0" applyFont="1" applyFill="1" applyBorder="1" applyAlignment="1">
      <alignment horizontal="center" wrapText="1"/>
    </xf>
    <xf numFmtId="0" fontId="46" fillId="8" borderId="42" xfId="0" applyFont="1" applyFill="1" applyBorder="1" applyAlignment="1">
      <alignment horizontal="center" wrapText="1"/>
    </xf>
    <xf numFmtId="0" fontId="46" fillId="8" borderId="43" xfId="0" applyFont="1" applyFill="1" applyBorder="1" applyAlignment="1">
      <alignment horizontal="center" wrapText="1"/>
    </xf>
    <xf numFmtId="167" fontId="46" fillId="8" borderId="66" xfId="0" applyNumberFormat="1" applyFont="1" applyFill="1" applyBorder="1" applyAlignment="1">
      <alignment horizontal="center" wrapText="1"/>
    </xf>
    <xf numFmtId="0" fontId="41" fillId="8" borderId="44" xfId="0" applyFont="1" applyFill="1" applyBorder="1" applyAlignment="1">
      <alignment horizontal="center" wrapText="1"/>
    </xf>
    <xf numFmtId="168" fontId="46" fillId="8" borderId="27" xfId="0" applyNumberFormat="1" applyFont="1" applyFill="1" applyBorder="1" applyAlignment="1">
      <alignment horizontal="center" wrapText="1"/>
    </xf>
    <xf numFmtId="168" fontId="46" fillId="8" borderId="16" xfId="0" applyNumberFormat="1" applyFont="1" applyFill="1" applyBorder="1" applyAlignment="1">
      <alignment horizontal="center" wrapText="1"/>
    </xf>
    <xf numFmtId="0" fontId="9" fillId="0" borderId="10" xfId="0" applyFont="1" applyBorder="1" applyAlignment="1">
      <alignment horizontal="center" wrapText="1"/>
    </xf>
    <xf numFmtId="167" fontId="9" fillId="0" borderId="33" xfId="0" applyNumberFormat="1" applyFont="1" applyBorder="1" applyAlignment="1">
      <alignment horizontal="center"/>
    </xf>
    <xf numFmtId="0" fontId="36" fillId="0" borderId="45" xfId="0" applyFont="1" applyBorder="1" applyAlignment="1">
      <alignment horizontal="center" wrapText="1"/>
    </xf>
    <xf numFmtId="0" fontId="34" fillId="0" borderId="38" xfId="0" applyFont="1" applyBorder="1" applyAlignment="1">
      <alignment horizontal="right" wrapText="1"/>
    </xf>
    <xf numFmtId="165" fontId="38" fillId="0" borderId="0" xfId="0" applyNumberFormat="1" applyFont="1" applyBorder="1" applyAlignment="1">
      <alignment horizontal="center"/>
    </xf>
    <xf numFmtId="165" fontId="38" fillId="0" borderId="49" xfId="0" applyNumberFormat="1" applyFont="1" applyBorder="1"/>
    <xf numFmtId="0" fontId="34" fillId="0" borderId="48" xfId="0" applyFont="1" applyBorder="1"/>
    <xf numFmtId="0" fontId="34" fillId="0" borderId="26" xfId="0" applyFont="1" applyBorder="1"/>
    <xf numFmtId="44" fontId="50" fillId="6" borderId="13" xfId="0" applyNumberFormat="1" applyFont="1" applyFill="1" applyBorder="1" applyAlignment="1">
      <alignment horizontal="center"/>
    </xf>
    <xf numFmtId="165" fontId="38" fillId="0" borderId="4" xfId="0" applyNumberFormat="1" applyFont="1" applyBorder="1"/>
    <xf numFmtId="166" fontId="50" fillId="6" borderId="12" xfId="0" applyNumberFormat="1" applyFont="1" applyFill="1" applyBorder="1" applyAlignment="1">
      <alignment horizontal="center"/>
    </xf>
    <xf numFmtId="166" fontId="54" fillId="0" borderId="0" xfId="0" applyNumberFormat="1" applyFont="1" applyBorder="1"/>
    <xf numFmtId="166" fontId="20" fillId="0" borderId="64" xfId="0" applyNumberFormat="1" applyFont="1" applyBorder="1" applyAlignment="1">
      <alignment horizontal="center"/>
    </xf>
    <xf numFmtId="0" fontId="34" fillId="0" borderId="32" xfId="0" applyFont="1" applyBorder="1"/>
    <xf numFmtId="166" fontId="18" fillId="0" borderId="33" xfId="0" applyNumberFormat="1" applyFont="1" applyBorder="1" applyAlignment="1">
      <alignment horizontal="center" wrapText="1"/>
    </xf>
    <xf numFmtId="0" fontId="36" fillId="0" borderId="48" xfId="0" applyFont="1" applyBorder="1" applyAlignment="1">
      <alignment horizontal="left"/>
    </xf>
    <xf numFmtId="9" fontId="51" fillId="6" borderId="1" xfId="0" applyNumberFormat="1" applyFont="1" applyFill="1" applyBorder="1" applyAlignment="1">
      <alignment horizontal="center" wrapText="1"/>
    </xf>
    <xf numFmtId="0" fontId="35" fillId="0" borderId="13" xfId="0" applyFont="1" applyBorder="1" applyAlignment="1">
      <alignment wrapText="1"/>
    </xf>
    <xf numFmtId="165" fontId="52" fillId="0" borderId="26" xfId="0" applyNumberFormat="1" applyFont="1" applyBorder="1" applyAlignment="1">
      <alignment wrapText="1"/>
    </xf>
    <xf numFmtId="44" fontId="8" fillId="6" borderId="1" xfId="0" applyNumberFormat="1" applyFont="1" applyFill="1" applyBorder="1" applyAlignment="1">
      <alignment horizontal="center" wrapText="1"/>
    </xf>
    <xf numFmtId="166" fontId="8" fillId="6" borderId="12" xfId="0" applyNumberFormat="1" applyFont="1" applyFill="1" applyBorder="1" applyAlignment="1">
      <alignment horizontal="center" wrapText="1"/>
    </xf>
    <xf numFmtId="165" fontId="38" fillId="0" borderId="15" xfId="0" applyNumberFormat="1" applyFont="1" applyBorder="1"/>
    <xf numFmtId="165" fontId="38" fillId="0" borderId="17" xfId="0" applyNumberFormat="1" applyFont="1" applyBorder="1"/>
    <xf numFmtId="165" fontId="38" fillId="0" borderId="16" xfId="0" applyNumberFormat="1" applyFont="1" applyBorder="1"/>
    <xf numFmtId="165" fontId="4" fillId="0" borderId="47" xfId="0" applyNumberFormat="1" applyFont="1" applyBorder="1" applyAlignment="1">
      <alignment horizontal="center"/>
    </xf>
    <xf numFmtId="0" fontId="4" fillId="0" borderId="10" xfId="0" applyFont="1" applyBorder="1" applyAlignment="1">
      <alignment horizontal="center" wrapText="1"/>
    </xf>
    <xf numFmtId="166" fontId="51" fillId="6" borderId="12" xfId="0" applyNumberFormat="1" applyFont="1" applyFill="1" applyBorder="1" applyAlignment="1">
      <alignment horizontal="center"/>
    </xf>
    <xf numFmtId="44" fontId="8" fillId="6" borderId="28" xfId="0" applyNumberFormat="1" applyFont="1" applyFill="1" applyBorder="1"/>
    <xf numFmtId="166" fontId="8" fillId="6" borderId="51" xfId="0" applyNumberFormat="1" applyFont="1" applyFill="1" applyBorder="1" applyAlignment="1">
      <alignment horizontal="center"/>
    </xf>
    <xf numFmtId="166" fontId="8" fillId="6" borderId="30" xfId="0" applyNumberFormat="1" applyFont="1" applyFill="1" applyBorder="1" applyAlignment="1">
      <alignment horizontal="center"/>
    </xf>
    <xf numFmtId="165" fontId="38" fillId="0" borderId="37" xfId="0" applyNumberFormat="1" applyFont="1" applyBorder="1"/>
    <xf numFmtId="0" fontId="46" fillId="8" borderId="15" xfId="0" applyFont="1" applyFill="1" applyBorder="1"/>
    <xf numFmtId="0" fontId="9" fillId="8" borderId="69" xfId="0" applyFont="1" applyFill="1" applyBorder="1" applyAlignment="1">
      <alignment vertical="center"/>
    </xf>
    <xf numFmtId="169" fontId="48" fillId="8" borderId="15" xfId="0" applyNumberFormat="1" applyFont="1" applyFill="1" applyBorder="1"/>
    <xf numFmtId="169" fontId="48" fillId="8" borderId="39" xfId="0" applyNumberFormat="1" applyFont="1" applyFill="1" applyBorder="1"/>
    <xf numFmtId="169" fontId="9" fillId="8" borderId="15" xfId="0" applyNumberFormat="1" applyFont="1" applyFill="1" applyBorder="1"/>
    <xf numFmtId="169" fontId="9" fillId="8" borderId="67" xfId="0" applyNumberFormat="1" applyFont="1" applyFill="1" applyBorder="1"/>
    <xf numFmtId="14" fontId="32" fillId="0" borderId="0" xfId="0" applyNumberFormat="1" applyFont="1" applyBorder="1" applyAlignment="1">
      <alignment horizontal="left"/>
    </xf>
    <xf numFmtId="0" fontId="46" fillId="9" borderId="45" xfId="0" applyFont="1" applyFill="1" applyBorder="1" applyAlignment="1">
      <alignment horizontal="center" wrapText="1"/>
    </xf>
    <xf numFmtId="0" fontId="46" fillId="9" borderId="52" xfId="0" applyFont="1" applyFill="1" applyBorder="1" applyAlignment="1">
      <alignment horizontal="center" wrapText="1"/>
    </xf>
    <xf numFmtId="0" fontId="46" fillId="9" borderId="42" xfId="0" applyFont="1" applyFill="1" applyBorder="1" applyAlignment="1">
      <alignment horizontal="center"/>
    </xf>
    <xf numFmtId="0" fontId="46" fillId="9" borderId="42" xfId="0" applyFont="1" applyFill="1" applyBorder="1" applyAlignment="1">
      <alignment horizontal="center" wrapText="1"/>
    </xf>
    <xf numFmtId="169" fontId="46" fillId="9" borderId="42" xfId="0" applyNumberFormat="1" applyFont="1" applyFill="1" applyBorder="1" applyAlignment="1">
      <alignment horizontal="center" wrapText="1"/>
    </xf>
    <xf numFmtId="0" fontId="46" fillId="9" borderId="41" xfId="0" applyFont="1" applyFill="1" applyBorder="1" applyAlignment="1">
      <alignment horizontal="center" wrapText="1"/>
    </xf>
    <xf numFmtId="0" fontId="46" fillId="9" borderId="18" xfId="0" applyFont="1" applyFill="1" applyBorder="1" applyAlignment="1">
      <alignment horizontal="center" wrapText="1"/>
    </xf>
    <xf numFmtId="0" fontId="46" fillId="9" borderId="17" xfId="0" applyFont="1" applyFill="1" applyBorder="1" applyAlignment="1">
      <alignment horizontal="center" wrapText="1"/>
    </xf>
    <xf numFmtId="0" fontId="46" fillId="9" borderId="16" xfId="0" applyFont="1" applyFill="1" applyBorder="1" applyAlignment="1">
      <alignment horizontal="center" wrapText="1"/>
    </xf>
    <xf numFmtId="0" fontId="35" fillId="6" borderId="48" xfId="0" applyFont="1" applyFill="1" applyBorder="1" applyAlignment="1">
      <alignment horizontal="left"/>
    </xf>
    <xf numFmtId="0" fontId="51" fillId="6" borderId="42" xfId="0" applyFont="1" applyFill="1" applyBorder="1" applyAlignment="1">
      <alignment horizontal="center"/>
    </xf>
    <xf numFmtId="0" fontId="35" fillId="6" borderId="42" xfId="0" applyFont="1" applyFill="1" applyBorder="1" applyAlignment="1">
      <alignment horizontal="center"/>
    </xf>
    <xf numFmtId="0" fontId="51" fillId="6" borderId="52" xfId="0" applyFont="1" applyFill="1" applyBorder="1" applyAlignment="1">
      <alignment horizontal="center"/>
    </xf>
    <xf numFmtId="169" fontId="51" fillId="6" borderId="42" xfId="0" applyNumberFormat="1" applyFont="1" applyFill="1" applyBorder="1" applyAlignment="1">
      <alignment horizontal="left"/>
    </xf>
    <xf numFmtId="44" fontId="8" fillId="6" borderId="42" xfId="0" applyNumberFormat="1" applyFont="1" applyFill="1" applyBorder="1"/>
    <xf numFmtId="0" fontId="8" fillId="6" borderId="53" xfId="0" applyFont="1" applyFill="1" applyBorder="1" applyAlignment="1">
      <alignment horizontal="center"/>
    </xf>
    <xf numFmtId="9" fontId="51" fillId="6" borderId="52" xfId="0" applyNumberFormat="1" applyFont="1" applyFill="1" applyBorder="1" applyAlignment="1">
      <alignment horizontal="center"/>
    </xf>
    <xf numFmtId="9" fontId="51" fillId="6" borderId="41" xfId="0" applyNumberFormat="1" applyFont="1" applyFill="1" applyBorder="1" applyAlignment="1">
      <alignment horizontal="center"/>
    </xf>
    <xf numFmtId="0" fontId="36" fillId="2" borderId="19" xfId="0" applyFont="1" applyFill="1" applyBorder="1" applyAlignment="1">
      <alignment horizontal="left"/>
    </xf>
    <xf numFmtId="170" fontId="51" fillId="6" borderId="54" xfId="0" applyNumberFormat="1" applyFont="1" applyFill="1" applyBorder="1"/>
    <xf numFmtId="10" fontId="51" fillId="6" borderId="38" xfId="0" applyNumberFormat="1" applyFont="1" applyFill="1" applyBorder="1" applyAlignment="1">
      <alignment horizontal="center"/>
    </xf>
    <xf numFmtId="0" fontId="51" fillId="6" borderId="1" xfId="0" applyFont="1" applyFill="1" applyBorder="1" applyAlignment="1">
      <alignment horizontal="center"/>
    </xf>
    <xf numFmtId="0" fontId="35" fillId="6" borderId="1" xfId="0" applyFont="1" applyFill="1" applyBorder="1" applyAlignment="1">
      <alignment horizontal="center"/>
    </xf>
    <xf numFmtId="0" fontId="51" fillId="6" borderId="26" xfId="0" applyFont="1" applyFill="1" applyBorder="1" applyAlignment="1">
      <alignment horizontal="center"/>
    </xf>
    <xf numFmtId="169" fontId="51" fillId="6" borderId="1" xfId="0" applyNumberFormat="1" applyFont="1" applyFill="1" applyBorder="1"/>
    <xf numFmtId="44" fontId="8" fillId="6" borderId="1" xfId="0" applyNumberFormat="1" applyFont="1" applyFill="1" applyBorder="1"/>
    <xf numFmtId="0" fontId="8" fillId="6" borderId="1" xfId="0" applyFont="1" applyFill="1" applyBorder="1" applyAlignment="1">
      <alignment horizontal="center"/>
    </xf>
    <xf numFmtId="9" fontId="51" fillId="6" borderId="26" xfId="0" applyNumberFormat="1" applyFont="1" applyFill="1" applyBorder="1" applyAlignment="1">
      <alignment horizontal="center"/>
    </xf>
    <xf numFmtId="9" fontId="51" fillId="6" borderId="49" xfId="0" applyNumberFormat="1" applyFont="1" applyFill="1" applyBorder="1" applyAlignment="1">
      <alignment horizontal="center"/>
    </xf>
    <xf numFmtId="0" fontId="36" fillId="2" borderId="48" xfId="0" applyFont="1" applyFill="1" applyBorder="1" applyAlignment="1">
      <alignment horizontal="left"/>
    </xf>
    <xf numFmtId="169" fontId="16" fillId="6" borderId="1" xfId="0" applyNumberFormat="1" applyFont="1" applyFill="1" applyBorder="1"/>
    <xf numFmtId="10" fontId="51" fillId="6" borderId="49" xfId="0" applyNumberFormat="1" applyFont="1" applyFill="1" applyBorder="1" applyAlignment="1">
      <alignment horizontal="center"/>
    </xf>
    <xf numFmtId="0" fontId="51" fillId="6" borderId="54" xfId="0" applyFont="1" applyFill="1" applyBorder="1" applyAlignment="1">
      <alignment horizontal="center"/>
    </xf>
    <xf numFmtId="0" fontId="35" fillId="6" borderId="54" xfId="0" applyFont="1" applyFill="1" applyBorder="1" applyAlignment="1">
      <alignment horizontal="center"/>
    </xf>
    <xf numFmtId="0" fontId="51" fillId="6" borderId="20" xfId="0" applyFont="1" applyFill="1" applyBorder="1" applyAlignment="1">
      <alignment horizontal="center"/>
    </xf>
    <xf numFmtId="169" fontId="8" fillId="6" borderId="54" xfId="0" applyNumberFormat="1" applyFont="1" applyFill="1" applyBorder="1"/>
    <xf numFmtId="44" fontId="51" fillId="6" borderId="54" xfId="0" applyNumberFormat="1" applyFont="1" applyFill="1" applyBorder="1"/>
    <xf numFmtId="9" fontId="51" fillId="6" borderId="20" xfId="0" applyNumberFormat="1" applyFont="1" applyFill="1" applyBorder="1" applyAlignment="1">
      <alignment horizontal="center"/>
    </xf>
    <xf numFmtId="9" fontId="51" fillId="6" borderId="38" xfId="0" applyNumberFormat="1" applyFont="1" applyFill="1" applyBorder="1" applyAlignment="1">
      <alignment horizontal="center"/>
    </xf>
    <xf numFmtId="169" fontId="51" fillId="6" borderId="54" xfId="0" applyNumberFormat="1" applyFont="1" applyFill="1" applyBorder="1" applyAlignment="1">
      <alignment horizontal="right"/>
    </xf>
    <xf numFmtId="169" fontId="51" fillId="6" borderId="1" xfId="0" applyNumberFormat="1" applyFont="1" applyFill="1" applyBorder="1" applyAlignment="1">
      <alignment horizontal="right"/>
    </xf>
    <xf numFmtId="10" fontId="36" fillId="0" borderId="0" xfId="0" applyNumberFormat="1" applyFont="1" applyBorder="1" applyAlignment="1">
      <alignment horizontal="left"/>
    </xf>
    <xf numFmtId="0" fontId="8" fillId="6" borderId="54" xfId="0" applyFont="1" applyFill="1" applyBorder="1" applyAlignment="1">
      <alignment horizontal="center"/>
    </xf>
    <xf numFmtId="44" fontId="8" fillId="6" borderId="20" xfId="0" applyNumberFormat="1" applyFont="1" applyFill="1" applyBorder="1"/>
    <xf numFmtId="9" fontId="8" fillId="6" borderId="26" xfId="0" applyNumberFormat="1" applyFont="1" applyFill="1" applyBorder="1" applyAlignment="1">
      <alignment horizontal="center"/>
    </xf>
    <xf numFmtId="9" fontId="8" fillId="6" borderId="49" xfId="0" applyNumberFormat="1" applyFont="1" applyFill="1" applyBorder="1" applyAlignment="1">
      <alignment horizontal="center"/>
    </xf>
    <xf numFmtId="0" fontId="16" fillId="6" borderId="54" xfId="0" applyFont="1" applyFill="1" applyBorder="1"/>
    <xf numFmtId="169" fontId="8" fillId="6" borderId="1" xfId="0" applyNumberFormat="1" applyFont="1" applyFill="1" applyBorder="1"/>
    <xf numFmtId="0" fontId="16" fillId="6" borderId="1" xfId="0" applyFont="1" applyFill="1" applyBorder="1"/>
    <xf numFmtId="10" fontId="8" fillId="6" borderId="49" xfId="0" applyNumberFormat="1" applyFont="1" applyFill="1" applyBorder="1" applyAlignment="1">
      <alignment horizontal="center"/>
    </xf>
    <xf numFmtId="0" fontId="36" fillId="2" borderId="55" xfId="0" applyFont="1" applyFill="1" applyBorder="1" applyAlignment="1">
      <alignment horizontal="left"/>
    </xf>
    <xf numFmtId="0" fontId="16" fillId="6" borderId="28" xfId="0" applyFont="1" applyFill="1" applyBorder="1"/>
    <xf numFmtId="10" fontId="8" fillId="6" borderId="56" xfId="0" applyNumberFormat="1" applyFont="1" applyFill="1" applyBorder="1" applyAlignment="1">
      <alignment horizontal="center"/>
    </xf>
    <xf numFmtId="44" fontId="8" fillId="6" borderId="54" xfId="0" applyNumberFormat="1" applyFont="1" applyFill="1" applyBorder="1"/>
    <xf numFmtId="0" fontId="46" fillId="9" borderId="67" xfId="0" applyFont="1" applyFill="1" applyBorder="1"/>
    <xf numFmtId="0" fontId="11" fillId="9" borderId="68" xfId="0" applyFont="1" applyFill="1" applyBorder="1"/>
    <xf numFmtId="0" fontId="9" fillId="9" borderId="57" xfId="0" applyFont="1" applyFill="1" applyBorder="1"/>
    <xf numFmtId="10" fontId="48" fillId="9" borderId="77" xfId="0" applyNumberFormat="1" applyFont="1" applyFill="1" applyBorder="1" applyAlignment="1">
      <alignment horizontal="center"/>
    </xf>
    <xf numFmtId="0" fontId="37" fillId="0" borderId="0" xfId="0" applyFont="1" applyBorder="1" applyAlignment="1">
      <alignment horizontal="center"/>
    </xf>
    <xf numFmtId="0" fontId="55" fillId="0" borderId="0" xfId="0" applyFont="1" applyBorder="1"/>
    <xf numFmtId="166" fontId="46" fillId="9" borderId="16" xfId="0" applyNumberFormat="1" applyFont="1" applyFill="1" applyBorder="1" applyAlignment="1">
      <alignment horizontal="center" wrapText="1"/>
    </xf>
    <xf numFmtId="171" fontId="48" fillId="9" borderId="15" xfId="0" applyNumberFormat="1" applyFont="1" applyFill="1" applyBorder="1" applyAlignment="1">
      <alignment horizontal="center" wrapText="1"/>
    </xf>
    <xf numFmtId="171" fontId="48" fillId="9" borderId="17" xfId="0" applyNumberFormat="1" applyFont="1" applyFill="1" applyBorder="1" applyAlignment="1">
      <alignment horizontal="center" wrapText="1"/>
    </xf>
    <xf numFmtId="171" fontId="48" fillId="9" borderId="69" xfId="0" applyNumberFormat="1" applyFont="1" applyFill="1" applyBorder="1" applyAlignment="1">
      <alignment horizontal="center" wrapText="1"/>
    </xf>
    <xf numFmtId="172" fontId="48" fillId="9" borderId="14" xfId="0" applyNumberFormat="1" applyFont="1" applyFill="1" applyBorder="1" applyAlignment="1">
      <alignment horizontal="center" wrapText="1"/>
    </xf>
    <xf numFmtId="172" fontId="48" fillId="9" borderId="16" xfId="0" applyNumberFormat="1" applyFont="1" applyFill="1" applyBorder="1" applyAlignment="1">
      <alignment horizontal="center" wrapText="1"/>
    </xf>
    <xf numFmtId="0" fontId="36" fillId="0" borderId="62" xfId="0" applyFont="1" applyBorder="1" applyAlignment="1">
      <alignment horizontal="left"/>
    </xf>
    <xf numFmtId="165" fontId="37" fillId="0" borderId="5" xfId="0" applyNumberFormat="1" applyFont="1" applyBorder="1" applyAlignment="1">
      <alignment horizontal="center"/>
    </xf>
    <xf numFmtId="165" fontId="37" fillId="0" borderId="62" xfId="0" applyNumberFormat="1" applyFont="1" applyBorder="1"/>
    <xf numFmtId="165" fontId="37" fillId="0" borderId="82" xfId="0" applyNumberFormat="1" applyFont="1" applyBorder="1"/>
    <xf numFmtId="165" fontId="37" fillId="0" borderId="58" xfId="0" applyNumberFormat="1" applyFont="1" applyBorder="1"/>
    <xf numFmtId="165" fontId="37" fillId="0" borderId="25" xfId="0" applyNumberFormat="1" applyFont="1" applyBorder="1"/>
    <xf numFmtId="165" fontId="37" fillId="0" borderId="65" xfId="0" applyNumberFormat="1" applyFont="1" applyBorder="1"/>
    <xf numFmtId="165" fontId="37" fillId="0" borderId="47" xfId="0" applyNumberFormat="1" applyFont="1" applyBorder="1"/>
    <xf numFmtId="0" fontId="36" fillId="0" borderId="12" xfId="0" applyFont="1" applyBorder="1" applyAlignment="1">
      <alignment horizontal="left"/>
    </xf>
    <xf numFmtId="165" fontId="56" fillId="0" borderId="4" xfId="0" applyNumberFormat="1" applyFont="1" applyBorder="1"/>
    <xf numFmtId="165" fontId="37" fillId="0" borderId="11" xfId="0" applyNumberFormat="1" applyFont="1" applyBorder="1"/>
    <xf numFmtId="165" fontId="37" fillId="0" borderId="49" xfId="0" applyNumberFormat="1" applyFont="1" applyBorder="1"/>
    <xf numFmtId="165" fontId="37" fillId="0" borderId="12" xfId="0" applyNumberFormat="1" applyFont="1" applyBorder="1"/>
    <xf numFmtId="165" fontId="37" fillId="0" borderId="1" xfId="0" applyNumberFormat="1" applyFont="1" applyBorder="1"/>
    <xf numFmtId="165" fontId="37" fillId="0" borderId="13" xfId="0" applyNumberFormat="1" applyFont="1" applyBorder="1"/>
    <xf numFmtId="165" fontId="36" fillId="0" borderId="12" xfId="0" applyNumberFormat="1" applyFont="1" applyBorder="1"/>
    <xf numFmtId="165" fontId="36" fillId="0" borderId="1" xfId="0" applyNumberFormat="1" applyFont="1" applyBorder="1"/>
    <xf numFmtId="165" fontId="36" fillId="0" borderId="13" xfId="0" applyNumberFormat="1" applyFont="1" applyBorder="1"/>
    <xf numFmtId="165" fontId="36" fillId="0" borderId="11" xfId="0" applyNumberFormat="1" applyFont="1" applyBorder="1"/>
    <xf numFmtId="173" fontId="48" fillId="9" borderId="15" xfId="0" applyNumberFormat="1" applyFont="1" applyFill="1" applyBorder="1"/>
    <xf numFmtId="173" fontId="48" fillId="9" borderId="69" xfId="0" applyNumberFormat="1" applyFont="1" applyFill="1" applyBorder="1"/>
    <xf numFmtId="173" fontId="48" fillId="9" borderId="16" xfId="0" applyNumberFormat="1" applyFont="1" applyFill="1" applyBorder="1"/>
    <xf numFmtId="173" fontId="48" fillId="9" borderId="14" xfId="0" applyNumberFormat="1" applyFont="1" applyFill="1" applyBorder="1"/>
    <xf numFmtId="166" fontId="9" fillId="9" borderId="16" xfId="0" applyNumberFormat="1" applyFont="1" applyFill="1" applyBorder="1" applyAlignment="1">
      <alignment horizontal="center" wrapText="1"/>
    </xf>
    <xf numFmtId="171" fontId="48" fillId="9" borderId="14" xfId="0" applyNumberFormat="1" applyFont="1" applyFill="1" applyBorder="1" applyAlignment="1">
      <alignment horizontal="center" wrapText="1"/>
    </xf>
    <xf numFmtId="165" fontId="56" fillId="0" borderId="60" xfId="0" applyNumberFormat="1" applyFont="1" applyBorder="1"/>
    <xf numFmtId="165" fontId="56" fillId="0" borderId="48" xfId="0" applyNumberFormat="1" applyFont="1" applyBorder="1"/>
    <xf numFmtId="165" fontId="36" fillId="0" borderId="65" xfId="0" applyNumberFormat="1" applyFont="1" applyBorder="1"/>
    <xf numFmtId="165" fontId="48" fillId="9" borderId="37" xfId="0" applyNumberFormat="1" applyFont="1" applyFill="1" applyBorder="1"/>
    <xf numFmtId="165" fontId="48" fillId="9" borderId="17" xfId="0" applyNumberFormat="1" applyFont="1" applyFill="1" applyBorder="1"/>
    <xf numFmtId="165" fontId="48" fillId="9" borderId="39" xfId="0" applyNumberFormat="1" applyFont="1" applyFill="1" applyBorder="1"/>
    <xf numFmtId="165" fontId="48" fillId="9" borderId="14" xfId="0" applyNumberFormat="1" applyFont="1" applyFill="1" applyBorder="1"/>
    <xf numFmtId="167" fontId="46" fillId="8" borderId="14" xfId="0" applyNumberFormat="1" applyFont="1" applyFill="1" applyBorder="1" applyAlignment="1">
      <alignment horizontal="center" wrapText="1"/>
    </xf>
    <xf numFmtId="167" fontId="48" fillId="8" borderId="16" xfId="0" applyNumberFormat="1" applyFont="1" applyFill="1" applyBorder="1" applyAlignment="1">
      <alignment horizontal="center" wrapText="1"/>
    </xf>
    <xf numFmtId="168" fontId="48" fillId="8" borderId="14" xfId="0" applyNumberFormat="1" applyFont="1" applyFill="1" applyBorder="1" applyAlignment="1">
      <alignment horizontal="center" wrapText="1"/>
    </xf>
    <xf numFmtId="168" fontId="48" fillId="8" borderId="16" xfId="0" applyNumberFormat="1" applyFont="1" applyFill="1" applyBorder="1" applyAlignment="1">
      <alignment horizontal="center" wrapText="1"/>
    </xf>
    <xf numFmtId="165" fontId="4" fillId="5" borderId="14" xfId="0" applyNumberFormat="1" applyFont="1" applyFill="1" applyBorder="1" applyAlignment="1">
      <alignment wrapText="1"/>
    </xf>
    <xf numFmtId="165" fontId="47" fillId="8" borderId="32" xfId="0" applyNumberFormat="1" applyFont="1" applyFill="1" applyBorder="1"/>
    <xf numFmtId="165" fontId="57" fillId="5" borderId="62" xfId="0" applyNumberFormat="1" applyFont="1" applyFill="1" applyBorder="1" applyAlignment="1">
      <alignment horizontal="center" vertical="center"/>
    </xf>
    <xf numFmtId="166" fontId="59" fillId="4" borderId="37" xfId="0" applyNumberFormat="1" applyFont="1" applyFill="1" applyBorder="1" applyAlignment="1">
      <alignment wrapText="1"/>
    </xf>
    <xf numFmtId="166" fontId="59" fillId="4" borderId="17" xfId="0" applyNumberFormat="1" applyFont="1" applyFill="1" applyBorder="1" applyAlignment="1">
      <alignment wrapText="1"/>
    </xf>
    <xf numFmtId="166" fontId="37" fillId="0" borderId="14" xfId="0" applyNumberFormat="1" applyFont="1" applyBorder="1" applyAlignment="1">
      <alignment wrapText="1"/>
    </xf>
    <xf numFmtId="9" fontId="60" fillId="6" borderId="32" xfId="0" applyNumberFormat="1" applyFont="1" applyFill="1" applyBorder="1" applyAlignment="1">
      <alignment horizontal="center" wrapText="1"/>
    </xf>
    <xf numFmtId="9" fontId="60" fillId="6" borderId="10" xfId="0" applyNumberFormat="1" applyFont="1" applyFill="1" applyBorder="1" applyAlignment="1">
      <alignment horizontal="center" wrapText="1"/>
    </xf>
    <xf numFmtId="165" fontId="36" fillId="0" borderId="48" xfId="0" applyNumberFormat="1" applyFont="1" applyBorder="1" applyAlignment="1">
      <alignment horizontal="left" vertical="center" wrapText="1"/>
    </xf>
    <xf numFmtId="165" fontId="37" fillId="0" borderId="11" xfId="0" applyNumberFormat="1" applyFont="1" applyBorder="1" applyAlignment="1">
      <alignment wrapText="1"/>
    </xf>
    <xf numFmtId="165" fontId="37" fillId="0" borderId="48" xfId="0" applyNumberFormat="1" applyFont="1" applyBorder="1" applyAlignment="1">
      <alignment wrapText="1"/>
    </xf>
    <xf numFmtId="165" fontId="37" fillId="0" borderId="25" xfId="0" applyNumberFormat="1" applyFont="1" applyBorder="1" applyAlignment="1">
      <alignment wrapText="1"/>
    </xf>
    <xf numFmtId="169" fontId="59" fillId="6" borderId="12" xfId="0" applyNumberFormat="1" applyFont="1" applyFill="1" applyBorder="1" applyAlignment="1">
      <alignment horizontal="center" wrapText="1"/>
    </xf>
    <xf numFmtId="165" fontId="37" fillId="0" borderId="64" xfId="0" applyNumberFormat="1" applyFont="1" applyBorder="1" applyAlignment="1">
      <alignment wrapText="1"/>
    </xf>
    <xf numFmtId="165" fontId="51" fillId="6" borderId="64" xfId="0" applyNumberFormat="1" applyFont="1" applyFill="1" applyBorder="1" applyAlignment="1">
      <alignment wrapText="1"/>
    </xf>
    <xf numFmtId="165" fontId="8" fillId="6" borderId="2" xfId="0" applyNumberFormat="1" applyFont="1" applyFill="1" applyAlignment="1">
      <alignment wrapText="1"/>
    </xf>
    <xf numFmtId="165" fontId="37" fillId="0" borderId="76" xfId="0" applyNumberFormat="1" applyFont="1" applyBorder="1" applyAlignment="1">
      <alignment wrapText="1"/>
    </xf>
    <xf numFmtId="165" fontId="37" fillId="0" borderId="59" xfId="0" applyNumberFormat="1" applyFont="1" applyBorder="1" applyAlignment="1">
      <alignment wrapText="1"/>
    </xf>
    <xf numFmtId="165" fontId="37" fillId="0" borderId="75" xfId="0" applyNumberFormat="1" applyFont="1" applyBorder="1" applyAlignment="1">
      <alignment wrapText="1"/>
    </xf>
    <xf numFmtId="165" fontId="51" fillId="6" borderId="65" xfId="0" applyNumberFormat="1" applyFont="1" applyFill="1" applyBorder="1" applyAlignment="1">
      <alignment wrapText="1"/>
    </xf>
    <xf numFmtId="165" fontId="8" fillId="6" borderId="25" xfId="0" applyNumberFormat="1" applyFont="1" applyFill="1" applyBorder="1" applyAlignment="1">
      <alignment wrapText="1"/>
    </xf>
    <xf numFmtId="165" fontId="37" fillId="0" borderId="65" xfId="0" applyNumberFormat="1" applyFont="1" applyBorder="1" applyAlignment="1">
      <alignment wrapText="1"/>
    </xf>
    <xf numFmtId="169" fontId="18" fillId="6" borderId="12" xfId="0" applyNumberFormat="1" applyFont="1" applyFill="1" applyBorder="1" applyAlignment="1">
      <alignment horizontal="center" wrapText="1"/>
    </xf>
    <xf numFmtId="165" fontId="8" fillId="6" borderId="65" xfId="0" applyNumberFormat="1" applyFont="1" applyFill="1" applyBorder="1" applyAlignment="1">
      <alignment wrapText="1"/>
    </xf>
    <xf numFmtId="165" fontId="51" fillId="6" borderId="25" xfId="0" applyNumberFormat="1" applyFont="1" applyFill="1" applyBorder="1" applyAlignment="1">
      <alignment wrapText="1"/>
    </xf>
    <xf numFmtId="165" fontId="59" fillId="6" borderId="12" xfId="0" applyNumberFormat="1" applyFont="1" applyFill="1" applyBorder="1" applyAlignment="1">
      <alignment horizontal="right" wrapText="1"/>
    </xf>
    <xf numFmtId="0" fontId="8" fillId="6" borderId="5" xfId="0" applyFont="1" applyFill="1" applyBorder="1" applyAlignment="1">
      <alignment horizontal="left" wrapText="1"/>
    </xf>
    <xf numFmtId="165" fontId="46" fillId="8" borderId="15" xfId="0" applyNumberFormat="1" applyFont="1" applyFill="1" applyBorder="1"/>
    <xf numFmtId="165" fontId="9" fillId="8" borderId="67" xfId="0" applyNumberFormat="1" applyFont="1" applyFill="1" applyBorder="1" applyAlignment="1">
      <alignment horizontal="center"/>
    </xf>
    <xf numFmtId="165" fontId="48" fillId="8" borderId="14" xfId="0" applyNumberFormat="1" applyFont="1" applyFill="1" applyBorder="1" applyAlignment="1">
      <alignment wrapText="1"/>
    </xf>
    <xf numFmtId="165" fontId="47" fillId="8" borderId="10" xfId="0" applyNumberFormat="1" applyFont="1" applyFill="1" applyBorder="1"/>
    <xf numFmtId="165" fontId="23" fillId="8" borderId="61" xfId="0" applyNumberFormat="1" applyFont="1" applyFill="1" applyBorder="1" applyAlignment="1">
      <alignment horizontal="center"/>
    </xf>
    <xf numFmtId="167" fontId="23" fillId="8" borderId="10" xfId="0" applyNumberFormat="1" applyFont="1" applyFill="1" applyBorder="1" applyAlignment="1">
      <alignment horizontal="center" wrapText="1"/>
    </xf>
    <xf numFmtId="167" fontId="61" fillId="8" borderId="22" xfId="0" applyNumberFormat="1" applyFont="1" applyFill="1" applyBorder="1" applyAlignment="1">
      <alignment horizontal="center" wrapText="1"/>
    </xf>
    <xf numFmtId="168" fontId="61" fillId="8" borderId="10" xfId="0" applyNumberFormat="1" applyFont="1" applyFill="1" applyBorder="1" applyAlignment="1">
      <alignment horizontal="center" wrapText="1"/>
    </xf>
    <xf numFmtId="168" fontId="61" fillId="8" borderId="40" xfId="0" applyNumberFormat="1" applyFont="1" applyFill="1" applyBorder="1" applyAlignment="1">
      <alignment horizontal="center" wrapText="1"/>
    </xf>
    <xf numFmtId="168" fontId="61" fillId="8" borderId="72" xfId="0" applyNumberFormat="1" applyFont="1" applyFill="1" applyBorder="1" applyAlignment="1">
      <alignment horizontal="center" wrapText="1"/>
    </xf>
    <xf numFmtId="165" fontId="36" fillId="2" borderId="64" xfId="0" applyNumberFormat="1" applyFont="1" applyFill="1" applyBorder="1" applyAlignment="1">
      <alignment wrapText="1"/>
    </xf>
    <xf numFmtId="165" fontId="37" fillId="2" borderId="64" xfId="0" applyNumberFormat="1" applyFont="1" applyFill="1" applyBorder="1" applyAlignment="1">
      <alignment wrapText="1"/>
    </xf>
    <xf numFmtId="165" fontId="37" fillId="2" borderId="72" xfId="0" applyNumberFormat="1" applyFont="1" applyFill="1" applyBorder="1" applyAlignment="1">
      <alignment wrapText="1"/>
    </xf>
    <xf numFmtId="165" fontId="36" fillId="2" borderId="66" xfId="0" applyNumberFormat="1" applyFont="1" applyFill="1" applyBorder="1" applyAlignment="1">
      <alignment wrapText="1"/>
    </xf>
    <xf numFmtId="165" fontId="37" fillId="2" borderId="68" xfId="0" applyNumberFormat="1" applyFont="1" applyFill="1" applyBorder="1" applyAlignment="1">
      <alignment wrapText="1"/>
    </xf>
    <xf numFmtId="165" fontId="37" fillId="2" borderId="66" xfId="0" applyNumberFormat="1" applyFont="1" applyFill="1" applyBorder="1" applyAlignment="1">
      <alignment wrapText="1"/>
    </xf>
    <xf numFmtId="165" fontId="62" fillId="2" borderId="69" xfId="0" applyNumberFormat="1" applyFont="1" applyFill="1" applyBorder="1"/>
    <xf numFmtId="165" fontId="62" fillId="2" borderId="14" xfId="0" applyNumberFormat="1" applyFont="1" applyFill="1" applyBorder="1"/>
    <xf numFmtId="165" fontId="62" fillId="2" borderId="15" xfId="0" applyNumberFormat="1" applyFont="1" applyFill="1" applyBorder="1"/>
    <xf numFmtId="0" fontId="63" fillId="0" borderId="0" xfId="0" applyFont="1" applyBorder="1"/>
    <xf numFmtId="165" fontId="47" fillId="8" borderId="40" xfId="0" applyNumberFormat="1" applyFont="1" applyFill="1" applyBorder="1"/>
    <xf numFmtId="165" fontId="46" fillId="8" borderId="72" xfId="0" applyNumberFormat="1" applyFont="1" applyFill="1" applyBorder="1" applyAlignment="1">
      <alignment horizontal="center" wrapText="1"/>
    </xf>
    <xf numFmtId="165" fontId="46" fillId="8" borderId="14" xfId="0" applyNumberFormat="1" applyFont="1" applyFill="1" applyBorder="1" applyAlignment="1">
      <alignment horizontal="center"/>
    </xf>
    <xf numFmtId="167" fontId="48" fillId="8" borderId="61" xfId="0" applyNumberFormat="1" applyFont="1" applyFill="1" applyBorder="1" applyAlignment="1">
      <alignment horizontal="center" wrapText="1"/>
    </xf>
    <xf numFmtId="168" fontId="48" fillId="8" borderId="40" xfId="0" applyNumberFormat="1" applyFont="1" applyFill="1" applyBorder="1" applyAlignment="1">
      <alignment horizontal="center" wrapText="1"/>
    </xf>
    <xf numFmtId="168" fontId="48" fillId="8" borderId="72" xfId="0" applyNumberFormat="1" applyFont="1" applyFill="1" applyBorder="1" applyAlignment="1">
      <alignment horizontal="center" wrapText="1"/>
    </xf>
    <xf numFmtId="165" fontId="36" fillId="0" borderId="32" xfId="0" applyNumberFormat="1" applyFont="1" applyBorder="1" applyAlignment="1">
      <alignment wrapText="1"/>
    </xf>
    <xf numFmtId="165" fontId="37" fillId="0" borderId="32" xfId="0" applyNumberFormat="1" applyFont="1" applyBorder="1" applyAlignment="1">
      <alignment wrapText="1"/>
    </xf>
    <xf numFmtId="165" fontId="37" fillId="0" borderId="22" xfId="0" applyNumberFormat="1" applyFont="1" applyBorder="1" applyAlignment="1">
      <alignment wrapText="1"/>
    </xf>
    <xf numFmtId="165" fontId="37" fillId="0" borderId="32" xfId="0" applyNumberFormat="1" applyFont="1" applyBorder="1" applyAlignment="1">
      <alignment horizontal="left" wrapText="1"/>
    </xf>
    <xf numFmtId="165" fontId="37" fillId="0" borderId="10" xfId="0" applyNumberFormat="1" applyFont="1" applyBorder="1" applyAlignment="1">
      <alignment wrapText="1"/>
    </xf>
    <xf numFmtId="165" fontId="37" fillId="0" borderId="33" xfId="0" applyNumberFormat="1" applyFont="1" applyBorder="1" applyAlignment="1">
      <alignment wrapText="1"/>
    </xf>
    <xf numFmtId="165" fontId="36" fillId="0" borderId="67" xfId="0" applyNumberFormat="1" applyFont="1" applyBorder="1" applyAlignment="1">
      <alignment horizontal="left" wrapText="1"/>
    </xf>
    <xf numFmtId="165" fontId="37" fillId="0" borderId="67" xfId="0" applyNumberFormat="1" applyFont="1" applyBorder="1" applyAlignment="1">
      <alignment horizontal="left" wrapText="1"/>
    </xf>
    <xf numFmtId="165" fontId="37" fillId="0" borderId="66" xfId="0" applyNumberFormat="1" applyFont="1" applyBorder="1" applyAlignment="1">
      <alignment wrapText="1"/>
    </xf>
    <xf numFmtId="165" fontId="37" fillId="0" borderId="68" xfId="0" applyNumberFormat="1" applyFont="1" applyBorder="1" applyAlignment="1">
      <alignment wrapText="1"/>
    </xf>
    <xf numFmtId="165" fontId="36" fillId="0" borderId="19" xfId="0" applyNumberFormat="1" applyFont="1" applyBorder="1" applyAlignment="1">
      <alignment horizontal="left" wrapText="1"/>
    </xf>
    <xf numFmtId="165" fontId="37" fillId="0" borderId="60" xfId="0" applyNumberFormat="1" applyFont="1" applyBorder="1" applyAlignment="1">
      <alignment wrapText="1"/>
    </xf>
    <xf numFmtId="165" fontId="36" fillId="0" borderId="55" xfId="0" applyNumberFormat="1" applyFont="1" applyBorder="1" applyAlignment="1">
      <alignment horizontal="left" wrapText="1"/>
    </xf>
    <xf numFmtId="165" fontId="47" fillId="8" borderId="15" xfId="0" applyNumberFormat="1" applyFont="1" applyFill="1" applyBorder="1"/>
    <xf numFmtId="165" fontId="46" fillId="8" borderId="14" xfId="0" applyNumberFormat="1" applyFont="1" applyFill="1" applyBorder="1" applyAlignment="1">
      <alignment horizontal="center" wrapText="1"/>
    </xf>
    <xf numFmtId="168" fontId="48" fillId="8" borderId="15" xfId="0" applyNumberFormat="1" applyFont="1" applyFill="1" applyBorder="1" applyAlignment="1">
      <alignment horizontal="center" wrapText="1"/>
    </xf>
    <xf numFmtId="165" fontId="4" fillId="0" borderId="33" xfId="0" applyNumberFormat="1" applyFont="1" applyBorder="1" applyAlignment="1">
      <alignment horizontal="center"/>
    </xf>
    <xf numFmtId="165" fontId="37" fillId="0" borderId="40" xfId="0" applyNumberFormat="1" applyFont="1" applyBorder="1" applyAlignment="1">
      <alignment wrapText="1"/>
    </xf>
    <xf numFmtId="165" fontId="37" fillId="0" borderId="61" xfId="0" applyNumberFormat="1" applyFont="1" applyBorder="1" applyAlignment="1">
      <alignment wrapText="1"/>
    </xf>
    <xf numFmtId="165" fontId="37" fillId="0" borderId="72" xfId="0" applyNumberFormat="1" applyFont="1" applyBorder="1" applyAlignment="1">
      <alignment wrapText="1"/>
    </xf>
    <xf numFmtId="165" fontId="51" fillId="2" borderId="36" xfId="0" applyNumberFormat="1" applyFont="1" applyFill="1" applyBorder="1" applyAlignment="1">
      <alignment horizontal="center" wrapText="1"/>
    </xf>
    <xf numFmtId="165" fontId="8" fillId="6" borderId="34" xfId="0" applyNumberFormat="1" applyFont="1" applyFill="1" applyBorder="1" applyAlignment="1">
      <alignment wrapText="1"/>
    </xf>
    <xf numFmtId="165" fontId="8" fillId="6" borderId="68" xfId="0" applyNumberFormat="1" applyFont="1" applyFill="1" applyBorder="1" applyAlignment="1">
      <alignment wrapText="1"/>
    </xf>
    <xf numFmtId="165" fontId="37" fillId="0" borderId="67" xfId="0" applyNumberFormat="1" applyFont="1" applyBorder="1" applyAlignment="1">
      <alignment wrapText="1"/>
    </xf>
    <xf numFmtId="165" fontId="8" fillId="6" borderId="55" xfId="0" applyNumberFormat="1" applyFont="1" applyFill="1" applyBorder="1" applyAlignment="1">
      <alignment wrapText="1"/>
    </xf>
    <xf numFmtId="165" fontId="8" fillId="6" borderId="36" xfId="0" applyNumberFormat="1" applyFont="1" applyFill="1" applyBorder="1" applyAlignment="1">
      <alignment wrapText="1"/>
    </xf>
    <xf numFmtId="165" fontId="4" fillId="0" borderId="33" xfId="0" applyNumberFormat="1" applyFont="1" applyBorder="1" applyAlignment="1">
      <alignment horizontal="right"/>
    </xf>
    <xf numFmtId="165" fontId="37" fillId="0" borderId="72" xfId="0" applyNumberFormat="1" applyFont="1" applyBorder="1" applyAlignment="1">
      <alignment horizontal="right"/>
    </xf>
    <xf numFmtId="165" fontId="9" fillId="8" borderId="14" xfId="0" applyNumberFormat="1" applyFont="1" applyFill="1" applyBorder="1" applyAlignment="1">
      <alignment horizontal="center"/>
    </xf>
    <xf numFmtId="165" fontId="9" fillId="8" borderId="16" xfId="0" applyNumberFormat="1" applyFont="1" applyFill="1" applyBorder="1" applyAlignment="1">
      <alignment horizontal="center"/>
    </xf>
    <xf numFmtId="165" fontId="48" fillId="8" borderId="16" xfId="0" applyNumberFormat="1" applyFont="1" applyFill="1" applyBorder="1" applyAlignment="1">
      <alignment wrapText="1"/>
    </xf>
    <xf numFmtId="165" fontId="4" fillId="0" borderId="56" xfId="0" applyNumberFormat="1" applyFont="1" applyBorder="1" applyAlignment="1">
      <alignment horizontal="right" wrapText="1"/>
    </xf>
    <xf numFmtId="165" fontId="37" fillId="0" borderId="55" xfId="0" applyNumberFormat="1" applyFont="1" applyBorder="1" applyAlignment="1">
      <alignment wrapText="1"/>
    </xf>
    <xf numFmtId="165" fontId="37" fillId="0" borderId="34" xfId="0" applyNumberFormat="1" applyFont="1" applyBorder="1" applyAlignment="1">
      <alignment wrapText="1"/>
    </xf>
    <xf numFmtId="165" fontId="37" fillId="0" borderId="36" xfId="0" applyNumberFormat="1" applyFont="1" applyBorder="1" applyAlignment="1">
      <alignment wrapText="1"/>
    </xf>
    <xf numFmtId="165" fontId="36" fillId="0" borderId="60" xfId="0" applyNumberFormat="1" applyFont="1" applyBorder="1" applyAlignment="1">
      <alignment wrapText="1"/>
    </xf>
    <xf numFmtId="165" fontId="36" fillId="0" borderId="0" xfId="0" applyNumberFormat="1" applyFont="1" applyBorder="1" applyAlignment="1">
      <alignment horizontal="center" wrapText="1"/>
    </xf>
    <xf numFmtId="165" fontId="32" fillId="0" borderId="0" xfId="0" applyNumberFormat="1" applyFont="1" applyBorder="1" applyAlignment="1">
      <alignment horizontal="left" wrapText="1"/>
    </xf>
    <xf numFmtId="43" fontId="36" fillId="0" borderId="32" xfId="0" applyNumberFormat="1" applyFont="1" applyBorder="1" applyAlignment="1">
      <alignment horizontal="left"/>
    </xf>
    <xf numFmtId="9" fontId="51" fillId="6" borderId="10" xfId="0" applyNumberFormat="1" applyFont="1" applyFill="1" applyBorder="1" applyAlignment="1">
      <alignment horizontal="center"/>
    </xf>
    <xf numFmtId="43" fontId="36" fillId="0" borderId="55" xfId="0" applyNumberFormat="1" applyFont="1" applyBorder="1" applyAlignment="1">
      <alignment horizontal="left"/>
    </xf>
    <xf numFmtId="0" fontId="51" fillId="6" borderId="36" xfId="0" applyFont="1" applyFill="1" applyBorder="1" applyAlignment="1">
      <alignment horizontal="center"/>
    </xf>
    <xf numFmtId="0" fontId="36" fillId="0" borderId="0" xfId="0" applyFont="1" applyBorder="1"/>
    <xf numFmtId="0" fontId="41" fillId="9" borderId="14" xfId="0" applyFont="1" applyFill="1" applyBorder="1" applyAlignment="1">
      <alignment horizontal="center"/>
    </xf>
    <xf numFmtId="167" fontId="42" fillId="9" borderId="69" xfId="0" applyNumberFormat="1" applyFont="1" applyFill="1" applyBorder="1"/>
    <xf numFmtId="168" fontId="42" fillId="9" borderId="14" xfId="0" applyNumberFormat="1" applyFont="1" applyFill="1" applyBorder="1"/>
    <xf numFmtId="168" fontId="42" fillId="9" borderId="69" xfId="0" applyNumberFormat="1" applyFont="1" applyFill="1" applyBorder="1"/>
    <xf numFmtId="43" fontId="36" fillId="0" borderId="10" xfId="0" applyNumberFormat="1" applyFont="1" applyBorder="1" applyAlignment="1">
      <alignment horizontal="left"/>
    </xf>
    <xf numFmtId="165" fontId="37" fillId="0" borderId="22" xfId="0" applyNumberFormat="1" applyFont="1" applyBorder="1"/>
    <xf numFmtId="165" fontId="37" fillId="0" borderId="10" xfId="0" applyNumberFormat="1" applyFont="1" applyBorder="1"/>
    <xf numFmtId="43" fontId="36" fillId="0" borderId="11" xfId="0" applyNumberFormat="1" applyFont="1" applyBorder="1" applyAlignment="1">
      <alignment horizontal="left"/>
    </xf>
    <xf numFmtId="165" fontId="37" fillId="0" borderId="4" xfId="0" applyNumberFormat="1" applyFont="1" applyBorder="1"/>
    <xf numFmtId="167" fontId="37" fillId="0" borderId="64" xfId="0" applyNumberFormat="1" applyFont="1" applyBorder="1" applyAlignment="1">
      <alignment horizontal="left"/>
    </xf>
    <xf numFmtId="165" fontId="37" fillId="0" borderId="64" xfId="0" applyNumberFormat="1" applyFont="1" applyBorder="1"/>
    <xf numFmtId="167" fontId="37" fillId="0" borderId="11" xfId="0" applyNumberFormat="1" applyFont="1" applyBorder="1" applyAlignment="1">
      <alignment horizontal="left"/>
    </xf>
    <xf numFmtId="167" fontId="37" fillId="0" borderId="59" xfId="0" applyNumberFormat="1" applyFont="1" applyBorder="1" applyAlignment="1">
      <alignment horizontal="left"/>
    </xf>
    <xf numFmtId="165" fontId="37" fillId="0" borderId="59" xfId="0" applyNumberFormat="1" applyFont="1" applyBorder="1"/>
    <xf numFmtId="43" fontId="36" fillId="0" borderId="14" xfId="0" applyNumberFormat="1" applyFont="1" applyBorder="1" applyAlignment="1">
      <alignment horizontal="left"/>
    </xf>
    <xf numFmtId="165" fontId="37" fillId="0" borderId="14" xfId="0" applyNumberFormat="1" applyFont="1" applyBorder="1"/>
    <xf numFmtId="165" fontId="37" fillId="0" borderId="69" xfId="0" applyNumberFormat="1" applyFont="1" applyBorder="1"/>
    <xf numFmtId="43" fontId="36" fillId="0" borderId="66" xfId="0" applyNumberFormat="1" applyFont="1" applyBorder="1" applyAlignment="1">
      <alignment horizontal="left"/>
    </xf>
    <xf numFmtId="165" fontId="42" fillId="9" borderId="66" xfId="0" applyNumberFormat="1" applyFont="1" applyFill="1" applyBorder="1"/>
    <xf numFmtId="165" fontId="42" fillId="9" borderId="68" xfId="0" applyNumberFormat="1" applyFont="1" applyFill="1" applyBorder="1"/>
    <xf numFmtId="0" fontId="36" fillId="0" borderId="15" xfId="0" applyFont="1" applyBorder="1" applyAlignment="1">
      <alignment horizontal="left"/>
    </xf>
    <xf numFmtId="0" fontId="51" fillId="6" borderId="14" xfId="0" applyFont="1" applyFill="1" applyBorder="1" applyAlignment="1">
      <alignment horizontal="center"/>
    </xf>
    <xf numFmtId="167" fontId="41" fillId="9" borderId="69" xfId="0" applyNumberFormat="1" applyFont="1" applyFill="1" applyBorder="1" applyAlignment="1">
      <alignment horizontal="center"/>
    </xf>
    <xf numFmtId="168" fontId="41" fillId="9" borderId="14" xfId="0" applyNumberFormat="1" applyFont="1" applyFill="1" applyBorder="1"/>
    <xf numFmtId="43" fontId="36" fillId="0" borderId="72" xfId="0" applyNumberFormat="1" applyFont="1" applyBorder="1" applyAlignment="1">
      <alignment horizontal="left"/>
    </xf>
    <xf numFmtId="165" fontId="37" fillId="0" borderId="72" xfId="0" applyNumberFormat="1" applyFont="1" applyBorder="1"/>
    <xf numFmtId="43" fontId="36" fillId="0" borderId="64" xfId="0" applyNumberFormat="1" applyFont="1" applyBorder="1" applyAlignment="1">
      <alignment horizontal="left"/>
    </xf>
    <xf numFmtId="167" fontId="36" fillId="0" borderId="64" xfId="0" applyNumberFormat="1" applyFont="1" applyBorder="1" applyAlignment="1">
      <alignment horizontal="left"/>
    </xf>
    <xf numFmtId="167" fontId="36" fillId="0" borderId="11" xfId="0" applyNumberFormat="1" applyFont="1" applyBorder="1" applyAlignment="1">
      <alignment horizontal="left"/>
    </xf>
    <xf numFmtId="167" fontId="36" fillId="0" borderId="59" xfId="0" applyNumberFormat="1" applyFont="1" applyBorder="1" applyAlignment="1">
      <alignment horizontal="left"/>
    </xf>
    <xf numFmtId="0" fontId="64" fillId="9" borderId="15" xfId="0" applyFont="1" applyFill="1" applyBorder="1" applyAlignment="1">
      <alignment horizontal="center"/>
    </xf>
    <xf numFmtId="0" fontId="64" fillId="9" borderId="16" xfId="0" applyFont="1" applyFill="1" applyBorder="1" applyAlignment="1">
      <alignment horizontal="center"/>
    </xf>
    <xf numFmtId="167" fontId="65" fillId="9" borderId="45" xfId="0" applyNumberFormat="1" applyFont="1" applyFill="1" applyBorder="1" applyAlignment="1">
      <alignment horizontal="center" wrapText="1"/>
    </xf>
    <xf numFmtId="167" fontId="65" fillId="9" borderId="42" xfId="0" applyNumberFormat="1" applyFont="1" applyFill="1" applyBorder="1" applyAlignment="1">
      <alignment horizontal="center" wrapText="1"/>
    </xf>
    <xf numFmtId="167" fontId="65" fillId="9" borderId="73" xfId="0" applyNumberFormat="1" applyFont="1" applyFill="1" applyBorder="1" applyAlignment="1">
      <alignment horizontal="center" wrapText="1"/>
    </xf>
    <xf numFmtId="168" fontId="65" fillId="9" borderId="40" xfId="0" applyNumberFormat="1" applyFont="1" applyFill="1" applyBorder="1" applyAlignment="1">
      <alignment horizontal="center" wrapText="1"/>
    </xf>
    <xf numFmtId="168" fontId="65" fillId="9" borderId="72" xfId="0" applyNumberFormat="1" applyFont="1" applyFill="1" applyBorder="1" applyAlignment="1">
      <alignment horizontal="center" wrapText="1"/>
    </xf>
    <xf numFmtId="168" fontId="65" fillId="9" borderId="41" xfId="0" applyNumberFormat="1" applyFont="1" applyFill="1" applyBorder="1" applyAlignment="1">
      <alignment horizontal="center" wrapText="1"/>
    </xf>
    <xf numFmtId="43" fontId="66" fillId="0" borderId="32" xfId="0" applyNumberFormat="1" applyFont="1" applyBorder="1" applyAlignment="1">
      <alignment horizontal="left"/>
    </xf>
    <xf numFmtId="0" fontId="67" fillId="6" borderId="23" xfId="0" applyFont="1" applyFill="1" applyBorder="1" applyAlignment="1">
      <alignment horizontal="center"/>
    </xf>
    <xf numFmtId="169" fontId="68" fillId="0" borderId="32" xfId="0" applyNumberFormat="1" applyFont="1" applyBorder="1"/>
    <xf numFmtId="169" fontId="68" fillId="0" borderId="22" xfId="0" applyNumberFormat="1" applyFont="1" applyBorder="1"/>
    <xf numFmtId="169" fontId="68" fillId="0" borderId="10" xfId="0" applyNumberFormat="1" applyFont="1" applyBorder="1"/>
    <xf numFmtId="43" fontId="66" fillId="0" borderId="55" xfId="0" applyNumberFormat="1" applyFont="1" applyBorder="1" applyAlignment="1">
      <alignment horizontal="left" wrapText="1"/>
    </xf>
    <xf numFmtId="0" fontId="67" fillId="6" borderId="29" xfId="0" applyFont="1" applyFill="1" applyBorder="1" applyAlignment="1">
      <alignment horizontal="center"/>
    </xf>
    <xf numFmtId="169" fontId="68" fillId="0" borderId="67" xfId="0" applyNumberFormat="1" applyFont="1" applyBorder="1"/>
    <xf numFmtId="169" fontId="68" fillId="0" borderId="68" xfId="0" applyNumberFormat="1" applyFont="1" applyBorder="1"/>
    <xf numFmtId="169" fontId="68" fillId="0" borderId="60" xfId="0" applyNumberFormat="1" applyFont="1" applyBorder="1"/>
    <xf numFmtId="169" fontId="68" fillId="0" borderId="66" xfId="0" applyNumberFormat="1" applyFont="1" applyBorder="1"/>
    <xf numFmtId="43" fontId="66" fillId="0" borderId="60" xfId="0" applyNumberFormat="1" applyFont="1" applyBorder="1" applyAlignment="1">
      <alignment horizontal="left"/>
    </xf>
    <xf numFmtId="0" fontId="67" fillId="6" borderId="58" xfId="0" applyFont="1" applyFill="1" applyBorder="1" applyAlignment="1">
      <alignment horizontal="center"/>
    </xf>
    <xf numFmtId="0" fontId="67" fillId="6" borderId="74" xfId="0" applyFont="1" applyFill="1" applyBorder="1" applyAlignment="1">
      <alignment horizontal="center"/>
    </xf>
    <xf numFmtId="43" fontId="66" fillId="0" borderId="75" xfId="0" applyNumberFormat="1" applyFont="1" applyBorder="1" applyAlignment="1">
      <alignment horizontal="left" wrapText="1"/>
    </xf>
    <xf numFmtId="169" fontId="68" fillId="0" borderId="19" xfId="0" applyNumberFormat="1" applyFont="1" applyBorder="1"/>
    <xf numFmtId="169" fontId="68" fillId="0" borderId="0" xfId="0" applyNumberFormat="1" applyFont="1" applyBorder="1"/>
    <xf numFmtId="0" fontId="63" fillId="0" borderId="15" xfId="0" applyFont="1" applyBorder="1"/>
    <xf numFmtId="169" fontId="33" fillId="9" borderId="15" xfId="0" applyNumberFormat="1" applyFont="1" applyFill="1" applyBorder="1"/>
    <xf numFmtId="169" fontId="33" fillId="9" borderId="69" xfId="0" applyNumberFormat="1" applyFont="1" applyFill="1" applyBorder="1"/>
    <xf numFmtId="169" fontId="33" fillId="9" borderId="16" xfId="0" applyNumberFormat="1" applyFont="1" applyFill="1" applyBorder="1"/>
    <xf numFmtId="169" fontId="33" fillId="9" borderId="68" xfId="0" applyNumberFormat="1" applyFont="1" applyFill="1" applyBorder="1"/>
    <xf numFmtId="165" fontId="46" fillId="8" borderId="72" xfId="0" applyNumberFormat="1" applyFont="1" applyFill="1" applyBorder="1" applyAlignment="1">
      <alignment horizontal="center"/>
    </xf>
    <xf numFmtId="167" fontId="48" fillId="8" borderId="41" xfId="0" applyNumberFormat="1" applyFont="1" applyFill="1" applyBorder="1" applyAlignment="1">
      <alignment horizontal="center" wrapText="1"/>
    </xf>
    <xf numFmtId="168" fontId="48" fillId="8" borderId="41" xfId="0" applyNumberFormat="1" applyFont="1" applyFill="1" applyBorder="1" applyAlignment="1">
      <alignment horizontal="center" wrapText="1"/>
    </xf>
    <xf numFmtId="165" fontId="36" fillId="0" borderId="40" xfId="0" applyNumberFormat="1" applyFont="1" applyBorder="1" applyAlignment="1">
      <alignment wrapText="1"/>
    </xf>
    <xf numFmtId="165" fontId="37" fillId="0" borderId="41" xfId="0" applyNumberFormat="1" applyFont="1" applyBorder="1" applyAlignment="1">
      <alignment wrapText="1"/>
    </xf>
    <xf numFmtId="165" fontId="36" fillId="0" borderId="40" xfId="0" applyNumberFormat="1" applyFont="1" applyBorder="1"/>
    <xf numFmtId="165" fontId="37" fillId="0" borderId="72" xfId="0" applyNumberFormat="1" applyFont="1" applyBorder="1" applyAlignment="1">
      <alignment horizontal="center" wrapText="1"/>
    </xf>
    <xf numFmtId="165" fontId="37" fillId="0" borderId="61" xfId="0" applyNumberFormat="1" applyFont="1" applyBorder="1"/>
    <xf numFmtId="165" fontId="37" fillId="0" borderId="41" xfId="0" applyNumberFormat="1" applyFont="1" applyBorder="1"/>
    <xf numFmtId="165" fontId="37" fillId="0" borderId="40" xfId="0" applyNumberFormat="1" applyFont="1" applyBorder="1"/>
    <xf numFmtId="165" fontId="36" fillId="0" borderId="55" xfId="0" applyNumberFormat="1" applyFont="1" applyBorder="1" applyAlignment="1">
      <alignment horizontal="left"/>
    </xf>
    <xf numFmtId="165" fontId="37" fillId="0" borderId="55" xfId="0" applyNumberFormat="1" applyFont="1" applyBorder="1"/>
    <xf numFmtId="165" fontId="37" fillId="0" borderId="34" xfId="0" applyNumberFormat="1" applyFont="1" applyBorder="1"/>
    <xf numFmtId="165" fontId="37" fillId="0" borderId="56" xfId="0" applyNumberFormat="1" applyFont="1" applyBorder="1"/>
    <xf numFmtId="165" fontId="37" fillId="0" borderId="36" xfId="0" applyNumberFormat="1" applyFont="1" applyBorder="1"/>
    <xf numFmtId="165" fontId="36" fillId="0" borderId="32" xfId="0" applyNumberFormat="1" applyFont="1" applyBorder="1"/>
    <xf numFmtId="165" fontId="4" fillId="0" borderId="33" xfId="0" applyNumberFormat="1" applyFont="1" applyBorder="1" applyAlignment="1">
      <alignment horizontal="center" vertical="center" wrapText="1"/>
    </xf>
    <xf numFmtId="165" fontId="37" fillId="0" borderId="10" xfId="0" applyNumberFormat="1" applyFont="1" applyBorder="1" applyAlignment="1">
      <alignment horizontal="center" wrapText="1"/>
    </xf>
    <xf numFmtId="165" fontId="37" fillId="0" borderId="33" xfId="0" applyNumberFormat="1" applyFont="1" applyBorder="1"/>
    <xf numFmtId="165" fontId="37" fillId="0" borderId="32" xfId="0" applyNumberFormat="1" applyFont="1" applyBorder="1"/>
    <xf numFmtId="165" fontId="36" fillId="0" borderId="67" xfId="0" applyNumberFormat="1" applyFont="1" applyBorder="1" applyAlignment="1">
      <alignment horizontal="left"/>
    </xf>
    <xf numFmtId="165" fontId="37" fillId="0" borderId="67" xfId="0" applyNumberFormat="1" applyFont="1" applyBorder="1"/>
    <xf numFmtId="165" fontId="37" fillId="0" borderId="14" xfId="0" applyNumberFormat="1" applyFont="1" applyBorder="1" applyAlignment="1">
      <alignment wrapText="1"/>
    </xf>
    <xf numFmtId="165" fontId="8" fillId="6" borderId="36" xfId="0" applyNumberFormat="1" applyFont="1" applyFill="1" applyBorder="1" applyAlignment="1">
      <alignment horizontal="right" wrapText="1"/>
    </xf>
    <xf numFmtId="165" fontId="51" fillId="6" borderId="36" xfId="0" applyNumberFormat="1" applyFont="1" applyFill="1" applyBorder="1" applyAlignment="1">
      <alignment wrapText="1"/>
    </xf>
    <xf numFmtId="165" fontId="51" fillId="6" borderId="56" xfId="0" applyNumberFormat="1" applyFont="1" applyFill="1" applyBorder="1" applyAlignment="1">
      <alignment wrapText="1"/>
    </xf>
    <xf numFmtId="165" fontId="46" fillId="8" borderId="67" xfId="0" applyNumberFormat="1" applyFont="1" applyFill="1" applyBorder="1"/>
    <xf numFmtId="165" fontId="9" fillId="8" borderId="77" xfId="0" applyNumberFormat="1" applyFont="1" applyFill="1" applyBorder="1" applyAlignment="1">
      <alignment horizontal="center"/>
    </xf>
    <xf numFmtId="165" fontId="9" fillId="8" borderId="66" xfId="0" applyNumberFormat="1" applyFont="1" applyFill="1" applyBorder="1" applyAlignment="1">
      <alignment horizontal="center"/>
    </xf>
    <xf numFmtId="165" fontId="48" fillId="8" borderId="68" xfId="0" applyNumberFormat="1" applyFont="1" applyFill="1" applyBorder="1" applyAlignment="1">
      <alignment wrapText="1"/>
    </xf>
    <xf numFmtId="165" fontId="48" fillId="8" borderId="67" xfId="0" applyNumberFormat="1" applyFont="1" applyFill="1" applyBorder="1" applyAlignment="1">
      <alignment wrapText="1"/>
    </xf>
    <xf numFmtId="165" fontId="47" fillId="8" borderId="15" xfId="0" applyNumberFormat="1" applyFont="1" applyFill="1" applyBorder="1" applyAlignment="1">
      <alignment wrapText="1"/>
    </xf>
    <xf numFmtId="167" fontId="48" fillId="8" borderId="40" xfId="0" applyNumberFormat="1" applyFont="1" applyFill="1" applyBorder="1" applyAlignment="1">
      <alignment horizontal="center" wrapText="1"/>
    </xf>
    <xf numFmtId="165" fontId="36" fillId="0" borderId="21" xfId="0" applyNumberFormat="1" applyFont="1" applyBorder="1" applyAlignment="1">
      <alignment wrapText="1"/>
    </xf>
    <xf numFmtId="165" fontId="37" fillId="2" borderId="10" xfId="0" applyNumberFormat="1" applyFont="1" applyFill="1" applyBorder="1" applyAlignment="1">
      <alignment horizontal="center" wrapText="1"/>
    </xf>
    <xf numFmtId="165" fontId="36" fillId="0" borderId="44" xfId="0" applyNumberFormat="1" applyFont="1" applyBorder="1" applyAlignment="1">
      <alignment horizontal="left" wrapText="1"/>
    </xf>
    <xf numFmtId="165" fontId="37" fillId="0" borderId="47" xfId="0" applyNumberFormat="1" applyFont="1" applyBorder="1" applyAlignment="1">
      <alignment wrapText="1"/>
    </xf>
    <xf numFmtId="165" fontId="8" fillId="6" borderId="66" xfId="0" applyNumberFormat="1" applyFont="1" applyFill="1" applyBorder="1" applyAlignment="1">
      <alignment horizontal="right" wrapText="1"/>
    </xf>
    <xf numFmtId="165" fontId="8" fillId="6" borderId="67" xfId="0" applyNumberFormat="1" applyFont="1" applyFill="1" applyBorder="1" applyAlignment="1">
      <alignment wrapText="1"/>
    </xf>
    <xf numFmtId="165" fontId="51" fillId="6" borderId="66" xfId="0" applyNumberFormat="1" applyFont="1" applyFill="1" applyBorder="1" applyAlignment="1">
      <alignment wrapText="1"/>
    </xf>
    <xf numFmtId="165" fontId="8" fillId="6" borderId="66" xfId="0" applyNumberFormat="1" applyFont="1" applyFill="1" applyBorder="1" applyAlignment="1">
      <alignment horizontal="right"/>
    </xf>
    <xf numFmtId="165" fontId="8" fillId="6" borderId="77" xfId="0" applyNumberFormat="1" applyFont="1" applyFill="1" applyBorder="1" applyAlignment="1">
      <alignment wrapText="1"/>
    </xf>
    <xf numFmtId="165" fontId="8" fillId="6" borderId="66" xfId="0" applyNumberFormat="1" applyFont="1" applyFill="1" applyBorder="1" applyAlignment="1">
      <alignment wrapText="1"/>
    </xf>
    <xf numFmtId="165" fontId="36" fillId="0" borderId="45" xfId="0" applyNumberFormat="1" applyFont="1" applyBorder="1" applyAlignment="1">
      <alignment wrapText="1"/>
    </xf>
    <xf numFmtId="165" fontId="36" fillId="0" borderId="30" xfId="0" applyNumberFormat="1" applyFont="1" applyBorder="1" applyAlignment="1">
      <alignment horizontal="left" wrapText="1"/>
    </xf>
    <xf numFmtId="165" fontId="8" fillId="6" borderId="19" xfId="0" applyNumberFormat="1" applyFont="1" applyFill="1" applyBorder="1" applyAlignment="1">
      <alignment wrapText="1"/>
    </xf>
    <xf numFmtId="165" fontId="8" fillId="6" borderId="64" xfId="0" applyNumberFormat="1" applyFont="1" applyFill="1" applyBorder="1" applyAlignment="1">
      <alignment wrapText="1"/>
    </xf>
    <xf numFmtId="165" fontId="9" fillId="8" borderId="69" xfId="0" applyNumberFormat="1" applyFont="1" applyFill="1" applyBorder="1" applyAlignment="1">
      <alignment horizontal="center"/>
    </xf>
    <xf numFmtId="0" fontId="36" fillId="0" borderId="0" xfId="0" applyFont="1" applyBorder="1" applyAlignment="1">
      <alignment horizontal="right"/>
    </xf>
    <xf numFmtId="9" fontId="8" fillId="6" borderId="14" xfId="0" applyNumberFormat="1" applyFont="1" applyFill="1" applyBorder="1" applyAlignment="1">
      <alignment horizontal="center"/>
    </xf>
    <xf numFmtId="0" fontId="36" fillId="0" borderId="19" xfId="0" applyFont="1" applyBorder="1" applyAlignment="1">
      <alignment horizontal="right"/>
    </xf>
    <xf numFmtId="0" fontId="8" fillId="6" borderId="72" xfId="0" applyFont="1" applyFill="1" applyBorder="1" applyAlignment="1">
      <alignment horizontal="center"/>
    </xf>
    <xf numFmtId="0" fontId="4" fillId="8" borderId="15" xfId="0" applyFont="1" applyFill="1" applyBorder="1" applyAlignment="1">
      <alignment horizontal="left"/>
    </xf>
    <xf numFmtId="0" fontId="41" fillId="8" borderId="37" xfId="0" applyFont="1" applyFill="1" applyBorder="1" applyAlignment="1">
      <alignment horizontal="center"/>
    </xf>
    <xf numFmtId="167" fontId="41" fillId="8" borderId="69" xfId="0" applyNumberFormat="1" applyFont="1" applyFill="1" applyBorder="1" applyAlignment="1">
      <alignment horizontal="center"/>
    </xf>
    <xf numFmtId="168" fontId="41" fillId="8" borderId="69" xfId="0" applyNumberFormat="1" applyFont="1" applyFill="1" applyBorder="1"/>
    <xf numFmtId="168" fontId="41" fillId="8" borderId="16" xfId="0" applyNumberFormat="1" applyFont="1" applyFill="1" applyBorder="1"/>
    <xf numFmtId="165" fontId="37" fillId="0" borderId="38" xfId="0" applyNumberFormat="1" applyFont="1" applyBorder="1"/>
    <xf numFmtId="165" fontId="36" fillId="0" borderId="20" xfId="0" applyNumberFormat="1" applyFont="1" applyBorder="1"/>
    <xf numFmtId="165" fontId="36" fillId="0" borderId="0" xfId="0" applyNumberFormat="1" applyFont="1" applyBorder="1"/>
    <xf numFmtId="168" fontId="36" fillId="0" borderId="14" xfId="0" applyNumberFormat="1" applyFont="1" applyBorder="1" applyAlignment="1">
      <alignment horizontal="left"/>
    </xf>
    <xf numFmtId="165" fontId="37" fillId="0" borderId="37" xfId="0" applyNumberFormat="1" applyFont="1" applyBorder="1"/>
    <xf numFmtId="165" fontId="37" fillId="0" borderId="16" xfId="0" applyNumberFormat="1" applyFont="1" applyBorder="1"/>
    <xf numFmtId="168" fontId="41" fillId="8" borderId="66" xfId="0" applyNumberFormat="1" applyFont="1" applyFill="1" applyBorder="1" applyAlignment="1">
      <alignment horizontal="left"/>
    </xf>
    <xf numFmtId="165" fontId="42" fillId="8" borderId="57" xfId="0" applyNumberFormat="1" applyFont="1" applyFill="1" applyBorder="1"/>
    <xf numFmtId="165" fontId="42" fillId="8" borderId="68" xfId="0" applyNumberFormat="1" applyFont="1" applyFill="1" applyBorder="1"/>
    <xf numFmtId="165" fontId="42" fillId="8" borderId="77" xfId="0" applyNumberFormat="1" applyFont="1" applyFill="1" applyBorder="1"/>
    <xf numFmtId="0" fontId="36" fillId="0" borderId="40" xfId="0" applyFont="1" applyBorder="1" applyAlignment="1">
      <alignment horizontal="right"/>
    </xf>
    <xf numFmtId="10" fontId="8" fillId="6" borderId="72" xfId="0" applyNumberFormat="1" applyFont="1" applyFill="1" applyBorder="1" applyAlignment="1">
      <alignment horizontal="center"/>
    </xf>
    <xf numFmtId="0" fontId="4" fillId="9" borderId="15" xfId="0" applyFont="1" applyFill="1" applyBorder="1" applyAlignment="1">
      <alignment horizontal="left"/>
    </xf>
    <xf numFmtId="168" fontId="42" fillId="9" borderId="15" xfId="0" applyNumberFormat="1" applyFont="1" applyFill="1" applyBorder="1"/>
    <xf numFmtId="43" fontId="36" fillId="0" borderId="40" xfId="0" applyNumberFormat="1" applyFont="1" applyBorder="1" applyAlignment="1">
      <alignment horizontal="left"/>
    </xf>
    <xf numFmtId="165" fontId="37" fillId="0" borderId="19" xfId="0" applyNumberFormat="1" applyFont="1" applyBorder="1"/>
    <xf numFmtId="43" fontId="36" fillId="0" borderId="19" xfId="0" applyNumberFormat="1" applyFont="1" applyBorder="1" applyAlignment="1">
      <alignment horizontal="left"/>
    </xf>
    <xf numFmtId="165" fontId="37" fillId="0" borderId="75" xfId="0" applyNumberFormat="1" applyFont="1" applyBorder="1"/>
    <xf numFmtId="165" fontId="37" fillId="0" borderId="76" xfId="0" applyNumberFormat="1" applyFont="1" applyBorder="1"/>
    <xf numFmtId="169" fontId="37" fillId="0" borderId="0" xfId="0" applyNumberFormat="1" applyFont="1" applyBorder="1"/>
    <xf numFmtId="43" fontId="36" fillId="0" borderId="48" xfId="0" applyNumberFormat="1" applyFont="1" applyBorder="1" applyAlignment="1">
      <alignment horizontal="left"/>
    </xf>
    <xf numFmtId="165" fontId="8" fillId="6" borderId="64" xfId="0" applyNumberFormat="1" applyFont="1" applyFill="1" applyBorder="1"/>
    <xf numFmtId="168" fontId="36" fillId="0" borderId="15" xfId="0" applyNumberFormat="1" applyFont="1" applyBorder="1" applyAlignment="1">
      <alignment horizontal="left"/>
    </xf>
    <xf numFmtId="165" fontId="37" fillId="0" borderId="15" xfId="0" applyNumberFormat="1" applyFont="1" applyBorder="1"/>
    <xf numFmtId="168" fontId="41" fillId="8" borderId="67" xfId="0" applyNumberFormat="1" applyFont="1" applyFill="1" applyBorder="1" applyAlignment="1">
      <alignment horizontal="left"/>
    </xf>
    <xf numFmtId="165" fontId="42" fillId="8" borderId="66" xfId="0" applyNumberFormat="1" applyFont="1" applyFill="1" applyBorder="1"/>
    <xf numFmtId="165" fontId="42" fillId="8" borderId="67" xfId="0" applyNumberFormat="1" applyFont="1" applyFill="1" applyBorder="1"/>
    <xf numFmtId="165" fontId="63" fillId="0" borderId="0" xfId="0" applyNumberFormat="1" applyFont="1" applyBorder="1"/>
    <xf numFmtId="0" fontId="7" fillId="0" borderId="2" xfId="0" applyFont="1" applyAlignment="1">
      <alignment horizontal="center"/>
    </xf>
    <xf numFmtId="165" fontId="66" fillId="0" borderId="40" xfId="0" applyNumberFormat="1" applyFont="1" applyBorder="1"/>
    <xf numFmtId="165" fontId="67" fillId="6" borderId="23" xfId="0" applyNumberFormat="1" applyFont="1" applyFill="1" applyBorder="1"/>
    <xf numFmtId="167" fontId="65" fillId="9" borderId="22" xfId="0" applyNumberFormat="1" applyFont="1" applyFill="1" applyBorder="1" applyAlignment="1">
      <alignment horizontal="center" wrapText="1"/>
    </xf>
    <xf numFmtId="168" fontId="48" fillId="9" borderId="40" xfId="0" applyNumberFormat="1" applyFont="1" applyFill="1" applyBorder="1" applyAlignment="1">
      <alignment horizontal="center" wrapText="1"/>
    </xf>
    <xf numFmtId="168" fontId="48" fillId="9" borderId="72" xfId="0" applyNumberFormat="1" applyFont="1" applyFill="1" applyBorder="1" applyAlignment="1">
      <alignment horizontal="center" wrapText="1"/>
    </xf>
    <xf numFmtId="168" fontId="48" fillId="9" borderId="41" xfId="0" applyNumberFormat="1" applyFont="1" applyFill="1" applyBorder="1" applyAlignment="1">
      <alignment horizontal="center" wrapText="1"/>
    </xf>
    <xf numFmtId="165" fontId="66" fillId="0" borderId="60" xfId="0" applyNumberFormat="1" applyFont="1" applyBorder="1"/>
    <xf numFmtId="38" fontId="68" fillId="0" borderId="60" xfId="0" applyNumberFormat="1" applyFont="1" applyBorder="1"/>
    <xf numFmtId="38" fontId="68" fillId="0" borderId="25" xfId="0" applyNumberFormat="1" applyFont="1" applyBorder="1"/>
    <xf numFmtId="38" fontId="68" fillId="0" borderId="47" xfId="0" applyNumberFormat="1" applyFont="1" applyBorder="1"/>
    <xf numFmtId="165" fontId="68" fillId="0" borderId="65" xfId="0" applyNumberFormat="1" applyFont="1" applyBorder="1" applyAlignment="1">
      <alignment horizontal="left"/>
    </xf>
    <xf numFmtId="165" fontId="68" fillId="0" borderId="47" xfId="0" applyNumberFormat="1" applyFont="1" applyBorder="1" applyAlignment="1">
      <alignment horizontal="left"/>
    </xf>
    <xf numFmtId="165" fontId="63" fillId="0" borderId="48" xfId="0" applyNumberFormat="1" applyFont="1" applyBorder="1"/>
    <xf numFmtId="38" fontId="33" fillId="0" borderId="48" xfId="0" applyNumberFormat="1" applyFont="1" applyBorder="1"/>
    <xf numFmtId="38" fontId="33" fillId="0" borderId="4" xfId="0" applyNumberFormat="1" applyFont="1" applyBorder="1"/>
    <xf numFmtId="38" fontId="33" fillId="0" borderId="49" xfId="0" applyNumberFormat="1" applyFont="1" applyBorder="1"/>
    <xf numFmtId="38" fontId="33" fillId="0" borderId="11" xfId="0" applyNumberFormat="1" applyFont="1" applyBorder="1" applyAlignment="1">
      <alignment horizontal="right"/>
    </xf>
    <xf numFmtId="38" fontId="33" fillId="0" borderId="49" xfId="0" applyNumberFormat="1" applyFont="1" applyBorder="1" applyAlignment="1">
      <alignment horizontal="right"/>
    </xf>
    <xf numFmtId="165" fontId="66" fillId="0" borderId="48" xfId="0" applyNumberFormat="1" applyFont="1" applyBorder="1"/>
    <xf numFmtId="165" fontId="25" fillId="6" borderId="48" xfId="0" applyNumberFormat="1" applyFont="1" applyFill="1" applyBorder="1" applyAlignment="1">
      <alignment wrapText="1"/>
    </xf>
    <xf numFmtId="165" fontId="67" fillId="6" borderId="4" xfId="0" applyNumberFormat="1" applyFont="1" applyFill="1" applyBorder="1" applyAlignment="1">
      <alignment wrapText="1"/>
    </xf>
    <xf numFmtId="165" fontId="25" fillId="6" borderId="4" xfId="0" applyNumberFormat="1" applyFont="1" applyFill="1" applyBorder="1" applyAlignment="1">
      <alignment wrapText="1"/>
    </xf>
    <xf numFmtId="165" fontId="25" fillId="6" borderId="49" xfId="0" applyNumberFormat="1" applyFont="1" applyFill="1" applyBorder="1" applyAlignment="1">
      <alignment wrapText="1"/>
    </xf>
    <xf numFmtId="165" fontId="68" fillId="0" borderId="48" xfId="0" applyNumberFormat="1" applyFont="1" applyBorder="1" applyAlignment="1">
      <alignment wrapText="1"/>
    </xf>
    <xf numFmtId="165" fontId="25" fillId="6" borderId="11" xfId="0" applyNumberFormat="1" applyFont="1" applyFill="1" applyBorder="1" applyAlignment="1">
      <alignment wrapText="1"/>
    </xf>
    <xf numFmtId="165" fontId="66" fillId="0" borderId="19" xfId="0" applyNumberFormat="1" applyFont="1" applyBorder="1" applyAlignment="1">
      <alignment horizontal="left"/>
    </xf>
    <xf numFmtId="166" fontId="67" fillId="6" borderId="79" xfId="0" applyNumberFormat="1" applyFont="1" applyFill="1" applyBorder="1" applyAlignment="1">
      <alignment horizontal="center"/>
    </xf>
    <xf numFmtId="173" fontId="68" fillId="0" borderId="0" xfId="0" applyNumberFormat="1" applyFont="1" applyBorder="1" applyAlignment="1">
      <alignment wrapText="1"/>
    </xf>
    <xf numFmtId="173" fontId="68" fillId="0" borderId="19" xfId="0" applyNumberFormat="1" applyFont="1" applyBorder="1" applyAlignment="1">
      <alignment wrapText="1"/>
    </xf>
    <xf numFmtId="173" fontId="68" fillId="0" borderId="64" xfId="0" applyNumberFormat="1" applyFont="1" applyBorder="1" applyAlignment="1">
      <alignment wrapText="1"/>
    </xf>
    <xf numFmtId="173" fontId="68" fillId="0" borderId="38" xfId="0" applyNumberFormat="1" applyFont="1" applyBorder="1" applyAlignment="1">
      <alignment wrapText="1"/>
    </xf>
    <xf numFmtId="165" fontId="64" fillId="8" borderId="15" xfId="0" applyNumberFormat="1" applyFont="1" applyFill="1" applyBorder="1" applyAlignment="1">
      <alignment wrapText="1"/>
    </xf>
    <xf numFmtId="165" fontId="69" fillId="6" borderId="31" xfId="0" applyNumberFormat="1" applyFont="1" applyFill="1" applyBorder="1" applyAlignment="1">
      <alignment wrapText="1"/>
    </xf>
    <xf numFmtId="165" fontId="65" fillId="8" borderId="15" xfId="0" applyNumberFormat="1" applyFont="1" applyFill="1" applyBorder="1" applyAlignment="1">
      <alignment wrapText="1"/>
    </xf>
    <xf numFmtId="165" fontId="65" fillId="8" borderId="39" xfId="0" applyNumberFormat="1" applyFont="1" applyFill="1" applyBorder="1" applyAlignment="1">
      <alignment wrapText="1"/>
    </xf>
    <xf numFmtId="165" fontId="65" fillId="8" borderId="14" xfId="0" applyNumberFormat="1" applyFont="1" applyFill="1" applyBorder="1" applyAlignment="1">
      <alignment wrapText="1"/>
    </xf>
    <xf numFmtId="165" fontId="65" fillId="8" borderId="16" xfId="0" applyNumberFormat="1" applyFont="1" applyFill="1" applyBorder="1" applyAlignment="1">
      <alignment wrapText="1"/>
    </xf>
    <xf numFmtId="0" fontId="64" fillId="9" borderId="32" xfId="0" applyFont="1" applyFill="1" applyBorder="1"/>
    <xf numFmtId="0" fontId="64" fillId="9" borderId="41" xfId="0" applyFont="1" applyFill="1" applyBorder="1" applyAlignment="1">
      <alignment horizontal="center"/>
    </xf>
    <xf numFmtId="0" fontId="66" fillId="0" borderId="75" xfId="0" applyFont="1" applyBorder="1"/>
    <xf numFmtId="169" fontId="67" fillId="6" borderId="13" xfId="0" applyNumberFormat="1" applyFont="1" applyFill="1" applyBorder="1"/>
    <xf numFmtId="0" fontId="66" fillId="0" borderId="61" xfId="0" applyFont="1" applyBorder="1" applyAlignment="1">
      <alignment horizontal="right"/>
    </xf>
    <xf numFmtId="175" fontId="65" fillId="9" borderId="80" xfId="0" applyNumberFormat="1" applyFont="1" applyFill="1" applyBorder="1" applyAlignment="1">
      <alignment horizontal="center" wrapText="1"/>
    </xf>
    <xf numFmtId="175" fontId="65" fillId="9" borderId="10" xfId="0" applyNumberFormat="1" applyFont="1" applyFill="1" applyBorder="1" applyAlignment="1">
      <alignment horizontal="center" wrapText="1"/>
    </xf>
    <xf numFmtId="0" fontId="66" fillId="0" borderId="19" xfId="0" applyFont="1" applyBorder="1"/>
    <xf numFmtId="166" fontId="67" fillId="6" borderId="13" xfId="0" applyNumberFormat="1" applyFont="1" applyFill="1" applyBorder="1" applyAlignment="1">
      <alignment horizontal="center"/>
    </xf>
    <xf numFmtId="0" fontId="66" fillId="0" borderId="0" xfId="0" applyFont="1" applyBorder="1" applyAlignment="1">
      <alignment horizontal="right"/>
    </xf>
    <xf numFmtId="165" fontId="68" fillId="0" borderId="0" xfId="0" applyNumberFormat="1" applyFont="1" applyBorder="1"/>
    <xf numFmtId="165" fontId="68" fillId="0" borderId="11" xfId="0" applyNumberFormat="1" applyFont="1" applyBorder="1"/>
    <xf numFmtId="0" fontId="67" fillId="6" borderId="13" xfId="0" applyFont="1" applyFill="1" applyBorder="1" applyAlignment="1">
      <alignment horizontal="center"/>
    </xf>
    <xf numFmtId="6" fontId="68" fillId="0" borderId="74" xfId="0" applyNumberFormat="1" applyFont="1" applyBorder="1"/>
    <xf numFmtId="0" fontId="66" fillId="0" borderId="68" xfId="0" applyFont="1" applyBorder="1" applyAlignment="1">
      <alignment horizontal="right"/>
    </xf>
    <xf numFmtId="165" fontId="68" fillId="0" borderId="68" xfId="0" applyNumberFormat="1" applyFont="1" applyBorder="1"/>
    <xf numFmtId="165" fontId="68" fillId="0" borderId="66" xfId="0" applyNumberFormat="1" applyFont="1" applyBorder="1"/>
    <xf numFmtId="0" fontId="66" fillId="0" borderId="15" xfId="0" applyFont="1" applyBorder="1" applyAlignment="1">
      <alignment horizontal="left"/>
    </xf>
    <xf numFmtId="0" fontId="69" fillId="6" borderId="31" xfId="0" applyFont="1" applyFill="1" applyBorder="1" applyAlignment="1">
      <alignment horizontal="center"/>
    </xf>
    <xf numFmtId="0" fontId="66" fillId="0" borderId="19" xfId="0" applyFont="1" applyBorder="1" applyAlignment="1">
      <alignment horizontal="right"/>
    </xf>
    <xf numFmtId="0" fontId="66" fillId="0" borderId="67" xfId="0" applyFont="1" applyBorder="1" applyAlignment="1">
      <alignment horizontal="right"/>
    </xf>
    <xf numFmtId="0" fontId="66" fillId="0" borderId="40" xfId="0" applyFont="1" applyBorder="1" applyAlignment="1">
      <alignment horizontal="right"/>
    </xf>
    <xf numFmtId="169" fontId="25" fillId="6" borderId="13" xfId="0" applyNumberFormat="1" applyFont="1" applyFill="1" applyBorder="1"/>
    <xf numFmtId="176" fontId="65" fillId="9" borderId="10" xfId="0" applyNumberFormat="1" applyFont="1" applyFill="1" applyBorder="1" applyAlignment="1">
      <alignment horizontal="center" wrapText="1"/>
    </xf>
    <xf numFmtId="0" fontId="46" fillId="8" borderId="81" xfId="0" applyFont="1" applyFill="1" applyBorder="1" applyAlignment="1">
      <alignment horizontal="center" wrapText="1"/>
    </xf>
    <xf numFmtId="0" fontId="9" fillId="8" borderId="81" xfId="0" applyFont="1" applyFill="1" applyBorder="1" applyAlignment="1">
      <alignment horizontal="center" wrapText="1"/>
    </xf>
    <xf numFmtId="0" fontId="40" fillId="0" borderId="25" xfId="0" applyFont="1" applyBorder="1"/>
    <xf numFmtId="0" fontId="40" fillId="0" borderId="25" xfId="0" applyFont="1" applyBorder="1" applyAlignment="1">
      <alignment horizontal="center"/>
    </xf>
    <xf numFmtId="44" fontId="40" fillId="0" borderId="25" xfId="0" applyNumberFormat="1" applyFont="1" applyBorder="1" applyAlignment="1">
      <alignment horizontal="center"/>
    </xf>
    <xf numFmtId="168" fontId="48" fillId="8" borderId="82" xfId="0" applyNumberFormat="1" applyFont="1" applyFill="1" applyBorder="1" applyAlignment="1">
      <alignment horizontal="center"/>
    </xf>
    <xf numFmtId="168" fontId="46" fillId="8" borderId="82" xfId="0" applyNumberFormat="1" applyFont="1" applyFill="1" applyBorder="1" applyAlignment="1">
      <alignment horizontal="center"/>
    </xf>
    <xf numFmtId="0" fontId="40" fillId="0" borderId="0" xfId="0" applyFont="1" applyBorder="1"/>
    <xf numFmtId="0" fontId="26" fillId="5" borderId="1" xfId="0" applyFont="1" applyFill="1" applyBorder="1" applyAlignment="1">
      <alignment horizontal="center"/>
    </xf>
    <xf numFmtId="44" fontId="26" fillId="5" borderId="1" xfId="0" applyNumberFormat="1" applyFont="1" applyFill="1" applyBorder="1"/>
    <xf numFmtId="44" fontId="26" fillId="5" borderId="1" xfId="0" applyNumberFormat="1" applyFont="1" applyFill="1" applyBorder="1" applyAlignment="1">
      <alignment horizontal="center"/>
    </xf>
    <xf numFmtId="169" fontId="26" fillId="5" borderId="1" xfId="0" applyNumberFormat="1" applyFont="1" applyFill="1" applyBorder="1"/>
    <xf numFmtId="165" fontId="62" fillId="0" borderId="1" xfId="0" applyNumberFormat="1" applyFont="1" applyBorder="1"/>
    <xf numFmtId="9" fontId="70" fillId="5" borderId="1" xfId="0" applyNumberFormat="1" applyFont="1" applyFill="1" applyBorder="1" applyAlignment="1">
      <alignment horizontal="center"/>
    </xf>
    <xf numFmtId="0" fontId="26" fillId="5" borderId="1" xfId="0" applyFont="1" applyFill="1" applyBorder="1"/>
    <xf numFmtId="17" fontId="26" fillId="5" borderId="1" xfId="0" applyNumberFormat="1" applyFont="1" applyFill="1" applyBorder="1" applyAlignment="1">
      <alignment horizontal="center"/>
    </xf>
    <xf numFmtId="9" fontId="26" fillId="5" borderId="1" xfId="0" applyNumberFormat="1" applyFont="1" applyFill="1" applyBorder="1" applyAlignment="1">
      <alignment horizontal="center"/>
    </xf>
    <xf numFmtId="0" fontId="32" fillId="0" borderId="0" xfId="0" applyFont="1" applyBorder="1" applyAlignment="1">
      <alignment horizontal="center"/>
    </xf>
    <xf numFmtId="165" fontId="39" fillId="0" borderId="0" xfId="0" applyNumberFormat="1" applyFont="1" applyBorder="1"/>
    <xf numFmtId="165" fontId="34" fillId="2" borderId="2" xfId="0" applyNumberFormat="1" applyFont="1" applyFill="1" applyAlignment="1">
      <alignment wrapText="1"/>
    </xf>
    <xf numFmtId="165" fontId="34" fillId="2" borderId="2" xfId="0" applyNumberFormat="1" applyFont="1" applyFill="1" applyAlignment="1">
      <alignment horizontal="left"/>
    </xf>
    <xf numFmtId="165" fontId="37" fillId="2" borderId="84" xfId="0" applyNumberFormat="1" applyFont="1" applyFill="1" applyBorder="1" applyAlignment="1">
      <alignment wrapText="1"/>
    </xf>
    <xf numFmtId="165" fontId="34" fillId="2" borderId="76" xfId="0" applyNumberFormat="1" applyFont="1" applyFill="1" applyBorder="1" applyAlignment="1">
      <alignment horizontal="left" wrapText="1"/>
    </xf>
    <xf numFmtId="165" fontId="38" fillId="2" borderId="63" xfId="0" applyNumberFormat="1" applyFont="1" applyFill="1" applyBorder="1" applyAlignment="1">
      <alignment wrapText="1"/>
    </xf>
    <xf numFmtId="165" fontId="37" fillId="2" borderId="25" xfId="0" applyNumberFormat="1" applyFont="1" applyFill="1" applyBorder="1" applyAlignment="1">
      <alignment wrapText="1"/>
    </xf>
    <xf numFmtId="165" fontId="37" fillId="2" borderId="83" xfId="0" applyNumberFormat="1" applyFont="1" applyFill="1" applyBorder="1" applyAlignment="1">
      <alignment wrapText="1"/>
    </xf>
    <xf numFmtId="165" fontId="38" fillId="5" borderId="84" xfId="0" applyNumberFormat="1" applyFont="1" applyFill="1" applyBorder="1" applyAlignment="1">
      <alignment wrapText="1"/>
    </xf>
    <xf numFmtId="9" fontId="34" fillId="0" borderId="0" xfId="0" applyNumberFormat="1" applyFont="1" applyBorder="1"/>
    <xf numFmtId="165" fontId="37" fillId="2" borderId="20" xfId="0" applyNumberFormat="1" applyFont="1" applyFill="1" applyBorder="1" applyAlignment="1">
      <alignment horizontal="left" wrapText="1"/>
    </xf>
    <xf numFmtId="165" fontId="34" fillId="5" borderId="34" xfId="0" applyNumberFormat="1" applyFont="1" applyFill="1" applyBorder="1" applyAlignment="1">
      <alignment horizontal="left" wrapText="1"/>
    </xf>
    <xf numFmtId="165" fontId="38" fillId="5" borderId="35" xfId="0" applyNumberFormat="1" applyFont="1" applyFill="1" applyBorder="1" applyAlignment="1">
      <alignment wrapText="1"/>
    </xf>
    <xf numFmtId="165" fontId="38" fillId="5" borderId="34" xfId="0" applyNumberFormat="1" applyFont="1" applyFill="1" applyBorder="1" applyAlignment="1">
      <alignment wrapText="1"/>
    </xf>
    <xf numFmtId="165" fontId="38" fillId="5" borderId="71" xfId="0" applyNumberFormat="1" applyFont="1" applyFill="1" applyBorder="1" applyAlignment="1">
      <alignment wrapText="1"/>
    </xf>
    <xf numFmtId="165" fontId="38" fillId="5" borderId="68" xfId="0" applyNumberFormat="1" applyFont="1" applyFill="1" applyBorder="1" applyAlignment="1">
      <alignment wrapText="1"/>
    </xf>
    <xf numFmtId="165" fontId="37" fillId="2" borderId="2" xfId="0" applyNumberFormat="1" applyFont="1" applyFill="1" applyAlignment="1">
      <alignment horizontal="center" wrapText="1"/>
    </xf>
    <xf numFmtId="165" fontId="37" fillId="2" borderId="84" xfId="0" applyNumberFormat="1" applyFont="1" applyFill="1" applyBorder="1" applyAlignment="1">
      <alignment horizontal="center" wrapText="1"/>
    </xf>
    <xf numFmtId="165" fontId="37" fillId="2" borderId="20" xfId="0" applyNumberFormat="1" applyFont="1" applyFill="1" applyBorder="1" applyAlignment="1">
      <alignment horizontal="left"/>
    </xf>
    <xf numFmtId="165" fontId="34" fillId="2" borderId="76" xfId="0" applyNumberFormat="1" applyFont="1" applyFill="1" applyBorder="1" applyAlignment="1">
      <alignment horizontal="left"/>
    </xf>
    <xf numFmtId="165" fontId="38" fillId="5" borderId="6" xfId="0" applyNumberFormat="1" applyFont="1" applyFill="1" applyBorder="1" applyAlignment="1">
      <alignment wrapText="1"/>
    </xf>
    <xf numFmtId="165" fontId="22" fillId="5" borderId="2" xfId="0" applyNumberFormat="1" applyFont="1" applyFill="1" applyAlignment="1">
      <alignment wrapText="1"/>
    </xf>
    <xf numFmtId="165" fontId="55" fillId="5" borderId="2" xfId="0" applyNumberFormat="1" applyFont="1" applyFill="1" applyAlignment="1">
      <alignment wrapText="1"/>
    </xf>
    <xf numFmtId="167" fontId="38" fillId="5" borderId="2" xfId="0" applyNumberFormat="1" applyFont="1" applyFill="1" applyAlignment="1">
      <alignment horizontal="center" wrapText="1"/>
    </xf>
    <xf numFmtId="168" fontId="38" fillId="5" borderId="84" xfId="0" applyNumberFormat="1" applyFont="1" applyFill="1" applyBorder="1" applyAlignment="1">
      <alignment horizontal="center" wrapText="1"/>
    </xf>
    <xf numFmtId="168" fontId="38" fillId="5" borderId="2" xfId="0" applyNumberFormat="1" applyFont="1" applyFill="1" applyAlignment="1">
      <alignment horizontal="center" wrapText="1"/>
    </xf>
    <xf numFmtId="165" fontId="37" fillId="2" borderId="2" xfId="0" applyNumberFormat="1" applyFont="1" applyFill="1" applyAlignment="1">
      <alignment horizontal="left" wrapText="1"/>
    </xf>
    <xf numFmtId="0" fontId="36" fillId="2" borderId="2" xfId="0" applyFont="1" applyFill="1" applyAlignment="1">
      <alignment horizontal="left" wrapText="1"/>
    </xf>
    <xf numFmtId="0" fontId="34" fillId="2" borderId="76" xfId="0" applyFont="1" applyFill="1" applyBorder="1" applyAlignment="1">
      <alignment horizontal="left" wrapText="1"/>
    </xf>
    <xf numFmtId="165" fontId="38" fillId="5" borderId="84" xfId="0" applyNumberFormat="1" applyFont="1" applyFill="1" applyBorder="1"/>
    <xf numFmtId="0" fontId="34" fillId="0" borderId="0" xfId="0" applyFont="1" applyBorder="1" applyAlignment="1">
      <alignment horizontal="right"/>
    </xf>
    <xf numFmtId="0" fontId="50" fillId="6" borderId="81" xfId="0" applyFont="1" applyFill="1" applyBorder="1" applyAlignment="1">
      <alignment horizontal="center"/>
    </xf>
    <xf numFmtId="165" fontId="34" fillId="2" borderId="84" xfId="0" applyNumberFormat="1" applyFont="1" applyFill="1" applyBorder="1" applyAlignment="1">
      <alignment wrapText="1"/>
    </xf>
    <xf numFmtId="0" fontId="34" fillId="2" borderId="25" xfId="0" applyFont="1" applyFill="1" applyBorder="1" applyAlignment="1">
      <alignment horizontal="center" wrapText="1"/>
    </xf>
    <xf numFmtId="0" fontId="34" fillId="2" borderId="25" xfId="0" applyFont="1" applyFill="1" applyBorder="1" applyAlignment="1">
      <alignment horizontal="center"/>
    </xf>
    <xf numFmtId="0" fontId="34" fillId="2" borderId="24" xfId="0" applyFont="1" applyFill="1" applyBorder="1" applyAlignment="1">
      <alignment horizontal="center" wrapText="1"/>
    </xf>
    <xf numFmtId="0" fontId="36" fillId="2" borderId="84" xfId="0" applyFont="1" applyFill="1" applyBorder="1" applyAlignment="1">
      <alignment horizontal="left"/>
    </xf>
    <xf numFmtId="177" fontId="51" fillId="6" borderId="2" xfId="0" applyNumberFormat="1" applyFont="1" applyFill="1" applyAlignment="1">
      <alignment horizontal="center"/>
    </xf>
    <xf numFmtId="177" fontId="37" fillId="2" borderId="2" xfId="0" applyNumberFormat="1" applyFont="1" applyFill="1" applyAlignment="1">
      <alignment horizontal="center"/>
    </xf>
    <xf numFmtId="166" fontId="51" fillId="6" borderId="2" xfId="0" applyNumberFormat="1" applyFont="1" applyFill="1" applyAlignment="1">
      <alignment horizontal="center"/>
    </xf>
    <xf numFmtId="166" fontId="37" fillId="2" borderId="2" xfId="0" applyNumberFormat="1" applyFont="1" applyFill="1" applyAlignment="1">
      <alignment horizontal="center" wrapText="1"/>
    </xf>
    <xf numFmtId="166" fontId="37" fillId="2" borderId="20" xfId="0" applyNumberFormat="1" applyFont="1" applyFill="1" applyBorder="1" applyAlignment="1">
      <alignment horizontal="center" wrapText="1"/>
    </xf>
    <xf numFmtId="1" fontId="51" fillId="6" borderId="2" xfId="0" applyNumberFormat="1" applyFont="1" applyFill="1" applyAlignment="1">
      <alignment horizontal="center"/>
    </xf>
    <xf numFmtId="1" fontId="37" fillId="2" borderId="2" xfId="0" applyNumberFormat="1" applyFont="1" applyFill="1" applyAlignment="1">
      <alignment horizontal="center"/>
    </xf>
    <xf numFmtId="166" fontId="51" fillId="6" borderId="2" xfId="0" applyNumberFormat="1" applyFont="1" applyFill="1" applyAlignment="1">
      <alignment horizontal="center" wrapText="1"/>
    </xf>
    <xf numFmtId="166" fontId="37" fillId="2" borderId="2" xfId="0" applyNumberFormat="1" applyFont="1" applyFill="1" applyAlignment="1">
      <alignment horizontal="center"/>
    </xf>
    <xf numFmtId="9" fontId="37" fillId="2" borderId="2" xfId="0" applyNumberFormat="1" applyFont="1" applyFill="1" applyAlignment="1">
      <alignment horizontal="center"/>
    </xf>
    <xf numFmtId="166" fontId="51" fillId="6" borderId="2" xfId="0" applyNumberFormat="1" applyFont="1" applyFill="1" applyAlignment="1">
      <alignment horizontal="center" vertical="top"/>
    </xf>
    <xf numFmtId="0" fontId="36" fillId="2" borderId="2" xfId="0" applyFont="1" applyFill="1"/>
    <xf numFmtId="0" fontId="34" fillId="5" borderId="2" xfId="0" applyFont="1" applyFill="1" applyAlignment="1">
      <alignment horizontal="center" wrapText="1"/>
    </xf>
    <xf numFmtId="0" fontId="4" fillId="5" borderId="2" xfId="0" applyFont="1" applyFill="1"/>
    <xf numFmtId="167" fontId="38" fillId="5" borderId="2" xfId="0" applyNumberFormat="1" applyFont="1" applyFill="1" applyAlignment="1">
      <alignment horizontal="right" wrapText="1"/>
    </xf>
    <xf numFmtId="165" fontId="6" fillId="5" borderId="3" xfId="0" applyNumberFormat="1" applyFont="1" applyFill="1" applyBorder="1"/>
    <xf numFmtId="0" fontId="34" fillId="7" borderId="1" xfId="0" applyFont="1" applyFill="1" applyBorder="1" applyAlignment="1">
      <alignment horizontal="center" wrapText="1"/>
    </xf>
    <xf numFmtId="167" fontId="34" fillId="7" borderId="5" xfId="0" applyNumberFormat="1" applyFont="1" applyFill="1" applyBorder="1" applyAlignment="1">
      <alignment horizontal="center" wrapText="1"/>
    </xf>
    <xf numFmtId="167" fontId="34" fillId="7" borderId="4" xfId="0" applyNumberFormat="1" applyFont="1" applyFill="1" applyBorder="1" applyAlignment="1">
      <alignment horizontal="center" wrapText="1"/>
    </xf>
    <xf numFmtId="167" fontId="34" fillId="7" borderId="26" xfId="0" applyNumberFormat="1" applyFont="1" applyFill="1" applyBorder="1" applyAlignment="1">
      <alignment horizontal="center" wrapText="1"/>
    </xf>
    <xf numFmtId="168" fontId="34" fillId="7" borderId="26" xfId="0" applyNumberFormat="1" applyFont="1" applyFill="1" applyBorder="1" applyAlignment="1">
      <alignment horizontal="center" wrapText="1"/>
    </xf>
    <xf numFmtId="0" fontId="34" fillId="2" borderId="63" xfId="0" applyFont="1" applyFill="1" applyBorder="1"/>
    <xf numFmtId="165" fontId="4" fillId="5" borderId="1" xfId="0" applyNumberFormat="1" applyFont="1" applyFill="1" applyBorder="1"/>
    <xf numFmtId="0" fontId="41" fillId="8" borderId="84" xfId="0" applyFont="1" applyFill="1" applyBorder="1" applyAlignment="1">
      <alignment horizontal="left"/>
    </xf>
    <xf numFmtId="165" fontId="42" fillId="8" borderId="84" xfId="0" applyNumberFormat="1" applyFont="1" applyFill="1" applyBorder="1"/>
    <xf numFmtId="165" fontId="42" fillId="8" borderId="2" xfId="0" applyNumberFormat="1" applyFont="1" applyFill="1"/>
    <xf numFmtId="165" fontId="42" fillId="8" borderId="20" xfId="0" applyNumberFormat="1" applyFont="1" applyFill="1" applyBorder="1"/>
    <xf numFmtId="0" fontId="41" fillId="8" borderId="63" xfId="0" applyFont="1" applyFill="1" applyBorder="1" applyAlignment="1">
      <alignment horizontal="left"/>
    </xf>
    <xf numFmtId="165" fontId="42" fillId="8" borderId="63" xfId="0" applyNumberFormat="1" applyFont="1" applyFill="1" applyBorder="1"/>
    <xf numFmtId="165" fontId="42" fillId="8" borderId="76" xfId="0" applyNumberFormat="1" applyFont="1" applyFill="1" applyBorder="1"/>
    <xf numFmtId="165" fontId="42" fillId="8" borderId="78" xfId="0" applyNumberFormat="1" applyFont="1" applyFill="1" applyBorder="1"/>
    <xf numFmtId="0" fontId="34" fillId="2" borderId="84" xfId="0" applyFont="1" applyFill="1" applyBorder="1"/>
    <xf numFmtId="165" fontId="11" fillId="8" borderId="84" xfId="0" applyNumberFormat="1" applyFont="1" applyFill="1" applyBorder="1"/>
    <xf numFmtId="165" fontId="11" fillId="8" borderId="2" xfId="0" applyNumberFormat="1" applyFont="1" applyFill="1"/>
    <xf numFmtId="165" fontId="11" fillId="8" borderId="20" xfId="0" applyNumberFormat="1" applyFont="1" applyFill="1" applyBorder="1"/>
    <xf numFmtId="0" fontId="41" fillId="8" borderId="83" xfId="0" applyFont="1" applyFill="1" applyBorder="1" applyAlignment="1">
      <alignment horizontal="left"/>
    </xf>
    <xf numFmtId="165" fontId="42" fillId="8" borderId="83" xfId="0" applyNumberFormat="1" applyFont="1" applyFill="1" applyBorder="1"/>
    <xf numFmtId="165" fontId="42" fillId="8" borderId="25" xfId="0" applyNumberFormat="1" applyFont="1" applyFill="1" applyBorder="1"/>
    <xf numFmtId="165" fontId="42" fillId="8" borderId="24" xfId="0" applyNumberFormat="1" applyFont="1" applyFill="1" applyBorder="1"/>
    <xf numFmtId="167" fontId="38" fillId="7" borderId="63" xfId="0" applyNumberFormat="1" applyFont="1" applyFill="1" applyBorder="1" applyAlignment="1">
      <alignment horizontal="center" wrapText="1"/>
    </xf>
    <xf numFmtId="167" fontId="38" fillId="7" borderId="76" xfId="0" applyNumberFormat="1" applyFont="1" applyFill="1" applyBorder="1" applyAlignment="1">
      <alignment horizontal="center" wrapText="1"/>
    </xf>
    <xf numFmtId="167" fontId="38" fillId="7" borderId="78" xfId="0" applyNumberFormat="1" applyFont="1" applyFill="1" applyBorder="1" applyAlignment="1">
      <alignment horizontal="center" wrapText="1"/>
    </xf>
    <xf numFmtId="168" fontId="38" fillId="7" borderId="78" xfId="0" applyNumberFormat="1" applyFont="1" applyFill="1" applyBorder="1" applyAlignment="1">
      <alignment horizontal="center" wrapText="1"/>
    </xf>
    <xf numFmtId="0" fontId="29" fillId="5" borderId="1" xfId="0" applyFont="1" applyFill="1" applyBorder="1" applyAlignment="1">
      <alignment horizontal="left"/>
    </xf>
    <xf numFmtId="0" fontId="0" fillId="0" borderId="4" xfId="0" applyBorder="1"/>
    <xf numFmtId="0" fontId="0" fillId="0" borderId="26" xfId="0" applyBorder="1"/>
    <xf numFmtId="0" fontId="34" fillId="2" borderId="2" xfId="0" applyFont="1" applyFill="1" applyAlignment="1">
      <alignment horizontal="left"/>
    </xf>
    <xf numFmtId="0" fontId="0" fillId="0" borderId="0" xfId="0" applyBorder="1"/>
    <xf numFmtId="0" fontId="28" fillId="2" borderId="2" xfId="0" applyFont="1" applyFill="1" applyAlignment="1">
      <alignment horizontal="center"/>
    </xf>
    <xf numFmtId="0" fontId="32" fillId="2" borderId="25" xfId="0" applyFont="1" applyFill="1" applyBorder="1" applyAlignment="1">
      <alignment horizontal="center"/>
    </xf>
    <xf numFmtId="0" fontId="0" fillId="0" borderId="25" xfId="0" applyBorder="1"/>
    <xf numFmtId="0" fontId="28" fillId="0" borderId="2" xfId="0" applyFont="1" applyAlignment="1">
      <alignment horizontal="center"/>
    </xf>
    <xf numFmtId="0" fontId="28" fillId="2" borderId="25" xfId="0" applyFont="1" applyFill="1" applyBorder="1" applyAlignment="1">
      <alignment horizontal="center"/>
    </xf>
    <xf numFmtId="0" fontId="32" fillId="2" borderId="2" xfId="0" applyFont="1" applyFill="1" applyAlignment="1">
      <alignment horizontal="left"/>
    </xf>
    <xf numFmtId="0" fontId="32" fillId="2" borderId="4" xfId="0" applyFont="1" applyFill="1" applyBorder="1" applyAlignment="1">
      <alignment horizontal="center"/>
    </xf>
    <xf numFmtId="0" fontId="28" fillId="5" borderId="25" xfId="0" applyFont="1" applyFill="1" applyBorder="1" applyAlignment="1">
      <alignment horizontal="center"/>
    </xf>
    <xf numFmtId="0" fontId="32" fillId="2" borderId="2" xfId="0" applyFont="1" applyFill="1" applyAlignment="1">
      <alignment horizontal="center"/>
    </xf>
    <xf numFmtId="0" fontId="34" fillId="7" borderId="25" xfId="0" applyFont="1" applyFill="1" applyBorder="1" applyAlignment="1">
      <alignment horizontal="center"/>
    </xf>
    <xf numFmtId="0" fontId="34" fillId="2" borderId="2" xfId="0" applyFont="1" applyFill="1" applyAlignment="1">
      <alignment horizontal="center"/>
    </xf>
    <xf numFmtId="0" fontId="27" fillId="2" borderId="2" xfId="0" applyFont="1" applyFill="1" applyAlignment="1">
      <alignment horizontal="center"/>
    </xf>
    <xf numFmtId="0" fontId="34" fillId="7" borderId="83" xfId="0" applyFont="1" applyFill="1" applyBorder="1" applyAlignment="1">
      <alignment horizontal="center" wrapText="1"/>
    </xf>
    <xf numFmtId="0" fontId="34" fillId="7" borderId="25" xfId="0" applyFont="1" applyFill="1" applyBorder="1" applyAlignment="1">
      <alignment horizontal="center" wrapText="1"/>
    </xf>
    <xf numFmtId="0" fontId="34" fillId="0" borderId="46" xfId="0" applyFont="1" applyBorder="1" applyAlignment="1">
      <alignment horizontal="right" wrapText="1"/>
    </xf>
    <xf numFmtId="0" fontId="0" fillId="0" borderId="20" xfId="0" applyBorder="1"/>
    <xf numFmtId="0" fontId="46" fillId="8" borderId="18" xfId="0" applyFont="1" applyFill="1" applyBorder="1" applyAlignment="1">
      <alignment horizontal="left"/>
    </xf>
    <xf numFmtId="0" fontId="0" fillId="0" borderId="69" xfId="0" applyBorder="1"/>
    <xf numFmtId="0" fontId="0" fillId="0" borderId="37" xfId="0" applyBorder="1"/>
    <xf numFmtId="0" fontId="46" fillId="8" borderId="14" xfId="0" applyFont="1" applyFill="1" applyBorder="1" applyAlignment="1">
      <alignment horizontal="center" wrapText="1"/>
    </xf>
    <xf numFmtId="0" fontId="0" fillId="0" borderId="16" xfId="0" applyBorder="1"/>
    <xf numFmtId="169" fontId="34" fillId="0" borderId="36" xfId="0" applyNumberFormat="1" applyFont="1" applyBorder="1" applyAlignment="1">
      <alignment horizontal="left" wrapText="1"/>
    </xf>
    <xf numFmtId="0" fontId="0" fillId="0" borderId="34" xfId="0" applyBorder="1"/>
    <xf numFmtId="0" fontId="0" fillId="0" borderId="56" xfId="0" applyBorder="1"/>
    <xf numFmtId="165" fontId="46" fillId="8" borderId="14" xfId="0" applyNumberFormat="1" applyFont="1" applyFill="1" applyBorder="1" applyAlignment="1">
      <alignment horizontal="center" vertical="top" wrapText="1"/>
    </xf>
    <xf numFmtId="168" fontId="48" fillId="8" borderId="17" xfId="0" applyNumberFormat="1" applyFont="1" applyFill="1" applyBorder="1" applyAlignment="1">
      <alignment horizontal="center"/>
    </xf>
    <xf numFmtId="168" fontId="48" fillId="8" borderId="31" xfId="0" applyNumberFormat="1" applyFont="1" applyFill="1" applyBorder="1" applyAlignment="1">
      <alignment horizontal="center"/>
    </xf>
    <xf numFmtId="0" fontId="46" fillId="8" borderId="18" xfId="0" applyFont="1" applyFill="1" applyBorder="1" applyAlignment="1">
      <alignment horizontal="center"/>
    </xf>
    <xf numFmtId="0" fontId="46" fillId="8" borderId="16" xfId="0" applyFont="1" applyFill="1" applyBorder="1" applyAlignment="1">
      <alignment horizontal="center" wrapText="1"/>
    </xf>
    <xf numFmtId="0" fontId="46" fillId="8" borderId="14" xfId="0" applyFont="1" applyFill="1" applyBorder="1" applyAlignment="1">
      <alignment horizontal="center"/>
    </xf>
    <xf numFmtId="0" fontId="34" fillId="0" borderId="72" xfId="0" applyFont="1" applyBorder="1" applyAlignment="1">
      <alignment horizontal="right" wrapText="1"/>
    </xf>
    <xf numFmtId="0" fontId="0" fillId="0" borderId="61" xfId="0" applyBorder="1"/>
    <xf numFmtId="0" fontId="0" fillId="0" borderId="41" xfId="0" applyBorder="1"/>
    <xf numFmtId="168" fontId="48" fillId="8" borderId="14" xfId="0" applyNumberFormat="1" applyFont="1" applyFill="1" applyBorder="1" applyAlignment="1">
      <alignment horizontal="center"/>
    </xf>
    <xf numFmtId="165" fontId="46" fillId="8" borderId="72" xfId="0" applyNumberFormat="1" applyFont="1" applyFill="1" applyBorder="1" applyAlignment="1">
      <alignment horizontal="center" vertical="top" wrapText="1"/>
    </xf>
    <xf numFmtId="0" fontId="34" fillId="0" borderId="10" xfId="0" applyFont="1" applyBorder="1" applyAlignment="1">
      <alignment horizontal="left"/>
    </xf>
    <xf numFmtId="0" fontId="0" fillId="0" borderId="22" xfId="0" applyBorder="1"/>
    <xf numFmtId="0" fontId="0" fillId="0" borderId="33" xfId="0" applyBorder="1"/>
    <xf numFmtId="0" fontId="34" fillId="0" borderId="14" xfId="0" applyFont="1" applyBorder="1" applyAlignment="1">
      <alignment horizontal="left"/>
    </xf>
    <xf numFmtId="167" fontId="46" fillId="8" borderId="2" xfId="0" applyNumberFormat="1" applyFont="1" applyFill="1" applyAlignment="1">
      <alignment horizontal="center"/>
    </xf>
    <xf numFmtId="0" fontId="53" fillId="0" borderId="64" xfId="0" applyFont="1" applyBorder="1" applyAlignment="1">
      <alignment horizontal="right"/>
    </xf>
    <xf numFmtId="0" fontId="0" fillId="0" borderId="38" xfId="0" applyBorder="1"/>
    <xf numFmtId="14" fontId="46" fillId="9" borderId="72" xfId="0" applyNumberFormat="1" applyFont="1" applyFill="1" applyBorder="1" applyAlignment="1">
      <alignment horizontal="center" wrapText="1"/>
    </xf>
    <xf numFmtId="9" fontId="34" fillId="0" borderId="2" xfId="0" applyNumberFormat="1" applyFont="1" applyAlignment="1">
      <alignment horizontal="left"/>
    </xf>
    <xf numFmtId="0" fontId="46" fillId="9" borderId="18" xfId="0" applyFont="1" applyFill="1" applyBorder="1" applyAlignment="1">
      <alignment horizontal="center" wrapText="1"/>
    </xf>
    <xf numFmtId="165" fontId="46" fillId="9" borderId="14" xfId="0" applyNumberFormat="1" applyFont="1" applyFill="1" applyBorder="1" applyAlignment="1">
      <alignment horizontal="right"/>
    </xf>
    <xf numFmtId="0" fontId="51" fillId="6" borderId="5" xfId="0" applyFont="1" applyFill="1" applyBorder="1" applyAlignment="1">
      <alignment horizontal="center" wrapText="1"/>
    </xf>
    <xf numFmtId="165" fontId="58" fillId="5" borderId="83" xfId="0" applyNumberFormat="1" applyFont="1" applyFill="1" applyBorder="1" applyAlignment="1">
      <alignment horizontal="center" vertical="center" wrapText="1"/>
    </xf>
    <xf numFmtId="165" fontId="36" fillId="0" borderId="48" xfId="0" applyNumberFormat="1" applyFont="1" applyBorder="1" applyAlignment="1">
      <alignment horizontal="left" vertical="center" wrapText="1"/>
    </xf>
    <xf numFmtId="0" fontId="0" fillId="0" borderId="60" xfId="0" applyBorder="1"/>
    <xf numFmtId="0" fontId="51" fillId="6" borderId="5" xfId="0" applyFont="1" applyFill="1" applyBorder="1" applyAlignment="1">
      <alignment horizontal="left" wrapText="1"/>
    </xf>
    <xf numFmtId="0" fontId="51" fillId="6" borderId="63" xfId="0" applyFont="1" applyFill="1" applyBorder="1" applyAlignment="1">
      <alignment horizontal="center" wrapText="1"/>
    </xf>
    <xf numFmtId="0" fontId="0" fillId="0" borderId="76" xfId="0" applyBorder="1"/>
    <xf numFmtId="165" fontId="36" fillId="5" borderId="16" xfId="0" applyNumberFormat="1" applyFont="1" applyFill="1" applyBorder="1" applyAlignment="1">
      <alignment horizontal="center" wrapText="1"/>
    </xf>
    <xf numFmtId="165" fontId="36" fillId="0" borderId="55" xfId="0" applyNumberFormat="1" applyFont="1" applyBorder="1" applyAlignment="1">
      <alignment horizontal="left" vertical="center" wrapText="1"/>
    </xf>
    <xf numFmtId="0" fontId="0" fillId="0" borderId="67" xfId="0" applyBorder="1"/>
    <xf numFmtId="169" fontId="36" fillId="0" borderId="48" xfId="0" applyNumberFormat="1" applyFont="1" applyBorder="1" applyAlignment="1">
      <alignment horizontal="center" wrapText="1"/>
    </xf>
    <xf numFmtId="165" fontId="46" fillId="8" borderId="40" xfId="0" applyNumberFormat="1" applyFont="1" applyFill="1" applyBorder="1" applyAlignment="1">
      <alignment horizontal="center"/>
    </xf>
    <xf numFmtId="165" fontId="36" fillId="0" borderId="48" xfId="0" applyNumberFormat="1" applyFont="1" applyBorder="1" applyAlignment="1">
      <alignment horizontal="center" wrapText="1"/>
    </xf>
    <xf numFmtId="165" fontId="34" fillId="5" borderId="72" xfId="0" applyNumberFormat="1" applyFont="1" applyFill="1" applyBorder="1" applyAlignment="1">
      <alignment horizontal="center" wrapText="1"/>
    </xf>
    <xf numFmtId="165" fontId="36" fillId="0" borderId="29" xfId="0" applyNumberFormat="1" applyFont="1" applyBorder="1" applyAlignment="1">
      <alignment horizontal="right" wrapText="1"/>
    </xf>
    <xf numFmtId="43" fontId="66" fillId="0" borderId="15" xfId="0" applyNumberFormat="1" applyFont="1" applyBorder="1" applyAlignment="1">
      <alignment horizontal="left" vertical="center"/>
    </xf>
    <xf numFmtId="0" fontId="41" fillId="9" borderId="14" xfId="0" applyFont="1" applyFill="1" applyBorder="1" applyAlignment="1">
      <alignment horizontal="center"/>
    </xf>
    <xf numFmtId="165" fontId="35" fillId="0" borderId="33" xfId="0" quotePrefix="1" applyNumberFormat="1" applyFont="1" applyBorder="1" applyAlignment="1">
      <alignment horizontal="left"/>
    </xf>
    <xf numFmtId="165" fontId="36" fillId="0" borderId="31" xfId="0" applyNumberFormat="1" applyFont="1" applyBorder="1" applyAlignment="1">
      <alignment horizontal="center" vertical="center"/>
    </xf>
    <xf numFmtId="0" fontId="0" fillId="0" borderId="70" xfId="0" applyBorder="1"/>
    <xf numFmtId="0" fontId="0" fillId="0" borderId="68" xfId="0" applyBorder="1"/>
    <xf numFmtId="0" fontId="0" fillId="0" borderId="77" xfId="0" applyBorder="1"/>
    <xf numFmtId="165" fontId="36" fillId="0" borderId="33" xfId="0" applyNumberFormat="1" applyFont="1" applyBorder="1" applyAlignment="1">
      <alignment horizontal="left"/>
    </xf>
    <xf numFmtId="165" fontId="35" fillId="0" borderId="47" xfId="0" applyNumberFormat="1" applyFont="1" applyBorder="1" applyAlignment="1">
      <alignment horizontal="center"/>
    </xf>
    <xf numFmtId="0" fontId="0" fillId="0" borderId="47" xfId="0" applyBorder="1"/>
    <xf numFmtId="165" fontId="46" fillId="8" borderId="16" xfId="0" applyNumberFormat="1" applyFont="1" applyFill="1" applyBorder="1" applyAlignment="1">
      <alignment horizontal="center"/>
    </xf>
    <xf numFmtId="165" fontId="46" fillId="8" borderId="14" xfId="0" applyNumberFormat="1" applyFont="1" applyFill="1" applyBorder="1" applyAlignment="1">
      <alignment horizontal="center"/>
    </xf>
    <xf numFmtId="0" fontId="46" fillId="8" borderId="15" xfId="0" applyFont="1" applyFill="1" applyBorder="1" applyAlignment="1">
      <alignment horizontal="center"/>
    </xf>
    <xf numFmtId="0" fontId="46" fillId="8" borderId="2" xfId="0" applyFont="1" applyFill="1" applyAlignment="1">
      <alignment horizontal="center"/>
    </xf>
    <xf numFmtId="165" fontId="41" fillId="0" borderId="65" xfId="0" applyNumberFormat="1" applyFont="1" applyBorder="1" applyAlignment="1">
      <alignment horizontal="center" wrapText="1"/>
    </xf>
    <xf numFmtId="165" fontId="41" fillId="0" borderId="33" xfId="0" applyNumberFormat="1" applyFont="1" applyBorder="1" applyAlignment="1">
      <alignment horizontal="center" wrapText="1"/>
    </xf>
    <xf numFmtId="0" fontId="46" fillId="8" borderId="40" xfId="0" applyFont="1" applyFill="1" applyBorder="1" applyAlignment="1">
      <alignment horizontal="center"/>
    </xf>
    <xf numFmtId="165" fontId="36" fillId="0" borderId="16" xfId="0" applyNumberFormat="1" applyFont="1" applyBorder="1" applyAlignment="1">
      <alignment horizontal="center" vertical="center" wrapText="1"/>
    </xf>
    <xf numFmtId="165" fontId="36" fillId="0" borderId="61" xfId="0" applyNumberFormat="1" applyFont="1" applyBorder="1" applyAlignment="1">
      <alignment horizontal="center" wrapText="1"/>
    </xf>
    <xf numFmtId="165" fontId="36" fillId="0" borderId="77" xfId="0" applyNumberFormat="1" applyFont="1" applyBorder="1" applyAlignment="1">
      <alignment horizontal="right" wrapText="1"/>
    </xf>
    <xf numFmtId="0" fontId="41" fillId="9" borderId="72" xfId="0" applyFont="1" applyFill="1" applyBorder="1" applyAlignment="1">
      <alignment horizontal="center"/>
    </xf>
    <xf numFmtId="0" fontId="46" fillId="8" borderId="75" xfId="0" applyFont="1" applyFill="1" applyBorder="1" applyAlignment="1">
      <alignment horizontal="center"/>
    </xf>
    <xf numFmtId="165" fontId="36" fillId="0" borderId="69" xfId="0" applyNumberFormat="1" applyFont="1" applyBorder="1" applyAlignment="1">
      <alignment horizontal="center" vertical="center" wrapText="1"/>
    </xf>
    <xf numFmtId="165" fontId="36" fillId="0" borderId="76" xfId="0" applyNumberFormat="1" applyFont="1" applyBorder="1" applyAlignment="1">
      <alignment horizontal="right"/>
    </xf>
    <xf numFmtId="165" fontId="46" fillId="8" borderId="41" xfId="0" applyNumberFormat="1" applyFont="1" applyFill="1" applyBorder="1" applyAlignment="1">
      <alignment horizontal="center"/>
    </xf>
    <xf numFmtId="165" fontId="46" fillId="8" borderId="69" xfId="0" applyNumberFormat="1" applyFont="1" applyFill="1" applyBorder="1" applyAlignment="1">
      <alignment horizontal="center"/>
    </xf>
    <xf numFmtId="0" fontId="41" fillId="8" borderId="81" xfId="0" applyFont="1" applyFill="1" applyBorder="1" applyAlignment="1">
      <alignment horizontal="center"/>
    </xf>
    <xf numFmtId="0" fontId="0" fillId="0" borderId="78" xfId="0" applyBorder="1"/>
    <xf numFmtId="167" fontId="48" fillId="8" borderId="1" xfId="0" applyNumberFormat="1" applyFont="1" applyFill="1" applyBorder="1" applyAlignment="1">
      <alignment horizontal="center"/>
    </xf>
    <xf numFmtId="0" fontId="0" fillId="0" borderId="82" xfId="0" applyBorder="1"/>
    <xf numFmtId="167" fontId="46" fillId="8" borderId="1" xfId="0" applyNumberFormat="1" applyFont="1" applyFill="1" applyBorder="1" applyAlignment="1">
      <alignment horizontal="center"/>
    </xf>
    <xf numFmtId="0" fontId="34" fillId="5" borderId="25" xfId="0" applyFont="1" applyFill="1" applyBorder="1" applyAlignment="1">
      <alignment horizontal="center" wrapText="1"/>
    </xf>
    <xf numFmtId="0" fontId="36" fillId="2" borderId="2" xfId="0" applyFont="1" applyFill="1" applyAlignment="1">
      <alignment horizontal="left"/>
    </xf>
    <xf numFmtId="165" fontId="36" fillId="2" borderId="2" xfId="0" applyNumberFormat="1" applyFont="1" applyFill="1" applyAlignment="1">
      <alignment horizontal="left" wrapText="1"/>
    </xf>
    <xf numFmtId="43" fontId="36" fillId="2" borderId="2" xfId="0" applyNumberFormat="1" applyFont="1" applyFill="1" applyAlignment="1">
      <alignment horizontal="left"/>
    </xf>
    <xf numFmtId="0" fontId="71" fillId="6" borderId="26" xfId="0" applyFont="1" applyFill="1" applyBorder="1" applyAlignment="1">
      <alignment horizontal="left"/>
    </xf>
    <xf numFmtId="0" fontId="36" fillId="2" borderId="2" xfId="0" applyFont="1" applyFill="1" applyAlignment="1">
      <alignment horizontal="left" vertical="top"/>
    </xf>
    <xf numFmtId="0" fontId="72" fillId="2" borderId="2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F172A"/>
    <pageSetUpPr fitToPage="1"/>
  </sheetPr>
  <dimension ref="A1:G9"/>
  <sheetViews>
    <sheetView showGridLines="0" tabSelected="1" workbookViewId="0">
      <pane ySplit="2" topLeftCell="A3" activePane="bottomLeft" state="frozen"/>
      <selection pane="bottomLeft" activeCell="M30" sqref="M30"/>
    </sheetView>
  </sheetViews>
  <sheetFormatPr baseColWidth="10" defaultColWidth="14.5" defaultRowHeight="15" customHeight="1" x14ac:dyDescent="0.2"/>
  <cols>
    <col min="1" max="1" width="41.5" customWidth="1"/>
    <col min="2" max="2" width="20.1640625" customWidth="1"/>
    <col min="3" max="3" width="11.1640625" customWidth="1"/>
    <col min="4" max="4" width="9.6640625" customWidth="1"/>
    <col min="5" max="5" width="19.83203125" customWidth="1"/>
    <col min="6" max="6" width="10" customWidth="1"/>
    <col min="7" max="8" width="22.1640625" customWidth="1"/>
    <col min="9" max="20" width="11.33203125" customWidth="1"/>
    <col min="21" max="21" width="12.6640625" customWidth="1"/>
    <col min="22" max="22" width="9.33203125" customWidth="1"/>
    <col min="23" max="23" width="11.33203125" customWidth="1"/>
    <col min="24" max="24" width="10.1640625" customWidth="1"/>
    <col min="25" max="25" width="11.33203125" customWidth="1"/>
    <col min="26" max="26" width="9.5" customWidth="1"/>
    <col min="27" max="27" width="5.33203125" customWidth="1"/>
  </cols>
  <sheetData>
    <row r="1" spans="1:7" ht="15.75" customHeight="1" x14ac:dyDescent="0.2">
      <c r="A1" s="300" t="s">
        <v>0</v>
      </c>
      <c r="B1" s="1"/>
      <c r="C1" s="1"/>
      <c r="D1" s="1"/>
      <c r="E1" s="2"/>
      <c r="F1" s="1"/>
      <c r="G1" s="3"/>
    </row>
    <row r="2" spans="1:7" ht="15" customHeight="1" x14ac:dyDescent="0.2">
      <c r="A2" s="301" t="s">
        <v>1</v>
      </c>
      <c r="B2" s="1"/>
      <c r="C2" s="1"/>
      <c r="D2" s="1"/>
      <c r="E2" s="2"/>
      <c r="F2" s="1"/>
      <c r="G2" s="3"/>
    </row>
    <row r="3" spans="1:7" ht="15" customHeight="1" x14ac:dyDescent="0.2">
      <c r="A3" s="3"/>
      <c r="B3" s="1"/>
      <c r="C3" s="1"/>
      <c r="D3" s="1"/>
      <c r="E3" s="2"/>
      <c r="F3" s="1"/>
      <c r="G3" s="3"/>
    </row>
    <row r="4" spans="1:7" ht="15" customHeight="1" x14ac:dyDescent="0.2">
      <c r="A4" s="1"/>
      <c r="B4" s="1"/>
      <c r="C4" s="1"/>
      <c r="D4" s="1"/>
      <c r="E4" s="2"/>
      <c r="F4" s="1"/>
      <c r="G4" s="3"/>
    </row>
    <row r="5" spans="1:7" ht="15.75" customHeight="1" x14ac:dyDescent="0.2">
      <c r="A5" s="302" t="s">
        <v>2</v>
      </c>
      <c r="B5" s="1058" t="s">
        <v>3</v>
      </c>
      <c r="C5" s="1059"/>
      <c r="D5" s="1059"/>
      <c r="E5" s="1060"/>
      <c r="F5" s="5"/>
      <c r="G5" s="5"/>
    </row>
    <row r="6" spans="1:7" ht="15.75" customHeight="1" x14ac:dyDescent="0.2">
      <c r="A6" s="4"/>
      <c r="B6" s="6"/>
      <c r="C6" s="6"/>
      <c r="D6" s="6"/>
      <c r="E6" s="6"/>
      <c r="F6" s="5"/>
      <c r="G6" s="5"/>
    </row>
    <row r="7" spans="1:7" ht="15.75" customHeight="1" x14ac:dyDescent="0.2">
      <c r="A7" s="302" t="s">
        <v>4</v>
      </c>
      <c r="B7" s="303">
        <v>44743</v>
      </c>
      <c r="C7" s="7"/>
      <c r="D7" s="8"/>
      <c r="E7" s="1"/>
      <c r="F7" s="3"/>
      <c r="G7" s="3"/>
    </row>
    <row r="8" spans="1:7" ht="15.75" customHeight="1" x14ac:dyDescent="0.2">
      <c r="A8" s="1"/>
      <c r="B8" s="3"/>
      <c r="C8" s="3"/>
      <c r="D8" s="3"/>
      <c r="E8" s="3"/>
      <c r="F8" s="3"/>
      <c r="G8" s="304" t="s">
        <v>5</v>
      </c>
    </row>
    <row r="9" spans="1:7" ht="15.75" customHeight="1" x14ac:dyDescent="0.2">
      <c r="A9" s="3"/>
      <c r="B9" s="3"/>
      <c r="C9" s="3"/>
      <c r="D9" s="3"/>
      <c r="E9" s="1"/>
      <c r="F9" s="305"/>
    </row>
  </sheetData>
  <mergeCells count="1">
    <mergeCell ref="B5:E5"/>
  </mergeCells>
  <pageMargins left="0.23" right="0.17" top="0.3" bottom="0.24" header="0" footer="0"/>
  <pageSetup fitToWidth="0"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6D7E96"/>
    <pageSetUpPr fitToPage="1"/>
  </sheetPr>
  <dimension ref="A1:W45"/>
  <sheetViews>
    <sheetView showGridLines="0" workbookViewId="0">
      <pane ySplit="2" topLeftCell="A3" activePane="bottomLeft" state="frozen"/>
      <selection pane="bottomLeft" activeCell="M30" sqref="M30"/>
    </sheetView>
  </sheetViews>
  <sheetFormatPr baseColWidth="10" defaultColWidth="14.5" defaultRowHeight="15" customHeight="1" x14ac:dyDescent="0.2"/>
  <cols>
    <col min="1" max="1" width="35.83203125" customWidth="1"/>
    <col min="2" max="2" width="15" customWidth="1"/>
    <col min="3" max="4" width="8.6640625" customWidth="1"/>
    <col min="5" max="5" width="14" customWidth="1"/>
    <col min="6" max="17" width="8.6640625" customWidth="1"/>
    <col min="18" max="20" width="10.5" customWidth="1"/>
    <col min="21" max="43" width="8.6640625" customWidth="1"/>
  </cols>
  <sheetData>
    <row r="1" spans="1:20" x14ac:dyDescent="0.2">
      <c r="A1" s="345" t="s">
        <v>111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  <c r="O1" s="149"/>
      <c r="P1" s="149"/>
      <c r="Q1" s="149"/>
      <c r="R1" s="149"/>
      <c r="S1" s="149"/>
      <c r="T1" s="149"/>
    </row>
    <row r="2" spans="1:20" x14ac:dyDescent="0.2">
      <c r="A2" s="310" t="str">
        <f>+Historical!$A$1</f>
        <v>Draper Yoga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</row>
    <row r="3" spans="1:20" ht="15" customHeight="1" x14ac:dyDescent="0.2">
      <c r="A3" s="181"/>
      <c r="B3" s="181"/>
      <c r="C3" s="181"/>
      <c r="D3" s="181"/>
      <c r="E3" s="653" t="s">
        <v>252</v>
      </c>
      <c r="F3" s="495">
        <f>+'P&amp;L-COGS'!B5</f>
        <v>44771</v>
      </c>
      <c r="G3" s="495">
        <f>+'P&amp;L-COGS'!C5</f>
        <v>44799</v>
      </c>
      <c r="H3" s="495">
        <f>+'P&amp;L-COGS'!D5</f>
        <v>44827</v>
      </c>
      <c r="I3" s="495">
        <f>+'P&amp;L-COGS'!E5</f>
        <v>44855</v>
      </c>
      <c r="J3" s="495">
        <f>+'P&amp;L-COGS'!F5</f>
        <v>44883</v>
      </c>
      <c r="K3" s="495">
        <f>+'P&amp;L-COGS'!G5</f>
        <v>44911</v>
      </c>
      <c r="L3" s="495">
        <f>+'P&amp;L-COGS'!H5</f>
        <v>44939</v>
      </c>
      <c r="M3" s="495">
        <f>+'P&amp;L-COGS'!I5</f>
        <v>44967</v>
      </c>
      <c r="N3" s="495">
        <f>+'P&amp;L-COGS'!J5</f>
        <v>44995</v>
      </c>
      <c r="O3" s="495">
        <f>+'P&amp;L-COGS'!K5</f>
        <v>45023</v>
      </c>
      <c r="P3" s="495">
        <f>+'P&amp;L-COGS'!L5</f>
        <v>45051</v>
      </c>
      <c r="Q3" s="654">
        <f>+'P&amp;L-COGS'!M5</f>
        <v>45079</v>
      </c>
      <c r="R3" s="655">
        <f>+Q3</f>
        <v>45079</v>
      </c>
      <c r="S3" s="655">
        <f>+R3+365</f>
        <v>45444</v>
      </c>
      <c r="T3" s="656">
        <f>+S3+365</f>
        <v>45809</v>
      </c>
    </row>
    <row r="4" spans="1:20" ht="15" customHeight="1" x14ac:dyDescent="0.2">
      <c r="A4" s="246"/>
      <c r="B4" s="1120" t="s">
        <v>209</v>
      </c>
      <c r="C4" s="1094"/>
      <c r="D4" s="1094"/>
      <c r="E4" s="657"/>
      <c r="F4" s="1116" t="s">
        <v>253</v>
      </c>
      <c r="G4" s="1080"/>
      <c r="H4" s="1080"/>
      <c r="I4" s="1080"/>
      <c r="J4" s="1080"/>
      <c r="K4" s="1080"/>
      <c r="L4" s="1080"/>
      <c r="M4" s="1080"/>
      <c r="N4" s="1080"/>
      <c r="O4" s="1080"/>
      <c r="P4" s="1080"/>
      <c r="Q4" s="1080"/>
      <c r="R4" s="1083"/>
      <c r="S4" s="1122" t="s">
        <v>254</v>
      </c>
      <c r="T4" s="1095"/>
    </row>
    <row r="5" spans="1:20" ht="21.75" customHeight="1" x14ac:dyDescent="0.2">
      <c r="A5" s="658" t="s">
        <v>42</v>
      </c>
      <c r="B5" s="659" t="s">
        <v>255</v>
      </c>
      <c r="C5" s="1110" t="s">
        <v>256</v>
      </c>
      <c r="D5" s="1065"/>
      <c r="E5" s="66"/>
      <c r="F5" s="660">
        <v>8.3330000000000001E-2</v>
      </c>
      <c r="G5" s="661">
        <v>8.3330000000000001E-2</v>
      </c>
      <c r="H5" s="661">
        <v>8.3330000000000001E-2</v>
      </c>
      <c r="I5" s="661">
        <v>8.3330000000000001E-2</v>
      </c>
      <c r="J5" s="661">
        <v>8.3330000000000001E-2</v>
      </c>
      <c r="K5" s="661">
        <v>8.3330000000000001E-2</v>
      </c>
      <c r="L5" s="661">
        <v>8.3330000000000001E-2</v>
      </c>
      <c r="M5" s="661">
        <v>8.3330000000000001E-2</v>
      </c>
      <c r="N5" s="661">
        <v>8.3330000000000001E-2</v>
      </c>
      <c r="O5" s="661">
        <v>8.3330000000000001E-2</v>
      </c>
      <c r="P5" s="661">
        <v>8.3330000000000001E-2</v>
      </c>
      <c r="Q5" s="661">
        <v>8.3330000000000001E-2</v>
      </c>
      <c r="R5" s="662">
        <f t="shared" ref="R5:R11" si="0">+SUM(F5:Q5)</f>
        <v>0.99996000000000007</v>
      </c>
      <c r="S5" s="663">
        <v>0.03</v>
      </c>
      <c r="T5" s="664">
        <v>0.03</v>
      </c>
    </row>
    <row r="6" spans="1:20" ht="15" customHeight="1" x14ac:dyDescent="0.2">
      <c r="A6" s="665" t="str">
        <f>+Historical!F18</f>
        <v>Payroll: Salaries &amp; wages</v>
      </c>
      <c r="B6" s="1119" t="s">
        <v>257</v>
      </c>
      <c r="C6" s="1059"/>
      <c r="D6" s="1059"/>
      <c r="E6" s="67"/>
      <c r="F6" s="455">
        <f>+SUM('P&amp;L-Payroll'!C18:C20)</f>
        <v>11773.333333333334</v>
      </c>
      <c r="G6" s="455">
        <f>+SUM('P&amp;L-Payroll'!D18:D20)</f>
        <v>11773.333333333334</v>
      </c>
      <c r="H6" s="455">
        <f>+SUM('P&amp;L-Payroll'!E18:E20)</f>
        <v>11773.333333333334</v>
      </c>
      <c r="I6" s="455">
        <f>+SUM('P&amp;L-Payroll'!F18:F20)</f>
        <v>11773.333333333334</v>
      </c>
      <c r="J6" s="455">
        <f>+SUM('P&amp;L-Payroll'!G18:G20)</f>
        <v>11773.333333333334</v>
      </c>
      <c r="K6" s="455">
        <f>+SUM('P&amp;L-Payroll'!H18:H20)</f>
        <v>11773.333333333334</v>
      </c>
      <c r="L6" s="455">
        <f>+SUM('P&amp;L-Payroll'!I18:I20)</f>
        <v>11773.333333333334</v>
      </c>
      <c r="M6" s="455">
        <f>+SUM('P&amp;L-Payroll'!J18:J20)</f>
        <v>11773.333333333334</v>
      </c>
      <c r="N6" s="455">
        <f>+SUM('P&amp;L-Payroll'!K18:K20)</f>
        <v>11773.333333333334</v>
      </c>
      <c r="O6" s="455">
        <f>+SUM('P&amp;L-Payroll'!L18:L20)</f>
        <v>11773.333333333334</v>
      </c>
      <c r="P6" s="455">
        <f>+SUM('P&amp;L-Payroll'!M18:M20)</f>
        <v>11773.333333333334</v>
      </c>
      <c r="Q6" s="455">
        <f>+SUM('P&amp;L-Payroll'!N18:N20)</f>
        <v>11773.333333333334</v>
      </c>
      <c r="R6" s="666">
        <f t="shared" si="0"/>
        <v>141279.99999999997</v>
      </c>
      <c r="S6" s="667">
        <f>+'P&amp;L-Payroll'!P27</f>
        <v>168031.5</v>
      </c>
      <c r="T6" s="666">
        <f>+'P&amp;L-Payroll'!Q27</f>
        <v>176433.07500000001</v>
      </c>
    </row>
    <row r="7" spans="1:20" ht="15" customHeight="1" x14ac:dyDescent="0.2">
      <c r="A7" s="665" t="str">
        <f>+Historical!F19</f>
        <v>Payroll: taxes &amp; benefits</v>
      </c>
      <c r="B7" s="1119" t="s">
        <v>257</v>
      </c>
      <c r="C7" s="1059"/>
      <c r="D7" s="1059"/>
      <c r="E7" s="67"/>
      <c r="F7" s="455">
        <f>+SUM('P&amp;L-Payroll'!C31:C33)</f>
        <v>737.5</v>
      </c>
      <c r="G7" s="668">
        <f>+SUM('P&amp;L-Payroll'!D31:D33)</f>
        <v>737.5</v>
      </c>
      <c r="H7" s="668">
        <f>+SUM('P&amp;L-Payroll'!E31:E33)</f>
        <v>737.5</v>
      </c>
      <c r="I7" s="668">
        <f>+SUM('P&amp;L-Payroll'!F31:F33)</f>
        <v>737.5</v>
      </c>
      <c r="J7" s="668">
        <f>+SUM('P&amp;L-Payroll'!G31:G33)</f>
        <v>737.5</v>
      </c>
      <c r="K7" s="668">
        <f>+SUM('P&amp;L-Payroll'!H31:H33)</f>
        <v>737.5</v>
      </c>
      <c r="L7" s="668">
        <f>+SUM('P&amp;L-Payroll'!I31:I33)</f>
        <v>737.5</v>
      </c>
      <c r="M7" s="668">
        <f>+SUM('P&amp;L-Payroll'!J31:J33)</f>
        <v>737.5</v>
      </c>
      <c r="N7" s="668">
        <f>+SUM('P&amp;L-Payroll'!K31:K33)</f>
        <v>737.5</v>
      </c>
      <c r="O7" s="668">
        <f>+SUM('P&amp;L-Payroll'!L31:L33)</f>
        <v>737.5</v>
      </c>
      <c r="P7" s="668">
        <f>+SUM('P&amp;L-Payroll'!M31:M33)</f>
        <v>737.5</v>
      </c>
      <c r="Q7" s="455">
        <f>+SUM('P&amp;L-Payroll'!N31:N33)</f>
        <v>737.5</v>
      </c>
      <c r="R7" s="666">
        <f t="shared" si="0"/>
        <v>8850</v>
      </c>
      <c r="S7" s="667">
        <f>+'P&amp;L-Payroll'!P40</f>
        <v>23503.59375</v>
      </c>
      <c r="T7" s="666">
        <f>+'P&amp;L-Payroll'!Q40</f>
        <v>24678.7734375</v>
      </c>
    </row>
    <row r="8" spans="1:20" ht="15" customHeight="1" x14ac:dyDescent="0.2">
      <c r="A8" s="1111" t="str">
        <f>+Historical!F20</f>
        <v>Advertising and Marketing</v>
      </c>
      <c r="B8" s="669">
        <f>1500*12</f>
        <v>18000</v>
      </c>
      <c r="C8" s="1114">
        <v>1</v>
      </c>
      <c r="D8" s="1115"/>
      <c r="E8" s="235"/>
      <c r="F8" s="503">
        <f t="shared" ref="F8:Q8" si="1">+IF($C8=1,$B8/12,IF($C8=2,$B8*F$5,0))</f>
        <v>1500</v>
      </c>
      <c r="G8" s="503">
        <f t="shared" si="1"/>
        <v>1500</v>
      </c>
      <c r="H8" s="503">
        <f t="shared" si="1"/>
        <v>1500</v>
      </c>
      <c r="I8" s="503">
        <f t="shared" si="1"/>
        <v>1500</v>
      </c>
      <c r="J8" s="503">
        <f t="shared" si="1"/>
        <v>1500</v>
      </c>
      <c r="K8" s="503">
        <f t="shared" si="1"/>
        <v>1500</v>
      </c>
      <c r="L8" s="503">
        <f t="shared" si="1"/>
        <v>1500</v>
      </c>
      <c r="M8" s="503">
        <f t="shared" si="1"/>
        <v>1500</v>
      </c>
      <c r="N8" s="503">
        <f t="shared" si="1"/>
        <v>1500</v>
      </c>
      <c r="O8" s="503">
        <f t="shared" si="1"/>
        <v>1500</v>
      </c>
      <c r="P8" s="503">
        <f t="shared" si="1"/>
        <v>1500</v>
      </c>
      <c r="Q8" s="503">
        <f t="shared" si="1"/>
        <v>1500</v>
      </c>
      <c r="R8" s="670">
        <f t="shared" si="0"/>
        <v>18000</v>
      </c>
      <c r="S8" s="502">
        <f>+(R8+R9)*(1+S$5)</f>
        <v>18540</v>
      </c>
      <c r="T8" s="670">
        <f>+(S8+S9)*(1+T$5)</f>
        <v>19096.2</v>
      </c>
    </row>
    <row r="9" spans="1:20" ht="15" customHeight="1" x14ac:dyDescent="0.2">
      <c r="A9" s="1112"/>
      <c r="B9" s="296"/>
      <c r="E9" s="671">
        <v>5000</v>
      </c>
      <c r="F9" s="672"/>
      <c r="G9" s="672"/>
      <c r="H9" s="672"/>
      <c r="I9" s="672"/>
      <c r="J9" s="672"/>
      <c r="K9" s="672"/>
      <c r="L9" s="672"/>
      <c r="M9" s="672"/>
      <c r="N9" s="672"/>
      <c r="O9" s="672"/>
      <c r="P9" s="672"/>
      <c r="Q9" s="672"/>
      <c r="R9" s="670">
        <f t="shared" si="0"/>
        <v>0</v>
      </c>
      <c r="S9" s="32"/>
      <c r="T9" s="235"/>
    </row>
    <row r="10" spans="1:20" ht="15" customHeight="1" x14ac:dyDescent="0.2">
      <c r="A10" s="1111" t="str">
        <f>+Historical!F21</f>
        <v>Communications (IT, phone, postal)</v>
      </c>
      <c r="B10" s="669">
        <f>150*12</f>
        <v>1800</v>
      </c>
      <c r="C10" s="1114">
        <v>1</v>
      </c>
      <c r="D10" s="1115"/>
      <c r="E10" s="68"/>
      <c r="F10" s="673">
        <f t="shared" ref="F10:Q10" si="2">+IF($C10=1,$B10/12,IF($C10=2,$B10*F$5,0))</f>
        <v>150</v>
      </c>
      <c r="G10" s="673">
        <f t="shared" si="2"/>
        <v>150</v>
      </c>
      <c r="H10" s="673">
        <f t="shared" si="2"/>
        <v>150</v>
      </c>
      <c r="I10" s="673">
        <f t="shared" si="2"/>
        <v>150</v>
      </c>
      <c r="J10" s="673">
        <f t="shared" si="2"/>
        <v>150</v>
      </c>
      <c r="K10" s="673">
        <f t="shared" si="2"/>
        <v>150</v>
      </c>
      <c r="L10" s="673">
        <f t="shared" si="2"/>
        <v>150</v>
      </c>
      <c r="M10" s="673">
        <f t="shared" si="2"/>
        <v>150</v>
      </c>
      <c r="N10" s="673">
        <f t="shared" si="2"/>
        <v>150</v>
      </c>
      <c r="O10" s="673">
        <f t="shared" si="2"/>
        <v>150</v>
      </c>
      <c r="P10" s="673">
        <f t="shared" si="2"/>
        <v>150</v>
      </c>
      <c r="Q10" s="673">
        <f t="shared" si="2"/>
        <v>150</v>
      </c>
      <c r="R10" s="674">
        <f t="shared" si="0"/>
        <v>1800</v>
      </c>
      <c r="S10" s="675">
        <f>+(R10+R11)*(1+S$5)</f>
        <v>1854</v>
      </c>
      <c r="T10" s="674">
        <f>+(S10+S11)*(1+T$5)</f>
        <v>1909.6200000000001</v>
      </c>
    </row>
    <row r="11" spans="1:20" ht="15" customHeight="1" x14ac:dyDescent="0.2">
      <c r="A11" s="1112"/>
      <c r="B11" s="296"/>
      <c r="E11" s="676">
        <v>2500</v>
      </c>
      <c r="F11" s="677"/>
      <c r="G11" s="677"/>
      <c r="H11" s="677"/>
      <c r="I11" s="677"/>
      <c r="J11" s="677"/>
      <c r="K11" s="677"/>
      <c r="L11" s="677"/>
      <c r="M11" s="677"/>
      <c r="N11" s="677"/>
      <c r="O11" s="677"/>
      <c r="P11" s="677"/>
      <c r="Q11" s="677"/>
      <c r="R11" s="678">
        <f t="shared" si="0"/>
        <v>0</v>
      </c>
      <c r="S11" s="69"/>
      <c r="T11" s="247"/>
    </row>
    <row r="12" spans="1:20" ht="15" customHeight="1" x14ac:dyDescent="0.2">
      <c r="A12" s="665" t="str">
        <f>+Historical!F23</f>
        <v>Depr/amort</v>
      </c>
      <c r="B12" s="1121" t="s">
        <v>258</v>
      </c>
      <c r="C12" s="1059"/>
      <c r="D12" s="1059"/>
      <c r="E12" s="67"/>
      <c r="F12" s="455">
        <f>+'BAL-Assets'!D87</f>
        <v>1166.6666666666667</v>
      </c>
      <c r="G12" s="455">
        <f>+'BAL-Assets'!E87</f>
        <v>1166.6666666666667</v>
      </c>
      <c r="H12" s="455">
        <f>+'BAL-Assets'!F87</f>
        <v>1166.6666666666667</v>
      </c>
      <c r="I12" s="455">
        <f>+'BAL-Assets'!G87</f>
        <v>1166.6666666666667</v>
      </c>
      <c r="J12" s="455">
        <f>+'BAL-Assets'!H87</f>
        <v>1166.6666666666667</v>
      </c>
      <c r="K12" s="455">
        <f>+'BAL-Assets'!I87</f>
        <v>1166.6666666666667</v>
      </c>
      <c r="L12" s="455">
        <f>+'BAL-Assets'!J87</f>
        <v>1166.6666666666667</v>
      </c>
      <c r="M12" s="455">
        <f>+'BAL-Assets'!K87</f>
        <v>1166.6666666666667</v>
      </c>
      <c r="N12" s="455">
        <f>+'BAL-Assets'!L87</f>
        <v>1166.6666666666667</v>
      </c>
      <c r="O12" s="455">
        <f>+'BAL-Assets'!M87</f>
        <v>1166.6666666666667</v>
      </c>
      <c r="P12" s="455">
        <f>+'BAL-Assets'!N87</f>
        <v>1166.6666666666667</v>
      </c>
      <c r="Q12" s="455">
        <f>+'BAL-Assets'!O87</f>
        <v>1166.6666666666667</v>
      </c>
      <c r="R12" s="666">
        <f>+'BAL-Assets'!P87</f>
        <v>14000</v>
      </c>
      <c r="S12" s="667">
        <f>+'BAL-Assets'!Q87</f>
        <v>14857.142857142857</v>
      </c>
      <c r="T12" s="666">
        <f>+'BAL-Assets'!R87</f>
        <v>14857.142857142857</v>
      </c>
    </row>
    <row r="13" spans="1:20" ht="15" customHeight="1" x14ac:dyDescent="0.2">
      <c r="A13" s="1111" t="s">
        <v>259</v>
      </c>
      <c r="B13" s="679"/>
      <c r="C13" s="1109">
        <v>1</v>
      </c>
      <c r="D13" s="1059"/>
      <c r="E13" s="235"/>
      <c r="F13" s="503">
        <f t="shared" ref="F13:Q13" si="3">+IF($C13=1,$B13/12,IF($C13=2,$B13*F$5,0))</f>
        <v>0</v>
      </c>
      <c r="G13" s="503">
        <f t="shared" si="3"/>
        <v>0</v>
      </c>
      <c r="H13" s="503">
        <f t="shared" si="3"/>
        <v>0</v>
      </c>
      <c r="I13" s="503">
        <f t="shared" si="3"/>
        <v>0</v>
      </c>
      <c r="J13" s="503">
        <f t="shared" si="3"/>
        <v>0</v>
      </c>
      <c r="K13" s="503">
        <f t="shared" si="3"/>
        <v>0</v>
      </c>
      <c r="L13" s="503">
        <f t="shared" si="3"/>
        <v>0</v>
      </c>
      <c r="M13" s="503">
        <f t="shared" si="3"/>
        <v>0</v>
      </c>
      <c r="N13" s="503">
        <f t="shared" si="3"/>
        <v>0</v>
      </c>
      <c r="O13" s="503">
        <f t="shared" si="3"/>
        <v>0</v>
      </c>
      <c r="P13" s="503">
        <f t="shared" si="3"/>
        <v>0</v>
      </c>
      <c r="Q13" s="503">
        <f t="shared" si="3"/>
        <v>0</v>
      </c>
      <c r="R13" s="670">
        <f t="shared" ref="R13:R38" si="4">+SUM(F13:Q13)</f>
        <v>0</v>
      </c>
      <c r="S13" s="502">
        <f>+(R13+R14)*(1+S$5)</f>
        <v>0</v>
      </c>
      <c r="T13" s="670">
        <f>+(S13+S14)*(1+T$5)</f>
        <v>0</v>
      </c>
    </row>
    <row r="14" spans="1:20" ht="15" customHeight="1" x14ac:dyDescent="0.2">
      <c r="A14" s="1112"/>
      <c r="B14" s="296"/>
      <c r="E14" s="680"/>
      <c r="F14" s="677"/>
      <c r="G14" s="677"/>
      <c r="H14" s="677"/>
      <c r="I14" s="677"/>
      <c r="J14" s="677"/>
      <c r="K14" s="677"/>
      <c r="L14" s="677"/>
      <c r="M14" s="677"/>
      <c r="N14" s="677"/>
      <c r="O14" s="677"/>
      <c r="P14" s="677"/>
      <c r="Q14" s="677"/>
      <c r="R14" s="678">
        <f t="shared" si="4"/>
        <v>0</v>
      </c>
      <c r="S14" s="69"/>
      <c r="T14" s="247"/>
    </row>
    <row r="15" spans="1:20" x14ac:dyDescent="0.2">
      <c r="A15" s="1111" t="str">
        <f>+Historical!F25</f>
        <v>Facility Lease</v>
      </c>
      <c r="B15" s="669">
        <f>6000*12</f>
        <v>72000</v>
      </c>
      <c r="C15" s="1109">
        <v>1</v>
      </c>
      <c r="D15" s="1059"/>
      <c r="E15" s="235"/>
      <c r="F15" s="503">
        <f t="shared" ref="F15:Q15" si="5">+IF($C15=1,$B15/12,IF($C15=2,$B15*F$5,0))</f>
        <v>6000</v>
      </c>
      <c r="G15" s="503">
        <f t="shared" si="5"/>
        <v>6000</v>
      </c>
      <c r="H15" s="503">
        <f t="shared" si="5"/>
        <v>6000</v>
      </c>
      <c r="I15" s="503">
        <f t="shared" si="5"/>
        <v>6000</v>
      </c>
      <c r="J15" s="503">
        <f t="shared" si="5"/>
        <v>6000</v>
      </c>
      <c r="K15" s="503">
        <f t="shared" si="5"/>
        <v>6000</v>
      </c>
      <c r="L15" s="503">
        <f t="shared" si="5"/>
        <v>6000</v>
      </c>
      <c r="M15" s="503">
        <f t="shared" si="5"/>
        <v>6000</v>
      </c>
      <c r="N15" s="503">
        <f t="shared" si="5"/>
        <v>6000</v>
      </c>
      <c r="O15" s="503">
        <f t="shared" si="5"/>
        <v>6000</v>
      </c>
      <c r="P15" s="503">
        <f t="shared" si="5"/>
        <v>6000</v>
      </c>
      <c r="Q15" s="503">
        <f t="shared" si="5"/>
        <v>6000</v>
      </c>
      <c r="R15" s="670">
        <f t="shared" si="4"/>
        <v>72000</v>
      </c>
      <c r="S15" s="502">
        <f>+(R15+R16)*(1+S$5)</f>
        <v>74160</v>
      </c>
      <c r="T15" s="670">
        <f>+(S15+S16)*(1+T$5)</f>
        <v>76384.800000000003</v>
      </c>
    </row>
    <row r="16" spans="1:20" x14ac:dyDescent="0.2">
      <c r="A16" s="1112"/>
      <c r="B16" s="296"/>
      <c r="E16" s="680"/>
      <c r="F16" s="677"/>
      <c r="G16" s="677"/>
      <c r="H16" s="677"/>
      <c r="I16" s="677"/>
      <c r="J16" s="677"/>
      <c r="K16" s="677"/>
      <c r="L16" s="677"/>
      <c r="M16" s="677"/>
      <c r="N16" s="677"/>
      <c r="O16" s="677"/>
      <c r="P16" s="677"/>
      <c r="Q16" s="677"/>
      <c r="R16" s="678">
        <f t="shared" si="4"/>
        <v>0</v>
      </c>
      <c r="S16" s="69"/>
      <c r="T16" s="247"/>
    </row>
    <row r="17" spans="1:20" ht="15" customHeight="1" x14ac:dyDescent="0.2">
      <c r="A17" s="1111" t="str">
        <f>+Historical!F26</f>
        <v>Insurance (non-benefit)</v>
      </c>
      <c r="B17" s="669">
        <v>3600</v>
      </c>
      <c r="C17" s="1109">
        <v>1</v>
      </c>
      <c r="D17" s="1059"/>
      <c r="E17" s="235"/>
      <c r="F17" s="503">
        <f t="shared" ref="F17:Q17" si="6">+IF($C17=1,$B17/12,IF($C17=2,$B17*F$5,0))</f>
        <v>300</v>
      </c>
      <c r="G17" s="503">
        <f t="shared" si="6"/>
        <v>300</v>
      </c>
      <c r="H17" s="503">
        <f t="shared" si="6"/>
        <v>300</v>
      </c>
      <c r="I17" s="503">
        <f t="shared" si="6"/>
        <v>300</v>
      </c>
      <c r="J17" s="503">
        <f t="shared" si="6"/>
        <v>300</v>
      </c>
      <c r="K17" s="503">
        <f t="shared" si="6"/>
        <v>300</v>
      </c>
      <c r="L17" s="503">
        <f t="shared" si="6"/>
        <v>300</v>
      </c>
      <c r="M17" s="503">
        <f t="shared" si="6"/>
        <v>300</v>
      </c>
      <c r="N17" s="503">
        <f t="shared" si="6"/>
        <v>300</v>
      </c>
      <c r="O17" s="503">
        <f t="shared" si="6"/>
        <v>300</v>
      </c>
      <c r="P17" s="503">
        <f t="shared" si="6"/>
        <v>300</v>
      </c>
      <c r="Q17" s="503">
        <f t="shared" si="6"/>
        <v>300</v>
      </c>
      <c r="R17" s="670">
        <f t="shared" si="4"/>
        <v>3600</v>
      </c>
      <c r="S17" s="502">
        <f>+(R17+R18)*(1+S$5)</f>
        <v>3708</v>
      </c>
      <c r="T17" s="670">
        <f>+(S17+S18)*(1+T$5)</f>
        <v>3819.2400000000002</v>
      </c>
    </row>
    <row r="18" spans="1:20" ht="15" customHeight="1" x14ac:dyDescent="0.2">
      <c r="A18" s="1112"/>
      <c r="B18" s="296"/>
      <c r="E18" s="676">
        <v>200</v>
      </c>
      <c r="F18" s="677"/>
      <c r="G18" s="677"/>
      <c r="H18" s="677"/>
      <c r="I18" s="677"/>
      <c r="J18" s="677"/>
      <c r="K18" s="677"/>
      <c r="L18" s="677"/>
      <c r="M18" s="677"/>
      <c r="N18" s="677"/>
      <c r="O18" s="677"/>
      <c r="P18" s="677"/>
      <c r="Q18" s="677"/>
      <c r="R18" s="678">
        <f t="shared" si="4"/>
        <v>0</v>
      </c>
      <c r="S18" s="69"/>
      <c r="T18" s="247"/>
    </row>
    <row r="19" spans="1:20" ht="15" customHeight="1" x14ac:dyDescent="0.2">
      <c r="A19" s="1111" t="str">
        <f>+Historical!F27</f>
        <v>Licenses/fees/taxes</v>
      </c>
      <c r="B19" s="669">
        <v>1800</v>
      </c>
      <c r="C19" s="1109">
        <v>1</v>
      </c>
      <c r="D19" s="1059"/>
      <c r="E19" s="235"/>
      <c r="F19" s="503">
        <f t="shared" ref="F19:Q19" si="7">+IF($C19=1,$B19/12,IF($C19=2,$B19*F$5,0))</f>
        <v>150</v>
      </c>
      <c r="G19" s="503">
        <f t="shared" si="7"/>
        <v>150</v>
      </c>
      <c r="H19" s="503">
        <f t="shared" si="7"/>
        <v>150</v>
      </c>
      <c r="I19" s="503">
        <f t="shared" si="7"/>
        <v>150</v>
      </c>
      <c r="J19" s="503">
        <f t="shared" si="7"/>
        <v>150</v>
      </c>
      <c r="K19" s="503">
        <f t="shared" si="7"/>
        <v>150</v>
      </c>
      <c r="L19" s="503">
        <f t="shared" si="7"/>
        <v>150</v>
      </c>
      <c r="M19" s="503">
        <f t="shared" si="7"/>
        <v>150</v>
      </c>
      <c r="N19" s="503">
        <f t="shared" si="7"/>
        <v>150</v>
      </c>
      <c r="O19" s="503">
        <f t="shared" si="7"/>
        <v>150</v>
      </c>
      <c r="P19" s="503">
        <f t="shared" si="7"/>
        <v>150</v>
      </c>
      <c r="Q19" s="503">
        <f t="shared" si="7"/>
        <v>150</v>
      </c>
      <c r="R19" s="670">
        <f t="shared" si="4"/>
        <v>1800</v>
      </c>
      <c r="S19" s="502">
        <f>+(R19+R20)*(1+S$5)</f>
        <v>2008.5</v>
      </c>
      <c r="T19" s="670">
        <f>+(S19+S20)*(1+T$5)</f>
        <v>2068.7550000000001</v>
      </c>
    </row>
    <row r="20" spans="1:20" ht="15" customHeight="1" x14ac:dyDescent="0.2">
      <c r="A20" s="1112"/>
      <c r="B20" s="296"/>
      <c r="E20" s="676">
        <v>200</v>
      </c>
      <c r="F20" s="677"/>
      <c r="G20" s="677"/>
      <c r="H20" s="677"/>
      <c r="I20" s="677"/>
      <c r="J20" s="677"/>
      <c r="K20" s="677"/>
      <c r="L20" s="677"/>
      <c r="M20" s="677"/>
      <c r="N20" s="677"/>
      <c r="O20" s="681">
        <v>150</v>
      </c>
      <c r="P20" s="677"/>
      <c r="Q20" s="677"/>
      <c r="R20" s="678">
        <f t="shared" si="4"/>
        <v>150</v>
      </c>
      <c r="S20" s="69"/>
      <c r="T20" s="247"/>
    </row>
    <row r="21" spans="1:20" ht="15" customHeight="1" x14ac:dyDescent="0.2">
      <c r="A21" s="1111" t="str">
        <f>+Historical!F28</f>
        <v>Office expenses</v>
      </c>
      <c r="B21" s="669">
        <v>600</v>
      </c>
      <c r="C21" s="1109">
        <v>1</v>
      </c>
      <c r="D21" s="1059"/>
      <c r="E21" s="235"/>
      <c r="F21" s="503">
        <f t="shared" ref="F21:Q21" si="8">+IF($C21=1,$B21/12,IF($C21=2,$B21*F$5,0))</f>
        <v>50</v>
      </c>
      <c r="G21" s="503">
        <f t="shared" si="8"/>
        <v>50</v>
      </c>
      <c r="H21" s="503">
        <f t="shared" si="8"/>
        <v>50</v>
      </c>
      <c r="I21" s="503">
        <f t="shared" si="8"/>
        <v>50</v>
      </c>
      <c r="J21" s="503">
        <f t="shared" si="8"/>
        <v>50</v>
      </c>
      <c r="K21" s="503">
        <f t="shared" si="8"/>
        <v>50</v>
      </c>
      <c r="L21" s="503">
        <f t="shared" si="8"/>
        <v>50</v>
      </c>
      <c r="M21" s="503">
        <f t="shared" si="8"/>
        <v>50</v>
      </c>
      <c r="N21" s="503">
        <f t="shared" si="8"/>
        <v>50</v>
      </c>
      <c r="O21" s="503">
        <f t="shared" si="8"/>
        <v>50</v>
      </c>
      <c r="P21" s="503">
        <f t="shared" si="8"/>
        <v>50</v>
      </c>
      <c r="Q21" s="503">
        <f t="shared" si="8"/>
        <v>50</v>
      </c>
      <c r="R21" s="670">
        <f t="shared" si="4"/>
        <v>600</v>
      </c>
      <c r="S21" s="502">
        <f>+(R21+R22)*(1+S$5)</f>
        <v>618</v>
      </c>
      <c r="T21" s="670">
        <f>+(S21+S22)*(1+T$5)</f>
        <v>636.54</v>
      </c>
    </row>
    <row r="22" spans="1:20" ht="15" customHeight="1" x14ac:dyDescent="0.2">
      <c r="A22" s="1112"/>
      <c r="B22" s="296"/>
      <c r="E22" s="676">
        <v>500</v>
      </c>
      <c r="F22" s="677"/>
      <c r="G22" s="677"/>
      <c r="H22" s="677"/>
      <c r="I22" s="677"/>
      <c r="J22" s="677"/>
      <c r="K22" s="677"/>
      <c r="L22" s="677"/>
      <c r="M22" s="677"/>
      <c r="N22" s="677"/>
      <c r="O22" s="677"/>
      <c r="P22" s="677"/>
      <c r="Q22" s="677"/>
      <c r="R22" s="678">
        <f t="shared" si="4"/>
        <v>0</v>
      </c>
      <c r="S22" s="69"/>
      <c r="T22" s="247"/>
    </row>
    <row r="23" spans="1:20" ht="15" customHeight="1" x14ac:dyDescent="0.2">
      <c r="A23" s="1111" t="str">
        <f>+Historical!F29</f>
        <v>Professional Services (legal, CPA)</v>
      </c>
      <c r="B23" s="669">
        <v>600</v>
      </c>
      <c r="C23" s="1109">
        <v>1</v>
      </c>
      <c r="D23" s="1059"/>
      <c r="E23" s="235"/>
      <c r="F23" s="503">
        <f t="shared" ref="F23:Q23" si="9">+IF($C23=1,$B23/12,IF($C23=2,$B23*F$5,0))</f>
        <v>50</v>
      </c>
      <c r="G23" s="503">
        <f t="shared" si="9"/>
        <v>50</v>
      </c>
      <c r="H23" s="503">
        <f t="shared" si="9"/>
        <v>50</v>
      </c>
      <c r="I23" s="503">
        <f t="shared" si="9"/>
        <v>50</v>
      </c>
      <c r="J23" s="503">
        <f t="shared" si="9"/>
        <v>50</v>
      </c>
      <c r="K23" s="503">
        <f t="shared" si="9"/>
        <v>50</v>
      </c>
      <c r="L23" s="503">
        <f t="shared" si="9"/>
        <v>50</v>
      </c>
      <c r="M23" s="503">
        <f t="shared" si="9"/>
        <v>50</v>
      </c>
      <c r="N23" s="503">
        <f t="shared" si="9"/>
        <v>50</v>
      </c>
      <c r="O23" s="503">
        <f t="shared" si="9"/>
        <v>50</v>
      </c>
      <c r="P23" s="503">
        <f t="shared" si="9"/>
        <v>50</v>
      </c>
      <c r="Q23" s="503">
        <f t="shared" si="9"/>
        <v>50</v>
      </c>
      <c r="R23" s="670">
        <f t="shared" si="4"/>
        <v>600</v>
      </c>
      <c r="S23" s="502">
        <f>+(R23+R24)*(1+S$5)</f>
        <v>1648</v>
      </c>
      <c r="T23" s="670">
        <f>+(S23+S24)*(1+T$5)</f>
        <v>1697.44</v>
      </c>
    </row>
    <row r="24" spans="1:20" ht="15" customHeight="1" x14ac:dyDescent="0.2">
      <c r="A24" s="1112"/>
      <c r="B24" s="296"/>
      <c r="E24" s="676">
        <v>1500</v>
      </c>
      <c r="F24" s="677"/>
      <c r="G24" s="677"/>
      <c r="H24" s="677"/>
      <c r="I24" s="677"/>
      <c r="J24" s="677"/>
      <c r="K24" s="677"/>
      <c r="L24" s="677"/>
      <c r="M24" s="677"/>
      <c r="N24" s="677"/>
      <c r="O24" s="681">
        <v>1000</v>
      </c>
      <c r="P24" s="677"/>
      <c r="Q24" s="677"/>
      <c r="R24" s="678">
        <f t="shared" si="4"/>
        <v>1000</v>
      </c>
      <c r="S24" s="69"/>
      <c r="T24" s="247"/>
    </row>
    <row r="25" spans="1:20" ht="15.75" customHeight="1" x14ac:dyDescent="0.2">
      <c r="A25" s="1111" t="s">
        <v>260</v>
      </c>
      <c r="B25" s="682">
        <v>9000</v>
      </c>
      <c r="C25" s="683"/>
      <c r="E25" s="235"/>
      <c r="F25" s="503">
        <f t="shared" ref="F25:Q25" si="10">+$B25/12</f>
        <v>750</v>
      </c>
      <c r="G25" s="503">
        <f t="shared" si="10"/>
        <v>750</v>
      </c>
      <c r="H25" s="503">
        <f t="shared" si="10"/>
        <v>750</v>
      </c>
      <c r="I25" s="503">
        <f t="shared" si="10"/>
        <v>750</v>
      </c>
      <c r="J25" s="503">
        <f t="shared" si="10"/>
        <v>750</v>
      </c>
      <c r="K25" s="503">
        <f t="shared" si="10"/>
        <v>750</v>
      </c>
      <c r="L25" s="503">
        <f t="shared" si="10"/>
        <v>750</v>
      </c>
      <c r="M25" s="503">
        <f t="shared" si="10"/>
        <v>750</v>
      </c>
      <c r="N25" s="503">
        <f t="shared" si="10"/>
        <v>750</v>
      </c>
      <c r="O25" s="503">
        <f t="shared" si="10"/>
        <v>750</v>
      </c>
      <c r="P25" s="503">
        <f t="shared" si="10"/>
        <v>750</v>
      </c>
      <c r="Q25" s="503">
        <f t="shared" si="10"/>
        <v>750</v>
      </c>
      <c r="R25" s="670">
        <f t="shared" si="4"/>
        <v>9000</v>
      </c>
      <c r="S25" s="503">
        <f>+R25*(1+S$5)</f>
        <v>9270</v>
      </c>
      <c r="T25" s="670">
        <f>+S25*(1+T$5)</f>
        <v>9548.1</v>
      </c>
    </row>
    <row r="26" spans="1:20" ht="15.75" customHeight="1" x14ac:dyDescent="0.2">
      <c r="A26" s="1112"/>
      <c r="B26" s="296"/>
      <c r="E26" s="676">
        <v>500</v>
      </c>
      <c r="F26" s="677"/>
      <c r="G26" s="677"/>
      <c r="H26" s="677"/>
      <c r="I26" s="677"/>
      <c r="J26" s="677"/>
      <c r="K26" s="677"/>
      <c r="L26" s="677"/>
      <c r="M26" s="677"/>
      <c r="N26" s="677"/>
      <c r="O26" s="677"/>
      <c r="P26" s="677"/>
      <c r="Q26" s="677"/>
      <c r="R26" s="678">
        <f t="shared" si="4"/>
        <v>0</v>
      </c>
      <c r="S26" s="69"/>
      <c r="T26" s="247"/>
    </row>
    <row r="27" spans="1:20" ht="15.75" customHeight="1" x14ac:dyDescent="0.2">
      <c r="A27" s="1111" t="str">
        <f>+Historical!F30</f>
        <v>Supplies</v>
      </c>
      <c r="B27" s="669">
        <v>1200</v>
      </c>
      <c r="C27" s="1109">
        <v>1</v>
      </c>
      <c r="D27" s="1059"/>
      <c r="E27" s="235"/>
      <c r="F27" s="503">
        <f t="shared" ref="F27:Q27" si="11">+IF($C27=1,$B27/12,IF($C27=2,$B27*F$5,0))</f>
        <v>100</v>
      </c>
      <c r="G27" s="503">
        <f t="shared" si="11"/>
        <v>100</v>
      </c>
      <c r="H27" s="503">
        <f t="shared" si="11"/>
        <v>100</v>
      </c>
      <c r="I27" s="503">
        <f t="shared" si="11"/>
        <v>100</v>
      </c>
      <c r="J27" s="503">
        <f t="shared" si="11"/>
        <v>100</v>
      </c>
      <c r="K27" s="503">
        <f t="shared" si="11"/>
        <v>100</v>
      </c>
      <c r="L27" s="503">
        <f t="shared" si="11"/>
        <v>100</v>
      </c>
      <c r="M27" s="503">
        <f t="shared" si="11"/>
        <v>100</v>
      </c>
      <c r="N27" s="503">
        <f t="shared" si="11"/>
        <v>100</v>
      </c>
      <c r="O27" s="503">
        <f t="shared" si="11"/>
        <v>100</v>
      </c>
      <c r="P27" s="503">
        <f t="shared" si="11"/>
        <v>100</v>
      </c>
      <c r="Q27" s="503">
        <f t="shared" si="11"/>
        <v>100</v>
      </c>
      <c r="R27" s="670">
        <f t="shared" si="4"/>
        <v>1200</v>
      </c>
      <c r="S27" s="502">
        <f>+(R27+R28)*(1+S$5)</f>
        <v>1236</v>
      </c>
      <c r="T27" s="670">
        <f>+(S27+S28)*(1+T$5)</f>
        <v>1273.08</v>
      </c>
    </row>
    <row r="28" spans="1:20" ht="15.75" customHeight="1" x14ac:dyDescent="0.2">
      <c r="A28" s="1112"/>
      <c r="B28" s="296"/>
      <c r="E28" s="676">
        <v>1000</v>
      </c>
      <c r="F28" s="677"/>
      <c r="G28" s="677"/>
      <c r="H28" s="677"/>
      <c r="I28" s="677"/>
      <c r="J28" s="677"/>
      <c r="K28" s="677"/>
      <c r="L28" s="677"/>
      <c r="M28" s="677"/>
      <c r="N28" s="677"/>
      <c r="O28" s="677"/>
      <c r="P28" s="677"/>
      <c r="Q28" s="677"/>
      <c r="R28" s="678">
        <f t="shared" si="4"/>
        <v>0</v>
      </c>
      <c r="S28" s="69"/>
      <c r="T28" s="247"/>
    </row>
    <row r="29" spans="1:20" ht="15.75" customHeight="1" x14ac:dyDescent="0.2">
      <c r="A29" s="1111" t="str">
        <f>+Historical!F31</f>
        <v>Training</v>
      </c>
      <c r="B29" s="682">
        <v>1200</v>
      </c>
      <c r="C29" s="1113">
        <v>1</v>
      </c>
      <c r="D29" s="1059"/>
      <c r="E29" s="235"/>
      <c r="F29" s="503">
        <f t="shared" ref="F29:Q29" si="12">+IF($C29=1,$B29/12,IF($C29=2,$B29*F$5,0))</f>
        <v>100</v>
      </c>
      <c r="G29" s="503">
        <f t="shared" si="12"/>
        <v>100</v>
      </c>
      <c r="H29" s="503">
        <f t="shared" si="12"/>
        <v>100</v>
      </c>
      <c r="I29" s="503">
        <f t="shared" si="12"/>
        <v>100</v>
      </c>
      <c r="J29" s="503">
        <f t="shared" si="12"/>
        <v>100</v>
      </c>
      <c r="K29" s="503">
        <f t="shared" si="12"/>
        <v>100</v>
      </c>
      <c r="L29" s="503">
        <f t="shared" si="12"/>
        <v>100</v>
      </c>
      <c r="M29" s="503">
        <f t="shared" si="12"/>
        <v>100</v>
      </c>
      <c r="N29" s="503">
        <f t="shared" si="12"/>
        <v>100</v>
      </c>
      <c r="O29" s="503">
        <f t="shared" si="12"/>
        <v>100</v>
      </c>
      <c r="P29" s="503">
        <f t="shared" si="12"/>
        <v>100</v>
      </c>
      <c r="Q29" s="503">
        <f t="shared" si="12"/>
        <v>100</v>
      </c>
      <c r="R29" s="670">
        <f t="shared" si="4"/>
        <v>1200</v>
      </c>
      <c r="S29" s="503">
        <f>+R29*(1+S$5)</f>
        <v>1236</v>
      </c>
      <c r="T29" s="670">
        <f>+S29*(1+T$5)</f>
        <v>1273.08</v>
      </c>
    </row>
    <row r="30" spans="1:20" ht="15.75" customHeight="1" x14ac:dyDescent="0.2">
      <c r="A30" s="1112"/>
      <c r="B30" s="296"/>
      <c r="E30" s="680"/>
      <c r="F30" s="677"/>
      <c r="G30" s="677"/>
      <c r="H30" s="677"/>
      <c r="I30" s="677"/>
      <c r="J30" s="677"/>
      <c r="K30" s="677"/>
      <c r="L30" s="677"/>
      <c r="M30" s="677"/>
      <c r="N30" s="677"/>
      <c r="O30" s="677"/>
      <c r="P30" s="677"/>
      <c r="Q30" s="677"/>
      <c r="R30" s="678">
        <f t="shared" si="4"/>
        <v>0</v>
      </c>
      <c r="S30" s="69"/>
      <c r="T30" s="247"/>
    </row>
    <row r="31" spans="1:20" ht="15" customHeight="1" x14ac:dyDescent="0.2">
      <c r="A31" s="1111" t="str">
        <f>+Historical!F32</f>
        <v xml:space="preserve">Travel &amp; Meals </v>
      </c>
      <c r="B31" s="669">
        <v>600</v>
      </c>
      <c r="C31" s="1109">
        <v>1</v>
      </c>
      <c r="D31" s="1059"/>
      <c r="E31" s="235"/>
      <c r="F31" s="503">
        <f t="shared" ref="F31:Q31" si="13">+IF($C31=1,$B31/12,IF($C31=2,$B31*F$5,0))</f>
        <v>50</v>
      </c>
      <c r="G31" s="503">
        <f t="shared" si="13"/>
        <v>50</v>
      </c>
      <c r="H31" s="503">
        <f t="shared" si="13"/>
        <v>50</v>
      </c>
      <c r="I31" s="503">
        <f t="shared" si="13"/>
        <v>50</v>
      </c>
      <c r="J31" s="503">
        <f t="shared" si="13"/>
        <v>50</v>
      </c>
      <c r="K31" s="503">
        <f t="shared" si="13"/>
        <v>50</v>
      </c>
      <c r="L31" s="503">
        <f t="shared" si="13"/>
        <v>50</v>
      </c>
      <c r="M31" s="503">
        <f t="shared" si="13"/>
        <v>50</v>
      </c>
      <c r="N31" s="503">
        <f t="shared" si="13"/>
        <v>50</v>
      </c>
      <c r="O31" s="503">
        <f t="shared" si="13"/>
        <v>50</v>
      </c>
      <c r="P31" s="503">
        <f t="shared" si="13"/>
        <v>50</v>
      </c>
      <c r="Q31" s="503">
        <f t="shared" si="13"/>
        <v>50</v>
      </c>
      <c r="R31" s="670">
        <f t="shared" si="4"/>
        <v>600</v>
      </c>
      <c r="S31" s="502">
        <f>+(R31+R32)*(1+S$5)</f>
        <v>618</v>
      </c>
      <c r="T31" s="670">
        <f>+(S31+S32)*(1+T$5)</f>
        <v>636.54</v>
      </c>
    </row>
    <row r="32" spans="1:20" ht="15" customHeight="1" x14ac:dyDescent="0.2">
      <c r="A32" s="1112"/>
      <c r="B32" s="296"/>
      <c r="E32" s="680"/>
      <c r="F32" s="677"/>
      <c r="G32" s="677"/>
      <c r="H32" s="677"/>
      <c r="I32" s="677"/>
      <c r="J32" s="677"/>
      <c r="K32" s="677"/>
      <c r="L32" s="677"/>
      <c r="M32" s="677"/>
      <c r="N32" s="677"/>
      <c r="O32" s="677"/>
      <c r="P32" s="677"/>
      <c r="Q32" s="677"/>
      <c r="R32" s="678">
        <f t="shared" si="4"/>
        <v>0</v>
      </c>
      <c r="S32" s="69"/>
      <c r="T32" s="247"/>
    </row>
    <row r="33" spans="1:23" ht="15.75" customHeight="1" x14ac:dyDescent="0.2">
      <c r="A33" s="1111" t="str">
        <f>+Historical!F33</f>
        <v>Utilities</v>
      </c>
      <c r="B33" s="669">
        <v>3600</v>
      </c>
      <c r="C33" s="1109">
        <v>1</v>
      </c>
      <c r="D33" s="1059"/>
      <c r="E33" s="235"/>
      <c r="F33" s="503">
        <f t="shared" ref="F33:Q33" si="14">+IF($C33=1,$B33/12,IF($C33=2,$B33*F$5,0))</f>
        <v>300</v>
      </c>
      <c r="G33" s="503">
        <f t="shared" si="14"/>
        <v>300</v>
      </c>
      <c r="H33" s="503">
        <f t="shared" si="14"/>
        <v>300</v>
      </c>
      <c r="I33" s="503">
        <f t="shared" si="14"/>
        <v>300</v>
      </c>
      <c r="J33" s="503">
        <f t="shared" si="14"/>
        <v>300</v>
      </c>
      <c r="K33" s="503">
        <f t="shared" si="14"/>
        <v>300</v>
      </c>
      <c r="L33" s="503">
        <f t="shared" si="14"/>
        <v>300</v>
      </c>
      <c r="M33" s="503">
        <f t="shared" si="14"/>
        <v>300</v>
      </c>
      <c r="N33" s="503">
        <f t="shared" si="14"/>
        <v>300</v>
      </c>
      <c r="O33" s="503">
        <f t="shared" si="14"/>
        <v>300</v>
      </c>
      <c r="P33" s="503">
        <f t="shared" si="14"/>
        <v>300</v>
      </c>
      <c r="Q33" s="503">
        <f t="shared" si="14"/>
        <v>300</v>
      </c>
      <c r="R33" s="670">
        <f t="shared" si="4"/>
        <v>3600</v>
      </c>
      <c r="S33" s="502">
        <f>+(R33+R34)*(1+S$5)</f>
        <v>3708</v>
      </c>
      <c r="T33" s="670">
        <f>+(S33+S34)*(1+T$5)</f>
        <v>3819.2400000000002</v>
      </c>
      <c r="U33" s="24"/>
      <c r="V33" s="17"/>
      <c r="W33" s="17"/>
    </row>
    <row r="34" spans="1:23" ht="15.75" customHeight="1" x14ac:dyDescent="0.2">
      <c r="A34" s="1112"/>
      <c r="B34" s="296"/>
      <c r="E34" s="676">
        <v>600</v>
      </c>
      <c r="F34" s="677"/>
      <c r="G34" s="677"/>
      <c r="H34" s="677"/>
      <c r="I34" s="677"/>
      <c r="J34" s="677"/>
      <c r="K34" s="677"/>
      <c r="L34" s="677"/>
      <c r="M34" s="677"/>
      <c r="N34" s="677"/>
      <c r="O34" s="677"/>
      <c r="P34" s="677"/>
      <c r="Q34" s="677"/>
      <c r="R34" s="678">
        <f t="shared" si="4"/>
        <v>0</v>
      </c>
      <c r="S34" s="69"/>
      <c r="T34" s="247"/>
      <c r="U34" s="24"/>
      <c r="V34" s="17"/>
      <c r="W34" s="17"/>
    </row>
    <row r="35" spans="1:23" ht="15.75" customHeight="1" x14ac:dyDescent="0.2">
      <c r="A35" s="1111" t="str">
        <f>+Historical!F34</f>
        <v>Vehicle (gas, repairs, maintenance)</v>
      </c>
      <c r="B35" s="669">
        <v>2400</v>
      </c>
      <c r="C35" s="1109">
        <v>1</v>
      </c>
      <c r="D35" s="1059"/>
      <c r="E35" s="235"/>
      <c r="F35" s="503">
        <f t="shared" ref="F35:Q35" si="15">+IF($C35=1,$B35/12,IF($C35=2,$B35*F$5,0))</f>
        <v>200</v>
      </c>
      <c r="G35" s="503">
        <f t="shared" si="15"/>
        <v>200</v>
      </c>
      <c r="H35" s="503">
        <f t="shared" si="15"/>
        <v>200</v>
      </c>
      <c r="I35" s="503">
        <f t="shared" si="15"/>
        <v>200</v>
      </c>
      <c r="J35" s="503">
        <f t="shared" si="15"/>
        <v>200</v>
      </c>
      <c r="K35" s="503">
        <f t="shared" si="15"/>
        <v>200</v>
      </c>
      <c r="L35" s="503">
        <f t="shared" si="15"/>
        <v>200</v>
      </c>
      <c r="M35" s="503">
        <f t="shared" si="15"/>
        <v>200</v>
      </c>
      <c r="N35" s="503">
        <f t="shared" si="15"/>
        <v>200</v>
      </c>
      <c r="O35" s="503">
        <f t="shared" si="15"/>
        <v>200</v>
      </c>
      <c r="P35" s="503">
        <f t="shared" si="15"/>
        <v>200</v>
      </c>
      <c r="Q35" s="503">
        <f t="shared" si="15"/>
        <v>200</v>
      </c>
      <c r="R35" s="670">
        <f t="shared" si="4"/>
        <v>2400</v>
      </c>
      <c r="S35" s="502">
        <f>+(R35+R36)*(1+S$5)</f>
        <v>2472</v>
      </c>
      <c r="T35" s="670">
        <f>+(S35+S36)*(1+T$5)</f>
        <v>2546.16</v>
      </c>
      <c r="U35" s="24"/>
      <c r="V35" s="17"/>
      <c r="W35" s="17"/>
    </row>
    <row r="36" spans="1:23" ht="15.75" customHeight="1" x14ac:dyDescent="0.2">
      <c r="A36" s="1112"/>
      <c r="B36" s="296"/>
      <c r="E36" s="676">
        <v>300</v>
      </c>
      <c r="F36" s="677"/>
      <c r="G36" s="677"/>
      <c r="H36" s="677"/>
      <c r="I36" s="677"/>
      <c r="J36" s="677"/>
      <c r="K36" s="677"/>
      <c r="L36" s="677"/>
      <c r="M36" s="677"/>
      <c r="N36" s="677"/>
      <c r="O36" s="677"/>
      <c r="P36" s="677"/>
      <c r="Q36" s="677"/>
      <c r="R36" s="678">
        <f t="shared" si="4"/>
        <v>0</v>
      </c>
      <c r="S36" s="69"/>
      <c r="T36" s="247"/>
      <c r="U36" s="24"/>
      <c r="V36" s="17"/>
      <c r="W36" s="17"/>
    </row>
    <row r="37" spans="1:23" ht="15" customHeight="1" x14ac:dyDescent="0.2">
      <c r="A37" s="1117" t="str">
        <f>+Historical!F35</f>
        <v>Other</v>
      </c>
      <c r="B37" s="669">
        <v>4800</v>
      </c>
      <c r="C37" s="1109">
        <v>1</v>
      </c>
      <c r="D37" s="1059"/>
      <c r="E37" s="235"/>
      <c r="F37" s="503">
        <f t="shared" ref="F37:Q37" si="16">+IF($C37=1,$B37/12,IF($C37=2,$B37*F$5,0))</f>
        <v>400</v>
      </c>
      <c r="G37" s="503">
        <f t="shared" si="16"/>
        <v>400</v>
      </c>
      <c r="H37" s="503">
        <f t="shared" si="16"/>
        <v>400</v>
      </c>
      <c r="I37" s="503">
        <f t="shared" si="16"/>
        <v>400</v>
      </c>
      <c r="J37" s="503">
        <f t="shared" si="16"/>
        <v>400</v>
      </c>
      <c r="K37" s="503">
        <f t="shared" si="16"/>
        <v>400</v>
      </c>
      <c r="L37" s="503">
        <f t="shared" si="16"/>
        <v>400</v>
      </c>
      <c r="M37" s="503">
        <f t="shared" si="16"/>
        <v>400</v>
      </c>
      <c r="N37" s="503">
        <f t="shared" si="16"/>
        <v>400</v>
      </c>
      <c r="O37" s="503">
        <f t="shared" si="16"/>
        <v>400</v>
      </c>
      <c r="P37" s="503">
        <f t="shared" si="16"/>
        <v>400</v>
      </c>
      <c r="Q37" s="503">
        <f t="shared" si="16"/>
        <v>400</v>
      </c>
      <c r="R37" s="670">
        <f t="shared" si="4"/>
        <v>4800</v>
      </c>
      <c r="S37" s="502">
        <f>+(R37+R38)*(1+S$5)</f>
        <v>4944</v>
      </c>
      <c r="T37" s="670">
        <f>+(S37+S38)*(1+T$5)</f>
        <v>5092.32</v>
      </c>
      <c r="U37" s="33"/>
      <c r="V37" s="17"/>
      <c r="W37" s="17"/>
    </row>
    <row r="38" spans="1:23" ht="15" customHeight="1" x14ac:dyDescent="0.2">
      <c r="A38" s="1118"/>
      <c r="B38" s="296"/>
      <c r="E38" s="676">
        <v>5000</v>
      </c>
      <c r="F38" s="677"/>
      <c r="G38" s="677"/>
      <c r="H38" s="677"/>
      <c r="I38" s="677"/>
      <c r="J38" s="677"/>
      <c r="K38" s="677"/>
      <c r="L38" s="677"/>
      <c r="M38" s="677"/>
      <c r="N38" s="677"/>
      <c r="O38" s="677"/>
      <c r="P38" s="677"/>
      <c r="Q38" s="677"/>
      <c r="R38" s="670">
        <f t="shared" si="4"/>
        <v>0</v>
      </c>
      <c r="S38" s="248"/>
      <c r="T38" s="70"/>
      <c r="U38" s="33"/>
      <c r="V38" s="17"/>
      <c r="W38" s="17"/>
    </row>
    <row r="39" spans="1:23" ht="22.5" customHeight="1" x14ac:dyDescent="0.2">
      <c r="A39" s="684" t="s">
        <v>87</v>
      </c>
      <c r="B39" s="685"/>
      <c r="E39" s="686">
        <f t="shared" ref="E39:T39" si="17">-SUM(E8:E38)</f>
        <v>-17300</v>
      </c>
      <c r="F39" s="432">
        <f t="shared" si="17"/>
        <v>-11266.666666666668</v>
      </c>
      <c r="G39" s="432">
        <f t="shared" si="17"/>
        <v>-11266.666666666668</v>
      </c>
      <c r="H39" s="432">
        <f t="shared" si="17"/>
        <v>-11266.666666666668</v>
      </c>
      <c r="I39" s="432">
        <f t="shared" si="17"/>
        <v>-11266.666666666668</v>
      </c>
      <c r="J39" s="432">
        <f t="shared" si="17"/>
        <v>-11266.666666666668</v>
      </c>
      <c r="K39" s="432">
        <f t="shared" si="17"/>
        <v>-11266.666666666668</v>
      </c>
      <c r="L39" s="432">
        <f t="shared" si="17"/>
        <v>-11266.666666666668</v>
      </c>
      <c r="M39" s="432">
        <f t="shared" si="17"/>
        <v>-11266.666666666668</v>
      </c>
      <c r="N39" s="432">
        <f t="shared" si="17"/>
        <v>-11266.666666666668</v>
      </c>
      <c r="O39" s="432">
        <f t="shared" si="17"/>
        <v>-12416.666666666668</v>
      </c>
      <c r="P39" s="432">
        <f t="shared" si="17"/>
        <v>-11266.666666666668</v>
      </c>
      <c r="Q39" s="432">
        <f t="shared" si="17"/>
        <v>-11266.666666666668</v>
      </c>
      <c r="R39" s="686">
        <f t="shared" si="17"/>
        <v>-136350</v>
      </c>
      <c r="S39" s="431">
        <f t="shared" si="17"/>
        <v>-140877.64285714284</v>
      </c>
      <c r="T39" s="686">
        <f t="shared" si="17"/>
        <v>-144658.25785714286</v>
      </c>
      <c r="U39" s="12"/>
      <c r="V39" s="17"/>
      <c r="W39" s="503">
        <f>+R39-'Detail CF Projections'!O39</f>
        <v>150130</v>
      </c>
    </row>
    <row r="40" spans="1:23" ht="15.75" customHeight="1" x14ac:dyDescent="0.2">
      <c r="B40" s="149"/>
      <c r="C40" s="149"/>
      <c r="D40" s="149"/>
      <c r="E40" s="71"/>
      <c r="F40" s="149"/>
      <c r="G40" s="149"/>
      <c r="H40" s="149"/>
      <c r="I40" s="149"/>
      <c r="J40" s="149"/>
      <c r="K40" s="149"/>
      <c r="L40" s="149"/>
      <c r="M40" s="149"/>
      <c r="N40" s="149"/>
      <c r="O40" s="149"/>
      <c r="P40" s="149"/>
      <c r="Q40" s="149"/>
      <c r="R40" s="149"/>
      <c r="S40" s="149"/>
      <c r="T40" s="149"/>
    </row>
    <row r="41" spans="1:23" ht="16.5" customHeight="1" x14ac:dyDescent="0.2">
      <c r="A41" s="687" t="s">
        <v>261</v>
      </c>
      <c r="B41" s="688"/>
      <c r="E41" s="689"/>
      <c r="F41" s="690">
        <f>+'P&amp;L-Expenses'!F3</f>
        <v>44771</v>
      </c>
      <c r="G41" s="690">
        <f>+'P&amp;L-Expenses'!G3</f>
        <v>44799</v>
      </c>
      <c r="H41" s="690">
        <f>+'P&amp;L-Expenses'!H3</f>
        <v>44827</v>
      </c>
      <c r="I41" s="690">
        <f>+'P&amp;L-Expenses'!I3</f>
        <v>44855</v>
      </c>
      <c r="J41" s="690">
        <f>+'P&amp;L-Expenses'!J3</f>
        <v>44883</v>
      </c>
      <c r="K41" s="690">
        <f>+'P&amp;L-Expenses'!K3</f>
        <v>44911</v>
      </c>
      <c r="L41" s="690">
        <f>+'P&amp;L-Expenses'!L3</f>
        <v>44939</v>
      </c>
      <c r="M41" s="690">
        <f>+'P&amp;L-Expenses'!M3</f>
        <v>44967</v>
      </c>
      <c r="N41" s="690">
        <f>+'P&amp;L-Expenses'!N3</f>
        <v>44995</v>
      </c>
      <c r="O41" s="690">
        <f>+'P&amp;L-Expenses'!O3</f>
        <v>45023</v>
      </c>
      <c r="P41" s="690">
        <f>+'P&amp;L-Expenses'!P3</f>
        <v>45051</v>
      </c>
      <c r="Q41" s="690">
        <f>+'P&amp;L-Expenses'!Q3</f>
        <v>45079</v>
      </c>
      <c r="R41" s="691">
        <f>+Q41</f>
        <v>45079</v>
      </c>
      <c r="S41" s="692">
        <f>+R41+365</f>
        <v>45444</v>
      </c>
      <c r="T41" s="693">
        <f>+S41+365</f>
        <v>45809</v>
      </c>
      <c r="U41" s="72"/>
      <c r="V41" s="73"/>
      <c r="W41" s="73"/>
    </row>
    <row r="42" spans="1:23" ht="15" customHeight="1" x14ac:dyDescent="0.2">
      <c r="A42" s="694" t="s">
        <v>262</v>
      </c>
      <c r="B42" s="146"/>
      <c r="E42" s="74"/>
      <c r="F42" s="391">
        <f>+-(+'BAL-Liabilities &amp; Equity'!D74+'BAL-Liabilities &amp; Equity'!D88)</f>
        <v>-1250</v>
      </c>
      <c r="G42" s="391">
        <f>+-(+'BAL-Liabilities &amp; Equity'!E74+'BAL-Liabilities &amp; Equity'!E88)</f>
        <v>-1247.2946117690228</v>
      </c>
      <c r="H42" s="391">
        <f>+-(+'BAL-Liabilities &amp; Equity'!F74+'BAL-Liabilities &amp; Equity'!F88)</f>
        <v>-1244.575696596891</v>
      </c>
      <c r="I42" s="391">
        <f>+-(+'BAL-Liabilities &amp; Equity'!G74+'BAL-Liabilities &amp; Equity'!G88)</f>
        <v>-1241.8431868488983</v>
      </c>
      <c r="J42" s="391">
        <f>+-(+'BAL-Liabilities &amp; Equity'!H74+'BAL-Liabilities &amp; Equity'!H88)</f>
        <v>-1239.0970145521658</v>
      </c>
      <c r="K42" s="391">
        <f>+-(+'BAL-Liabilities &amp; Equity'!I74+'BAL-Liabilities &amp; Equity'!I88)</f>
        <v>-1236.3371113939495</v>
      </c>
      <c r="L42" s="391">
        <f>+-(+'BAL-Liabilities &amp; Equity'!J74+'BAL-Liabilities &amp; Equity'!J88)</f>
        <v>-1233.5634087199421</v>
      </c>
      <c r="M42" s="391">
        <f>+-(+'BAL-Liabilities &amp; Equity'!K74+'BAL-Liabilities &amp; Equity'!K88)</f>
        <v>-1230.775837532565</v>
      </c>
      <c r="N42" s="391">
        <f>+-(+'BAL-Liabilities &amp; Equity'!L74+'BAL-Liabilities &amp; Equity'!L88)</f>
        <v>-1227.9743284892506</v>
      </c>
      <c r="O42" s="391">
        <f>+-(+'BAL-Liabilities &amp; Equity'!M74+'BAL-Liabilities &amp; Equity'!M88)</f>
        <v>-1225.1588119007199</v>
      </c>
      <c r="P42" s="391">
        <f>+-('BAL-Liabilities &amp; Equity'!N74+'BAL-Liabilities &amp; Equity'!N88)</f>
        <v>-1222.3292177292465</v>
      </c>
      <c r="Q42" s="391">
        <f>+-(+'BAL-Liabilities &amp; Equity'!O74+'BAL-Liabilities &amp; Equity'!O88)</f>
        <v>-1219.4854755869155</v>
      </c>
      <c r="R42" s="695">
        <f>+SUM(F42:Q42)</f>
        <v>-14818.434701119564</v>
      </c>
      <c r="S42" s="696">
        <f>-'BAL-Liabilities &amp; Equity'!P78-'BAL-Liabilities &amp; Equity'!P92</f>
        <v>-14406.766327580575</v>
      </c>
      <c r="T42" s="696">
        <f>-'BAL-Liabilities &amp; Equity'!P82-'BAL-Liabilities &amp; Equity'!P96</f>
        <v>-13969.707149547881</v>
      </c>
      <c r="U42" s="24"/>
      <c r="V42" s="21"/>
      <c r="W42" s="21"/>
    </row>
    <row r="43" spans="1:23" ht="15" customHeight="1" x14ac:dyDescent="0.2">
      <c r="A43" s="694" t="s">
        <v>263</v>
      </c>
      <c r="B43" s="146"/>
      <c r="C43" s="146"/>
      <c r="D43" s="146"/>
      <c r="E43" s="74"/>
      <c r="F43" s="181"/>
      <c r="G43" s="181"/>
      <c r="H43" s="181"/>
      <c r="I43" s="21"/>
      <c r="J43" s="391">
        <f>-'BAL-Liabilities &amp; Equity'!J20</f>
        <v>0</v>
      </c>
      <c r="K43" s="391">
        <f>-'BAL-Liabilities &amp; Equity'!K20</f>
        <v>0</v>
      </c>
      <c r="L43" s="391">
        <f>-'BAL-Liabilities &amp; Equity'!L20</f>
        <v>0</v>
      </c>
      <c r="M43" s="391">
        <f>-'BAL-Liabilities &amp; Equity'!M20</f>
        <v>0</v>
      </c>
      <c r="N43" s="391">
        <f>-'BAL-Liabilities &amp; Equity'!N20</f>
        <v>0</v>
      </c>
      <c r="O43" s="391">
        <f>-'BAL-Liabilities &amp; Equity'!O20</f>
        <v>0</v>
      </c>
      <c r="P43" s="391">
        <f>-'BAL-Liabilities &amp; Equity'!P20</f>
        <v>0</v>
      </c>
      <c r="Q43" s="391">
        <f>-'BAL-Liabilities &amp; Equity'!Q20</f>
        <v>0</v>
      </c>
      <c r="R43" s="695">
        <f>+SUM(F43:Q43)</f>
        <v>0</v>
      </c>
      <c r="S43" s="695">
        <f>-'BAL-Liabilities &amp; Equity'!S20</f>
        <v>0</v>
      </c>
      <c r="T43" s="695">
        <f>-'BAL-Liabilities &amp; Equity'!T20</f>
        <v>0</v>
      </c>
      <c r="U43" s="24"/>
      <c r="V43" s="21"/>
      <c r="W43" s="21"/>
    </row>
    <row r="44" spans="1:23" ht="15.75" customHeight="1" x14ac:dyDescent="0.2">
      <c r="A44" s="697" t="s">
        <v>264</v>
      </c>
      <c r="B44" s="297"/>
      <c r="E44" s="249"/>
      <c r="F44" s="698">
        <f>-'BAL-Liabilities &amp; Equity'!C56-'BAL-Liabilities &amp; Equity'!C69</f>
        <v>0</v>
      </c>
      <c r="G44" s="698">
        <f>-'BAL-Liabilities &amp; Equity'!D56-'BAL-Liabilities &amp; Equity'!D69</f>
        <v>0</v>
      </c>
      <c r="H44" s="698">
        <f>-'BAL-Liabilities &amp; Equity'!E56-'BAL-Liabilities &amp; Equity'!E69</f>
        <v>-14</v>
      </c>
      <c r="I44" s="698">
        <f>-'BAL-Liabilities &amp; Equity'!F56-'BAL-Liabilities &amp; Equity'!F69</f>
        <v>-105.42666666666668</v>
      </c>
      <c r="J44" s="698">
        <f>-'BAL-Liabilities &amp; Equity'!G56-'BAL-Liabilities &amp; Equity'!G69</f>
        <v>-166.79617777777779</v>
      </c>
      <c r="K44" s="698">
        <f>-'BAL-Liabilities &amp; Equity'!H56-'BAL-Liabilities &amp; Equity'!H69</f>
        <v>-191.90815229629629</v>
      </c>
      <c r="L44" s="698">
        <f>-'BAL-Liabilities &amp; Equity'!I56-'BAL-Liabilities &amp; Equity'!I69</f>
        <v>-175.63420664493825</v>
      </c>
      <c r="M44" s="698">
        <f>-'BAL-Liabilities &amp; Equity'!J56-'BAL-Liabilities &amp; Equity'!J69</f>
        <v>-92.025101355904511</v>
      </c>
      <c r="N44" s="698">
        <f>-'BAL-Liabilities &amp; Equity'!K56-'BAL-Liabilities &amp; Equity'!K69</f>
        <v>0</v>
      </c>
      <c r="O44" s="698">
        <f>-'BAL-Liabilities &amp; Equity'!L56-'BAL-Liabilities &amp; Equity'!L69</f>
        <v>0</v>
      </c>
      <c r="P44" s="698">
        <f>-'BAL-Liabilities &amp; Equity'!M56-'BAL-Liabilities &amp; Equity'!M69</f>
        <v>0</v>
      </c>
      <c r="Q44" s="698">
        <f>-'BAL-Liabilities &amp; Equity'!N56-'BAL-Liabilities &amp; Equity'!N69</f>
        <v>0</v>
      </c>
      <c r="R44" s="699">
        <f>+SUM(F44:Q44)</f>
        <v>-745.79030474158355</v>
      </c>
      <c r="S44" s="699">
        <f>-'BAL-Liabilities &amp; Equity'!P56-'BAL-Liabilities &amp; Equity'!P69</f>
        <v>1.677562067343729E-2</v>
      </c>
      <c r="T44" s="699">
        <f>-'BAL-Liabilities &amp; Equity'!Q56-'BAL-Liabilities &amp; Equity'!Q69</f>
        <v>1.8117670327312273E-2</v>
      </c>
      <c r="U44" s="24"/>
      <c r="V44" s="21"/>
      <c r="W44" s="21"/>
    </row>
    <row r="45" spans="1:23" ht="15.75" customHeight="1" x14ac:dyDescent="0.2">
      <c r="A45" s="149"/>
      <c r="B45" s="149"/>
      <c r="C45" s="149"/>
      <c r="D45" s="149"/>
      <c r="E45" s="75"/>
      <c r="F45" s="700">
        <f t="shared" ref="F45:T45" si="18">SUM(F42:F44)</f>
        <v>-1250</v>
      </c>
      <c r="G45" s="700">
        <f t="shared" si="18"/>
        <v>-1247.2946117690228</v>
      </c>
      <c r="H45" s="700">
        <f t="shared" si="18"/>
        <v>-1258.575696596891</v>
      </c>
      <c r="I45" s="700">
        <f t="shared" si="18"/>
        <v>-1347.269853515565</v>
      </c>
      <c r="J45" s="700">
        <f t="shared" si="18"/>
        <v>-1405.8931923299435</v>
      </c>
      <c r="K45" s="700">
        <f t="shared" si="18"/>
        <v>-1428.2452636902458</v>
      </c>
      <c r="L45" s="700">
        <f t="shared" si="18"/>
        <v>-1409.1976153648804</v>
      </c>
      <c r="M45" s="700">
        <f t="shared" si="18"/>
        <v>-1322.8009388884695</v>
      </c>
      <c r="N45" s="700">
        <f t="shared" si="18"/>
        <v>-1227.9743284892506</v>
      </c>
      <c r="O45" s="700">
        <f t="shared" si="18"/>
        <v>-1225.1588119007199</v>
      </c>
      <c r="P45" s="700">
        <f t="shared" si="18"/>
        <v>-1222.3292177292465</v>
      </c>
      <c r="Q45" s="700">
        <f t="shared" si="18"/>
        <v>-1219.4854755869155</v>
      </c>
      <c r="R45" s="701">
        <f t="shared" si="18"/>
        <v>-15564.225005861148</v>
      </c>
      <c r="S45" s="702">
        <f t="shared" si="18"/>
        <v>-14406.749551959902</v>
      </c>
      <c r="T45" s="701">
        <f t="shared" si="18"/>
        <v>-13969.689031877553</v>
      </c>
    </row>
  </sheetData>
  <mergeCells count="36">
    <mergeCell ref="S4:T4"/>
    <mergeCell ref="C37:D37"/>
    <mergeCell ref="A15:A16"/>
    <mergeCell ref="A31:A32"/>
    <mergeCell ref="C13:D13"/>
    <mergeCell ref="B12:D12"/>
    <mergeCell ref="F4:R4"/>
    <mergeCell ref="A37:A38"/>
    <mergeCell ref="C31:D31"/>
    <mergeCell ref="B6:D6"/>
    <mergeCell ref="A21:A22"/>
    <mergeCell ref="A8:A9"/>
    <mergeCell ref="C21:D21"/>
    <mergeCell ref="A17:A18"/>
    <mergeCell ref="A13:A14"/>
    <mergeCell ref="C27:D27"/>
    <mergeCell ref="A33:A34"/>
    <mergeCell ref="A29:A30"/>
    <mergeCell ref="B4:D4"/>
    <mergeCell ref="A23:A24"/>
    <mergeCell ref="A10:A11"/>
    <mergeCell ref="B7:D7"/>
    <mergeCell ref="C15:D15"/>
    <mergeCell ref="C33:D33"/>
    <mergeCell ref="C5:D5"/>
    <mergeCell ref="C35:D35"/>
    <mergeCell ref="A27:A28"/>
    <mergeCell ref="C29:D29"/>
    <mergeCell ref="C10:D10"/>
    <mergeCell ref="A25:A26"/>
    <mergeCell ref="C17:D17"/>
    <mergeCell ref="C23:D23"/>
    <mergeCell ref="A19:A20"/>
    <mergeCell ref="C8:D8"/>
    <mergeCell ref="A35:A36"/>
    <mergeCell ref="C19:D19"/>
  </mergeCells>
  <pageMargins left="0.25" right="0.25" top="0.75" bottom="0.75" header="0" footer="0"/>
  <pageSetup orientation="landscape"/>
  <legacy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4A3B8"/>
    <pageSetUpPr fitToPage="1"/>
  </sheetPr>
  <dimension ref="A1:T87"/>
  <sheetViews>
    <sheetView showGridLines="0" workbookViewId="0">
      <pane ySplit="2" topLeftCell="A3" activePane="bottomLeft" state="frozen"/>
      <selection pane="bottomLeft" activeCell="M30" sqref="M30"/>
    </sheetView>
  </sheetViews>
  <sheetFormatPr baseColWidth="10" defaultColWidth="14.5" defaultRowHeight="15" customHeight="1" x14ac:dyDescent="0.2"/>
  <cols>
    <col min="1" max="1" width="32.1640625" customWidth="1"/>
    <col min="2" max="2" width="14" customWidth="1"/>
    <col min="3" max="5" width="13.33203125" customWidth="1"/>
    <col min="6" max="6" width="8.6640625" customWidth="1"/>
    <col min="7" max="7" width="10.6640625" customWidth="1"/>
    <col min="8" max="8" width="10.1640625" customWidth="1"/>
    <col min="9" max="9" width="10.6640625" customWidth="1"/>
    <col min="10" max="17" width="10.1640625" customWidth="1"/>
    <col min="18" max="18" width="11.1640625" customWidth="1"/>
    <col min="19" max="20" width="10.1640625" customWidth="1"/>
    <col min="21" max="40" width="8.6640625" customWidth="1"/>
  </cols>
  <sheetData>
    <row r="1" spans="1:20" x14ac:dyDescent="0.2">
      <c r="A1" s="491" t="s">
        <v>11</v>
      </c>
      <c r="B1" s="30"/>
    </row>
    <row r="2" spans="1:20" x14ac:dyDescent="0.2">
      <c r="A2" s="703" t="str">
        <f>+Historical!$A$1</f>
        <v>Draper Yoga</v>
      </c>
      <c r="B2" s="10"/>
    </row>
    <row r="3" spans="1:20" x14ac:dyDescent="0.2"/>
    <row r="4" spans="1:20" x14ac:dyDescent="0.2">
      <c r="R4" s="1136" t="s">
        <v>126</v>
      </c>
      <c r="S4" s="1080"/>
      <c r="T4" s="1080"/>
    </row>
    <row r="5" spans="1:20" ht="16" customHeight="1" x14ac:dyDescent="0.2">
      <c r="A5" s="704" t="s">
        <v>14</v>
      </c>
      <c r="B5" s="705" t="s">
        <v>265</v>
      </c>
      <c r="C5" s="1135" t="s">
        <v>209</v>
      </c>
      <c r="D5" s="1080"/>
      <c r="E5" s="1083"/>
      <c r="F5" s="707">
        <f>+'P&amp;L-Expenses'!F41</f>
        <v>44771</v>
      </c>
      <c r="G5" s="707">
        <f>+'P&amp;L-Expenses'!G41</f>
        <v>44799</v>
      </c>
      <c r="H5" s="707">
        <f>+'P&amp;L-Expenses'!H41</f>
        <v>44827</v>
      </c>
      <c r="I5" s="707">
        <f>+'P&amp;L-Expenses'!I41</f>
        <v>44855</v>
      </c>
      <c r="J5" s="707">
        <f>+'P&amp;L-Expenses'!J41</f>
        <v>44883</v>
      </c>
      <c r="K5" s="707">
        <f>+'P&amp;L-Expenses'!K41</f>
        <v>44911</v>
      </c>
      <c r="L5" s="707">
        <f>+'P&amp;L-Expenses'!L41</f>
        <v>44939</v>
      </c>
      <c r="M5" s="707">
        <f>+'P&amp;L-Expenses'!M41</f>
        <v>44967</v>
      </c>
      <c r="N5" s="707">
        <f>+'P&amp;L-Expenses'!N41</f>
        <v>44995</v>
      </c>
      <c r="O5" s="707">
        <f>+'P&amp;L-Expenses'!O41</f>
        <v>45023</v>
      </c>
      <c r="P5" s="707">
        <f>+'P&amp;L-Expenses'!P41</f>
        <v>45051</v>
      </c>
      <c r="Q5" s="707">
        <f>+'P&amp;L-Expenses'!Q41</f>
        <v>45079</v>
      </c>
      <c r="R5" s="708">
        <f>+Q5</f>
        <v>45079</v>
      </c>
      <c r="S5" s="708">
        <f>+R5+365</f>
        <v>45444</v>
      </c>
      <c r="T5" s="709">
        <f>+S5+365</f>
        <v>45809</v>
      </c>
    </row>
    <row r="6" spans="1:20" x14ac:dyDescent="0.2">
      <c r="A6" s="710" t="s">
        <v>20</v>
      </c>
      <c r="B6" s="77"/>
      <c r="C6" s="1127" t="s">
        <v>266</v>
      </c>
      <c r="D6" s="1094"/>
      <c r="E6" s="1095"/>
      <c r="F6" s="711">
        <f>+'P&amp;L-Revenues'!D56*0.04</f>
        <v>184.8</v>
      </c>
      <c r="G6" s="712">
        <f t="shared" ref="G6:Q6" si="0">+F6-G7</f>
        <v>539.04</v>
      </c>
      <c r="H6" s="712">
        <f t="shared" si="0"/>
        <v>1101.24</v>
      </c>
      <c r="I6" s="712">
        <f t="shared" si="0"/>
        <v>1909.92</v>
      </c>
      <c r="J6" s="712">
        <f t="shared" si="0"/>
        <v>3003.6000000000004</v>
      </c>
      <c r="K6" s="712">
        <f t="shared" si="0"/>
        <v>4420.8</v>
      </c>
      <c r="L6" s="712">
        <f t="shared" si="0"/>
        <v>6384.84</v>
      </c>
      <c r="M6" s="712">
        <f t="shared" si="0"/>
        <v>8641.68</v>
      </c>
      <c r="N6" s="712">
        <f t="shared" si="0"/>
        <v>11152.8</v>
      </c>
      <c r="O6" s="712">
        <f t="shared" si="0"/>
        <v>13879.68</v>
      </c>
      <c r="P6" s="712">
        <f t="shared" si="0"/>
        <v>16876.2</v>
      </c>
      <c r="Q6" s="712">
        <f t="shared" si="0"/>
        <v>20142.36</v>
      </c>
      <c r="R6" s="713">
        <f>+Q6</f>
        <v>20142.36</v>
      </c>
      <c r="S6" s="714">
        <f>+'P&amp;L-Revenues'!R56*0.04</f>
        <v>24895.956959999996</v>
      </c>
      <c r="T6" s="715">
        <f>+'P&amp;L-Revenues'!T56*0.04</f>
        <v>27796.456799999993</v>
      </c>
    </row>
    <row r="7" spans="1:20" x14ac:dyDescent="0.2">
      <c r="A7" s="716" t="s">
        <v>267</v>
      </c>
      <c r="B7" s="78"/>
      <c r="C7" s="1128"/>
      <c r="D7" s="1129"/>
      <c r="E7" s="1130"/>
      <c r="F7" s="668">
        <f>-'P&amp;L-Revenues'!D56*0.04</f>
        <v>-184.8</v>
      </c>
      <c r="G7" s="668">
        <f>-'P&amp;L-Revenues'!E56*0.04</f>
        <v>-354.24</v>
      </c>
      <c r="H7" s="668">
        <f>-'P&amp;L-Revenues'!F56*0.04</f>
        <v>-562.20000000000005</v>
      </c>
      <c r="I7" s="668">
        <f>-'P&amp;L-Revenues'!G56*0.04</f>
        <v>-808.68000000000006</v>
      </c>
      <c r="J7" s="668">
        <f>-'P&amp;L-Revenues'!H56*0.04</f>
        <v>-1093.68</v>
      </c>
      <c r="K7" s="668">
        <f>-'P&amp;L-Revenues'!I56*0.04</f>
        <v>-1417.2</v>
      </c>
      <c r="L7" s="668">
        <f>-'P&amp;L-Revenues'!J56*0.04</f>
        <v>-1964.04</v>
      </c>
      <c r="M7" s="668">
        <f>-'P&amp;L-Revenues'!K56*0.04</f>
        <v>-2256.84</v>
      </c>
      <c r="N7" s="668">
        <f>-'P&amp;L-Revenues'!L56*0.04</f>
        <v>-2511.12</v>
      </c>
      <c r="O7" s="668">
        <f>-'P&amp;L-Revenues'!M56*0.04</f>
        <v>-2726.88</v>
      </c>
      <c r="P7" s="668">
        <f>-'P&amp;L-Revenues'!N56*0.04</f>
        <v>-2996.52</v>
      </c>
      <c r="Q7" s="668">
        <f>-'P&amp;L-Revenues'!O56*0.04</f>
        <v>-3266.16</v>
      </c>
      <c r="R7" s="717">
        <f>SUM(F7:Q7)</f>
        <v>-20142.36</v>
      </c>
      <c r="S7" s="718">
        <f>+R6-S6</f>
        <v>-4753.5969599999953</v>
      </c>
      <c r="T7" s="718">
        <f>+S6-T6</f>
        <v>-2900.4998399999968</v>
      </c>
    </row>
    <row r="8" spans="1:20" x14ac:dyDescent="0.2">
      <c r="A8" s="710" t="s">
        <v>268</v>
      </c>
      <c r="B8" s="77"/>
      <c r="C8" s="1127" t="s">
        <v>269</v>
      </c>
      <c r="D8" s="1094"/>
      <c r="E8" s="1095"/>
      <c r="F8" s="711">
        <f>-F9</f>
        <v>27.72</v>
      </c>
      <c r="G8" s="712">
        <f t="shared" ref="G8:Q8" si="1">+F8-G9</f>
        <v>80.855999999999995</v>
      </c>
      <c r="H8" s="712">
        <f t="shared" si="1"/>
        <v>165.18599999999998</v>
      </c>
      <c r="I8" s="712">
        <f t="shared" si="1"/>
        <v>286.488</v>
      </c>
      <c r="J8" s="712">
        <f t="shared" si="1"/>
        <v>450.53999999999996</v>
      </c>
      <c r="K8" s="712">
        <f t="shared" si="1"/>
        <v>663.12</v>
      </c>
      <c r="L8" s="712">
        <f t="shared" si="1"/>
        <v>957.726</v>
      </c>
      <c r="M8" s="712">
        <f t="shared" si="1"/>
        <v>1296.252</v>
      </c>
      <c r="N8" s="712">
        <f t="shared" si="1"/>
        <v>1672.92</v>
      </c>
      <c r="O8" s="712">
        <f t="shared" si="1"/>
        <v>2081.9520000000002</v>
      </c>
      <c r="P8" s="712">
        <f t="shared" si="1"/>
        <v>2531.4300000000003</v>
      </c>
      <c r="Q8" s="712">
        <f t="shared" si="1"/>
        <v>3021.3540000000003</v>
      </c>
      <c r="R8" s="713">
        <f>+Q8</f>
        <v>3021.3540000000003</v>
      </c>
      <c r="S8" s="714">
        <f>+'P&amp;L-Revenues'!R56*0.006</f>
        <v>3734.3935439999996</v>
      </c>
      <c r="T8" s="715">
        <f>+'P&amp;L-Revenues'!T56*0.006</f>
        <v>4169.4685199999985</v>
      </c>
    </row>
    <row r="9" spans="1:20" x14ac:dyDescent="0.2">
      <c r="A9" s="716" t="s">
        <v>270</v>
      </c>
      <c r="B9" s="78"/>
      <c r="C9" s="1128"/>
      <c r="D9" s="1129"/>
      <c r="E9" s="1130"/>
      <c r="F9" s="719">
        <f>+-'P&amp;L-Revenues'!D56*0.006</f>
        <v>-27.72</v>
      </c>
      <c r="G9" s="719">
        <f>+-'P&amp;L-Revenues'!E56*0.006</f>
        <v>-53.136000000000003</v>
      </c>
      <c r="H9" s="719">
        <f>+-'P&amp;L-Revenues'!F56*0.006</f>
        <v>-84.33</v>
      </c>
      <c r="I9" s="719">
        <f>+-'P&amp;L-Revenues'!G56*0.006</f>
        <v>-121.30200000000001</v>
      </c>
      <c r="J9" s="719">
        <f>+-'P&amp;L-Revenues'!H56*0.006</f>
        <v>-164.05199999999999</v>
      </c>
      <c r="K9" s="719">
        <f>+-'P&amp;L-Revenues'!I56*0.006</f>
        <v>-212.58</v>
      </c>
      <c r="L9" s="719">
        <f>+-'P&amp;L-Revenues'!J56*0.006</f>
        <v>-294.60599999999999</v>
      </c>
      <c r="M9" s="719">
        <f>+-'P&amp;L-Revenues'!K56*0.006</f>
        <v>-338.52600000000001</v>
      </c>
      <c r="N9" s="719">
        <f>+-'P&amp;L-Revenues'!L56*0.006</f>
        <v>-376.66800000000001</v>
      </c>
      <c r="O9" s="719">
        <f>+-'P&amp;L-Revenues'!M56*0.006</f>
        <v>-409.03199999999998</v>
      </c>
      <c r="P9" s="719">
        <f>+-'P&amp;L-Revenues'!N56*0.006</f>
        <v>-449.47800000000001</v>
      </c>
      <c r="Q9" s="719">
        <f>+-'P&amp;L-Revenues'!O56*0.006</f>
        <v>-489.92400000000004</v>
      </c>
      <c r="R9" s="717">
        <f>SUM(F9:Q9)</f>
        <v>-3021.3540000000003</v>
      </c>
      <c r="S9" s="718">
        <f>+R8-S8</f>
        <v>-713.0395439999993</v>
      </c>
      <c r="T9" s="718">
        <f>+S8-T8</f>
        <v>-435.07497599999897</v>
      </c>
    </row>
    <row r="10" spans="1:20" x14ac:dyDescent="0.2">
      <c r="A10" s="720" t="s">
        <v>271</v>
      </c>
      <c r="B10" s="250"/>
      <c r="C10" s="1138" t="e">
        <f>+'P&amp;L-Revenues'!#REF!*D10</f>
        <v>#REF!</v>
      </c>
      <c r="D10" s="1065"/>
      <c r="E10" s="1133"/>
      <c r="F10" s="721">
        <f>-F11</f>
        <v>106.26</v>
      </c>
      <c r="G10" s="668">
        <f t="shared" ref="G10:Q10" si="2">+F10-G11</f>
        <v>309.94799999999998</v>
      </c>
      <c r="H10" s="668">
        <f t="shared" si="2"/>
        <v>633.21299999999997</v>
      </c>
      <c r="I10" s="668">
        <f t="shared" si="2"/>
        <v>1098.204</v>
      </c>
      <c r="J10" s="668">
        <f t="shared" si="2"/>
        <v>1727.07</v>
      </c>
      <c r="K10" s="668">
        <f t="shared" si="2"/>
        <v>2541.96</v>
      </c>
      <c r="L10" s="668">
        <f t="shared" si="2"/>
        <v>3671.2830000000004</v>
      </c>
      <c r="M10" s="668">
        <f t="shared" si="2"/>
        <v>4968.9660000000003</v>
      </c>
      <c r="N10" s="668">
        <f t="shared" si="2"/>
        <v>6412.8600000000006</v>
      </c>
      <c r="O10" s="668">
        <f t="shared" si="2"/>
        <v>7980.8160000000007</v>
      </c>
      <c r="P10" s="668">
        <f t="shared" si="2"/>
        <v>9703.8150000000005</v>
      </c>
      <c r="Q10" s="668">
        <f t="shared" si="2"/>
        <v>11581.857</v>
      </c>
      <c r="R10" s="711">
        <f>+Q10</f>
        <v>11581.857</v>
      </c>
      <c r="S10" s="714">
        <f>+'P&amp;L-Revenues'!R56*0.023</f>
        <v>14315.175251999997</v>
      </c>
      <c r="T10" s="714">
        <f>+'P&amp;L-Revenues'!T56*0.023</f>
        <v>15982.962659999996</v>
      </c>
    </row>
    <row r="11" spans="1:20" x14ac:dyDescent="0.2">
      <c r="A11" s="722" t="s">
        <v>272</v>
      </c>
      <c r="B11" s="79"/>
      <c r="C11" s="1123" t="s">
        <v>273</v>
      </c>
      <c r="D11" s="1085"/>
      <c r="E11" s="1086"/>
      <c r="F11" s="719">
        <f>-'P&amp;L-Revenues'!D56*0.023</f>
        <v>-106.26</v>
      </c>
      <c r="G11" s="719">
        <f>-'P&amp;L-Revenues'!E56*0.023</f>
        <v>-203.68799999999999</v>
      </c>
      <c r="H11" s="719">
        <f>-'P&amp;L-Revenues'!F56*0.023</f>
        <v>-323.26499999999999</v>
      </c>
      <c r="I11" s="719">
        <f>-'P&amp;L-Revenues'!G56*0.023</f>
        <v>-464.99099999999999</v>
      </c>
      <c r="J11" s="719">
        <f>-'P&amp;L-Revenues'!H56*0.023</f>
        <v>-628.86599999999999</v>
      </c>
      <c r="K11" s="719">
        <f>-'P&amp;L-Revenues'!I56*0.023</f>
        <v>-814.89</v>
      </c>
      <c r="L11" s="719">
        <f>-'P&amp;L-Revenues'!J56*0.023</f>
        <v>-1129.3230000000001</v>
      </c>
      <c r="M11" s="719">
        <f>-'P&amp;L-Revenues'!K56*0.023</f>
        <v>-1297.683</v>
      </c>
      <c r="N11" s="719">
        <f>-'P&amp;L-Revenues'!L56*0.023</f>
        <v>-1443.894</v>
      </c>
      <c r="O11" s="719">
        <f>-'P&amp;L-Revenues'!M56*0.023</f>
        <v>-1567.9559999999999</v>
      </c>
      <c r="P11" s="719">
        <f>-'P&amp;L-Revenues'!N56*0.023</f>
        <v>-1722.999</v>
      </c>
      <c r="Q11" s="719">
        <f>-'P&amp;L-Revenues'!O56*0.023</f>
        <v>-1878.0419999999999</v>
      </c>
      <c r="R11" s="717">
        <f>SUM(F11:Q11)</f>
        <v>-11581.857</v>
      </c>
      <c r="S11" s="718">
        <f>+R10-S10</f>
        <v>-2733.3182519999973</v>
      </c>
      <c r="T11" s="718">
        <f>+S10-T10</f>
        <v>-1667.7874079999983</v>
      </c>
    </row>
    <row r="12" spans="1:20" x14ac:dyDescent="0.2">
      <c r="A12" s="33"/>
      <c r="B12" s="20"/>
      <c r="C12" s="20"/>
      <c r="D12" s="20"/>
      <c r="E12" s="20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</row>
    <row r="13" spans="1:20" x14ac:dyDescent="0.2">
      <c r="A13" s="21"/>
      <c r="B13" s="21"/>
      <c r="C13" s="80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1137" t="s">
        <v>126</v>
      </c>
      <c r="S13" s="1062"/>
      <c r="T13" s="1062"/>
    </row>
    <row r="14" spans="1:20" ht="17" customHeight="1" thickBot="1" x14ac:dyDescent="0.25">
      <c r="A14" s="723" t="s">
        <v>274</v>
      </c>
      <c r="B14" s="724" t="s">
        <v>265</v>
      </c>
      <c r="C14" s="1134" t="s">
        <v>209</v>
      </c>
      <c r="D14" s="1080"/>
      <c r="E14" s="1083"/>
      <c r="F14" s="494">
        <f t="shared" ref="F14:Q14" si="3">+F5</f>
        <v>44771</v>
      </c>
      <c r="G14" s="495">
        <f t="shared" si="3"/>
        <v>44799</v>
      </c>
      <c r="H14" s="495">
        <f t="shared" si="3"/>
        <v>44827</v>
      </c>
      <c r="I14" s="495">
        <f t="shared" si="3"/>
        <v>44855</v>
      </c>
      <c r="J14" s="495">
        <f t="shared" si="3"/>
        <v>44883</v>
      </c>
      <c r="K14" s="495">
        <f t="shared" si="3"/>
        <v>44911</v>
      </c>
      <c r="L14" s="495">
        <f t="shared" si="3"/>
        <v>44939</v>
      </c>
      <c r="M14" s="495">
        <f t="shared" si="3"/>
        <v>44967</v>
      </c>
      <c r="N14" s="495">
        <f t="shared" si="3"/>
        <v>44995</v>
      </c>
      <c r="O14" s="495">
        <f t="shared" si="3"/>
        <v>45023</v>
      </c>
      <c r="P14" s="495">
        <f t="shared" si="3"/>
        <v>45051</v>
      </c>
      <c r="Q14" s="654">
        <f t="shared" si="3"/>
        <v>45079</v>
      </c>
      <c r="R14" s="725">
        <f>+Q14</f>
        <v>45079</v>
      </c>
      <c r="S14" s="725">
        <f>+R14+365</f>
        <v>45444</v>
      </c>
      <c r="T14" s="655">
        <f>+S14+365</f>
        <v>45809</v>
      </c>
    </row>
    <row r="15" spans="1:20" x14ac:dyDescent="0.2">
      <c r="A15" s="710" t="str">
        <f>+Historical!A15</f>
        <v>Furniture/Fixtures</v>
      </c>
      <c r="B15" s="82"/>
      <c r="C15" s="726"/>
      <c r="F15" s="727">
        <f>+(B15+B16)-F16</f>
        <v>6000</v>
      </c>
      <c r="G15" s="712">
        <f t="shared" ref="G15:Q15" si="4">+F15-G16</f>
        <v>6000</v>
      </c>
      <c r="H15" s="712">
        <f t="shared" si="4"/>
        <v>6000</v>
      </c>
      <c r="I15" s="712">
        <f t="shared" si="4"/>
        <v>6000</v>
      </c>
      <c r="J15" s="712">
        <f t="shared" si="4"/>
        <v>6000</v>
      </c>
      <c r="K15" s="712">
        <f t="shared" si="4"/>
        <v>6000</v>
      </c>
      <c r="L15" s="712">
        <f t="shared" si="4"/>
        <v>6000</v>
      </c>
      <c r="M15" s="712">
        <f t="shared" si="4"/>
        <v>6000</v>
      </c>
      <c r="N15" s="712">
        <f t="shared" si="4"/>
        <v>6000</v>
      </c>
      <c r="O15" s="712">
        <f t="shared" si="4"/>
        <v>6000</v>
      </c>
      <c r="P15" s="712">
        <f t="shared" si="4"/>
        <v>6000</v>
      </c>
      <c r="Q15" s="728">
        <f t="shared" si="4"/>
        <v>6000</v>
      </c>
      <c r="R15" s="714">
        <f>+Q15</f>
        <v>6000</v>
      </c>
      <c r="S15" s="727">
        <f>+R15-S16</f>
        <v>6000</v>
      </c>
      <c r="T15" s="729">
        <f>+S15-T16</f>
        <v>6000</v>
      </c>
    </row>
    <row r="16" spans="1:20" ht="16" customHeight="1" thickBot="1" x14ac:dyDescent="0.25">
      <c r="A16" s="716" t="s">
        <v>275</v>
      </c>
      <c r="B16" s="730">
        <v>6000</v>
      </c>
      <c r="C16" s="1123" t="s">
        <v>273</v>
      </c>
      <c r="D16" s="1085"/>
      <c r="E16" s="1086"/>
      <c r="F16" s="731"/>
      <c r="G16" s="731"/>
      <c r="H16" s="731"/>
      <c r="I16" s="731"/>
      <c r="J16" s="731"/>
      <c r="K16" s="731"/>
      <c r="L16" s="731"/>
      <c r="M16" s="731"/>
      <c r="N16" s="731"/>
      <c r="O16" s="731"/>
      <c r="P16" s="732"/>
      <c r="Q16" s="731"/>
      <c r="R16" s="733">
        <f>SUM(F16:Q16)</f>
        <v>0</v>
      </c>
      <c r="S16" s="734"/>
      <c r="T16" s="735"/>
    </row>
    <row r="17" spans="1:20" x14ac:dyDescent="0.2">
      <c r="A17" s="710" t="str">
        <f>+Historical!A16</f>
        <v>Equipment</v>
      </c>
      <c r="B17" s="83"/>
      <c r="C17" s="736"/>
      <c r="F17" s="727">
        <f>+(B17+B18)-F18</f>
        <v>6000</v>
      </c>
      <c r="G17" s="712">
        <f t="shared" ref="G17:Q17" si="5">+F17-G18</f>
        <v>6000</v>
      </c>
      <c r="H17" s="712">
        <f t="shared" si="5"/>
        <v>6000</v>
      </c>
      <c r="I17" s="712">
        <f t="shared" si="5"/>
        <v>6000</v>
      </c>
      <c r="J17" s="712">
        <f t="shared" si="5"/>
        <v>6000</v>
      </c>
      <c r="K17" s="712">
        <f t="shared" si="5"/>
        <v>6000</v>
      </c>
      <c r="L17" s="712">
        <f t="shared" si="5"/>
        <v>6000</v>
      </c>
      <c r="M17" s="712">
        <f t="shared" si="5"/>
        <v>6000</v>
      </c>
      <c r="N17" s="712">
        <f t="shared" si="5"/>
        <v>6000</v>
      </c>
      <c r="O17" s="712">
        <f t="shared" si="5"/>
        <v>6000</v>
      </c>
      <c r="P17" s="712">
        <f t="shared" si="5"/>
        <v>6000</v>
      </c>
      <c r="Q17" s="728">
        <f t="shared" si="5"/>
        <v>6000</v>
      </c>
      <c r="R17" s="727">
        <f>+Q17</f>
        <v>6000</v>
      </c>
      <c r="S17" s="727">
        <f>+R17-S18</f>
        <v>6000</v>
      </c>
      <c r="T17" s="729">
        <f>+S17-T18</f>
        <v>6000</v>
      </c>
    </row>
    <row r="18" spans="1:20" x14ac:dyDescent="0.2">
      <c r="A18" s="716" t="s">
        <v>276</v>
      </c>
      <c r="B18" s="730">
        <v>6000</v>
      </c>
      <c r="C18" s="1123" t="s">
        <v>273</v>
      </c>
      <c r="D18" s="1085"/>
      <c r="E18" s="1086"/>
      <c r="F18" s="731"/>
      <c r="G18" s="731"/>
      <c r="H18" s="731"/>
      <c r="I18" s="731"/>
      <c r="J18" s="731"/>
      <c r="K18" s="731"/>
      <c r="L18" s="731"/>
      <c r="M18" s="731"/>
      <c r="N18" s="731"/>
      <c r="O18" s="731"/>
      <c r="P18" s="732"/>
      <c r="Q18" s="731"/>
      <c r="R18" s="733">
        <f>SUM(F18:Q18)</f>
        <v>0</v>
      </c>
      <c r="S18" s="734"/>
      <c r="T18" s="735"/>
    </row>
    <row r="19" spans="1:20" x14ac:dyDescent="0.2">
      <c r="A19" s="710" t="s">
        <v>41</v>
      </c>
      <c r="B19" s="737">
        <f>+Historical!C17</f>
        <v>0</v>
      </c>
      <c r="C19" s="736"/>
      <c r="F19" s="727">
        <f>+(B19+B20)-F20</f>
        <v>0</v>
      </c>
      <c r="G19" s="712">
        <f t="shared" ref="G19:Q19" si="6">+F19-G20</f>
        <v>0</v>
      </c>
      <c r="H19" s="712">
        <f t="shared" si="6"/>
        <v>0</v>
      </c>
      <c r="I19" s="712">
        <f t="shared" si="6"/>
        <v>0</v>
      </c>
      <c r="J19" s="712">
        <f t="shared" si="6"/>
        <v>0</v>
      </c>
      <c r="K19" s="712">
        <f t="shared" si="6"/>
        <v>0</v>
      </c>
      <c r="L19" s="712">
        <f t="shared" si="6"/>
        <v>0</v>
      </c>
      <c r="M19" s="712">
        <f t="shared" si="6"/>
        <v>0</v>
      </c>
      <c r="N19" s="712">
        <f t="shared" si="6"/>
        <v>0</v>
      </c>
      <c r="O19" s="712">
        <f t="shared" si="6"/>
        <v>0</v>
      </c>
      <c r="P19" s="712">
        <f t="shared" si="6"/>
        <v>0</v>
      </c>
      <c r="Q19" s="712">
        <f t="shared" si="6"/>
        <v>0</v>
      </c>
      <c r="R19" s="714">
        <f>+Q19</f>
        <v>0</v>
      </c>
      <c r="S19" s="727">
        <f>+R19-S20</f>
        <v>0</v>
      </c>
      <c r="T19" s="729">
        <f>+S19-T20</f>
        <v>0</v>
      </c>
    </row>
    <row r="20" spans="1:20" x14ac:dyDescent="0.2">
      <c r="A20" s="716" t="s">
        <v>277</v>
      </c>
      <c r="B20" s="79"/>
      <c r="C20" s="1123" t="s">
        <v>273</v>
      </c>
      <c r="D20" s="1085"/>
      <c r="E20" s="1086"/>
      <c r="F20" s="731"/>
      <c r="G20" s="731"/>
      <c r="H20" s="731"/>
      <c r="I20" s="731"/>
      <c r="J20" s="731"/>
      <c r="K20" s="731"/>
      <c r="L20" s="731"/>
      <c r="M20" s="731"/>
      <c r="N20" s="731"/>
      <c r="O20" s="731"/>
      <c r="P20" s="732"/>
      <c r="Q20" s="731"/>
      <c r="R20" s="733">
        <f>SUM(F20:Q20)</f>
        <v>0</v>
      </c>
      <c r="S20" s="734"/>
      <c r="T20" s="735"/>
    </row>
    <row r="21" spans="1:20" ht="15.75" customHeight="1" x14ac:dyDescent="0.2">
      <c r="A21" s="710" t="s">
        <v>278</v>
      </c>
      <c r="B21" s="83"/>
      <c r="C21" s="1126" t="s">
        <v>279</v>
      </c>
      <c r="D21" s="1099"/>
      <c r="E21" s="1100"/>
      <c r="F21" s="727">
        <f>+(B21+B22)-F22</f>
        <v>120000</v>
      </c>
      <c r="G21" s="712">
        <f t="shared" ref="G21:Q21" si="7">+F21-G22</f>
        <v>120000</v>
      </c>
      <c r="H21" s="712">
        <f t="shared" si="7"/>
        <v>120000</v>
      </c>
      <c r="I21" s="712">
        <f t="shared" si="7"/>
        <v>120000</v>
      </c>
      <c r="J21" s="712">
        <f t="shared" si="7"/>
        <v>120000</v>
      </c>
      <c r="K21" s="712">
        <f t="shared" si="7"/>
        <v>120000</v>
      </c>
      <c r="L21" s="712">
        <f t="shared" si="7"/>
        <v>120000</v>
      </c>
      <c r="M21" s="712">
        <f t="shared" si="7"/>
        <v>120000</v>
      </c>
      <c r="N21" s="712">
        <f t="shared" si="7"/>
        <v>120000</v>
      </c>
      <c r="O21" s="712">
        <f t="shared" si="7"/>
        <v>120000</v>
      </c>
      <c r="P21" s="712">
        <f t="shared" si="7"/>
        <v>120000</v>
      </c>
      <c r="Q21" s="728">
        <f t="shared" si="7"/>
        <v>120000</v>
      </c>
      <c r="R21" s="714">
        <f>+Q21</f>
        <v>120000</v>
      </c>
      <c r="S21" s="727">
        <f>+R21-S22</f>
        <v>120000</v>
      </c>
      <c r="T21" s="729">
        <f>+S21-T22</f>
        <v>120000</v>
      </c>
    </row>
    <row r="22" spans="1:20" ht="15.75" customHeight="1" x14ac:dyDescent="0.2">
      <c r="A22" s="716" t="s">
        <v>280</v>
      </c>
      <c r="B22" s="730">
        <v>120000</v>
      </c>
      <c r="C22" s="1123" t="s">
        <v>273</v>
      </c>
      <c r="D22" s="1085"/>
      <c r="E22" s="1086"/>
      <c r="F22" s="731"/>
      <c r="G22" s="731"/>
      <c r="H22" s="731"/>
      <c r="I22" s="731"/>
      <c r="J22" s="731"/>
      <c r="K22" s="731"/>
      <c r="L22" s="731"/>
      <c r="M22" s="731"/>
      <c r="N22" s="731"/>
      <c r="O22" s="731"/>
      <c r="P22" s="732"/>
      <c r="Q22" s="731"/>
      <c r="R22" s="733">
        <f>SUM(F22:Q22)</f>
        <v>0</v>
      </c>
      <c r="S22" s="734"/>
      <c r="T22" s="735"/>
    </row>
    <row r="23" spans="1:20" ht="15.75" customHeight="1" x14ac:dyDescent="0.2">
      <c r="A23" s="710" t="s">
        <v>281</v>
      </c>
      <c r="B23" s="737">
        <f>+Historical!C19</f>
        <v>0</v>
      </c>
      <c r="C23" s="1131" t="s">
        <v>282</v>
      </c>
      <c r="D23" s="1099"/>
      <c r="E23" s="1100"/>
      <c r="F23" s="727">
        <f>+(B23+B24)-F24</f>
        <v>0</v>
      </c>
      <c r="G23" s="712">
        <f t="shared" ref="G23:Q23" si="8">+F23-G24</f>
        <v>0</v>
      </c>
      <c r="H23" s="712">
        <f t="shared" si="8"/>
        <v>0</v>
      </c>
      <c r="I23" s="712">
        <f t="shared" si="8"/>
        <v>0</v>
      </c>
      <c r="J23" s="712">
        <f t="shared" si="8"/>
        <v>0</v>
      </c>
      <c r="K23" s="712">
        <f t="shared" si="8"/>
        <v>0</v>
      </c>
      <c r="L23" s="712">
        <f t="shared" si="8"/>
        <v>0</v>
      </c>
      <c r="M23" s="712">
        <f t="shared" si="8"/>
        <v>0</v>
      </c>
      <c r="N23" s="712">
        <f t="shared" si="8"/>
        <v>0</v>
      </c>
      <c r="O23" s="712">
        <f t="shared" si="8"/>
        <v>0</v>
      </c>
      <c r="P23" s="712">
        <f t="shared" si="8"/>
        <v>0</v>
      </c>
      <c r="Q23" s="728">
        <f t="shared" si="8"/>
        <v>0</v>
      </c>
      <c r="R23" s="714">
        <f>+Q23</f>
        <v>0</v>
      </c>
      <c r="S23" s="727">
        <f>+R23-S24</f>
        <v>0</v>
      </c>
      <c r="T23" s="729">
        <f>+S23-T24</f>
        <v>0</v>
      </c>
    </row>
    <row r="24" spans="1:20" ht="15.75" customHeight="1" x14ac:dyDescent="0.2">
      <c r="A24" s="716" t="s">
        <v>283</v>
      </c>
      <c r="B24" s="79"/>
      <c r="C24" s="1123" t="s">
        <v>273</v>
      </c>
      <c r="D24" s="1085"/>
      <c r="E24" s="1086"/>
      <c r="F24" s="731"/>
      <c r="G24" s="731"/>
      <c r="H24" s="731"/>
      <c r="I24" s="731"/>
      <c r="J24" s="731"/>
      <c r="K24" s="731"/>
      <c r="L24" s="731"/>
      <c r="M24" s="731"/>
      <c r="N24" s="731"/>
      <c r="O24" s="731"/>
      <c r="P24" s="732"/>
      <c r="Q24" s="731"/>
      <c r="R24" s="733">
        <f>SUM(F24:Q24)</f>
        <v>0</v>
      </c>
      <c r="S24" s="734"/>
      <c r="T24" s="735"/>
    </row>
    <row r="25" spans="1:20" ht="15.75" customHeight="1" x14ac:dyDescent="0.2">
      <c r="A25" s="684" t="s">
        <v>284</v>
      </c>
      <c r="B25" s="738"/>
      <c r="C25" s="739"/>
      <c r="F25" s="431">
        <f t="shared" ref="F25:Q25" si="9">+F16+F18+F22</f>
        <v>0</v>
      </c>
      <c r="G25" s="432">
        <f t="shared" si="9"/>
        <v>0</v>
      </c>
      <c r="H25" s="432">
        <f t="shared" si="9"/>
        <v>0</v>
      </c>
      <c r="I25" s="432">
        <f t="shared" si="9"/>
        <v>0</v>
      </c>
      <c r="J25" s="432">
        <f t="shared" si="9"/>
        <v>0</v>
      </c>
      <c r="K25" s="432">
        <f t="shared" si="9"/>
        <v>0</v>
      </c>
      <c r="L25" s="432">
        <f t="shared" si="9"/>
        <v>0</v>
      </c>
      <c r="M25" s="432">
        <f t="shared" si="9"/>
        <v>0</v>
      </c>
      <c r="N25" s="432">
        <f t="shared" si="9"/>
        <v>0</v>
      </c>
      <c r="O25" s="432">
        <f t="shared" si="9"/>
        <v>0</v>
      </c>
      <c r="P25" s="432">
        <f t="shared" si="9"/>
        <v>0</v>
      </c>
      <c r="Q25" s="740">
        <f t="shared" si="9"/>
        <v>0</v>
      </c>
      <c r="R25" s="431">
        <f>+R16+R18+R22+R20+R24</f>
        <v>0</v>
      </c>
      <c r="S25" s="431">
        <f>+S16+S18+S22+S20+S24</f>
        <v>0</v>
      </c>
      <c r="T25" s="431">
        <f>+T16+T18+T22+T20+T24</f>
        <v>0</v>
      </c>
    </row>
    <row r="26" spans="1:20" ht="15.75" customHeight="1" x14ac:dyDescent="0.2">
      <c r="A26" s="710" t="s">
        <v>285</v>
      </c>
      <c r="B26" s="737">
        <f>+Historical!C20</f>
        <v>0</v>
      </c>
      <c r="C26" s="736"/>
      <c r="F26" s="727">
        <f>+(B26+B27)+F27</f>
        <v>1166.6666666666667</v>
      </c>
      <c r="G26" s="728">
        <f t="shared" ref="G26:Q26" si="10">+F26+G27</f>
        <v>2333.3333333333335</v>
      </c>
      <c r="H26" s="728">
        <f t="shared" si="10"/>
        <v>3500</v>
      </c>
      <c r="I26" s="728">
        <f t="shared" si="10"/>
        <v>4666.666666666667</v>
      </c>
      <c r="J26" s="728">
        <f t="shared" si="10"/>
        <v>5833.3333333333339</v>
      </c>
      <c r="K26" s="728">
        <f t="shared" si="10"/>
        <v>7000.0000000000009</v>
      </c>
      <c r="L26" s="728">
        <f t="shared" si="10"/>
        <v>8166.6666666666679</v>
      </c>
      <c r="M26" s="728">
        <f t="shared" si="10"/>
        <v>9333.3333333333339</v>
      </c>
      <c r="N26" s="728">
        <f t="shared" si="10"/>
        <v>10500</v>
      </c>
      <c r="O26" s="728">
        <f t="shared" si="10"/>
        <v>11666.666666666666</v>
      </c>
      <c r="P26" s="728">
        <f t="shared" si="10"/>
        <v>12833.333333333332</v>
      </c>
      <c r="Q26" s="728">
        <f t="shared" si="10"/>
        <v>13999.999999999998</v>
      </c>
      <c r="R26" s="727">
        <f>+Q26</f>
        <v>13999.999999999998</v>
      </c>
      <c r="S26" s="727">
        <f>+R26+S27</f>
        <v>28857.142857142855</v>
      </c>
      <c r="T26" s="729">
        <f>+S26+T27</f>
        <v>43714.28571428571</v>
      </c>
    </row>
    <row r="27" spans="1:20" ht="15.75" customHeight="1" x14ac:dyDescent="0.2">
      <c r="A27" s="716" t="s">
        <v>286</v>
      </c>
      <c r="B27" s="79"/>
      <c r="C27" s="741"/>
      <c r="F27" s="742">
        <f t="shared" ref="F27:Q27" si="11">D87</f>
        <v>1166.6666666666667</v>
      </c>
      <c r="G27" s="743">
        <f t="shared" si="11"/>
        <v>1166.6666666666667</v>
      </c>
      <c r="H27" s="743">
        <f t="shared" si="11"/>
        <v>1166.6666666666667</v>
      </c>
      <c r="I27" s="743">
        <f t="shared" si="11"/>
        <v>1166.6666666666667</v>
      </c>
      <c r="J27" s="743">
        <f t="shared" si="11"/>
        <v>1166.6666666666667</v>
      </c>
      <c r="K27" s="743">
        <f t="shared" si="11"/>
        <v>1166.6666666666667</v>
      </c>
      <c r="L27" s="743">
        <f t="shared" si="11"/>
        <v>1166.6666666666667</v>
      </c>
      <c r="M27" s="743">
        <f t="shared" si="11"/>
        <v>1166.6666666666667</v>
      </c>
      <c r="N27" s="743">
        <f t="shared" si="11"/>
        <v>1166.6666666666667</v>
      </c>
      <c r="O27" s="743">
        <f t="shared" si="11"/>
        <v>1166.6666666666667</v>
      </c>
      <c r="P27" s="743">
        <f t="shared" si="11"/>
        <v>1166.6666666666667</v>
      </c>
      <c r="Q27" s="743">
        <f t="shared" si="11"/>
        <v>1166.6666666666667</v>
      </c>
      <c r="R27" s="744">
        <f>SUM(F27:Q27)</f>
        <v>13999.999999999998</v>
      </c>
      <c r="S27" s="742">
        <f>Q87</f>
        <v>14857.142857142857</v>
      </c>
      <c r="T27" s="744">
        <f>R87</f>
        <v>14857.142857142857</v>
      </c>
    </row>
    <row r="28" spans="1:20" ht="15.75" customHeight="1" x14ac:dyDescent="0.2">
      <c r="A28" s="745" t="s">
        <v>287</v>
      </c>
      <c r="B28" s="251"/>
      <c r="C28" s="1132" t="s">
        <v>288</v>
      </c>
      <c r="D28" s="1065"/>
      <c r="E28" s="1133"/>
      <c r="F28" s="727">
        <f>+(B28+B29)-F29</f>
        <v>6000</v>
      </c>
      <c r="G28" s="668">
        <f t="shared" ref="G28:Q28" si="12">+F28-G29</f>
        <v>6000</v>
      </c>
      <c r="H28" s="668">
        <f t="shared" si="12"/>
        <v>6000</v>
      </c>
      <c r="I28" s="668">
        <f t="shared" si="12"/>
        <v>6000</v>
      </c>
      <c r="J28" s="668">
        <f t="shared" si="12"/>
        <v>6000</v>
      </c>
      <c r="K28" s="668">
        <f t="shared" si="12"/>
        <v>6000</v>
      </c>
      <c r="L28" s="668">
        <f t="shared" si="12"/>
        <v>6000</v>
      </c>
      <c r="M28" s="668">
        <f t="shared" si="12"/>
        <v>6000</v>
      </c>
      <c r="N28" s="668">
        <f t="shared" si="12"/>
        <v>6000</v>
      </c>
      <c r="O28" s="668">
        <f t="shared" si="12"/>
        <v>6000</v>
      </c>
      <c r="P28" s="668">
        <f t="shared" si="12"/>
        <v>6000</v>
      </c>
      <c r="Q28" s="503">
        <f t="shared" si="12"/>
        <v>6000</v>
      </c>
      <c r="R28" s="502">
        <f>+Q28</f>
        <v>6000</v>
      </c>
      <c r="S28" s="502">
        <f>+R28-S29</f>
        <v>6000</v>
      </c>
      <c r="T28" s="670">
        <f>+S28-T29</f>
        <v>6000</v>
      </c>
    </row>
    <row r="29" spans="1:20" ht="15.75" customHeight="1" x14ac:dyDescent="0.2">
      <c r="A29" s="716" t="s">
        <v>37</v>
      </c>
      <c r="B29" s="730">
        <v>6000</v>
      </c>
      <c r="C29" s="1123" t="s">
        <v>273</v>
      </c>
      <c r="D29" s="1085"/>
      <c r="E29" s="1086"/>
      <c r="F29" s="731"/>
      <c r="G29" s="731"/>
      <c r="H29" s="731"/>
      <c r="I29" s="731"/>
      <c r="J29" s="731"/>
      <c r="K29" s="731"/>
      <c r="L29" s="731"/>
      <c r="M29" s="731"/>
      <c r="N29" s="731"/>
      <c r="O29" s="731"/>
      <c r="P29" s="732"/>
      <c r="Q29" s="731"/>
      <c r="R29" s="744">
        <f>+SUM(F29:Q29)</f>
        <v>0</v>
      </c>
      <c r="S29" s="734"/>
      <c r="T29" s="735"/>
    </row>
    <row r="30" spans="1:20" ht="15.75" customHeight="1" x14ac:dyDescent="0.2">
      <c r="A30" s="84"/>
      <c r="B30" s="746" t="s">
        <v>289</v>
      </c>
      <c r="C30" s="85"/>
      <c r="D30" s="85"/>
      <c r="E30" s="85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</row>
    <row r="31" spans="1:20" ht="15.75" customHeight="1" x14ac:dyDescent="0.2">
      <c r="A31" s="747" t="s">
        <v>290</v>
      </c>
    </row>
    <row r="32" spans="1:20" ht="15.75" hidden="1" customHeight="1" x14ac:dyDescent="0.2">
      <c r="A32" s="492" t="s">
        <v>291</v>
      </c>
      <c r="B32" s="10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</row>
    <row r="33" spans="1:20" ht="15.75" hidden="1" customHeight="1" x14ac:dyDescent="0.2">
      <c r="A33" s="748" t="s">
        <v>292</v>
      </c>
      <c r="B33" s="749">
        <v>0</v>
      </c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</row>
    <row r="34" spans="1:20" ht="15.75" hidden="1" customHeight="1" x14ac:dyDescent="0.2">
      <c r="A34" s="750" t="s">
        <v>293</v>
      </c>
      <c r="B34" s="751">
        <v>30</v>
      </c>
      <c r="C34" s="752" t="s">
        <v>294</v>
      </c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1125" t="s">
        <v>126</v>
      </c>
      <c r="P34" s="1080"/>
      <c r="Q34" s="1083"/>
      <c r="R34" s="9"/>
      <c r="S34" s="9"/>
      <c r="T34" s="9"/>
    </row>
    <row r="35" spans="1:20" ht="15.75" hidden="1" customHeight="1" x14ac:dyDescent="0.2">
      <c r="A35" s="86"/>
      <c r="B35" s="753" t="s">
        <v>295</v>
      </c>
      <c r="C35" s="754">
        <f>+'P&amp;L-Revenues'!D14</f>
        <v>44771</v>
      </c>
      <c r="D35" s="754">
        <f>+'P&amp;L-Revenues'!E14</f>
        <v>44799</v>
      </c>
      <c r="E35" s="754">
        <f>+'P&amp;L-Revenues'!F14</f>
        <v>44827</v>
      </c>
      <c r="F35" s="754">
        <f>+'P&amp;L-Revenues'!G14</f>
        <v>44855</v>
      </c>
      <c r="G35" s="754">
        <f>+'P&amp;L-Revenues'!H14</f>
        <v>44883</v>
      </c>
      <c r="H35" s="754">
        <f>+'P&amp;L-Revenues'!I14</f>
        <v>44911</v>
      </c>
      <c r="I35" s="754">
        <f>+'P&amp;L-Revenues'!J14</f>
        <v>44939</v>
      </c>
      <c r="J35" s="754">
        <f>+'P&amp;L-Revenues'!K14</f>
        <v>44967</v>
      </c>
      <c r="K35" s="754">
        <f>+'P&amp;L-Revenues'!L14</f>
        <v>44995</v>
      </c>
      <c r="L35" s="754">
        <f>+'P&amp;L-Revenues'!M14</f>
        <v>45023</v>
      </c>
      <c r="M35" s="754">
        <f>+'P&amp;L-Revenues'!N14</f>
        <v>45051</v>
      </c>
      <c r="N35" s="754">
        <f>+'P&amp;L-Revenues'!O14</f>
        <v>45079</v>
      </c>
      <c r="O35" s="755">
        <f>+'P&amp;L-Revenues'!P14</f>
        <v>45079</v>
      </c>
      <c r="P35" s="756">
        <f>+'P&amp;L-Revenues'!Q14</f>
        <v>45444</v>
      </c>
      <c r="Q35" s="755">
        <f>+'P&amp;L-Revenues'!S14</f>
        <v>45809</v>
      </c>
      <c r="R35" s="9"/>
      <c r="S35" s="9"/>
      <c r="T35" s="9"/>
    </row>
    <row r="36" spans="1:20" ht="15.75" hidden="1" customHeight="1" x14ac:dyDescent="0.2">
      <c r="A36" s="757" t="s">
        <v>296</v>
      </c>
      <c r="B36" s="87"/>
      <c r="C36" s="758">
        <f>+IF($B$34=0,0,'P&amp;L-Revenues'!D56*$B33)</f>
        <v>0</v>
      </c>
      <c r="D36" s="758">
        <f>+IF($B$34=0,0,'P&amp;L-Revenues'!E56*$B33)</f>
        <v>0</v>
      </c>
      <c r="E36" s="758">
        <f>+IF($B$34=0,0,'P&amp;L-Revenues'!F56*$B33)</f>
        <v>0</v>
      </c>
      <c r="F36" s="758">
        <f>+IF($B$34=0,0,'P&amp;L-Revenues'!G56*$B33)</f>
        <v>0</v>
      </c>
      <c r="G36" s="758">
        <f>+IF($B$34=0,0,'P&amp;L-Revenues'!H56*$B33)</f>
        <v>0</v>
      </c>
      <c r="H36" s="758">
        <f>+IF($B$34=0,0,'P&amp;L-Revenues'!I56*$B33)</f>
        <v>0</v>
      </c>
      <c r="I36" s="758">
        <f>+IF($B$34=0,0,'P&amp;L-Revenues'!J56*$B33)</f>
        <v>0</v>
      </c>
      <c r="J36" s="758">
        <f>+IF($B$34=0,0,'P&amp;L-Revenues'!K56*$B33)</f>
        <v>0</v>
      </c>
      <c r="K36" s="758">
        <f>+IF($B$34=0,0,'P&amp;L-Revenues'!L56*$B33)</f>
        <v>0</v>
      </c>
      <c r="L36" s="758">
        <f>+IF($B$34=0,0,'P&amp;L-Revenues'!M56*$B33)</f>
        <v>0</v>
      </c>
      <c r="M36" s="758">
        <f>+IF($B$34=0,0,'P&amp;L-Revenues'!N56*$B33)</f>
        <v>0</v>
      </c>
      <c r="N36" s="758">
        <f>+IF($B$34=0,0,'P&amp;L-Revenues'!O56*$B33)</f>
        <v>0</v>
      </c>
      <c r="O36" s="759">
        <f t="shared" ref="O36:O50" si="13">SUM(C36:N36)</f>
        <v>0</v>
      </c>
      <c r="P36" s="88"/>
      <c r="Q36" s="87"/>
      <c r="R36" s="9"/>
      <c r="S36" s="9"/>
      <c r="T36" s="9"/>
    </row>
    <row r="37" spans="1:20" ht="15.75" hidden="1" customHeight="1" x14ac:dyDescent="0.2">
      <c r="A37" s="760" t="s">
        <v>297</v>
      </c>
      <c r="B37" s="631">
        <f>+Historical!C10</f>
        <v>0</v>
      </c>
      <c r="C37" s="761">
        <f>+IF(B34=0,0,IF($B$34&lt;30,-$B37,-$B37/$B$34*30))</f>
        <v>0</v>
      </c>
      <c r="D37" s="761">
        <f>+IF($B$34&lt;=30,0,C37)</f>
        <v>0</v>
      </c>
      <c r="E37" s="761">
        <f>+IF($B$34&lt;=60,0,D37)</f>
        <v>0</v>
      </c>
      <c r="F37" s="761">
        <f>+IF($B$34&lt;=90,0,E37)</f>
        <v>0</v>
      </c>
      <c r="G37" s="252"/>
      <c r="H37" s="252"/>
      <c r="I37" s="252"/>
      <c r="J37" s="252"/>
      <c r="K37" s="252"/>
      <c r="L37" s="252"/>
      <c r="M37" s="252"/>
      <c r="N37" s="252"/>
      <c r="O37" s="631">
        <f t="shared" si="13"/>
        <v>0</v>
      </c>
      <c r="P37" s="253"/>
      <c r="Q37" s="89"/>
      <c r="R37" s="9"/>
      <c r="S37" s="9"/>
      <c r="T37" s="9"/>
    </row>
    <row r="38" spans="1:20" ht="15.75" hidden="1" customHeight="1" x14ac:dyDescent="0.2">
      <c r="A38" s="762">
        <f>+'P&amp;L-Revenues'!D14</f>
        <v>44771</v>
      </c>
      <c r="B38" s="254"/>
      <c r="C38" s="9"/>
      <c r="D38" s="341">
        <f>+-IF($B$34&gt;30,0,C$36)</f>
        <v>0</v>
      </c>
      <c r="E38" s="341">
        <f>+-IF($B$34=60,C$36,0)</f>
        <v>0</v>
      </c>
      <c r="F38" s="341">
        <f>-IF($B$34=90,C$36,0)</f>
        <v>0</v>
      </c>
      <c r="G38" s="341">
        <f>-IF($B$34=120,C$36,0)</f>
        <v>0</v>
      </c>
      <c r="H38" s="12"/>
      <c r="I38" s="12"/>
      <c r="J38" s="12"/>
      <c r="K38" s="12"/>
      <c r="L38" s="12"/>
      <c r="M38" s="12"/>
      <c r="N38" s="12"/>
      <c r="O38" s="763">
        <f t="shared" si="13"/>
        <v>0</v>
      </c>
      <c r="P38" s="12"/>
      <c r="Q38" s="254"/>
      <c r="R38" s="9"/>
      <c r="S38" s="9"/>
      <c r="T38" s="9"/>
    </row>
    <row r="39" spans="1:20" ht="15.75" hidden="1" customHeight="1" x14ac:dyDescent="0.2">
      <c r="A39" s="764">
        <f>+'P&amp;L-Revenues'!E14</f>
        <v>44799</v>
      </c>
      <c r="B39" s="63"/>
      <c r="C39" s="252"/>
      <c r="D39" s="252"/>
      <c r="E39" s="761">
        <f>+-IF($B$34&gt;30,0,D$36)</f>
        <v>0</v>
      </c>
      <c r="F39" s="761">
        <f>+-IF($B$34=60,D$36,0)</f>
        <v>0</v>
      </c>
      <c r="G39" s="761">
        <f>-IF($B$34=90,D$36,0)</f>
        <v>0</v>
      </c>
      <c r="H39" s="761">
        <f>-IF($B$34=120,D$36,0)</f>
        <v>0</v>
      </c>
      <c r="I39" s="252"/>
      <c r="J39" s="252"/>
      <c r="K39" s="252"/>
      <c r="L39" s="252"/>
      <c r="M39" s="252"/>
      <c r="N39" s="252"/>
      <c r="O39" s="631">
        <f t="shared" si="13"/>
        <v>0</v>
      </c>
      <c r="P39" s="252"/>
      <c r="Q39" s="63"/>
      <c r="R39" s="9"/>
      <c r="S39" s="9"/>
      <c r="T39" s="9"/>
    </row>
    <row r="40" spans="1:20" ht="15.75" hidden="1" customHeight="1" x14ac:dyDescent="0.2">
      <c r="A40" s="762">
        <f>+'P&amp;L-Revenues'!F14</f>
        <v>44827</v>
      </c>
      <c r="B40" s="254"/>
      <c r="C40" s="12"/>
      <c r="D40" s="12"/>
      <c r="E40" s="12"/>
      <c r="F40" s="341">
        <f>+-IF($B$34&gt;30,0,E$36)</f>
        <v>0</v>
      </c>
      <c r="G40" s="341">
        <f>+-IF($B$34=60,E$36,0)</f>
        <v>0</v>
      </c>
      <c r="H40" s="341">
        <f>-IF($B$34=90,E$36,0)</f>
        <v>0</v>
      </c>
      <c r="I40" s="341">
        <f>-IF($B$34=120,E$36,0)</f>
        <v>0</v>
      </c>
      <c r="J40" s="12"/>
      <c r="K40" s="12"/>
      <c r="L40" s="12"/>
      <c r="M40" s="12"/>
      <c r="N40" s="12"/>
      <c r="O40" s="763">
        <f t="shared" si="13"/>
        <v>0</v>
      </c>
      <c r="P40" s="12"/>
      <c r="Q40" s="254"/>
      <c r="R40" s="9"/>
      <c r="S40" s="9"/>
      <c r="T40" s="9"/>
    </row>
    <row r="41" spans="1:20" ht="15.75" hidden="1" customHeight="1" x14ac:dyDescent="0.2">
      <c r="A41" s="764">
        <f>+'P&amp;L-Revenues'!G14</f>
        <v>44855</v>
      </c>
      <c r="B41" s="63"/>
      <c r="C41" s="252"/>
      <c r="D41" s="252"/>
      <c r="E41" s="252"/>
      <c r="F41" s="252"/>
      <c r="G41" s="761">
        <f>+-IF($B$34&gt;30,0,F$36)</f>
        <v>0</v>
      </c>
      <c r="H41" s="761">
        <f>+-IF($B$34=60,F$36,0)</f>
        <v>0</v>
      </c>
      <c r="I41" s="761">
        <f>-IF($B$34=90,F$36,0)</f>
        <v>0</v>
      </c>
      <c r="J41" s="761">
        <f>-IF($B$34=120,F$36,0)</f>
        <v>0</v>
      </c>
      <c r="K41" s="252"/>
      <c r="L41" s="252"/>
      <c r="M41" s="252"/>
      <c r="N41" s="252"/>
      <c r="O41" s="631">
        <f t="shared" si="13"/>
        <v>0</v>
      </c>
      <c r="P41" s="252"/>
      <c r="Q41" s="63"/>
      <c r="R41" s="9"/>
      <c r="S41" s="9"/>
      <c r="T41" s="9"/>
    </row>
    <row r="42" spans="1:20" ht="15.75" hidden="1" customHeight="1" x14ac:dyDescent="0.2">
      <c r="A42" s="762">
        <f>+'P&amp;L-Revenues'!H14</f>
        <v>44883</v>
      </c>
      <c r="B42" s="254"/>
      <c r="C42" s="12"/>
      <c r="D42" s="12"/>
      <c r="E42" s="12"/>
      <c r="F42" s="12"/>
      <c r="G42" s="12"/>
      <c r="H42" s="341">
        <f>+-IF($B$34&gt;30,0,G$36)</f>
        <v>0</v>
      </c>
      <c r="I42" s="341">
        <f>+-IF($B$34=60,G$36,0)</f>
        <v>0</v>
      </c>
      <c r="J42" s="341">
        <f>-IF($B$34=90,G$36,0)</f>
        <v>0</v>
      </c>
      <c r="K42" s="341">
        <f>-IF($B$34=120,G$36,0)</f>
        <v>0</v>
      </c>
      <c r="L42" s="12"/>
      <c r="M42" s="12"/>
      <c r="N42" s="12"/>
      <c r="O42" s="763">
        <f t="shared" si="13"/>
        <v>0</v>
      </c>
      <c r="P42" s="12"/>
      <c r="Q42" s="254"/>
      <c r="R42" s="9"/>
      <c r="S42" s="9"/>
      <c r="T42" s="9"/>
    </row>
    <row r="43" spans="1:20" ht="15.75" hidden="1" customHeight="1" x14ac:dyDescent="0.2">
      <c r="A43" s="764">
        <f>+'P&amp;L-Revenues'!I14</f>
        <v>44911</v>
      </c>
      <c r="B43" s="63"/>
      <c r="C43" s="252"/>
      <c r="D43" s="252"/>
      <c r="E43" s="252"/>
      <c r="F43" s="252"/>
      <c r="G43" s="252"/>
      <c r="H43" s="252"/>
      <c r="I43" s="761">
        <f>+-IF($B$34&gt;30,0,H$36)</f>
        <v>0</v>
      </c>
      <c r="J43" s="761">
        <f>+-IF($B$34=60,H$36,0)</f>
        <v>0</v>
      </c>
      <c r="K43" s="761">
        <f>-IF($B$34=90,H$36,0)</f>
        <v>0</v>
      </c>
      <c r="L43" s="761">
        <f>-IF($B$34=120,H$36,0)</f>
        <v>0</v>
      </c>
      <c r="M43" s="252"/>
      <c r="N43" s="252"/>
      <c r="O43" s="631">
        <f t="shared" si="13"/>
        <v>0</v>
      </c>
      <c r="P43" s="252"/>
      <c r="Q43" s="63"/>
      <c r="R43" s="9"/>
      <c r="S43" s="9"/>
      <c r="T43" s="9"/>
    </row>
    <row r="44" spans="1:20" ht="15.75" hidden="1" customHeight="1" x14ac:dyDescent="0.2">
      <c r="A44" s="762">
        <f>+'P&amp;L-Revenues'!J14</f>
        <v>44939</v>
      </c>
      <c r="B44" s="254"/>
      <c r="C44" s="12"/>
      <c r="D44" s="12"/>
      <c r="E44" s="12"/>
      <c r="F44" s="12"/>
      <c r="G44" s="12"/>
      <c r="H44" s="12"/>
      <c r="I44" s="12"/>
      <c r="J44" s="341">
        <f>+-IF($B$34&gt;30,0,I$36)</f>
        <v>0</v>
      </c>
      <c r="K44" s="341">
        <f>+-IF($B$34=60,I$36,0)</f>
        <v>0</v>
      </c>
      <c r="L44" s="341">
        <f>-IF($B$34=90,I$36,0)</f>
        <v>0</v>
      </c>
      <c r="M44" s="341">
        <f>-IF($B$34=120,I$36,0)</f>
        <v>0</v>
      </c>
      <c r="N44" s="12"/>
      <c r="O44" s="763">
        <f t="shared" si="13"/>
        <v>0</v>
      </c>
      <c r="P44" s="12"/>
      <c r="Q44" s="254"/>
      <c r="R44" s="9"/>
      <c r="S44" s="9"/>
      <c r="T44" s="9"/>
    </row>
    <row r="45" spans="1:20" ht="15.75" hidden="1" customHeight="1" x14ac:dyDescent="0.2">
      <c r="A45" s="764">
        <f>+'P&amp;L-Revenues'!K14</f>
        <v>44967</v>
      </c>
      <c r="B45" s="63"/>
      <c r="C45" s="252"/>
      <c r="D45" s="252"/>
      <c r="E45" s="252"/>
      <c r="F45" s="252"/>
      <c r="G45" s="252"/>
      <c r="H45" s="252"/>
      <c r="I45" s="252"/>
      <c r="J45" s="252"/>
      <c r="K45" s="761">
        <f>+-IF($B$34&gt;30,0,J$36)</f>
        <v>0</v>
      </c>
      <c r="L45" s="761">
        <f>+-IF($B$34=60,J$36,0)</f>
        <v>0</v>
      </c>
      <c r="M45" s="761">
        <f>-IF($B$34=90,J$36,0)</f>
        <v>0</v>
      </c>
      <c r="N45" s="761">
        <f>-IF($B$34=120,J$36,0)</f>
        <v>0</v>
      </c>
      <c r="O45" s="631">
        <f t="shared" si="13"/>
        <v>0</v>
      </c>
      <c r="P45" s="252"/>
      <c r="Q45" s="63"/>
      <c r="R45" s="9"/>
      <c r="S45" s="9"/>
      <c r="T45" s="9"/>
    </row>
    <row r="46" spans="1:20" ht="15.75" hidden="1" customHeight="1" x14ac:dyDescent="0.2">
      <c r="A46" s="762">
        <f>+'P&amp;L-Revenues'!L14</f>
        <v>44995</v>
      </c>
      <c r="B46" s="254"/>
      <c r="C46" s="12"/>
      <c r="D46" s="12"/>
      <c r="E46" s="12"/>
      <c r="F46" s="12"/>
      <c r="G46" s="12"/>
      <c r="H46" s="12"/>
      <c r="I46" s="12"/>
      <c r="J46" s="12"/>
      <c r="K46" s="12"/>
      <c r="L46" s="341">
        <f>+-IF($B$34&gt;30,0,K$36)</f>
        <v>0</v>
      </c>
      <c r="M46" s="341">
        <f>+-IF($B$34=60,K$36,0)</f>
        <v>0</v>
      </c>
      <c r="N46" s="341">
        <f>-IF($B$34=90,K$36,0)</f>
        <v>0</v>
      </c>
      <c r="O46" s="763">
        <f t="shared" si="13"/>
        <v>0</v>
      </c>
      <c r="P46" s="12"/>
      <c r="Q46" s="254"/>
      <c r="R46" s="9"/>
      <c r="S46" s="9"/>
      <c r="T46" s="9"/>
    </row>
    <row r="47" spans="1:20" ht="15.75" hidden="1" customHeight="1" x14ac:dyDescent="0.2">
      <c r="A47" s="764">
        <f>+'P&amp;L-Revenues'!M14</f>
        <v>45023</v>
      </c>
      <c r="B47" s="63"/>
      <c r="C47" s="252"/>
      <c r="D47" s="252"/>
      <c r="E47" s="252"/>
      <c r="F47" s="252"/>
      <c r="G47" s="252"/>
      <c r="H47" s="252"/>
      <c r="I47" s="252"/>
      <c r="J47" s="252"/>
      <c r="K47" s="252"/>
      <c r="L47" s="252"/>
      <c r="M47" s="761">
        <f>+-IF($B$34&gt;30,0,L$36)</f>
        <v>0</v>
      </c>
      <c r="N47" s="761">
        <f>+-IF($B$34=60,L$36,0)</f>
        <v>0</v>
      </c>
      <c r="O47" s="631">
        <f t="shared" si="13"/>
        <v>0</v>
      </c>
      <c r="P47" s="252"/>
      <c r="Q47" s="63"/>
      <c r="R47" s="9"/>
      <c r="S47" s="9"/>
      <c r="T47" s="9"/>
    </row>
    <row r="48" spans="1:20" ht="15.75" hidden="1" customHeight="1" x14ac:dyDescent="0.2">
      <c r="A48" s="762">
        <f>+'P&amp;L-Revenues'!N14</f>
        <v>45051</v>
      </c>
      <c r="B48" s="254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341">
        <f>+-IF($B$34&gt;30,0,M$36)</f>
        <v>0</v>
      </c>
      <c r="O48" s="763">
        <f t="shared" si="13"/>
        <v>0</v>
      </c>
      <c r="P48" s="12"/>
      <c r="Q48" s="254"/>
      <c r="R48" s="9"/>
      <c r="S48" s="9"/>
      <c r="T48" s="9"/>
    </row>
    <row r="49" spans="1:20" ht="15.75" hidden="1" customHeight="1" x14ac:dyDescent="0.2">
      <c r="A49" s="765">
        <f>+'P&amp;L-Revenues'!O14</f>
        <v>45079</v>
      </c>
      <c r="B49" s="64"/>
      <c r="C49" s="255"/>
      <c r="D49" s="255"/>
      <c r="E49" s="255"/>
      <c r="F49" s="255"/>
      <c r="G49" s="255"/>
      <c r="H49" s="255"/>
      <c r="I49" s="255"/>
      <c r="J49" s="255"/>
      <c r="K49" s="255"/>
      <c r="L49" s="255"/>
      <c r="M49" s="255"/>
      <c r="N49" s="255"/>
      <c r="O49" s="766">
        <f t="shared" si="13"/>
        <v>0</v>
      </c>
      <c r="P49" s="255"/>
      <c r="Q49" s="64"/>
      <c r="R49" s="9"/>
      <c r="S49" s="9"/>
      <c r="T49" s="9"/>
    </row>
    <row r="50" spans="1:20" ht="15.75" hidden="1" customHeight="1" x14ac:dyDescent="0.2">
      <c r="A50" s="767" t="s">
        <v>298</v>
      </c>
      <c r="B50" s="768">
        <f t="shared" ref="B50:N50" si="14">SUM(B36:B49)</f>
        <v>0</v>
      </c>
      <c r="C50" s="769">
        <f t="shared" si="14"/>
        <v>0</v>
      </c>
      <c r="D50" s="769">
        <f t="shared" si="14"/>
        <v>0</v>
      </c>
      <c r="E50" s="769">
        <f t="shared" si="14"/>
        <v>0</v>
      </c>
      <c r="F50" s="769">
        <f t="shared" si="14"/>
        <v>0</v>
      </c>
      <c r="G50" s="769">
        <f t="shared" si="14"/>
        <v>0</v>
      </c>
      <c r="H50" s="769">
        <f t="shared" si="14"/>
        <v>0</v>
      </c>
      <c r="I50" s="769">
        <f t="shared" si="14"/>
        <v>0</v>
      </c>
      <c r="J50" s="769">
        <f t="shared" si="14"/>
        <v>0</v>
      </c>
      <c r="K50" s="769">
        <f t="shared" si="14"/>
        <v>0</v>
      </c>
      <c r="L50" s="769">
        <f t="shared" si="14"/>
        <v>0</v>
      </c>
      <c r="M50" s="769">
        <f t="shared" si="14"/>
        <v>0</v>
      </c>
      <c r="N50" s="769">
        <f t="shared" si="14"/>
        <v>0</v>
      </c>
      <c r="O50" s="768">
        <f t="shared" si="13"/>
        <v>0</v>
      </c>
      <c r="P50" s="769">
        <f>-O51+P36-(IF($B34=30,P36/12*11,IF($B34=60,P36/12*10,IF($B34=90,P36/12*9,IF($B34=120,P36/12*8,0)))))</f>
        <v>0</v>
      </c>
      <c r="Q50" s="768">
        <f>-P51+Q36-(IF($B34=30,Q36/12*11,IF($B34=60,Q36/12*10,IF($B34=90,Q36/12*9,IF($B34=120,Q36/12*8,0)))))</f>
        <v>0</v>
      </c>
      <c r="R50" s="9"/>
      <c r="S50" s="9"/>
      <c r="T50" s="9"/>
    </row>
    <row r="51" spans="1:20" ht="15.75" hidden="1" customHeight="1" x14ac:dyDescent="0.2">
      <c r="A51" s="770" t="s">
        <v>299</v>
      </c>
      <c r="B51" s="771">
        <f>+B50</f>
        <v>0</v>
      </c>
      <c r="C51" s="772">
        <f t="shared" ref="C51:N51" si="15">+B51+C50</f>
        <v>0</v>
      </c>
      <c r="D51" s="772">
        <f t="shared" si="15"/>
        <v>0</v>
      </c>
      <c r="E51" s="772">
        <f t="shared" si="15"/>
        <v>0</v>
      </c>
      <c r="F51" s="772">
        <f t="shared" si="15"/>
        <v>0</v>
      </c>
      <c r="G51" s="772">
        <f t="shared" si="15"/>
        <v>0</v>
      </c>
      <c r="H51" s="772">
        <f t="shared" si="15"/>
        <v>0</v>
      </c>
      <c r="I51" s="772">
        <f t="shared" si="15"/>
        <v>0</v>
      </c>
      <c r="J51" s="772">
        <f t="shared" si="15"/>
        <v>0</v>
      </c>
      <c r="K51" s="772">
        <f t="shared" si="15"/>
        <v>0</v>
      </c>
      <c r="L51" s="772">
        <f t="shared" si="15"/>
        <v>0</v>
      </c>
      <c r="M51" s="772">
        <f t="shared" si="15"/>
        <v>0</v>
      </c>
      <c r="N51" s="772">
        <f t="shared" si="15"/>
        <v>0</v>
      </c>
      <c r="O51" s="771">
        <f>+N51</f>
        <v>0</v>
      </c>
      <c r="P51" s="772">
        <f>+O51+P50</f>
        <v>0</v>
      </c>
      <c r="Q51" s="771">
        <f>+P51+Q50</f>
        <v>0</v>
      </c>
      <c r="R51" s="9"/>
      <c r="S51" s="9"/>
      <c r="T51" s="9"/>
    </row>
    <row r="52" spans="1:20" ht="15.75" hidden="1" customHeight="1" x14ac:dyDescent="0.2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</row>
    <row r="53" spans="1:20" ht="15.75" hidden="1" customHeight="1" x14ac:dyDescent="0.2">
      <c r="A53" s="492" t="s">
        <v>300</v>
      </c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</row>
    <row r="54" spans="1:20" ht="15.75" hidden="1" customHeight="1" x14ac:dyDescent="0.2">
      <c r="A54" s="773" t="s">
        <v>301</v>
      </c>
      <c r="B54" s="774">
        <v>30</v>
      </c>
      <c r="C54" s="752" t="s">
        <v>302</v>
      </c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1125" t="s">
        <v>126</v>
      </c>
      <c r="P54" s="1080"/>
      <c r="Q54" s="1083"/>
      <c r="R54" s="9"/>
      <c r="S54" s="9"/>
      <c r="T54" s="9"/>
    </row>
    <row r="55" spans="1:20" ht="15.75" hidden="1" customHeight="1" x14ac:dyDescent="0.2">
      <c r="A55" s="35"/>
      <c r="B55" s="753" t="s">
        <v>295</v>
      </c>
      <c r="C55" s="775" t="str">
        <f>+'BAL-Liabilities &amp; Equity'!C31</f>
        <v>#REF!</v>
      </c>
      <c r="D55" s="775" t="str">
        <f>+'BAL-Liabilities &amp; Equity'!D31</f>
        <v>#REF!</v>
      </c>
      <c r="E55" s="775" t="str">
        <f>+'BAL-Liabilities &amp; Equity'!E31</f>
        <v>#REF!</v>
      </c>
      <c r="F55" s="775" t="str">
        <f>+'BAL-Liabilities &amp; Equity'!F31</f>
        <v>#REF!</v>
      </c>
      <c r="G55" s="775" t="str">
        <f>+'BAL-Liabilities &amp; Equity'!G31</f>
        <v>#REF!</v>
      </c>
      <c r="H55" s="775" t="str">
        <f>+'BAL-Liabilities &amp; Equity'!H31</f>
        <v>#REF!</v>
      </c>
      <c r="I55" s="775" t="str">
        <f>+'BAL-Liabilities &amp; Equity'!I31</f>
        <v>#REF!</v>
      </c>
      <c r="J55" s="775" t="str">
        <f>+'BAL-Liabilities &amp; Equity'!J31</f>
        <v>#REF!</v>
      </c>
      <c r="K55" s="775" t="str">
        <f>+'BAL-Liabilities &amp; Equity'!K31</f>
        <v>#REF!</v>
      </c>
      <c r="L55" s="775" t="str">
        <f>+'BAL-Liabilities &amp; Equity'!L31</f>
        <v>#REF!</v>
      </c>
      <c r="M55" s="775" t="str">
        <f>+'BAL-Liabilities &amp; Equity'!M31</f>
        <v>#REF!</v>
      </c>
      <c r="N55" s="775" t="str">
        <f>+'BAL-Liabilities &amp; Equity'!N31</f>
        <v>#REF!</v>
      </c>
      <c r="O55" s="776" t="str">
        <f>+'BAL-Liabilities &amp; Equity'!O31</f>
        <v>#REF!</v>
      </c>
      <c r="P55" s="776" t="str">
        <f>+'BAL-Liabilities &amp; Equity'!P31</f>
        <v>#REF!</v>
      </c>
      <c r="Q55" s="776" t="str">
        <f>+'BAL-Liabilities &amp; Equity'!Q31</f>
        <v>#REF!</v>
      </c>
      <c r="R55" s="9"/>
      <c r="S55" s="9"/>
      <c r="T55" s="9"/>
    </row>
    <row r="56" spans="1:20" ht="15.75" hidden="1" customHeight="1" x14ac:dyDescent="0.2">
      <c r="A56" s="777" t="s">
        <v>303</v>
      </c>
      <c r="B56" s="90"/>
      <c r="C56" s="256"/>
      <c r="D56" s="256"/>
      <c r="E56" s="256"/>
      <c r="F56" s="256"/>
      <c r="G56" s="256"/>
      <c r="H56" s="256"/>
      <c r="I56" s="256"/>
      <c r="J56" s="256"/>
      <c r="K56" s="256"/>
      <c r="L56" s="256"/>
      <c r="M56" s="256"/>
      <c r="N56" s="256"/>
      <c r="O56" s="778">
        <f>+SUM(C56:N56)</f>
        <v>0</v>
      </c>
      <c r="P56" s="90"/>
      <c r="Q56" s="90"/>
      <c r="R56" s="9"/>
      <c r="S56" s="9"/>
      <c r="T56" s="9"/>
    </row>
    <row r="57" spans="1:20" ht="15.75" hidden="1" customHeight="1" x14ac:dyDescent="0.2">
      <c r="A57" s="760" t="s">
        <v>297</v>
      </c>
      <c r="B57" s="631">
        <f>+Historical!C11</f>
        <v>0</v>
      </c>
      <c r="C57" s="252"/>
      <c r="D57" s="252"/>
      <c r="E57" s="252"/>
      <c r="F57" s="252"/>
      <c r="G57" s="252"/>
      <c r="H57" s="252"/>
      <c r="I57" s="252"/>
      <c r="J57" s="252"/>
      <c r="K57" s="252"/>
      <c r="L57" s="252"/>
      <c r="M57" s="252"/>
      <c r="N57" s="252"/>
      <c r="O57" s="631">
        <f>SUM(C57:N57)</f>
        <v>0</v>
      </c>
      <c r="P57" s="89"/>
      <c r="Q57" s="89"/>
      <c r="R57" s="9"/>
      <c r="S57" s="9"/>
      <c r="T57" s="9"/>
    </row>
    <row r="58" spans="1:20" ht="15.75" hidden="1" customHeight="1" x14ac:dyDescent="0.2">
      <c r="A58" s="779" t="s">
        <v>304</v>
      </c>
      <c r="B58" s="254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254"/>
      <c r="P58" s="257"/>
      <c r="Q58" s="257"/>
      <c r="R58" s="9"/>
      <c r="S58" s="9"/>
      <c r="T58" s="9"/>
    </row>
    <row r="59" spans="1:20" ht="15.75" hidden="1" customHeight="1" x14ac:dyDescent="0.2">
      <c r="A59" s="780" t="str">
        <f>+C55</f>
        <v>#REF!</v>
      </c>
      <c r="B59" s="254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763">
        <f t="shared" ref="O59:O71" si="16">SUM(C59:N59)</f>
        <v>0</v>
      </c>
      <c r="P59" s="254"/>
      <c r="Q59" s="254"/>
      <c r="R59" s="9"/>
      <c r="S59" s="9"/>
      <c r="T59" s="9"/>
    </row>
    <row r="60" spans="1:20" ht="15.75" hidden="1" customHeight="1" x14ac:dyDescent="0.2">
      <c r="A60" s="781" t="str">
        <f>+D55</f>
        <v>#REF!</v>
      </c>
      <c r="B60" s="63"/>
      <c r="C60" s="252"/>
      <c r="D60" s="252"/>
      <c r="E60" s="252"/>
      <c r="F60" s="252"/>
      <c r="G60" s="252"/>
      <c r="H60" s="252"/>
      <c r="I60" s="252"/>
      <c r="J60" s="252"/>
      <c r="K60" s="252"/>
      <c r="L60" s="252"/>
      <c r="M60" s="252"/>
      <c r="N60" s="252"/>
      <c r="O60" s="631">
        <f t="shared" si="16"/>
        <v>0</v>
      </c>
      <c r="P60" s="63"/>
      <c r="Q60" s="63"/>
      <c r="R60" s="9"/>
      <c r="S60" s="9"/>
      <c r="T60" s="9"/>
    </row>
    <row r="61" spans="1:20" ht="15.75" hidden="1" customHeight="1" x14ac:dyDescent="0.2">
      <c r="A61" s="780" t="str">
        <f>+E55</f>
        <v>#REF!</v>
      </c>
      <c r="B61" s="254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763">
        <f t="shared" si="16"/>
        <v>0</v>
      </c>
      <c r="P61" s="254"/>
      <c r="Q61" s="254"/>
      <c r="R61" s="9"/>
      <c r="S61" s="9"/>
      <c r="T61" s="9"/>
    </row>
    <row r="62" spans="1:20" ht="15.75" hidden="1" customHeight="1" x14ac:dyDescent="0.2">
      <c r="A62" s="781" t="str">
        <f>+F55</f>
        <v>#REF!</v>
      </c>
      <c r="B62" s="63"/>
      <c r="C62" s="252"/>
      <c r="D62" s="252"/>
      <c r="E62" s="252"/>
      <c r="F62" s="252"/>
      <c r="G62" s="252"/>
      <c r="H62" s="252"/>
      <c r="I62" s="252"/>
      <c r="J62" s="252"/>
      <c r="K62" s="252"/>
      <c r="L62" s="252"/>
      <c r="M62" s="252"/>
      <c r="N62" s="252"/>
      <c r="O62" s="631">
        <f t="shared" si="16"/>
        <v>0</v>
      </c>
      <c r="P62" s="63"/>
      <c r="Q62" s="63"/>
      <c r="R62" s="9"/>
      <c r="S62" s="9"/>
      <c r="T62" s="9"/>
    </row>
    <row r="63" spans="1:20" ht="15.75" hidden="1" customHeight="1" x14ac:dyDescent="0.2">
      <c r="A63" s="780" t="str">
        <f>+G55</f>
        <v>#REF!</v>
      </c>
      <c r="B63" s="254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763">
        <f t="shared" si="16"/>
        <v>0</v>
      </c>
      <c r="P63" s="254"/>
      <c r="Q63" s="254"/>
      <c r="R63" s="9"/>
      <c r="S63" s="9"/>
      <c r="T63" s="9"/>
    </row>
    <row r="64" spans="1:20" ht="15.75" hidden="1" customHeight="1" x14ac:dyDescent="0.2">
      <c r="A64" s="781" t="str">
        <f>+H55</f>
        <v>#REF!</v>
      </c>
      <c r="B64" s="63"/>
      <c r="C64" s="252"/>
      <c r="D64" s="252"/>
      <c r="E64" s="252"/>
      <c r="F64" s="252"/>
      <c r="G64" s="252"/>
      <c r="H64" s="252"/>
      <c r="I64" s="252"/>
      <c r="J64" s="252"/>
      <c r="K64" s="252"/>
      <c r="L64" s="252"/>
      <c r="M64" s="252"/>
      <c r="N64" s="252"/>
      <c r="O64" s="631">
        <f t="shared" si="16"/>
        <v>0</v>
      </c>
      <c r="P64" s="63"/>
      <c r="Q64" s="63"/>
      <c r="R64" s="9"/>
      <c r="S64" s="9"/>
      <c r="T64" s="9"/>
    </row>
    <row r="65" spans="1:18" ht="15.75" hidden="1" customHeight="1" x14ac:dyDescent="0.2">
      <c r="A65" s="780" t="str">
        <f>+I55</f>
        <v>#REF!</v>
      </c>
      <c r="B65" s="254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763">
        <f t="shared" si="16"/>
        <v>0</v>
      </c>
      <c r="P65" s="254"/>
      <c r="Q65" s="254"/>
      <c r="R65" s="9"/>
    </row>
    <row r="66" spans="1:18" ht="15.75" hidden="1" customHeight="1" x14ac:dyDescent="0.2">
      <c r="A66" s="781" t="str">
        <f>+J55</f>
        <v>#REF!</v>
      </c>
      <c r="B66" s="63"/>
      <c r="C66" s="252"/>
      <c r="D66" s="252"/>
      <c r="E66" s="252"/>
      <c r="F66" s="252"/>
      <c r="G66" s="252"/>
      <c r="H66" s="252"/>
      <c r="I66" s="252"/>
      <c r="J66" s="252"/>
      <c r="K66" s="252"/>
      <c r="L66" s="252"/>
      <c r="M66" s="252"/>
      <c r="N66" s="252"/>
      <c r="O66" s="631">
        <f t="shared" si="16"/>
        <v>0</v>
      </c>
      <c r="P66" s="63"/>
      <c r="Q66" s="63"/>
      <c r="R66" s="9"/>
    </row>
    <row r="67" spans="1:18" ht="15.75" hidden="1" customHeight="1" x14ac:dyDescent="0.2">
      <c r="A67" s="780" t="str">
        <f>+K55</f>
        <v>#REF!</v>
      </c>
      <c r="B67" s="254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763">
        <f t="shared" si="16"/>
        <v>0</v>
      </c>
      <c r="P67" s="254"/>
      <c r="Q67" s="254"/>
      <c r="R67" s="9"/>
    </row>
    <row r="68" spans="1:18" ht="15.75" hidden="1" customHeight="1" x14ac:dyDescent="0.2">
      <c r="A68" s="781" t="str">
        <f>+L55</f>
        <v>#REF!</v>
      </c>
      <c r="B68" s="63"/>
      <c r="C68" s="252"/>
      <c r="D68" s="252"/>
      <c r="E68" s="252"/>
      <c r="F68" s="252"/>
      <c r="G68" s="252"/>
      <c r="H68" s="252"/>
      <c r="I68" s="252"/>
      <c r="J68" s="252"/>
      <c r="K68" s="252"/>
      <c r="L68" s="252"/>
      <c r="M68" s="252"/>
      <c r="N68" s="252"/>
      <c r="O68" s="631">
        <f t="shared" si="16"/>
        <v>0</v>
      </c>
      <c r="P68" s="63"/>
      <c r="Q68" s="63"/>
      <c r="R68" s="9"/>
    </row>
    <row r="69" spans="1:18" ht="15.75" hidden="1" customHeight="1" x14ac:dyDescent="0.2">
      <c r="A69" s="780" t="str">
        <f>+M55</f>
        <v>#REF!</v>
      </c>
      <c r="B69" s="254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763">
        <f t="shared" si="16"/>
        <v>0</v>
      </c>
      <c r="P69" s="254"/>
      <c r="Q69" s="254"/>
      <c r="R69" s="9"/>
    </row>
    <row r="70" spans="1:18" ht="15.75" hidden="1" customHeight="1" x14ac:dyDescent="0.2">
      <c r="A70" s="782" t="str">
        <f>+N55</f>
        <v>#REF!</v>
      </c>
      <c r="B70" s="64"/>
      <c r="C70" s="255"/>
      <c r="D70" s="255"/>
      <c r="E70" s="255"/>
      <c r="F70" s="255"/>
      <c r="G70" s="255"/>
      <c r="H70" s="255"/>
      <c r="I70" s="255"/>
      <c r="J70" s="255"/>
      <c r="K70" s="255"/>
      <c r="L70" s="255"/>
      <c r="M70" s="255"/>
      <c r="N70" s="255"/>
      <c r="O70" s="766">
        <f t="shared" si="16"/>
        <v>0</v>
      </c>
      <c r="P70" s="64"/>
      <c r="Q70" s="64"/>
      <c r="R70" s="9"/>
    </row>
    <row r="71" spans="1:18" ht="15.75" hidden="1" customHeight="1" x14ac:dyDescent="0.2">
      <c r="A71" s="767" t="s">
        <v>298</v>
      </c>
      <c r="B71" s="768">
        <f t="shared" ref="B71:N71" si="17">SUM(B56:B70)</f>
        <v>0</v>
      </c>
      <c r="C71" s="769">
        <f t="shared" si="17"/>
        <v>0</v>
      </c>
      <c r="D71" s="769">
        <f t="shared" si="17"/>
        <v>0</v>
      </c>
      <c r="E71" s="769">
        <f t="shared" si="17"/>
        <v>0</v>
      </c>
      <c r="F71" s="769">
        <f t="shared" si="17"/>
        <v>0</v>
      </c>
      <c r="G71" s="769">
        <f t="shared" si="17"/>
        <v>0</v>
      </c>
      <c r="H71" s="769">
        <f t="shared" si="17"/>
        <v>0</v>
      </c>
      <c r="I71" s="769">
        <f t="shared" si="17"/>
        <v>0</v>
      </c>
      <c r="J71" s="769">
        <f t="shared" si="17"/>
        <v>0</v>
      </c>
      <c r="K71" s="769">
        <f t="shared" si="17"/>
        <v>0</v>
      </c>
      <c r="L71" s="769">
        <f t="shared" si="17"/>
        <v>0</v>
      </c>
      <c r="M71" s="769">
        <f t="shared" si="17"/>
        <v>0</v>
      </c>
      <c r="N71" s="769">
        <f t="shared" si="17"/>
        <v>0</v>
      </c>
      <c r="O71" s="768">
        <f t="shared" si="16"/>
        <v>0</v>
      </c>
      <c r="P71" s="768">
        <f>SUM(P56:P70)</f>
        <v>0</v>
      </c>
      <c r="Q71" s="768">
        <f>SUM(Q56:Q70)</f>
        <v>0</v>
      </c>
      <c r="R71" s="91"/>
    </row>
    <row r="72" spans="1:18" ht="15.75" hidden="1" customHeight="1" x14ac:dyDescent="0.2">
      <c r="A72" s="770" t="s">
        <v>299</v>
      </c>
      <c r="B72" s="771">
        <f>+B71</f>
        <v>0</v>
      </c>
      <c r="C72" s="772">
        <f t="shared" ref="C72:N72" si="18">+B72+C71</f>
        <v>0</v>
      </c>
      <c r="D72" s="772">
        <f t="shared" si="18"/>
        <v>0</v>
      </c>
      <c r="E72" s="772">
        <f t="shared" si="18"/>
        <v>0</v>
      </c>
      <c r="F72" s="772">
        <f t="shared" si="18"/>
        <v>0</v>
      </c>
      <c r="G72" s="772">
        <f t="shared" si="18"/>
        <v>0</v>
      </c>
      <c r="H72" s="772">
        <f t="shared" si="18"/>
        <v>0</v>
      </c>
      <c r="I72" s="772">
        <f t="shared" si="18"/>
        <v>0</v>
      </c>
      <c r="J72" s="772">
        <f t="shared" si="18"/>
        <v>0</v>
      </c>
      <c r="K72" s="772">
        <f t="shared" si="18"/>
        <v>0</v>
      </c>
      <c r="L72" s="772">
        <f t="shared" si="18"/>
        <v>0</v>
      </c>
      <c r="M72" s="772">
        <f t="shared" si="18"/>
        <v>0</v>
      </c>
      <c r="N72" s="772">
        <f t="shared" si="18"/>
        <v>0</v>
      </c>
      <c r="O72" s="771">
        <f>+N72</f>
        <v>0</v>
      </c>
      <c r="P72" s="771">
        <f>+O72+P71</f>
        <v>0</v>
      </c>
      <c r="Q72" s="771">
        <f>+P72+Q71</f>
        <v>0</v>
      </c>
      <c r="R72" s="9"/>
    </row>
    <row r="73" spans="1:18" ht="15.75" hidden="1" customHeight="1" x14ac:dyDescent="0.2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</row>
    <row r="74" spans="1:18" ht="15.75" customHeight="1" thickBot="1" x14ac:dyDescent="0.25"/>
    <row r="75" spans="1:18" ht="15.75" customHeight="1" thickBot="1" x14ac:dyDescent="0.25">
      <c r="A75" s="703" t="s">
        <v>305</v>
      </c>
      <c r="P75" s="1125" t="s">
        <v>126</v>
      </c>
      <c r="Q75" s="1080"/>
      <c r="R75" s="1083"/>
    </row>
    <row r="76" spans="1:18" ht="15.75" customHeight="1" x14ac:dyDescent="0.2">
      <c r="A76" s="92"/>
      <c r="B76" s="783" t="s">
        <v>306</v>
      </c>
      <c r="C76" s="784" t="s">
        <v>307</v>
      </c>
      <c r="D76" s="785">
        <f>+'BAL-Assets'!F14</f>
        <v>44771</v>
      </c>
      <c r="E76" s="786">
        <f>+'BAL-Assets'!G14</f>
        <v>44799</v>
      </c>
      <c r="F76" s="786">
        <f>+'BAL-Assets'!H14</f>
        <v>44827</v>
      </c>
      <c r="G76" s="786">
        <f>+'BAL-Assets'!I14</f>
        <v>44855</v>
      </c>
      <c r="H76" s="786">
        <f>+'BAL-Assets'!J14</f>
        <v>44883</v>
      </c>
      <c r="I76" s="786">
        <f>+'BAL-Assets'!K14</f>
        <v>44911</v>
      </c>
      <c r="J76" s="786">
        <f>+'BAL-Assets'!L14</f>
        <v>44939</v>
      </c>
      <c r="K76" s="786">
        <f>+'BAL-Assets'!M14</f>
        <v>44967</v>
      </c>
      <c r="L76" s="786">
        <f>+'BAL-Assets'!N14</f>
        <v>44995</v>
      </c>
      <c r="M76" s="786">
        <f>+'BAL-Assets'!O14</f>
        <v>45023</v>
      </c>
      <c r="N76" s="786">
        <f>+'BAL-Assets'!P14</f>
        <v>45051</v>
      </c>
      <c r="O76" s="787">
        <f>+'BAL-Assets'!Q14</f>
        <v>45079</v>
      </c>
      <c r="P76" s="788">
        <f>+'BAL-Assets'!R14</f>
        <v>45079</v>
      </c>
      <c r="Q76" s="789">
        <f>+'BAL-Assets'!S14</f>
        <v>45444</v>
      </c>
      <c r="R76" s="790">
        <f>+'BAL-Assets'!T14</f>
        <v>45809</v>
      </c>
    </row>
    <row r="77" spans="1:18" ht="15.75" customHeight="1" x14ac:dyDescent="0.2">
      <c r="A77" s="1124" t="str">
        <f>+'BAL-Assets'!A15</f>
        <v>Furniture/Fixtures</v>
      </c>
      <c r="B77" s="791" t="s">
        <v>308</v>
      </c>
      <c r="C77" s="792">
        <v>7</v>
      </c>
      <c r="D77" s="793">
        <f>+'BAL-Assets'!$B15/'BAL-Assets'!$C77/12</f>
        <v>0</v>
      </c>
      <c r="E77" s="794">
        <f>+'BAL-Assets'!$B15/'BAL-Assets'!$C77/12</f>
        <v>0</v>
      </c>
      <c r="F77" s="794">
        <f>+'BAL-Assets'!$B15/'BAL-Assets'!$C77/12</f>
        <v>0</v>
      </c>
      <c r="G77" s="794">
        <f>+'BAL-Assets'!$B15/'BAL-Assets'!$C77/12</f>
        <v>0</v>
      </c>
      <c r="H77" s="794">
        <f>+'BAL-Assets'!$B15/'BAL-Assets'!$C77/12</f>
        <v>0</v>
      </c>
      <c r="I77" s="794">
        <f>+'BAL-Assets'!$B15/'BAL-Assets'!$C77/12</f>
        <v>0</v>
      </c>
      <c r="J77" s="794">
        <f>+'BAL-Assets'!$B15/'BAL-Assets'!$C77/12</f>
        <v>0</v>
      </c>
      <c r="K77" s="794">
        <f>+'BAL-Assets'!$B15/'BAL-Assets'!$C77/12</f>
        <v>0</v>
      </c>
      <c r="L77" s="794">
        <f>+'BAL-Assets'!$B15/'BAL-Assets'!$C77/12</f>
        <v>0</v>
      </c>
      <c r="M77" s="794">
        <f>+'BAL-Assets'!$B15/'BAL-Assets'!$C77/12</f>
        <v>0</v>
      </c>
      <c r="N77" s="794">
        <f>+'BAL-Assets'!$B15/'BAL-Assets'!$C77/12</f>
        <v>0</v>
      </c>
      <c r="O77" s="794">
        <f>+'BAL-Assets'!$B15/'BAL-Assets'!$C77/12</f>
        <v>0</v>
      </c>
      <c r="P77" s="793">
        <f t="shared" ref="P77:P86" si="19">SUM(D77:O77)</f>
        <v>0</v>
      </c>
      <c r="Q77" s="795">
        <f>+'BAL-Assets'!$S15/$C77</f>
        <v>857.14285714285711</v>
      </c>
      <c r="R77" s="795">
        <f>+'BAL-Assets'!$S15/$C77</f>
        <v>857.14285714285711</v>
      </c>
    </row>
    <row r="78" spans="1:18" ht="15.75" customHeight="1" x14ac:dyDescent="0.2">
      <c r="A78" s="1118"/>
      <c r="B78" s="796" t="s">
        <v>309</v>
      </c>
      <c r="C78" s="797">
        <v>7</v>
      </c>
      <c r="D78" s="798">
        <f>+--'BAL-Assets'!F16/$C78/12</f>
        <v>0</v>
      </c>
      <c r="E78" s="799">
        <f>+D78+(-'BAL-Assets'!G16/$C78/12)</f>
        <v>0</v>
      </c>
      <c r="F78" s="799">
        <f>+E78+(-'BAL-Assets'!H16/$C78/12)</f>
        <v>0</v>
      </c>
      <c r="G78" s="799">
        <f>+F78+(-'BAL-Assets'!I16/$C78/12)</f>
        <v>0</v>
      </c>
      <c r="H78" s="799">
        <f>+G78+(-'BAL-Assets'!J16/$C78/12)</f>
        <v>0</v>
      </c>
      <c r="I78" s="799">
        <f>+H78+(-'BAL-Assets'!K16/$C78/12)</f>
        <v>0</v>
      </c>
      <c r="J78" s="799">
        <f>+I78+(-'BAL-Assets'!L16/$C78/12)</f>
        <v>0</v>
      </c>
      <c r="K78" s="799">
        <f>+J78+(-'BAL-Assets'!M16/$C78/12)</f>
        <v>0</v>
      </c>
      <c r="L78" s="799">
        <f>+K78+(-'BAL-Assets'!N16/$C78/12)</f>
        <v>0</v>
      </c>
      <c r="M78" s="799">
        <f>+L78+(-'BAL-Assets'!O16/$C78/12)</f>
        <v>0</v>
      </c>
      <c r="N78" s="799">
        <f>+M78+(-'BAL-Assets'!P16/$C78/12)</f>
        <v>0</v>
      </c>
      <c r="O78" s="799">
        <f>+N78+(-'BAL-Assets'!Q16/$C78/12)</f>
        <v>0</v>
      </c>
      <c r="P78" s="800">
        <f t="shared" si="19"/>
        <v>0</v>
      </c>
      <c r="Q78" s="801">
        <f>+(-R16-'BAL-Assets'!S16)/$C78</f>
        <v>0</v>
      </c>
      <c r="R78" s="801">
        <f>+(-R16-S16-'BAL-Assets'!T16)/$C78</f>
        <v>0</v>
      </c>
    </row>
    <row r="79" spans="1:18" ht="15.75" customHeight="1" x14ac:dyDescent="0.2">
      <c r="A79" s="1124" t="str">
        <f>+'BAL-Assets'!A17</f>
        <v>Equipment</v>
      </c>
      <c r="B79" s="791" t="s">
        <v>308</v>
      </c>
      <c r="C79" s="792">
        <v>3</v>
      </c>
      <c r="D79" s="793">
        <f>+'BAL-Assets'!$B17/'BAL-Assets'!$C79/12</f>
        <v>0</v>
      </c>
      <c r="E79" s="794">
        <f>+'BAL-Assets'!$B17/'BAL-Assets'!$C79/12</f>
        <v>0</v>
      </c>
      <c r="F79" s="794">
        <f>+'BAL-Assets'!$B17/'BAL-Assets'!$C79/12</f>
        <v>0</v>
      </c>
      <c r="G79" s="794">
        <f>+'BAL-Assets'!$B17/'BAL-Assets'!$C79/12</f>
        <v>0</v>
      </c>
      <c r="H79" s="794">
        <f>+'BAL-Assets'!$B17/'BAL-Assets'!$C79/12</f>
        <v>0</v>
      </c>
      <c r="I79" s="794">
        <f>+'BAL-Assets'!$B17/'BAL-Assets'!$C79/12</f>
        <v>0</v>
      </c>
      <c r="J79" s="794">
        <f>+'BAL-Assets'!$B17/'BAL-Assets'!$C79/12</f>
        <v>0</v>
      </c>
      <c r="K79" s="794">
        <f>+'BAL-Assets'!$B17/'BAL-Assets'!$C79/12</f>
        <v>0</v>
      </c>
      <c r="L79" s="794">
        <f>+'BAL-Assets'!$B17/'BAL-Assets'!$C79/12</f>
        <v>0</v>
      </c>
      <c r="M79" s="794">
        <f>+'BAL-Assets'!$B17/'BAL-Assets'!$C79/12</f>
        <v>0</v>
      </c>
      <c r="N79" s="794">
        <f>+'BAL-Assets'!$B17/'BAL-Assets'!$C79/12</f>
        <v>0</v>
      </c>
      <c r="O79" s="794">
        <f>+'BAL-Assets'!$B17/'BAL-Assets'!$C79/12</f>
        <v>0</v>
      </c>
      <c r="P79" s="793">
        <f t="shared" si="19"/>
        <v>0</v>
      </c>
      <c r="Q79" s="795">
        <f>+'BAL-Assets'!$S17/$C79</f>
        <v>2000</v>
      </c>
      <c r="R79" s="795">
        <f>+'BAL-Assets'!$S17/$C79</f>
        <v>2000</v>
      </c>
    </row>
    <row r="80" spans="1:18" ht="15.75" customHeight="1" x14ac:dyDescent="0.2">
      <c r="A80" s="1118"/>
      <c r="B80" s="796" t="s">
        <v>309</v>
      </c>
      <c r="C80" s="797">
        <v>3</v>
      </c>
      <c r="D80" s="798">
        <f>+'BAL-Assets'!F17/$C80/12</f>
        <v>166.66666666666666</v>
      </c>
      <c r="E80" s="799">
        <f>+D80+(-'BAL-Assets'!G18/$C80/12)</f>
        <v>166.66666666666666</v>
      </c>
      <c r="F80" s="799">
        <f>+E80+(-'BAL-Assets'!H18/$C80/12)</f>
        <v>166.66666666666666</v>
      </c>
      <c r="G80" s="799">
        <f>+F80+(-'BAL-Assets'!I18/$C80/12)</f>
        <v>166.66666666666666</v>
      </c>
      <c r="H80" s="799">
        <f>+G80+(-'BAL-Assets'!J18/$C80/12)</f>
        <v>166.66666666666666</v>
      </c>
      <c r="I80" s="799">
        <f>+H80+(-'BAL-Assets'!K18/$C80/12)</f>
        <v>166.66666666666666</v>
      </c>
      <c r="J80" s="799">
        <f>+I80+(-'BAL-Assets'!L18/$C80/12)</f>
        <v>166.66666666666666</v>
      </c>
      <c r="K80" s="799">
        <f>+J80+(-'BAL-Assets'!M18/$C80/12)</f>
        <v>166.66666666666666</v>
      </c>
      <c r="L80" s="799">
        <f>+K80+(-'BAL-Assets'!N18/$C80/12)</f>
        <v>166.66666666666666</v>
      </c>
      <c r="M80" s="799">
        <f>+L80+(-'BAL-Assets'!O18/$C80/12)</f>
        <v>166.66666666666666</v>
      </c>
      <c r="N80" s="799">
        <f>+M80+(-'BAL-Assets'!P18/$C80/12)</f>
        <v>166.66666666666666</v>
      </c>
      <c r="O80" s="799">
        <f>+N80+(-'BAL-Assets'!Q18/$C80/12)</f>
        <v>166.66666666666666</v>
      </c>
      <c r="P80" s="798">
        <f t="shared" si="19"/>
        <v>2000.0000000000002</v>
      </c>
      <c r="Q80" s="801">
        <f>+(-S18-'BAL-Assets'!S18)/$C80</f>
        <v>0</v>
      </c>
      <c r="R80" s="801">
        <f>+(-T18-'BAL-Assets'!T18)/$C80</f>
        <v>0</v>
      </c>
    </row>
    <row r="81" spans="1:18" ht="15.75" customHeight="1" x14ac:dyDescent="0.2">
      <c r="A81" s="1124" t="str">
        <f>+'BAL-Assets'!A19</f>
        <v>Vehicles</v>
      </c>
      <c r="B81" s="802" t="s">
        <v>308</v>
      </c>
      <c r="C81" s="803">
        <v>5</v>
      </c>
      <c r="D81" s="793">
        <f>+'BAL-Assets'!$B19/'BAL-Assets'!$C81/12</f>
        <v>0</v>
      </c>
      <c r="E81" s="794">
        <f>+'BAL-Assets'!$B19/'BAL-Assets'!$C81/12</f>
        <v>0</v>
      </c>
      <c r="F81" s="794">
        <f>+'BAL-Assets'!$B19/'BAL-Assets'!$C81/12</f>
        <v>0</v>
      </c>
      <c r="G81" s="794">
        <f>+'BAL-Assets'!$B19/'BAL-Assets'!$C81/12</f>
        <v>0</v>
      </c>
      <c r="H81" s="794">
        <f>+'BAL-Assets'!$B19/'BAL-Assets'!$C81/12</f>
        <v>0</v>
      </c>
      <c r="I81" s="794">
        <f>+'BAL-Assets'!$B19/'BAL-Assets'!$C81/12</f>
        <v>0</v>
      </c>
      <c r="J81" s="794">
        <f>+'BAL-Assets'!$B19/'BAL-Assets'!$C81/12</f>
        <v>0</v>
      </c>
      <c r="K81" s="794">
        <f>+'BAL-Assets'!$B19/'BAL-Assets'!$C81/12</f>
        <v>0</v>
      </c>
      <c r="L81" s="794">
        <f>+'BAL-Assets'!$B19/'BAL-Assets'!$C81/12</f>
        <v>0</v>
      </c>
      <c r="M81" s="794">
        <f>+'BAL-Assets'!$B19/'BAL-Assets'!$C81/12</f>
        <v>0</v>
      </c>
      <c r="N81" s="794">
        <f>+'BAL-Assets'!$B19/'BAL-Assets'!$C81/12</f>
        <v>0</v>
      </c>
      <c r="O81" s="794">
        <f>+'BAL-Assets'!$B19/'BAL-Assets'!$C81/12</f>
        <v>0</v>
      </c>
      <c r="P81" s="800">
        <f t="shared" si="19"/>
        <v>0</v>
      </c>
      <c r="Q81" s="795">
        <f>+'BAL-Assets'!$S19/$C81</f>
        <v>0</v>
      </c>
      <c r="R81" s="795">
        <f>+'BAL-Assets'!$S19/$C81</f>
        <v>0</v>
      </c>
    </row>
    <row r="82" spans="1:18" ht="15.75" customHeight="1" x14ac:dyDescent="0.2">
      <c r="A82" s="1118"/>
      <c r="B82" s="796" t="s">
        <v>309</v>
      </c>
      <c r="C82" s="804">
        <v>5</v>
      </c>
      <c r="D82" s="798">
        <f>+--'BAL-Assets'!F20/$C82/12</f>
        <v>0</v>
      </c>
      <c r="E82" s="799">
        <f>+D82+(-'BAL-Assets'!G20/$C82/12)</f>
        <v>0</v>
      </c>
      <c r="F82" s="799">
        <f>+E82+(-'BAL-Assets'!H20/$C82/12)</f>
        <v>0</v>
      </c>
      <c r="G82" s="799">
        <f>+F82+(-'BAL-Assets'!I20/$C82/12)</f>
        <v>0</v>
      </c>
      <c r="H82" s="799">
        <f>+G82+(-'BAL-Assets'!J20/$C82/12)</f>
        <v>0</v>
      </c>
      <c r="I82" s="799">
        <f>+H82+(-'BAL-Assets'!K20/$C82/12)</f>
        <v>0</v>
      </c>
      <c r="J82" s="799">
        <f>+I82+(-'BAL-Assets'!L20/$C82/12)</f>
        <v>0</v>
      </c>
      <c r="K82" s="799">
        <f>+J82+(-'BAL-Assets'!M20/$C82/12)</f>
        <v>0</v>
      </c>
      <c r="L82" s="799">
        <f>+K82+(-'BAL-Assets'!N20/$C82/12)</f>
        <v>0</v>
      </c>
      <c r="M82" s="799">
        <f>+L82+(-'BAL-Assets'!O20/$C82/12)</f>
        <v>0</v>
      </c>
      <c r="N82" s="799">
        <f>+M82+(-'BAL-Assets'!P20/$C82/12)</f>
        <v>0</v>
      </c>
      <c r="O82" s="799">
        <f>+N82+(-'BAL-Assets'!Q20/$C82/12)</f>
        <v>0</v>
      </c>
      <c r="P82" s="800">
        <f t="shared" si="19"/>
        <v>0</v>
      </c>
      <c r="Q82" s="801">
        <f>+(-R20-'BAL-Assets'!S20)/$C82</f>
        <v>0</v>
      </c>
      <c r="R82" s="801">
        <f>+(-R20-S20-'BAL-Assets'!T20)/$C82</f>
        <v>0</v>
      </c>
    </row>
    <row r="83" spans="1:18" ht="15.75" customHeight="1" x14ac:dyDescent="0.2">
      <c r="A83" s="1124" t="str">
        <f>+'BAL-Assets'!A21</f>
        <v xml:space="preserve">Facility buildout </v>
      </c>
      <c r="B83" s="791" t="s">
        <v>308</v>
      </c>
      <c r="C83" s="792">
        <v>10</v>
      </c>
      <c r="D83" s="793">
        <f>+'BAL-Assets'!$B21/$C83/12</f>
        <v>0</v>
      </c>
      <c r="E83" s="794">
        <f>+'BAL-Assets'!$B21/$C83/12</f>
        <v>0</v>
      </c>
      <c r="F83" s="794">
        <f>+'BAL-Assets'!$B21/$C83/12</f>
        <v>0</v>
      </c>
      <c r="G83" s="794">
        <f>+'BAL-Assets'!$B21/$C83/12</f>
        <v>0</v>
      </c>
      <c r="H83" s="794">
        <f>+'BAL-Assets'!$B21/$C83/12</f>
        <v>0</v>
      </c>
      <c r="I83" s="794">
        <f>+'BAL-Assets'!$B21/$C83/12</f>
        <v>0</v>
      </c>
      <c r="J83" s="794">
        <f>+'BAL-Assets'!$B21/$C83/12</f>
        <v>0</v>
      </c>
      <c r="K83" s="794">
        <f>+'BAL-Assets'!$B21/$C83/12</f>
        <v>0</v>
      </c>
      <c r="L83" s="794">
        <f>+'BAL-Assets'!$B21/$C83/12</f>
        <v>0</v>
      </c>
      <c r="M83" s="794">
        <f>+'BAL-Assets'!$B21/$C83/12</f>
        <v>0</v>
      </c>
      <c r="N83" s="794">
        <f>+'BAL-Assets'!$B21/$C83/12</f>
        <v>0</v>
      </c>
      <c r="O83" s="794">
        <f>+'BAL-Assets'!$B21/$C83/12</f>
        <v>0</v>
      </c>
      <c r="P83" s="793">
        <f t="shared" si="19"/>
        <v>0</v>
      </c>
      <c r="Q83" s="795">
        <f>+'BAL-Assets'!$S21/$C83</f>
        <v>12000</v>
      </c>
      <c r="R83" s="795">
        <f>+'BAL-Assets'!$S21/$C83</f>
        <v>12000</v>
      </c>
    </row>
    <row r="84" spans="1:18" ht="15.75" customHeight="1" x14ac:dyDescent="0.2">
      <c r="A84" s="1118"/>
      <c r="B84" s="805" t="s">
        <v>309</v>
      </c>
      <c r="C84" s="804">
        <v>10</v>
      </c>
      <c r="D84" s="806">
        <f>+--'BAL-Assets'!F21/$C84/12</f>
        <v>1000</v>
      </c>
      <c r="E84" s="807">
        <f>+D84+(-'BAL-Assets'!G22/$C84/12)</f>
        <v>1000</v>
      </c>
      <c r="F84" s="807">
        <f>+E84+(-'BAL-Assets'!H22/$C84/12)</f>
        <v>1000</v>
      </c>
      <c r="G84" s="807">
        <f>+F84+(-'BAL-Assets'!I22/$C84/12)</f>
        <v>1000</v>
      </c>
      <c r="H84" s="807">
        <f>+G84+(-'BAL-Assets'!J22/$C84/12)</f>
        <v>1000</v>
      </c>
      <c r="I84" s="807">
        <f>+H84+(-'BAL-Assets'!K22/$C84/12)</f>
        <v>1000</v>
      </c>
      <c r="J84" s="807">
        <f>+I84+(-'BAL-Assets'!L22/$C84/12)</f>
        <v>1000</v>
      </c>
      <c r="K84" s="807">
        <f>+J84+(-'BAL-Assets'!M22/$C84/12)</f>
        <v>1000</v>
      </c>
      <c r="L84" s="807">
        <f>+K84+(-'BAL-Assets'!N22/$C84/12)</f>
        <v>1000</v>
      </c>
      <c r="M84" s="807">
        <f>+L84+(-'BAL-Assets'!O22/$C84/12)</f>
        <v>1000</v>
      </c>
      <c r="N84" s="807">
        <f>+M84+(-'BAL-Assets'!P22/$C84/12)</f>
        <v>1000</v>
      </c>
      <c r="O84" s="807">
        <f>+N84+(-'BAL-Assets'!Q22/$C84/12)</f>
        <v>1000</v>
      </c>
      <c r="P84" s="806">
        <f t="shared" si="19"/>
        <v>12000</v>
      </c>
      <c r="Q84" s="801">
        <f>+(-R22-'BAL-Assets'!S22)/$C84</f>
        <v>0</v>
      </c>
      <c r="R84" s="801">
        <f>+(-R22-S22-'BAL-Assets'!T22)/$C84</f>
        <v>0</v>
      </c>
    </row>
    <row r="85" spans="1:18" ht="15.75" customHeight="1" x14ac:dyDescent="0.2">
      <c r="A85" s="1124" t="s">
        <v>310</v>
      </c>
      <c r="B85" s="791" t="s">
        <v>308</v>
      </c>
      <c r="C85" s="792">
        <v>20</v>
      </c>
      <c r="D85" s="793">
        <f>+'BAL-Assets'!$B23/'BAL-Assets'!$C85/12</f>
        <v>0</v>
      </c>
      <c r="E85" s="794">
        <f>+'BAL-Assets'!$B23/'BAL-Assets'!$C85/12</f>
        <v>0</v>
      </c>
      <c r="F85" s="794">
        <f>+'BAL-Assets'!$B23/'BAL-Assets'!$C85/12</f>
        <v>0</v>
      </c>
      <c r="G85" s="794">
        <f>+'BAL-Assets'!$B23/'BAL-Assets'!$C85/12</f>
        <v>0</v>
      </c>
      <c r="H85" s="794">
        <f>+'BAL-Assets'!$B23/'BAL-Assets'!$C85/12</f>
        <v>0</v>
      </c>
      <c r="I85" s="794">
        <f>+'BAL-Assets'!$B23/'BAL-Assets'!$C85/12</f>
        <v>0</v>
      </c>
      <c r="J85" s="794">
        <f>+'BAL-Assets'!$B23/'BAL-Assets'!$C85/12</f>
        <v>0</v>
      </c>
      <c r="K85" s="794">
        <f>+'BAL-Assets'!$B23/'BAL-Assets'!$C85/12</f>
        <v>0</v>
      </c>
      <c r="L85" s="794">
        <f>+'BAL-Assets'!$B23/'BAL-Assets'!$C85/12</f>
        <v>0</v>
      </c>
      <c r="M85" s="794">
        <f>+'BAL-Assets'!$B23/'BAL-Assets'!$C85/12</f>
        <v>0</v>
      </c>
      <c r="N85" s="794">
        <f>+'BAL-Assets'!$B23/'BAL-Assets'!$C85/12</f>
        <v>0</v>
      </c>
      <c r="O85" s="794">
        <f>+'BAL-Assets'!$B23/'BAL-Assets'!$C85/12</f>
        <v>0</v>
      </c>
      <c r="P85" s="793">
        <f t="shared" si="19"/>
        <v>0</v>
      </c>
      <c r="Q85" s="795">
        <f>+'BAL-Assets'!$S23/$C85</f>
        <v>0</v>
      </c>
      <c r="R85" s="795">
        <f>+'BAL-Assets'!$S23/$C85</f>
        <v>0</v>
      </c>
    </row>
    <row r="86" spans="1:18" ht="15.75" customHeight="1" x14ac:dyDescent="0.2">
      <c r="A86" s="1118"/>
      <c r="B86" s="796" t="s">
        <v>309</v>
      </c>
      <c r="C86" s="797">
        <v>20</v>
      </c>
      <c r="D86" s="806">
        <f>+--'BAL-Assets'!F24/$C86/12</f>
        <v>0</v>
      </c>
      <c r="E86" s="807">
        <f>+D86+(-'BAL-Assets'!G24/$C86/12)</f>
        <v>0</v>
      </c>
      <c r="F86" s="807">
        <f>+E86+(-'BAL-Assets'!H24/$C86/12)</f>
        <v>0</v>
      </c>
      <c r="G86" s="807">
        <f>+F86+(-'BAL-Assets'!I24/$C86/12)</f>
        <v>0</v>
      </c>
      <c r="H86" s="807">
        <f>+G86+(-'BAL-Assets'!J24/$C86/12)</f>
        <v>0</v>
      </c>
      <c r="I86" s="807">
        <f>+H86+(-'BAL-Assets'!K24/$C86/12)</f>
        <v>0</v>
      </c>
      <c r="J86" s="807">
        <f>+I86+(-'BAL-Assets'!L24/$C86/12)</f>
        <v>0</v>
      </c>
      <c r="K86" s="807">
        <f>+J86+(-'BAL-Assets'!M24/$C86/12)</f>
        <v>0</v>
      </c>
      <c r="L86" s="807">
        <f>+K86+(-'BAL-Assets'!N24/$C86/12)</f>
        <v>0</v>
      </c>
      <c r="M86" s="807">
        <f>+L86+(-'BAL-Assets'!O24/$C86/12)</f>
        <v>0</v>
      </c>
      <c r="N86" s="807">
        <f>+M86+(-'BAL-Assets'!P24/$C86/12)</f>
        <v>0</v>
      </c>
      <c r="O86" s="807">
        <f>+N86+(-'BAL-Assets'!Q24/$C86/12)</f>
        <v>0</v>
      </c>
      <c r="P86" s="798">
        <f t="shared" si="19"/>
        <v>0</v>
      </c>
      <c r="Q86" s="801">
        <f>+(-R24-'BAL-Assets'!S24)/$C86</f>
        <v>0</v>
      </c>
      <c r="R86" s="801">
        <f>+(-R24-S24-'BAL-Assets'!T24)/$C86</f>
        <v>0</v>
      </c>
    </row>
    <row r="87" spans="1:18" ht="15.75" customHeight="1" x14ac:dyDescent="0.2">
      <c r="A87" s="808" t="s">
        <v>311</v>
      </c>
      <c r="B87" s="258"/>
      <c r="C87" s="258"/>
      <c r="D87" s="809">
        <f t="shared" ref="D87:R87" si="20">SUM(D77:D86)</f>
        <v>1166.6666666666667</v>
      </c>
      <c r="E87" s="810">
        <f t="shared" si="20"/>
        <v>1166.6666666666667</v>
      </c>
      <c r="F87" s="810">
        <f t="shared" si="20"/>
        <v>1166.6666666666667</v>
      </c>
      <c r="G87" s="810">
        <f t="shared" si="20"/>
        <v>1166.6666666666667</v>
      </c>
      <c r="H87" s="810">
        <f t="shared" si="20"/>
        <v>1166.6666666666667</v>
      </c>
      <c r="I87" s="810">
        <f t="shared" si="20"/>
        <v>1166.6666666666667</v>
      </c>
      <c r="J87" s="810">
        <f t="shared" si="20"/>
        <v>1166.6666666666667</v>
      </c>
      <c r="K87" s="810">
        <f t="shared" si="20"/>
        <v>1166.6666666666667</v>
      </c>
      <c r="L87" s="810">
        <f t="shared" si="20"/>
        <v>1166.6666666666667</v>
      </c>
      <c r="M87" s="810">
        <f t="shared" si="20"/>
        <v>1166.6666666666667</v>
      </c>
      <c r="N87" s="810">
        <f t="shared" si="20"/>
        <v>1166.6666666666667</v>
      </c>
      <c r="O87" s="811">
        <f t="shared" si="20"/>
        <v>1166.6666666666667</v>
      </c>
      <c r="P87" s="812">
        <f t="shared" si="20"/>
        <v>14000</v>
      </c>
      <c r="Q87" s="812">
        <f t="shared" si="20"/>
        <v>14857.142857142857</v>
      </c>
      <c r="R87" s="812">
        <f t="shared" si="20"/>
        <v>14857.142857142857</v>
      </c>
    </row>
  </sheetData>
  <mergeCells count="25">
    <mergeCell ref="C5:E5"/>
    <mergeCell ref="R4:T4"/>
    <mergeCell ref="R13:T13"/>
    <mergeCell ref="A83:A84"/>
    <mergeCell ref="C8:E9"/>
    <mergeCell ref="C29:E29"/>
    <mergeCell ref="C20:E20"/>
    <mergeCell ref="C10:E10"/>
    <mergeCell ref="C6:E7"/>
    <mergeCell ref="C11:E11"/>
    <mergeCell ref="P75:R75"/>
    <mergeCell ref="C23:E23"/>
    <mergeCell ref="A85:A86"/>
    <mergeCell ref="C28:E28"/>
    <mergeCell ref="C18:E18"/>
    <mergeCell ref="A81:A82"/>
    <mergeCell ref="A77:A78"/>
    <mergeCell ref="O34:Q34"/>
    <mergeCell ref="C24:E24"/>
    <mergeCell ref="C14:E14"/>
    <mergeCell ref="C16:E16"/>
    <mergeCell ref="A79:A80"/>
    <mergeCell ref="O54:Q54"/>
    <mergeCell ref="C22:E22"/>
    <mergeCell ref="C21:E21"/>
  </mergeCells>
  <pageMargins left="0.25" right="0.25" top="0.75" bottom="0.75" header="0" footer="0"/>
  <pageSetup fitToHeight="0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94A3B8"/>
  </sheetPr>
  <dimension ref="A1:T98"/>
  <sheetViews>
    <sheetView showGridLines="0" workbookViewId="0">
      <pane ySplit="2" topLeftCell="A3" activePane="bottomLeft" state="frozen"/>
      <selection pane="bottomLeft" activeCell="M30" sqref="M30"/>
    </sheetView>
  </sheetViews>
  <sheetFormatPr baseColWidth="10" defaultColWidth="14.5" defaultRowHeight="15" customHeight="1" x14ac:dyDescent="0.2"/>
  <cols>
    <col min="1" max="1" width="41" customWidth="1"/>
    <col min="2" max="4" width="14.6640625" customWidth="1"/>
    <col min="5" max="5" width="11.6640625" customWidth="1"/>
    <col min="6" max="6" width="9.6640625" customWidth="1"/>
    <col min="7" max="7" width="10.1640625" customWidth="1"/>
    <col min="8" max="9" width="10.6640625" customWidth="1"/>
    <col min="10" max="10" width="10.83203125" customWidth="1"/>
    <col min="11" max="11" width="10.6640625" customWidth="1"/>
    <col min="12" max="12" width="10.83203125" customWidth="1"/>
    <col min="13" max="14" width="10.6640625" customWidth="1"/>
    <col min="15" max="15" width="10.1640625" customWidth="1"/>
    <col min="16" max="16" width="11" customWidth="1"/>
    <col min="17" max="17" width="10.5" customWidth="1"/>
    <col min="18" max="18" width="10.33203125" customWidth="1"/>
    <col min="19" max="20" width="10.1640625" customWidth="1"/>
    <col min="21" max="40" width="9.1640625" customWidth="1"/>
  </cols>
  <sheetData>
    <row r="1" spans="1:20" ht="12" customHeight="1" x14ac:dyDescent="0.2">
      <c r="A1" s="491" t="s">
        <v>312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</row>
    <row r="2" spans="1:20" ht="12" customHeight="1" x14ac:dyDescent="0.2">
      <c r="A2" s="492" t="str">
        <f>+Historical!$A$1</f>
        <v>Draper Yoga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</row>
    <row r="3" spans="1:20" ht="15" customHeight="1" x14ac:dyDescent="0.2">
      <c r="A3" s="94"/>
      <c r="B3" s="21"/>
      <c r="C3" s="21"/>
      <c r="D3" s="80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1145" t="s">
        <v>126</v>
      </c>
      <c r="S3" s="1115"/>
      <c r="T3" s="1115"/>
    </row>
    <row r="4" spans="1:20" ht="12" customHeight="1" x14ac:dyDescent="0.2">
      <c r="A4" s="704" t="s">
        <v>67</v>
      </c>
      <c r="B4" s="1148" t="s">
        <v>209</v>
      </c>
      <c r="C4" s="1094"/>
      <c r="D4" s="1095"/>
      <c r="E4" s="813" t="s">
        <v>265</v>
      </c>
      <c r="F4" s="707">
        <f>+'BAL-Assets'!F14</f>
        <v>44771</v>
      </c>
      <c r="G4" s="707">
        <f>+'BAL-Assets'!G14</f>
        <v>44799</v>
      </c>
      <c r="H4" s="707">
        <f>+'BAL-Assets'!H14</f>
        <v>44827</v>
      </c>
      <c r="I4" s="707">
        <f>+'BAL-Assets'!I14</f>
        <v>44855</v>
      </c>
      <c r="J4" s="707">
        <f>+'BAL-Assets'!J14</f>
        <v>44883</v>
      </c>
      <c r="K4" s="707">
        <f>+'BAL-Assets'!K14</f>
        <v>44911</v>
      </c>
      <c r="L4" s="707">
        <f>+'BAL-Assets'!L14</f>
        <v>44939</v>
      </c>
      <c r="M4" s="707">
        <f>+'BAL-Assets'!M14</f>
        <v>44967</v>
      </c>
      <c r="N4" s="707">
        <f>+'BAL-Assets'!N14</f>
        <v>44995</v>
      </c>
      <c r="O4" s="707">
        <f>+'BAL-Assets'!O14</f>
        <v>45023</v>
      </c>
      <c r="P4" s="707">
        <f>+'BAL-Assets'!P14</f>
        <v>45051</v>
      </c>
      <c r="Q4" s="814">
        <f>+'BAL-Assets'!Q14</f>
        <v>45079</v>
      </c>
      <c r="R4" s="708">
        <f>+Q4</f>
        <v>45079</v>
      </c>
      <c r="S4" s="709">
        <f>+R4+365</f>
        <v>45444</v>
      </c>
      <c r="T4" s="815">
        <f>+S4+365</f>
        <v>45809</v>
      </c>
    </row>
    <row r="5" spans="1:20" ht="12" customHeight="1" x14ac:dyDescent="0.2">
      <c r="A5" s="816" t="s">
        <v>313</v>
      </c>
      <c r="B5" s="1141" t="s">
        <v>314</v>
      </c>
      <c r="C5" s="1094"/>
      <c r="D5" s="1095"/>
      <c r="E5" s="95"/>
      <c r="F5" s="728">
        <f>+F6</f>
        <v>106.26</v>
      </c>
      <c r="G5" s="728">
        <f t="shared" ref="G5:Q5" si="0">+F5+G6</f>
        <v>309.94799999999998</v>
      </c>
      <c r="H5" s="728">
        <f t="shared" si="0"/>
        <v>633.21299999999997</v>
      </c>
      <c r="I5" s="728">
        <f t="shared" si="0"/>
        <v>1098.204</v>
      </c>
      <c r="J5" s="728">
        <f t="shared" si="0"/>
        <v>1727.07</v>
      </c>
      <c r="K5" s="728">
        <f t="shared" si="0"/>
        <v>2541.96</v>
      </c>
      <c r="L5" s="728">
        <f t="shared" si="0"/>
        <v>3671.2830000000004</v>
      </c>
      <c r="M5" s="728">
        <f t="shared" si="0"/>
        <v>4968.9660000000003</v>
      </c>
      <c r="N5" s="728">
        <f t="shared" si="0"/>
        <v>6412.8600000000006</v>
      </c>
      <c r="O5" s="728">
        <f t="shared" si="0"/>
        <v>7980.8160000000007</v>
      </c>
      <c r="P5" s="728">
        <f t="shared" si="0"/>
        <v>9703.8150000000005</v>
      </c>
      <c r="Q5" s="728">
        <f t="shared" si="0"/>
        <v>11581.857</v>
      </c>
      <c r="R5" s="727">
        <f>+Q5</f>
        <v>11581.857</v>
      </c>
      <c r="S5" s="729">
        <f>+'P&amp;L-Revenues'!R56*0.023</f>
        <v>14315.175251999997</v>
      </c>
      <c r="T5" s="817">
        <f>+'P&amp;L-Revenues'!T56*0.023</f>
        <v>15982.962659999996</v>
      </c>
    </row>
    <row r="6" spans="1:20" ht="12" customHeight="1" x14ac:dyDescent="0.2">
      <c r="A6" s="722" t="s">
        <v>315</v>
      </c>
      <c r="B6" s="1129"/>
      <c r="C6" s="1129"/>
      <c r="D6" s="1130"/>
      <c r="E6" s="96"/>
      <c r="F6" s="743">
        <f>+'P&amp;L-Revenues'!D56*0.023</f>
        <v>106.26</v>
      </c>
      <c r="G6" s="743">
        <f>+'P&amp;L-Revenues'!E56*0.023</f>
        <v>203.68799999999999</v>
      </c>
      <c r="H6" s="743">
        <f>+'P&amp;L-Revenues'!F56*0.023</f>
        <v>323.26499999999999</v>
      </c>
      <c r="I6" s="743">
        <f>+'P&amp;L-Revenues'!G56*0.023</f>
        <v>464.99099999999999</v>
      </c>
      <c r="J6" s="743">
        <f>+'P&amp;L-Revenues'!H56*0.023</f>
        <v>628.86599999999999</v>
      </c>
      <c r="K6" s="743">
        <f>+'P&amp;L-Revenues'!I56*0.023</f>
        <v>814.89</v>
      </c>
      <c r="L6" s="743">
        <f>+'P&amp;L-Revenues'!J56*0.023</f>
        <v>1129.3230000000001</v>
      </c>
      <c r="M6" s="743">
        <f>+'P&amp;L-Revenues'!K56*0.023</f>
        <v>1297.683</v>
      </c>
      <c r="N6" s="743">
        <f>+'P&amp;L-Revenues'!L56*0.023</f>
        <v>1443.894</v>
      </c>
      <c r="O6" s="743">
        <f>+'P&amp;L-Revenues'!M56*0.023</f>
        <v>1567.9559999999999</v>
      </c>
      <c r="P6" s="743">
        <f>+'P&amp;L-Revenues'!N56*0.023</f>
        <v>1722.999</v>
      </c>
      <c r="Q6" s="743">
        <f>+'P&amp;L-Revenues'!O56*0.023</f>
        <v>1878.0419999999999</v>
      </c>
      <c r="R6" s="742">
        <f>SUM(F6:Q6)</f>
        <v>11581.857</v>
      </c>
      <c r="S6" s="744">
        <f>+S5-R5</f>
        <v>2733.3182519999973</v>
      </c>
      <c r="T6" s="744">
        <f>+T5-S5</f>
        <v>1667.7874079999983</v>
      </c>
    </row>
    <row r="7" spans="1:20" ht="12" customHeight="1" x14ac:dyDescent="0.2">
      <c r="A7" s="818" t="s">
        <v>316</v>
      </c>
      <c r="B7" s="1141" t="s">
        <v>317</v>
      </c>
      <c r="C7" s="1094"/>
      <c r="D7" s="1095"/>
      <c r="E7" s="819">
        <f>+Historical!C28</f>
        <v>0</v>
      </c>
      <c r="F7" s="820">
        <f>+C70</f>
        <v>0</v>
      </c>
      <c r="G7" s="820">
        <f t="shared" ref="G7:Q7" si="1">+F7+G8</f>
        <v>2100</v>
      </c>
      <c r="H7" s="820">
        <f t="shared" si="1"/>
        <v>15814</v>
      </c>
      <c r="I7" s="820">
        <f t="shared" si="1"/>
        <v>25019.426666666666</v>
      </c>
      <c r="J7" s="820">
        <f t="shared" si="1"/>
        <v>28786.222844444444</v>
      </c>
      <c r="K7" s="820">
        <f t="shared" si="1"/>
        <v>26345.13099674074</v>
      </c>
      <c r="L7" s="820">
        <f t="shared" si="1"/>
        <v>13803.765203385678</v>
      </c>
      <c r="M7" s="820">
        <f t="shared" si="1"/>
        <v>-0.20969525841792347</v>
      </c>
      <c r="N7" s="820">
        <f t="shared" si="1"/>
        <v>-0.20969525841792347</v>
      </c>
      <c r="O7" s="820">
        <f t="shared" si="1"/>
        <v>-0.20969525841792347</v>
      </c>
      <c r="P7" s="820">
        <f t="shared" si="1"/>
        <v>-0.20969525841792347</v>
      </c>
      <c r="Q7" s="821">
        <f t="shared" si="1"/>
        <v>-0.20969525841792347</v>
      </c>
      <c r="R7" s="822">
        <f>+Q7</f>
        <v>-0.20969525841792347</v>
      </c>
      <c r="S7" s="778">
        <f>+R7+S8</f>
        <v>-0.22647087909136077</v>
      </c>
      <c r="T7" s="821">
        <f>+S7+T8</f>
        <v>-0.24458854941867303</v>
      </c>
    </row>
    <row r="8" spans="1:20" ht="12" customHeight="1" x14ac:dyDescent="0.2">
      <c r="A8" s="823" t="s">
        <v>318</v>
      </c>
      <c r="B8" s="1129"/>
      <c r="C8" s="1129"/>
      <c r="D8" s="1130"/>
      <c r="E8" s="97"/>
      <c r="F8" s="824">
        <f>+'BAL-Liabilities &amp; Equity'!C67+'BAL-Liabilities &amp; Equity'!C68+'BAL-Liabilities &amp; Equity'!C69</f>
        <v>0</v>
      </c>
      <c r="G8" s="825">
        <f>+'BAL-Liabilities &amp; Equity'!D67+'BAL-Liabilities &amp; Equity'!D68+'BAL-Liabilities &amp; Equity'!D69</f>
        <v>2100</v>
      </c>
      <c r="H8" s="825">
        <f>+'BAL-Liabilities &amp; Equity'!E67+'BAL-Liabilities &amp; Equity'!E68+'BAL-Liabilities &amp; Equity'!E69</f>
        <v>13714</v>
      </c>
      <c r="I8" s="825">
        <f>+'BAL-Liabilities &amp; Equity'!F67+'BAL-Liabilities &amp; Equity'!F68+'BAL-Liabilities &amp; Equity'!F69</f>
        <v>9205.4266666666663</v>
      </c>
      <c r="J8" s="825">
        <f>+'BAL-Liabilities &amp; Equity'!G67+'BAL-Liabilities &amp; Equity'!G68+'BAL-Liabilities &amp; Equity'!G69</f>
        <v>3766.7961777777778</v>
      </c>
      <c r="K8" s="825">
        <f>+'BAL-Liabilities &amp; Equity'!H67+'BAL-Liabilities &amp; Equity'!H68+'BAL-Liabilities &amp; Equity'!H69</f>
        <v>-2441.0918477037039</v>
      </c>
      <c r="L8" s="825">
        <f>+'BAL-Liabilities &amp; Equity'!I67+'BAL-Liabilities &amp; Equity'!I68+'BAL-Liabilities &amp; Equity'!I69</f>
        <v>-12541.365793355062</v>
      </c>
      <c r="M8" s="825">
        <f>+'BAL-Liabilities &amp; Equity'!J67+'BAL-Liabilities &amp; Equity'!J68+'BAL-Liabilities &amp; Equity'!J69</f>
        <v>-13803.974898644095</v>
      </c>
      <c r="N8" s="825">
        <f>+'BAL-Liabilities &amp; Equity'!K67+'BAL-Liabilities &amp; Equity'!K68+'BAL-Liabilities &amp; Equity'!K69</f>
        <v>0</v>
      </c>
      <c r="O8" s="825">
        <f>+'BAL-Liabilities &amp; Equity'!L67+'BAL-Liabilities &amp; Equity'!L68+'BAL-Liabilities &amp; Equity'!L69</f>
        <v>0</v>
      </c>
      <c r="P8" s="825">
        <f>+'BAL-Liabilities &amp; Equity'!M67+'BAL-Liabilities &amp; Equity'!M68+'BAL-Liabilities &amp; Equity'!M69</f>
        <v>0</v>
      </c>
      <c r="Q8" s="826">
        <f>+'BAL-Liabilities &amp; Equity'!N67+'BAL-Liabilities &amp; Equity'!N68+'BAL-Liabilities &amp; Equity'!N69</f>
        <v>0</v>
      </c>
      <c r="R8" s="824">
        <f>SUM(F8:Q8)</f>
        <v>-0.20969525841792347</v>
      </c>
      <c r="S8" s="827">
        <f>+'BAL-Liabilities &amp; Equity'!P67+'BAL-Liabilities &amp; Equity'!P68+'BAL-Liabilities &amp; Equity'!P69</f>
        <v>-1.677562067343729E-2</v>
      </c>
      <c r="T8" s="826">
        <f>+'BAL-Liabilities &amp; Equity'!Q67+'BAL-Liabilities &amp; Equity'!Q68+'BAL-Liabilities &amp; Equity'!Q69</f>
        <v>-1.8117670327312273E-2</v>
      </c>
    </row>
    <row r="9" spans="1:20" ht="12" customHeight="1" x14ac:dyDescent="0.2">
      <c r="A9" s="828" t="s">
        <v>73</v>
      </c>
      <c r="B9" s="829"/>
      <c r="E9" s="830">
        <f>+Historical!C29</f>
        <v>0</v>
      </c>
      <c r="F9" s="758">
        <f>+(E9+E10)+F10</f>
        <v>0</v>
      </c>
      <c r="G9" s="758">
        <f t="shared" ref="G9:Q9" si="2">+F9+G10</f>
        <v>0</v>
      </c>
      <c r="H9" s="758">
        <f t="shared" si="2"/>
        <v>0</v>
      </c>
      <c r="I9" s="758">
        <f t="shared" si="2"/>
        <v>0</v>
      </c>
      <c r="J9" s="758">
        <f t="shared" si="2"/>
        <v>0</v>
      </c>
      <c r="K9" s="758">
        <f t="shared" si="2"/>
        <v>0</v>
      </c>
      <c r="L9" s="758">
        <f t="shared" si="2"/>
        <v>0</v>
      </c>
      <c r="M9" s="758">
        <f t="shared" si="2"/>
        <v>0</v>
      </c>
      <c r="N9" s="758">
        <f t="shared" si="2"/>
        <v>0</v>
      </c>
      <c r="O9" s="758">
        <f t="shared" si="2"/>
        <v>0</v>
      </c>
      <c r="P9" s="758">
        <f t="shared" si="2"/>
        <v>0</v>
      </c>
      <c r="Q9" s="831">
        <f t="shared" si="2"/>
        <v>0</v>
      </c>
      <c r="R9" s="832">
        <f>+Q9</f>
        <v>0</v>
      </c>
      <c r="S9" s="778">
        <f>+R9+S10</f>
        <v>0</v>
      </c>
      <c r="T9" s="821">
        <f>+S9+T10</f>
        <v>0</v>
      </c>
    </row>
    <row r="10" spans="1:20" ht="12" customHeight="1" x14ac:dyDescent="0.2">
      <c r="A10" s="833" t="s">
        <v>319</v>
      </c>
      <c r="B10" s="1143" t="s">
        <v>320</v>
      </c>
      <c r="C10" s="1129"/>
      <c r="D10" s="1130"/>
      <c r="E10" s="98"/>
      <c r="F10" s="719">
        <f t="shared" ref="F10:Q10" si="3">+C58</f>
        <v>0</v>
      </c>
      <c r="G10" s="719">
        <f t="shared" si="3"/>
        <v>0</v>
      </c>
      <c r="H10" s="719">
        <f t="shared" si="3"/>
        <v>0</v>
      </c>
      <c r="I10" s="719">
        <f t="shared" si="3"/>
        <v>0</v>
      </c>
      <c r="J10" s="719">
        <f t="shared" si="3"/>
        <v>0</v>
      </c>
      <c r="K10" s="719">
        <f t="shared" si="3"/>
        <v>0</v>
      </c>
      <c r="L10" s="719">
        <f t="shared" si="3"/>
        <v>0</v>
      </c>
      <c r="M10" s="719">
        <f t="shared" si="3"/>
        <v>0</v>
      </c>
      <c r="N10" s="719">
        <f t="shared" si="3"/>
        <v>0</v>
      </c>
      <c r="O10" s="719">
        <f t="shared" si="3"/>
        <v>0</v>
      </c>
      <c r="P10" s="719">
        <f t="shared" si="3"/>
        <v>0</v>
      </c>
      <c r="Q10" s="719">
        <f t="shared" si="3"/>
        <v>0</v>
      </c>
      <c r="R10" s="834">
        <f>SUM(F10:Q10)</f>
        <v>0</v>
      </c>
      <c r="S10" s="835">
        <f>+P58</f>
        <v>0</v>
      </c>
      <c r="T10" s="835">
        <f>+Q58</f>
        <v>0</v>
      </c>
    </row>
    <row r="11" spans="1:20" ht="12" customHeight="1" x14ac:dyDescent="0.2">
      <c r="A11" s="816" t="s">
        <v>321</v>
      </c>
      <c r="B11" s="1139" t="e">
        <f>+'P&amp;L-Revenues'!#REF!*C11</f>
        <v>#REF!</v>
      </c>
      <c r="C11" s="1099"/>
      <c r="D11" s="1100"/>
      <c r="E11" s="819">
        <f>+Historical!C30</f>
        <v>0</v>
      </c>
      <c r="F11" s="758">
        <f>+(E11+E12)+F12</f>
        <v>0</v>
      </c>
      <c r="G11" s="728">
        <f t="shared" ref="G11:Q11" si="4">+F11+G12</f>
        <v>0</v>
      </c>
      <c r="H11" s="728">
        <f t="shared" si="4"/>
        <v>0</v>
      </c>
      <c r="I11" s="712">
        <f t="shared" si="4"/>
        <v>0</v>
      </c>
      <c r="J11" s="728">
        <f t="shared" si="4"/>
        <v>0</v>
      </c>
      <c r="K11" s="728">
        <f t="shared" si="4"/>
        <v>0</v>
      </c>
      <c r="L11" s="728">
        <f t="shared" si="4"/>
        <v>0</v>
      </c>
      <c r="M11" s="728">
        <f t="shared" si="4"/>
        <v>0</v>
      </c>
      <c r="N11" s="728">
        <f t="shared" si="4"/>
        <v>0</v>
      </c>
      <c r="O11" s="728">
        <f t="shared" si="4"/>
        <v>0</v>
      </c>
      <c r="P11" s="712">
        <f t="shared" si="4"/>
        <v>0</v>
      </c>
      <c r="Q11" s="817">
        <f t="shared" si="4"/>
        <v>0</v>
      </c>
      <c r="R11" s="727">
        <f>+Q11</f>
        <v>0</v>
      </c>
      <c r="S11" s="729">
        <f>+R11+S12</f>
        <v>0</v>
      </c>
      <c r="T11" s="817">
        <f>+S11+T12</f>
        <v>0</v>
      </c>
    </row>
    <row r="12" spans="1:20" ht="15.75" customHeight="1" x14ac:dyDescent="0.2">
      <c r="A12" s="722" t="s">
        <v>322</v>
      </c>
      <c r="B12" s="1143" t="s">
        <v>320</v>
      </c>
      <c r="C12" s="1129"/>
      <c r="D12" s="1130"/>
      <c r="E12" s="836"/>
      <c r="F12" s="731"/>
      <c r="G12" s="731"/>
      <c r="H12" s="731"/>
      <c r="I12" s="731"/>
      <c r="J12" s="731"/>
      <c r="K12" s="731"/>
      <c r="L12" s="731"/>
      <c r="M12" s="731"/>
      <c r="N12" s="731"/>
      <c r="O12" s="731"/>
      <c r="P12" s="731"/>
      <c r="Q12" s="731"/>
      <c r="R12" s="824">
        <f>SUM(F12:Q12)</f>
        <v>0</v>
      </c>
      <c r="S12" s="837">
        <f>+R11*0.05</f>
        <v>0</v>
      </c>
      <c r="T12" s="838">
        <f>+S11*0.05</f>
        <v>0</v>
      </c>
    </row>
    <row r="13" spans="1:20" ht="12" customHeight="1" x14ac:dyDescent="0.2">
      <c r="A13" s="839" t="s">
        <v>323</v>
      </c>
      <c r="B13" s="840"/>
      <c r="E13" s="841"/>
      <c r="F13" s="842">
        <f t="shared" ref="F13:Q13" si="5">+F6+F8+F12+F10</f>
        <v>106.26</v>
      </c>
      <c r="G13" s="842">
        <f t="shared" si="5"/>
        <v>2303.6880000000001</v>
      </c>
      <c r="H13" s="842">
        <f t="shared" si="5"/>
        <v>14037.264999999999</v>
      </c>
      <c r="I13" s="842">
        <f t="shared" si="5"/>
        <v>9670.4176666666663</v>
      </c>
      <c r="J13" s="842">
        <f t="shared" si="5"/>
        <v>4395.6621777777782</v>
      </c>
      <c r="K13" s="842">
        <f t="shared" si="5"/>
        <v>-1626.2018477037041</v>
      </c>
      <c r="L13" s="842">
        <f t="shared" si="5"/>
        <v>-11412.042793355062</v>
      </c>
      <c r="M13" s="842">
        <f t="shared" si="5"/>
        <v>-12506.291898644096</v>
      </c>
      <c r="N13" s="842">
        <f t="shared" si="5"/>
        <v>1443.894</v>
      </c>
      <c r="O13" s="842">
        <f t="shared" si="5"/>
        <v>1567.9559999999999</v>
      </c>
      <c r="P13" s="842">
        <f t="shared" si="5"/>
        <v>1722.999</v>
      </c>
      <c r="Q13" s="842">
        <f t="shared" si="5"/>
        <v>1878.0419999999999</v>
      </c>
      <c r="R13" s="843">
        <f>+R6+R8+R12</f>
        <v>11581.647304741582</v>
      </c>
      <c r="S13" s="842">
        <f>+S6+S8+S12+S10</f>
        <v>2733.301476379324</v>
      </c>
      <c r="T13" s="842">
        <f>+T6+T8+T12+T10</f>
        <v>1667.7692903296711</v>
      </c>
    </row>
    <row r="14" spans="1:20" ht="12" customHeight="1" x14ac:dyDescent="0.2">
      <c r="A14" s="33"/>
      <c r="B14" s="20"/>
      <c r="C14" s="20"/>
      <c r="D14" s="20"/>
      <c r="E14" s="20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</row>
    <row r="15" spans="1:20" ht="12" customHeight="1" x14ac:dyDescent="0.2">
      <c r="A15" s="21"/>
      <c r="B15" s="80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99"/>
      <c r="R15" s="1140" t="s">
        <v>126</v>
      </c>
      <c r="S15" s="1094"/>
      <c r="T15" s="1094"/>
    </row>
    <row r="16" spans="1:20" ht="12" customHeight="1" x14ac:dyDescent="0.2">
      <c r="A16" s="844" t="s">
        <v>324</v>
      </c>
      <c r="B16" s="1149" t="s">
        <v>209</v>
      </c>
      <c r="C16" s="1080"/>
      <c r="D16" s="1080"/>
      <c r="E16" s="706" t="s">
        <v>265</v>
      </c>
      <c r="F16" s="845">
        <f t="shared" ref="F16:Q16" si="6">+F4</f>
        <v>44771</v>
      </c>
      <c r="G16" s="707">
        <f t="shared" si="6"/>
        <v>44799</v>
      </c>
      <c r="H16" s="707">
        <f t="shared" si="6"/>
        <v>44827</v>
      </c>
      <c r="I16" s="707">
        <f t="shared" si="6"/>
        <v>44855</v>
      </c>
      <c r="J16" s="707">
        <f t="shared" si="6"/>
        <v>44883</v>
      </c>
      <c r="K16" s="707">
        <f t="shared" si="6"/>
        <v>44911</v>
      </c>
      <c r="L16" s="707">
        <f t="shared" si="6"/>
        <v>44939</v>
      </c>
      <c r="M16" s="707">
        <f t="shared" si="6"/>
        <v>44967</v>
      </c>
      <c r="N16" s="707">
        <f t="shared" si="6"/>
        <v>44995</v>
      </c>
      <c r="O16" s="707">
        <f t="shared" si="6"/>
        <v>45023</v>
      </c>
      <c r="P16" s="707">
        <f t="shared" si="6"/>
        <v>45051</v>
      </c>
      <c r="Q16" s="814">
        <f t="shared" si="6"/>
        <v>45079</v>
      </c>
      <c r="R16" s="725">
        <f>+Q16</f>
        <v>45079</v>
      </c>
      <c r="S16" s="655">
        <f>+R16+365</f>
        <v>45444</v>
      </c>
      <c r="T16" s="655">
        <f>+S16+365</f>
        <v>45809</v>
      </c>
    </row>
    <row r="17" spans="1:20" ht="12" customHeight="1" x14ac:dyDescent="0.2">
      <c r="A17" s="846" t="s">
        <v>325</v>
      </c>
      <c r="B17" s="1146" t="s">
        <v>326</v>
      </c>
      <c r="C17" s="1094"/>
      <c r="D17" s="1094"/>
      <c r="E17" s="847">
        <f>+B73</f>
        <v>250000</v>
      </c>
      <c r="F17" s="727">
        <f t="shared" ref="F17:Q17" si="7">+D76+D90</f>
        <v>249458.92235380458</v>
      </c>
      <c r="G17" s="728">
        <f t="shared" si="7"/>
        <v>248915.13931937818</v>
      </c>
      <c r="H17" s="728">
        <f t="shared" si="7"/>
        <v>248368.63736977967</v>
      </c>
      <c r="I17" s="728">
        <f t="shared" si="7"/>
        <v>247819.40291043316</v>
      </c>
      <c r="J17" s="728">
        <f t="shared" si="7"/>
        <v>247267.42227878992</v>
      </c>
      <c r="K17" s="728">
        <f t="shared" si="7"/>
        <v>246712.68174398845</v>
      </c>
      <c r="L17" s="728">
        <f t="shared" si="7"/>
        <v>246155.16750651298</v>
      </c>
      <c r="M17" s="728">
        <f t="shared" si="7"/>
        <v>245594.86569785012</v>
      </c>
      <c r="N17" s="728">
        <f t="shared" si="7"/>
        <v>245031.76238014398</v>
      </c>
      <c r="O17" s="728">
        <f t="shared" si="7"/>
        <v>244465.84354584929</v>
      </c>
      <c r="P17" s="728">
        <f t="shared" si="7"/>
        <v>243897.09511738311</v>
      </c>
      <c r="Q17" s="728">
        <f t="shared" si="7"/>
        <v>243325.50294677462</v>
      </c>
      <c r="R17" s="711">
        <f>+Q17</f>
        <v>243325.50294677462</v>
      </c>
      <c r="S17" s="714">
        <f>+O80+O94</f>
        <v>236239.33752001025</v>
      </c>
      <c r="T17" s="670">
        <f>+O84+O98</f>
        <v>228716.11291521316</v>
      </c>
    </row>
    <row r="18" spans="1:20" ht="12" customHeight="1" x14ac:dyDescent="0.2">
      <c r="A18" s="848" t="s">
        <v>46</v>
      </c>
      <c r="B18" s="1129"/>
      <c r="C18" s="1129"/>
      <c r="D18" s="1129"/>
      <c r="E18" s="100"/>
      <c r="F18" s="742">
        <f t="shared" ref="F18:Q18" si="8">+F17-E17</f>
        <v>-541.07764619542286</v>
      </c>
      <c r="G18" s="743">
        <f t="shared" si="8"/>
        <v>-543.78303442639299</v>
      </c>
      <c r="H18" s="743">
        <f t="shared" si="8"/>
        <v>-546.50194959851797</v>
      </c>
      <c r="I18" s="743">
        <f t="shared" si="8"/>
        <v>-549.23445934650954</v>
      </c>
      <c r="J18" s="743">
        <f t="shared" si="8"/>
        <v>-551.98063164323685</v>
      </c>
      <c r="K18" s="743">
        <f t="shared" si="8"/>
        <v>-554.74053480147268</v>
      </c>
      <c r="L18" s="743">
        <f t="shared" si="8"/>
        <v>-557.51423747546505</v>
      </c>
      <c r="M18" s="743">
        <f t="shared" si="8"/>
        <v>-560.30180866285809</v>
      </c>
      <c r="N18" s="743">
        <f t="shared" si="8"/>
        <v>-563.10331770614721</v>
      </c>
      <c r="O18" s="743">
        <f t="shared" si="8"/>
        <v>-565.91883429468726</v>
      </c>
      <c r="P18" s="743">
        <f t="shared" si="8"/>
        <v>-568.74842846617685</v>
      </c>
      <c r="Q18" s="743">
        <f t="shared" si="8"/>
        <v>-571.59217060849187</v>
      </c>
      <c r="R18" s="733">
        <f>SUM(F18:Q18)</f>
        <v>-6674.4970532253792</v>
      </c>
      <c r="S18" s="718">
        <f>+S17-R17</f>
        <v>-7086.1654267643753</v>
      </c>
      <c r="T18" s="744">
        <f>+T17-S17</f>
        <v>-7523.2246047970839</v>
      </c>
    </row>
    <row r="19" spans="1:20" ht="12" customHeight="1" x14ac:dyDescent="0.2">
      <c r="A19" s="846" t="s">
        <v>327</v>
      </c>
      <c r="B19" s="299"/>
      <c r="E19" s="830">
        <f>+Historical!C33</f>
        <v>0</v>
      </c>
      <c r="F19" s="626">
        <f>+(E19+E20)+F20</f>
        <v>0</v>
      </c>
      <c r="G19" s="668">
        <f t="shared" ref="G19:Q19" si="9">+F19+G20</f>
        <v>0</v>
      </c>
      <c r="H19" s="668">
        <f t="shared" si="9"/>
        <v>0</v>
      </c>
      <c r="I19" s="668">
        <f t="shared" si="9"/>
        <v>0</v>
      </c>
      <c r="J19" s="668">
        <f t="shared" si="9"/>
        <v>0</v>
      </c>
      <c r="K19" s="668">
        <f t="shared" si="9"/>
        <v>0</v>
      </c>
      <c r="L19" s="668">
        <f t="shared" si="9"/>
        <v>0</v>
      </c>
      <c r="M19" s="668">
        <f t="shared" si="9"/>
        <v>0</v>
      </c>
      <c r="N19" s="668">
        <f t="shared" si="9"/>
        <v>0</v>
      </c>
      <c r="O19" s="668">
        <f t="shared" si="9"/>
        <v>0</v>
      </c>
      <c r="P19" s="668">
        <f t="shared" si="9"/>
        <v>0</v>
      </c>
      <c r="Q19" s="849">
        <f t="shared" si="9"/>
        <v>0</v>
      </c>
      <c r="R19" s="711">
        <f>+Q19</f>
        <v>0</v>
      </c>
      <c r="S19" s="714">
        <f>+R19+S20</f>
        <v>0</v>
      </c>
      <c r="T19" s="714">
        <f>+S19+T20</f>
        <v>0</v>
      </c>
    </row>
    <row r="20" spans="1:20" ht="15.75" customHeight="1" x14ac:dyDescent="0.2">
      <c r="A20" s="848" t="s">
        <v>328</v>
      </c>
      <c r="B20" s="1143" t="s">
        <v>320</v>
      </c>
      <c r="C20" s="1129"/>
      <c r="D20" s="1130"/>
      <c r="E20" s="850"/>
      <c r="F20" s="851"/>
      <c r="G20" s="732"/>
      <c r="H20" s="732"/>
      <c r="I20" s="732"/>
      <c r="J20" s="732"/>
      <c r="K20" s="732"/>
      <c r="L20" s="732"/>
      <c r="M20" s="732"/>
      <c r="N20" s="732"/>
      <c r="O20" s="732"/>
      <c r="P20" s="732"/>
      <c r="Q20" s="732"/>
      <c r="R20" s="733">
        <f>+SUM(F20:Q20)</f>
        <v>0</v>
      </c>
      <c r="S20" s="852">
        <f>-$I20/25</f>
        <v>0</v>
      </c>
      <c r="T20" s="852">
        <f>-$I20/25</f>
        <v>0</v>
      </c>
    </row>
    <row r="21" spans="1:20" ht="12" customHeight="1" x14ac:dyDescent="0.2">
      <c r="A21" s="846" t="s">
        <v>329</v>
      </c>
      <c r="B21" s="298"/>
      <c r="E21" s="830">
        <f>+Historical!C37</f>
        <v>0</v>
      </c>
      <c r="F21" s="758">
        <f>+(E21+E22)+F22</f>
        <v>0</v>
      </c>
      <c r="G21" s="712">
        <f t="shared" ref="G21:Q21" si="10">F21+G22</f>
        <v>0</v>
      </c>
      <c r="H21" s="712">
        <f t="shared" si="10"/>
        <v>0</v>
      </c>
      <c r="I21" s="712">
        <f t="shared" si="10"/>
        <v>0</v>
      </c>
      <c r="J21" s="712">
        <f t="shared" si="10"/>
        <v>0</v>
      </c>
      <c r="K21" s="712">
        <f t="shared" si="10"/>
        <v>0</v>
      </c>
      <c r="L21" s="712">
        <f t="shared" si="10"/>
        <v>0</v>
      </c>
      <c r="M21" s="712">
        <f t="shared" si="10"/>
        <v>0</v>
      </c>
      <c r="N21" s="712">
        <f t="shared" si="10"/>
        <v>0</v>
      </c>
      <c r="O21" s="712">
        <f t="shared" si="10"/>
        <v>0</v>
      </c>
      <c r="P21" s="712">
        <f t="shared" si="10"/>
        <v>0</v>
      </c>
      <c r="Q21" s="715">
        <f t="shared" si="10"/>
        <v>0</v>
      </c>
      <c r="R21" s="711">
        <f>+Q21</f>
        <v>0</v>
      </c>
      <c r="S21" s="714">
        <f>+R21+S22</f>
        <v>0</v>
      </c>
      <c r="T21" s="714">
        <f>+S21+T22</f>
        <v>0</v>
      </c>
    </row>
    <row r="22" spans="1:20" ht="15.75" customHeight="1" x14ac:dyDescent="0.2">
      <c r="A22" s="848" t="s">
        <v>52</v>
      </c>
      <c r="B22" s="1143" t="s">
        <v>320</v>
      </c>
      <c r="C22" s="1129"/>
      <c r="D22" s="1130"/>
      <c r="E22" s="853"/>
      <c r="F22" s="851"/>
      <c r="G22" s="732"/>
      <c r="H22" s="732"/>
      <c r="I22" s="732"/>
      <c r="J22" s="732"/>
      <c r="K22" s="732"/>
      <c r="L22" s="732"/>
      <c r="M22" s="732"/>
      <c r="N22" s="732"/>
      <c r="O22" s="732"/>
      <c r="P22" s="732"/>
      <c r="Q22" s="854"/>
      <c r="R22" s="733">
        <f>SUM(F22:Q22)</f>
        <v>0</v>
      </c>
      <c r="S22" s="855"/>
      <c r="T22" s="855"/>
    </row>
    <row r="23" spans="1:20" ht="12" customHeight="1" x14ac:dyDescent="0.2">
      <c r="A23" s="856" t="s">
        <v>330</v>
      </c>
      <c r="B23" s="1142" t="s">
        <v>331</v>
      </c>
      <c r="C23" s="1094"/>
      <c r="D23" s="1094"/>
      <c r="E23" s="830">
        <f>+Historical!D38</f>
        <v>0</v>
      </c>
      <c r="F23" s="758">
        <f>+(E23+E24)+F24</f>
        <v>30000</v>
      </c>
      <c r="G23" s="712">
        <f t="shared" ref="G23:Q23" si="11">+F23+G24</f>
        <v>30000</v>
      </c>
      <c r="H23" s="712">
        <f t="shared" si="11"/>
        <v>30000</v>
      </c>
      <c r="I23" s="712">
        <f t="shared" si="11"/>
        <v>30000</v>
      </c>
      <c r="J23" s="712">
        <f t="shared" si="11"/>
        <v>30000</v>
      </c>
      <c r="K23" s="712">
        <f t="shared" si="11"/>
        <v>30000</v>
      </c>
      <c r="L23" s="712">
        <f t="shared" si="11"/>
        <v>30000</v>
      </c>
      <c r="M23" s="712">
        <f t="shared" si="11"/>
        <v>30000</v>
      </c>
      <c r="N23" s="712">
        <f t="shared" si="11"/>
        <v>30000</v>
      </c>
      <c r="O23" s="712">
        <f t="shared" si="11"/>
        <v>30000</v>
      </c>
      <c r="P23" s="712">
        <f t="shared" si="11"/>
        <v>30000</v>
      </c>
      <c r="Q23" s="715">
        <f t="shared" si="11"/>
        <v>30000</v>
      </c>
      <c r="R23" s="711">
        <f>+Q23</f>
        <v>30000</v>
      </c>
      <c r="S23" s="714">
        <f>+R23+S24</f>
        <v>30000</v>
      </c>
      <c r="T23" s="714">
        <f>+S23+T24</f>
        <v>30000</v>
      </c>
    </row>
    <row r="24" spans="1:20" ht="12" customHeight="1" x14ac:dyDescent="0.2">
      <c r="A24" s="857" t="s">
        <v>332</v>
      </c>
      <c r="B24" s="1147" t="s">
        <v>333</v>
      </c>
      <c r="C24" s="1115"/>
      <c r="D24" s="1115"/>
      <c r="E24" s="852">
        <v>30000</v>
      </c>
      <c r="F24" s="858"/>
      <c r="G24" s="672"/>
      <c r="H24" s="672"/>
      <c r="I24" s="672"/>
      <c r="J24" s="672"/>
      <c r="K24" s="672"/>
      <c r="L24" s="672"/>
      <c r="M24" s="672"/>
      <c r="N24" s="672"/>
      <c r="O24" s="672"/>
      <c r="P24" s="672"/>
      <c r="Q24" s="672"/>
      <c r="R24" s="502">
        <f>+SUM(F24:Q24)</f>
        <v>0</v>
      </c>
      <c r="S24" s="859"/>
      <c r="T24" s="855"/>
    </row>
    <row r="25" spans="1:20" ht="12" customHeight="1" x14ac:dyDescent="0.2">
      <c r="A25" s="684" t="s">
        <v>334</v>
      </c>
      <c r="B25" s="739"/>
      <c r="E25" s="860"/>
      <c r="F25" s="431">
        <f t="shared" ref="F25:T25" si="12">+F18+F20+F22+F24</f>
        <v>-541.07764619542286</v>
      </c>
      <c r="G25" s="432">
        <f t="shared" si="12"/>
        <v>-543.78303442639299</v>
      </c>
      <c r="H25" s="432">
        <f t="shared" si="12"/>
        <v>-546.50194959851797</v>
      </c>
      <c r="I25" s="432">
        <f t="shared" si="12"/>
        <v>-549.23445934650954</v>
      </c>
      <c r="J25" s="432">
        <f t="shared" si="12"/>
        <v>-551.98063164323685</v>
      </c>
      <c r="K25" s="432">
        <f t="shared" si="12"/>
        <v>-554.74053480147268</v>
      </c>
      <c r="L25" s="432">
        <f t="shared" si="12"/>
        <v>-557.51423747546505</v>
      </c>
      <c r="M25" s="432">
        <f t="shared" si="12"/>
        <v>-560.30180866285809</v>
      </c>
      <c r="N25" s="432">
        <f t="shared" si="12"/>
        <v>-563.10331770614721</v>
      </c>
      <c r="O25" s="432">
        <f t="shared" si="12"/>
        <v>-565.91883429468726</v>
      </c>
      <c r="P25" s="432">
        <f t="shared" si="12"/>
        <v>-568.74842846617685</v>
      </c>
      <c r="Q25" s="740">
        <f t="shared" si="12"/>
        <v>-571.59217060849187</v>
      </c>
      <c r="R25" s="431">
        <f t="shared" si="12"/>
        <v>-6674.4970532253792</v>
      </c>
      <c r="S25" s="686">
        <f t="shared" si="12"/>
        <v>-7086.1654267643753</v>
      </c>
      <c r="T25" s="686">
        <f t="shared" si="12"/>
        <v>-7523.2246047970839</v>
      </c>
    </row>
    <row r="26" spans="1:20" ht="12" customHeight="1" x14ac:dyDescent="0.2">
      <c r="A26" s="101"/>
      <c r="B26" s="101"/>
      <c r="C26" s="101"/>
      <c r="D26" s="101"/>
      <c r="E26" s="101"/>
      <c r="F26" s="101"/>
      <c r="G26" s="101"/>
      <c r="H26" s="101"/>
      <c r="I26" s="101"/>
      <c r="J26" s="101"/>
      <c r="K26" s="101"/>
      <c r="L26" s="101"/>
      <c r="M26" s="101"/>
      <c r="N26" s="101"/>
      <c r="O26" s="101"/>
      <c r="P26" s="101"/>
      <c r="Q26" s="92"/>
      <c r="R26" s="92"/>
      <c r="S26" s="92"/>
      <c r="T26" s="92"/>
    </row>
    <row r="27" spans="1:20" ht="12" hidden="1" customHeight="1" x14ac:dyDescent="0.2">
      <c r="A27" s="703" t="s">
        <v>290</v>
      </c>
      <c r="B27" s="92"/>
      <c r="C27" s="92"/>
      <c r="D27" s="92"/>
      <c r="E27" s="92"/>
      <c r="F27" s="92"/>
      <c r="G27" s="92"/>
      <c r="H27" s="92"/>
      <c r="I27" s="92"/>
      <c r="J27" s="92"/>
      <c r="K27" s="92"/>
      <c r="L27" s="92"/>
      <c r="M27" s="92"/>
      <c r="N27" s="92"/>
      <c r="O27" s="92"/>
      <c r="P27" s="92"/>
      <c r="Q27" s="92"/>
      <c r="R27" s="92"/>
      <c r="S27" s="92"/>
      <c r="T27" s="92"/>
    </row>
    <row r="28" spans="1:20" ht="12" hidden="1" customHeight="1" x14ac:dyDescent="0.2">
      <c r="A28" s="492" t="s">
        <v>335</v>
      </c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</row>
    <row r="29" spans="1:20" ht="12" hidden="1" customHeight="1" x14ac:dyDescent="0.2">
      <c r="A29" s="861" t="s">
        <v>336</v>
      </c>
      <c r="B29" s="862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</row>
    <row r="30" spans="1:20" ht="12" hidden="1" customHeight="1" x14ac:dyDescent="0.2">
      <c r="A30" s="863" t="s">
        <v>337</v>
      </c>
      <c r="B30" s="864"/>
      <c r="C30" s="752" t="s">
        <v>302</v>
      </c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1150" t="s">
        <v>126</v>
      </c>
      <c r="P30" s="1115"/>
      <c r="Q30" s="1151"/>
      <c r="R30" s="9"/>
      <c r="S30" s="9"/>
      <c r="T30" s="9"/>
    </row>
    <row r="31" spans="1:20" ht="12" hidden="1" customHeight="1" x14ac:dyDescent="0.2">
      <c r="A31" s="865"/>
      <c r="B31" s="866" t="s">
        <v>295</v>
      </c>
      <c r="C31" s="867" t="s">
        <v>247</v>
      </c>
      <c r="D31" s="867" t="s">
        <v>247</v>
      </c>
      <c r="E31" s="867" t="s">
        <v>247</v>
      </c>
      <c r="F31" s="867" t="s">
        <v>247</v>
      </c>
      <c r="G31" s="867" t="s">
        <v>247</v>
      </c>
      <c r="H31" s="867" t="s">
        <v>247</v>
      </c>
      <c r="I31" s="867" t="s">
        <v>247</v>
      </c>
      <c r="J31" s="867" t="s">
        <v>247</v>
      </c>
      <c r="K31" s="867" t="s">
        <v>247</v>
      </c>
      <c r="L31" s="867" t="s">
        <v>247</v>
      </c>
      <c r="M31" s="867" t="s">
        <v>247</v>
      </c>
      <c r="N31" s="867" t="s">
        <v>247</v>
      </c>
      <c r="O31" s="868" t="s">
        <v>247</v>
      </c>
      <c r="P31" s="868" t="s">
        <v>247</v>
      </c>
      <c r="Q31" s="869" t="s">
        <v>247</v>
      </c>
      <c r="R31" s="9"/>
      <c r="S31" s="9"/>
      <c r="T31" s="9"/>
    </row>
    <row r="32" spans="1:20" ht="12" hidden="1" customHeight="1" x14ac:dyDescent="0.2">
      <c r="A32" s="777" t="s">
        <v>338</v>
      </c>
      <c r="B32" s="102"/>
      <c r="C32" s="341">
        <f>+'P&amp;L-COGS'!D22*$B29</f>
        <v>0</v>
      </c>
      <c r="D32" s="341">
        <f>+'P&amp;L-COGS'!E22*$B29</f>
        <v>0</v>
      </c>
      <c r="E32" s="341">
        <f>+'P&amp;L-COGS'!F22*$B29</f>
        <v>0</v>
      </c>
      <c r="F32" s="341">
        <f>+'P&amp;L-COGS'!G22*$B29</f>
        <v>0</v>
      </c>
      <c r="G32" s="341">
        <f>+'P&amp;L-COGS'!H22*$B29</f>
        <v>0</v>
      </c>
      <c r="H32" s="341">
        <f>+'P&amp;L-COGS'!I22*$B29</f>
        <v>0</v>
      </c>
      <c r="I32" s="341">
        <f>+'P&amp;L-COGS'!J22*$B29</f>
        <v>0</v>
      </c>
      <c r="J32" s="341">
        <f>+'P&amp;L-COGS'!K22*$B29</f>
        <v>0</v>
      </c>
      <c r="K32" s="341">
        <f>+'P&amp;L-COGS'!L22*$B29</f>
        <v>0</v>
      </c>
      <c r="L32" s="341">
        <f>+'P&amp;L-COGS'!M22*$B29</f>
        <v>0</v>
      </c>
      <c r="M32" s="341">
        <f>+'P&amp;L-COGS'!N22*$B29</f>
        <v>0</v>
      </c>
      <c r="N32" s="341">
        <f>+'P&amp;L-COGS'!O22*$B29</f>
        <v>0</v>
      </c>
      <c r="O32" s="341">
        <f>+SUM(C32:N32)</f>
        <v>0</v>
      </c>
      <c r="P32" s="341">
        <f>+'P&amp;L-COGS'!R22*B29</f>
        <v>0</v>
      </c>
      <c r="Q32" s="870">
        <f>+'P&amp;L-COGS'!T22*B29</f>
        <v>0</v>
      </c>
      <c r="R32" s="9"/>
      <c r="S32" s="9"/>
      <c r="T32" s="9"/>
    </row>
    <row r="33" spans="1:17" ht="12" hidden="1" customHeight="1" x14ac:dyDescent="0.2">
      <c r="A33" s="760" t="s">
        <v>297</v>
      </c>
      <c r="B33" s="871" t="s">
        <v>339</v>
      </c>
      <c r="C33" s="341">
        <f>+IF(B30=0,0,IF($B$30&lt;30,-$B33,-$B33/$B$30*30))</f>
        <v>0</v>
      </c>
      <c r="D33" s="341">
        <f>+IF($B$30&lt;=30,0,C33)</f>
        <v>0</v>
      </c>
      <c r="E33" s="341">
        <f>+IF($B$30&lt;=60,0,D33)</f>
        <v>0</v>
      </c>
      <c r="F33" s="872" t="s">
        <v>247</v>
      </c>
      <c r="G33" s="12"/>
      <c r="H33" s="12"/>
      <c r="I33" s="12"/>
      <c r="J33" s="12"/>
      <c r="K33" s="12"/>
      <c r="L33" s="12"/>
      <c r="M33" s="12"/>
      <c r="N33" s="12"/>
      <c r="O33" s="341">
        <f t="shared" ref="O33:O46" si="13">SUM(C33:N33)</f>
        <v>0</v>
      </c>
      <c r="P33" s="47"/>
      <c r="Q33" s="104"/>
    </row>
    <row r="34" spans="1:17" ht="12" hidden="1" customHeight="1" x14ac:dyDescent="0.2">
      <c r="A34" s="780" t="str">
        <f>+C31</f>
        <v>#REF!</v>
      </c>
      <c r="B34" s="102"/>
      <c r="C34" s="9"/>
      <c r="D34" s="341">
        <f>+-IF($B$30&gt;30,0,C$32)</f>
        <v>0</v>
      </c>
      <c r="E34" s="341">
        <f>+-IF($B$30=60,C$32,0)</f>
        <v>0</v>
      </c>
      <c r="F34" s="341">
        <f>-IF($B$30=90,C$32,0)</f>
        <v>0</v>
      </c>
      <c r="G34" s="341">
        <f>-IF($B$30=120,C$32,0)</f>
        <v>0</v>
      </c>
      <c r="H34" s="12"/>
      <c r="I34" s="12"/>
      <c r="J34" s="12"/>
      <c r="K34" s="12"/>
      <c r="L34" s="12"/>
      <c r="M34" s="12"/>
      <c r="N34" s="12"/>
      <c r="O34" s="341">
        <f t="shared" si="13"/>
        <v>0</v>
      </c>
      <c r="P34" s="12"/>
      <c r="Q34" s="103"/>
    </row>
    <row r="35" spans="1:17" ht="12" hidden="1" customHeight="1" x14ac:dyDescent="0.2">
      <c r="A35" s="780" t="str">
        <f>+D31</f>
        <v>#REF!</v>
      </c>
      <c r="B35" s="102"/>
      <c r="C35" s="12"/>
      <c r="D35" s="12"/>
      <c r="E35" s="341">
        <f>+-IF($B$30&gt;30,0,D$32)</f>
        <v>0</v>
      </c>
      <c r="F35" s="341">
        <f>+-IF($B$30=60,D$32,0)</f>
        <v>0</v>
      </c>
      <c r="G35" s="341">
        <f>-IF($B$30=90,D$32,0)</f>
        <v>0</v>
      </c>
      <c r="H35" s="341">
        <f>-IF($B$30=120,D$32,0)</f>
        <v>0</v>
      </c>
      <c r="I35" s="12"/>
      <c r="J35" s="12"/>
      <c r="K35" s="12"/>
      <c r="L35" s="12"/>
      <c r="M35" s="12"/>
      <c r="N35" s="12"/>
      <c r="O35" s="341">
        <f t="shared" si="13"/>
        <v>0</v>
      </c>
      <c r="P35" s="12"/>
      <c r="Q35" s="103"/>
    </row>
    <row r="36" spans="1:17" ht="12" hidden="1" customHeight="1" x14ac:dyDescent="0.2">
      <c r="A36" s="780" t="str">
        <f>+E31</f>
        <v>#REF!</v>
      </c>
      <c r="B36" s="102"/>
      <c r="C36" s="12"/>
      <c r="D36" s="12"/>
      <c r="E36" s="12"/>
      <c r="F36" s="341">
        <f>+-IF($B$30&gt;30,0,E$32)</f>
        <v>0</v>
      </c>
      <c r="G36" s="341">
        <f>+-IF($B$30=60,E$32,0)</f>
        <v>0</v>
      </c>
      <c r="H36" s="341">
        <f>-IF($B$30=90,E$32,0)</f>
        <v>0</v>
      </c>
      <c r="I36" s="341">
        <f>-IF($B$30=120,E$32,0)</f>
        <v>0</v>
      </c>
      <c r="J36" s="12"/>
      <c r="K36" s="12"/>
      <c r="L36" s="12"/>
      <c r="M36" s="12"/>
      <c r="N36" s="12"/>
      <c r="O36" s="341">
        <f t="shared" si="13"/>
        <v>0</v>
      </c>
      <c r="P36" s="12"/>
      <c r="Q36" s="103"/>
    </row>
    <row r="37" spans="1:17" ht="12" hidden="1" customHeight="1" x14ac:dyDescent="0.2">
      <c r="A37" s="780" t="str">
        <f>+F31</f>
        <v>#REF!</v>
      </c>
      <c r="B37" s="102"/>
      <c r="C37" s="12"/>
      <c r="D37" s="12"/>
      <c r="E37" s="12"/>
      <c r="F37" s="12"/>
      <c r="G37" s="341">
        <f>+-IF($B$30&gt;30,0,F$32)</f>
        <v>0</v>
      </c>
      <c r="H37" s="341">
        <f>+-IF($B$30=60,F$32,0)</f>
        <v>0</v>
      </c>
      <c r="I37" s="341">
        <f>-IF($B$30=90,F$32,0)</f>
        <v>0</v>
      </c>
      <c r="J37" s="341">
        <f>-IF($B$30=120,F$32,0)</f>
        <v>0</v>
      </c>
      <c r="K37" s="12"/>
      <c r="L37" s="12"/>
      <c r="M37" s="12"/>
      <c r="N37" s="12"/>
      <c r="O37" s="341">
        <f t="shared" si="13"/>
        <v>0</v>
      </c>
      <c r="P37" s="12"/>
      <c r="Q37" s="103"/>
    </row>
    <row r="38" spans="1:17" ht="12" hidden="1" customHeight="1" x14ac:dyDescent="0.2">
      <c r="A38" s="780" t="str">
        <f>+G31</f>
        <v>#REF!</v>
      </c>
      <c r="B38" s="102"/>
      <c r="C38" s="12"/>
      <c r="D38" s="12"/>
      <c r="E38" s="12"/>
      <c r="F38" s="12"/>
      <c r="G38" s="12"/>
      <c r="H38" s="341">
        <f>+-IF($B$30&gt;30,0,G$32)</f>
        <v>0</v>
      </c>
      <c r="I38" s="341">
        <f>+-IF($B$30=60,G$32,0)</f>
        <v>0</v>
      </c>
      <c r="J38" s="341">
        <f>-IF($B$30=90,G$32,0)</f>
        <v>0</v>
      </c>
      <c r="K38" s="341">
        <f>-IF($B$30=120,G$32,0)</f>
        <v>0</v>
      </c>
      <c r="L38" s="12"/>
      <c r="M38" s="12"/>
      <c r="N38" s="12"/>
      <c r="O38" s="341">
        <f t="shared" si="13"/>
        <v>0</v>
      </c>
      <c r="P38" s="12"/>
      <c r="Q38" s="103"/>
    </row>
    <row r="39" spans="1:17" ht="12" hidden="1" customHeight="1" x14ac:dyDescent="0.2">
      <c r="A39" s="780" t="str">
        <f>+H31</f>
        <v>#REF!</v>
      </c>
      <c r="B39" s="102"/>
      <c r="C39" s="12"/>
      <c r="D39" s="12"/>
      <c r="E39" s="12"/>
      <c r="F39" s="12"/>
      <c r="G39" s="12"/>
      <c r="H39" s="12"/>
      <c r="I39" s="341">
        <f>+-IF($B$30&gt;30,0,H$32)</f>
        <v>0</v>
      </c>
      <c r="J39" s="341">
        <f>+-IF($B$30=60,H$32,0)</f>
        <v>0</v>
      </c>
      <c r="K39" s="341">
        <f>-IF($B$30=90,H$32,0)</f>
        <v>0</v>
      </c>
      <c r="L39" s="341">
        <f>-IF($B$30=120,H$32,0)</f>
        <v>0</v>
      </c>
      <c r="M39" s="12"/>
      <c r="N39" s="12"/>
      <c r="O39" s="341">
        <f t="shared" si="13"/>
        <v>0</v>
      </c>
      <c r="P39" s="12"/>
      <c r="Q39" s="103"/>
    </row>
    <row r="40" spans="1:17" ht="12" hidden="1" customHeight="1" x14ac:dyDescent="0.2">
      <c r="A40" s="780" t="str">
        <f>+I31</f>
        <v>#REF!</v>
      </c>
      <c r="B40" s="102"/>
      <c r="C40" s="12"/>
      <c r="D40" s="12"/>
      <c r="E40" s="12"/>
      <c r="F40" s="12"/>
      <c r="G40" s="12"/>
      <c r="H40" s="12"/>
      <c r="I40" s="12"/>
      <c r="J40" s="341">
        <f>+-IF($B$30&gt;30,0,I$32)</f>
        <v>0</v>
      </c>
      <c r="K40" s="341">
        <f>+-IF($B$30=60,I$32,0)</f>
        <v>0</v>
      </c>
      <c r="L40" s="341">
        <f>-IF($B$30=90,I$32,0)</f>
        <v>0</v>
      </c>
      <c r="M40" s="341">
        <f>-IF($B$30=120,I$32,0)</f>
        <v>0</v>
      </c>
      <c r="N40" s="12"/>
      <c r="O40" s="341">
        <f t="shared" si="13"/>
        <v>0</v>
      </c>
      <c r="P40" s="12"/>
      <c r="Q40" s="103"/>
    </row>
    <row r="41" spans="1:17" ht="12" hidden="1" customHeight="1" x14ac:dyDescent="0.2">
      <c r="A41" s="780" t="str">
        <f>+J31</f>
        <v>#REF!</v>
      </c>
      <c r="B41" s="102"/>
      <c r="C41" s="12"/>
      <c r="D41" s="12"/>
      <c r="E41" s="12"/>
      <c r="F41" s="12"/>
      <c r="G41" s="12"/>
      <c r="H41" s="12"/>
      <c r="I41" s="12"/>
      <c r="J41" s="12"/>
      <c r="K41" s="341">
        <f>+-IF($B$30&gt;30,0,J$32)</f>
        <v>0</v>
      </c>
      <c r="L41" s="341">
        <f>+-IF($B$30=60,J$32,0)</f>
        <v>0</v>
      </c>
      <c r="M41" s="341">
        <f>-IF($B$30=90,J$32,0)</f>
        <v>0</v>
      </c>
      <c r="N41" s="341">
        <f>-IF($B$30=120,J$32,0)</f>
        <v>0</v>
      </c>
      <c r="O41" s="341">
        <f t="shared" si="13"/>
        <v>0</v>
      </c>
      <c r="P41" s="12"/>
      <c r="Q41" s="103"/>
    </row>
    <row r="42" spans="1:17" ht="12" hidden="1" customHeight="1" x14ac:dyDescent="0.2">
      <c r="A42" s="780" t="str">
        <f>+K31</f>
        <v>#REF!</v>
      </c>
      <c r="B42" s="102"/>
      <c r="C42" s="12"/>
      <c r="D42" s="12"/>
      <c r="E42" s="12"/>
      <c r="F42" s="12"/>
      <c r="G42" s="12"/>
      <c r="H42" s="12"/>
      <c r="I42" s="12"/>
      <c r="J42" s="12"/>
      <c r="K42" s="12"/>
      <c r="L42" s="341">
        <f>+-IF($B$30&gt;30,0,K$32)</f>
        <v>0</v>
      </c>
      <c r="M42" s="341">
        <f>+-IF($B$30=60,K$32,0)</f>
        <v>0</v>
      </c>
      <c r="N42" s="341">
        <f>-IF($B$30=90,K$32,0)</f>
        <v>0</v>
      </c>
      <c r="O42" s="341">
        <f t="shared" si="13"/>
        <v>0</v>
      </c>
      <c r="P42" s="12"/>
      <c r="Q42" s="103"/>
    </row>
    <row r="43" spans="1:17" ht="12" hidden="1" customHeight="1" x14ac:dyDescent="0.2">
      <c r="A43" s="780" t="str">
        <f>+L31</f>
        <v>#REF!</v>
      </c>
      <c r="B43" s="10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341">
        <f>+-IF($B$30&gt;30,0,L$32)</f>
        <v>0</v>
      </c>
      <c r="N43" s="341">
        <f>+-IF($B$30=60,L$32,0)</f>
        <v>0</v>
      </c>
      <c r="O43" s="341">
        <f t="shared" si="13"/>
        <v>0</v>
      </c>
      <c r="P43" s="12"/>
      <c r="Q43" s="103"/>
    </row>
    <row r="44" spans="1:17" ht="12" hidden="1" customHeight="1" x14ac:dyDescent="0.2">
      <c r="A44" s="780" t="str">
        <f>+M31</f>
        <v>#REF!</v>
      </c>
      <c r="B44" s="10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341">
        <f>+-IF($B$30&gt;30,0,M$32)</f>
        <v>0</v>
      </c>
      <c r="O44" s="341">
        <f t="shared" si="13"/>
        <v>0</v>
      </c>
      <c r="P44" s="12"/>
      <c r="Q44" s="103"/>
    </row>
    <row r="45" spans="1:17" ht="12" hidden="1" customHeight="1" x14ac:dyDescent="0.2">
      <c r="A45" s="780" t="str">
        <f>+N31</f>
        <v>#REF!</v>
      </c>
      <c r="B45" s="10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341">
        <f t="shared" si="13"/>
        <v>0</v>
      </c>
      <c r="P45" s="12"/>
      <c r="Q45" s="103"/>
    </row>
    <row r="46" spans="1:17" ht="12" hidden="1" customHeight="1" x14ac:dyDescent="0.2">
      <c r="A46" s="873" t="s">
        <v>298</v>
      </c>
      <c r="B46" s="874">
        <f t="shared" ref="B46:N46" si="14">SUM(B32:B45)</f>
        <v>0</v>
      </c>
      <c r="C46" s="769">
        <f t="shared" si="14"/>
        <v>0</v>
      </c>
      <c r="D46" s="769">
        <f t="shared" si="14"/>
        <v>0</v>
      </c>
      <c r="E46" s="769">
        <f t="shared" si="14"/>
        <v>0</v>
      </c>
      <c r="F46" s="769">
        <f t="shared" si="14"/>
        <v>0</v>
      </c>
      <c r="G46" s="769">
        <f t="shared" si="14"/>
        <v>0</v>
      </c>
      <c r="H46" s="769">
        <f t="shared" si="14"/>
        <v>0</v>
      </c>
      <c r="I46" s="769">
        <f t="shared" si="14"/>
        <v>0</v>
      </c>
      <c r="J46" s="769">
        <f t="shared" si="14"/>
        <v>0</v>
      </c>
      <c r="K46" s="769">
        <f t="shared" si="14"/>
        <v>0</v>
      </c>
      <c r="L46" s="769">
        <f t="shared" si="14"/>
        <v>0</v>
      </c>
      <c r="M46" s="769">
        <f t="shared" si="14"/>
        <v>0</v>
      </c>
      <c r="N46" s="769">
        <f t="shared" si="14"/>
        <v>0</v>
      </c>
      <c r="O46" s="769">
        <f t="shared" si="13"/>
        <v>0</v>
      </c>
      <c r="P46" s="769">
        <f>-O47+P32-(IF($B30=30,P32/12*11,IF($B30=60,P32/12*10,IF($B30=90,P32/12*9,IF($B30=120,P32/12*8,0)))))</f>
        <v>0</v>
      </c>
      <c r="Q46" s="875">
        <f>-P47+Q32-(IF($B30=30,Q32/12*11,IF($B30=60,Q32/12*10,IF($B30=90,Q32/12*9,IF($B30=120,Q32/12*8,0)))))</f>
        <v>0</v>
      </c>
    </row>
    <row r="47" spans="1:17" ht="18" hidden="1" customHeight="1" x14ac:dyDescent="0.2">
      <c r="A47" s="876" t="s">
        <v>299</v>
      </c>
      <c r="B47" s="877">
        <f>+B46</f>
        <v>0</v>
      </c>
      <c r="C47" s="878">
        <f t="shared" ref="C47:N47" si="15">+B47+C46</f>
        <v>0</v>
      </c>
      <c r="D47" s="878">
        <f t="shared" si="15"/>
        <v>0</v>
      </c>
      <c r="E47" s="878">
        <f t="shared" si="15"/>
        <v>0</v>
      </c>
      <c r="F47" s="878">
        <f t="shared" si="15"/>
        <v>0</v>
      </c>
      <c r="G47" s="878">
        <f t="shared" si="15"/>
        <v>0</v>
      </c>
      <c r="H47" s="878">
        <f t="shared" si="15"/>
        <v>0</v>
      </c>
      <c r="I47" s="878">
        <f t="shared" si="15"/>
        <v>0</v>
      </c>
      <c r="J47" s="878">
        <f t="shared" si="15"/>
        <v>0</v>
      </c>
      <c r="K47" s="878">
        <f t="shared" si="15"/>
        <v>0</v>
      </c>
      <c r="L47" s="878">
        <f t="shared" si="15"/>
        <v>0</v>
      </c>
      <c r="M47" s="878">
        <f t="shared" si="15"/>
        <v>0</v>
      </c>
      <c r="N47" s="878">
        <f t="shared" si="15"/>
        <v>0</v>
      </c>
      <c r="O47" s="878">
        <f>+N47</f>
        <v>0</v>
      </c>
      <c r="P47" s="878">
        <f>+O47+P46</f>
        <v>0</v>
      </c>
      <c r="Q47" s="879">
        <f>+P47+Q46</f>
        <v>0</v>
      </c>
    </row>
    <row r="48" spans="1:17" x14ac:dyDescent="0.2"/>
    <row r="49" spans="1:18" ht="12" hidden="1" customHeight="1" x14ac:dyDescent="0.2">
      <c r="A49" s="492" t="s">
        <v>340</v>
      </c>
      <c r="B49" s="105"/>
      <c r="C49" s="106"/>
      <c r="D49" s="93"/>
      <c r="E49" s="93"/>
      <c r="F49" s="93"/>
      <c r="G49" s="93"/>
      <c r="H49" s="93"/>
      <c r="I49" s="93"/>
      <c r="J49" s="93"/>
      <c r="K49" s="93"/>
      <c r="L49" s="93"/>
      <c r="M49" s="93"/>
      <c r="N49" s="93"/>
      <c r="O49" s="93"/>
      <c r="P49" s="93"/>
      <c r="Q49" s="93"/>
      <c r="R49" s="93"/>
    </row>
    <row r="50" spans="1:18" ht="12" hidden="1" customHeight="1" x14ac:dyDescent="0.2">
      <c r="A50" s="861" t="s">
        <v>341</v>
      </c>
      <c r="B50" s="107"/>
      <c r="C50" s="752" t="s">
        <v>342</v>
      </c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</row>
    <row r="51" spans="1:18" ht="12" hidden="1" customHeight="1" x14ac:dyDescent="0.2">
      <c r="A51" s="880" t="s">
        <v>343</v>
      </c>
      <c r="B51" s="881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1144" t="s">
        <v>126</v>
      </c>
      <c r="P51" s="1094"/>
      <c r="Q51" s="1095"/>
      <c r="R51" s="9"/>
    </row>
    <row r="52" spans="1:18" ht="12" hidden="1" customHeight="1" x14ac:dyDescent="0.2">
      <c r="A52" s="882"/>
      <c r="B52" s="753" t="s">
        <v>295</v>
      </c>
      <c r="C52" s="775" t="str">
        <f t="shared" ref="C52:N52" si="16">+C31</f>
        <v>#REF!</v>
      </c>
      <c r="D52" s="775" t="str">
        <f t="shared" si="16"/>
        <v>#REF!</v>
      </c>
      <c r="E52" s="775" t="str">
        <f t="shared" si="16"/>
        <v>#REF!</v>
      </c>
      <c r="F52" s="775" t="str">
        <f t="shared" si="16"/>
        <v>#REF!</v>
      </c>
      <c r="G52" s="775" t="str">
        <f t="shared" si="16"/>
        <v>#REF!</v>
      </c>
      <c r="H52" s="775" t="str">
        <f t="shared" si="16"/>
        <v>#REF!</v>
      </c>
      <c r="I52" s="775" t="str">
        <f t="shared" si="16"/>
        <v>#REF!</v>
      </c>
      <c r="J52" s="775" t="str">
        <f t="shared" si="16"/>
        <v>#REF!</v>
      </c>
      <c r="K52" s="775" t="str">
        <f t="shared" si="16"/>
        <v>#REF!</v>
      </c>
      <c r="L52" s="775" t="str">
        <f t="shared" si="16"/>
        <v>#REF!</v>
      </c>
      <c r="M52" s="775" t="str">
        <f t="shared" si="16"/>
        <v>#REF!</v>
      </c>
      <c r="N52" s="775" t="str">
        <f t="shared" si="16"/>
        <v>#REF!</v>
      </c>
      <c r="O52" s="883">
        <f>+O64</f>
        <v>45079</v>
      </c>
      <c r="P52" s="755">
        <f>+P64</f>
        <v>45444</v>
      </c>
      <c r="Q52" s="755">
        <f>+Q64</f>
        <v>45809</v>
      </c>
      <c r="R52" s="9"/>
    </row>
    <row r="53" spans="1:18" ht="12" hidden="1" customHeight="1" x14ac:dyDescent="0.2">
      <c r="A53" s="884" t="s">
        <v>344</v>
      </c>
      <c r="B53" s="254"/>
      <c r="C53" s="341">
        <f>+'P&amp;L-COGS'!D22*$B50</f>
        <v>0</v>
      </c>
      <c r="D53" s="341">
        <f>+'P&amp;L-COGS'!E22*$B50</f>
        <v>0</v>
      </c>
      <c r="E53" s="341">
        <f>+'P&amp;L-COGS'!F22*$B50</f>
        <v>0</v>
      </c>
      <c r="F53" s="341">
        <f>+'P&amp;L-COGS'!G22*$B50</f>
        <v>0</v>
      </c>
      <c r="G53" s="341">
        <f>+'P&amp;L-COGS'!H22*$B50</f>
        <v>0</v>
      </c>
      <c r="H53" s="341">
        <f>+'P&amp;L-COGS'!I22*$B50</f>
        <v>0</v>
      </c>
      <c r="I53" s="341">
        <f>+'P&amp;L-COGS'!J22*$B50</f>
        <v>0</v>
      </c>
      <c r="J53" s="341">
        <f>+'P&amp;L-COGS'!K22*$B50</f>
        <v>0</v>
      </c>
      <c r="K53" s="341">
        <f>+'P&amp;L-COGS'!L22*$B50</f>
        <v>0</v>
      </c>
      <c r="L53" s="341">
        <f>+'P&amp;L-COGS'!M22*$B50</f>
        <v>0</v>
      </c>
      <c r="M53" s="341">
        <f>+'P&amp;L-COGS'!N22*$B50</f>
        <v>0</v>
      </c>
      <c r="N53" s="341">
        <f>+'P&amp;L-COGS'!O22*$B50</f>
        <v>0</v>
      </c>
      <c r="O53" s="885">
        <f>+SUM(C53:N53)</f>
        <v>0</v>
      </c>
      <c r="P53" s="763">
        <f>+'P&amp;L-COGS'!R22*$B50</f>
        <v>0</v>
      </c>
      <c r="Q53" s="763">
        <f>+'P&amp;L-COGS'!T22*$B50</f>
        <v>0</v>
      </c>
      <c r="R53" s="9"/>
    </row>
    <row r="54" spans="1:18" ht="12" hidden="1" customHeight="1" x14ac:dyDescent="0.2">
      <c r="A54" s="886" t="s">
        <v>345</v>
      </c>
      <c r="B54" s="254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885">
        <f>+SUM(C54:N54)</f>
        <v>0</v>
      </c>
      <c r="P54" s="254"/>
      <c r="Q54" s="254"/>
      <c r="R54" s="9"/>
    </row>
    <row r="55" spans="1:18" ht="12" hidden="1" customHeight="1" x14ac:dyDescent="0.2">
      <c r="A55" s="886" t="s">
        <v>346</v>
      </c>
      <c r="B55" s="254"/>
      <c r="C55" s="887">
        <f t="shared" ref="C55:N55" si="17">SUM(C53:C54)</f>
        <v>0</v>
      </c>
      <c r="D55" s="888">
        <f t="shared" si="17"/>
        <v>0</v>
      </c>
      <c r="E55" s="888">
        <f t="shared" si="17"/>
        <v>0</v>
      </c>
      <c r="F55" s="888">
        <f t="shared" si="17"/>
        <v>0</v>
      </c>
      <c r="G55" s="888">
        <f t="shared" si="17"/>
        <v>0</v>
      </c>
      <c r="H55" s="888">
        <f t="shared" si="17"/>
        <v>0</v>
      </c>
      <c r="I55" s="888">
        <f t="shared" si="17"/>
        <v>0</v>
      </c>
      <c r="J55" s="888">
        <f t="shared" si="17"/>
        <v>0</v>
      </c>
      <c r="K55" s="888">
        <f t="shared" si="17"/>
        <v>0</v>
      </c>
      <c r="L55" s="888">
        <f t="shared" si="17"/>
        <v>0</v>
      </c>
      <c r="M55" s="888">
        <f t="shared" si="17"/>
        <v>0</v>
      </c>
      <c r="N55" s="888">
        <f t="shared" si="17"/>
        <v>0</v>
      </c>
      <c r="O55" s="887">
        <f>+SUM(C55:N55)</f>
        <v>0</v>
      </c>
      <c r="P55" s="766">
        <f>SUM(P53:P54)</f>
        <v>0</v>
      </c>
      <c r="Q55" s="766">
        <f>SUM(Q53:Q54)</f>
        <v>0</v>
      </c>
      <c r="R55" s="9"/>
    </row>
    <row r="56" spans="1:18" ht="12" hidden="1" customHeight="1" x14ac:dyDescent="0.2">
      <c r="A56" s="886" t="s">
        <v>347</v>
      </c>
      <c r="B56" s="254"/>
      <c r="C56" s="889">
        <f>+B56*$B51/12</f>
        <v>0</v>
      </c>
      <c r="D56" s="889">
        <f t="shared" ref="D56:N56" si="18">+C59*$B51/12</f>
        <v>0</v>
      </c>
      <c r="E56" s="889">
        <f t="shared" si="18"/>
        <v>0</v>
      </c>
      <c r="F56" s="889">
        <f t="shared" si="18"/>
        <v>0</v>
      </c>
      <c r="G56" s="889">
        <f t="shared" si="18"/>
        <v>0</v>
      </c>
      <c r="H56" s="889">
        <f t="shared" si="18"/>
        <v>0</v>
      </c>
      <c r="I56" s="889">
        <f t="shared" si="18"/>
        <v>0</v>
      </c>
      <c r="J56" s="889">
        <f t="shared" si="18"/>
        <v>0</v>
      </c>
      <c r="K56" s="889">
        <f t="shared" si="18"/>
        <v>0</v>
      </c>
      <c r="L56" s="889">
        <f t="shared" si="18"/>
        <v>0</v>
      </c>
      <c r="M56" s="889">
        <f t="shared" si="18"/>
        <v>0</v>
      </c>
      <c r="N56" s="889">
        <f t="shared" si="18"/>
        <v>0</v>
      </c>
      <c r="O56" s="885">
        <f>SUM(C56:N56)</f>
        <v>0</v>
      </c>
      <c r="P56" s="763">
        <f>+(O59*$B51/12)+(P55/12*11*$B51/12)</f>
        <v>0</v>
      </c>
      <c r="Q56" s="763">
        <f>+(P59*$B51/12)+(Q55/12*11*$B51/12)</f>
        <v>0</v>
      </c>
      <c r="R56" s="9"/>
    </row>
    <row r="57" spans="1:18" ht="12" hidden="1" customHeight="1" x14ac:dyDescent="0.2">
      <c r="A57" s="890" t="s">
        <v>348</v>
      </c>
      <c r="B57" s="254"/>
      <c r="C57" s="314"/>
      <c r="D57" s="314"/>
      <c r="E57" s="314"/>
      <c r="F57" s="314"/>
      <c r="G57" s="314"/>
      <c r="H57" s="314"/>
      <c r="I57" s="314"/>
      <c r="J57" s="314"/>
      <c r="K57" s="314"/>
      <c r="L57" s="314"/>
      <c r="M57" s="314"/>
      <c r="N57" s="314"/>
      <c r="O57" s="885">
        <f>SUM(C57:N57)</f>
        <v>0</v>
      </c>
      <c r="P57" s="891"/>
      <c r="Q57" s="891"/>
      <c r="R57" s="9"/>
    </row>
    <row r="58" spans="1:18" ht="12" hidden="1" customHeight="1" x14ac:dyDescent="0.2">
      <c r="A58" s="892" t="s">
        <v>298</v>
      </c>
      <c r="B58" s="768">
        <f>SUM(B53:B57)</f>
        <v>0</v>
      </c>
      <c r="C58" s="769">
        <f>C55+C56+C57</f>
        <v>0</v>
      </c>
      <c r="D58" s="769">
        <f t="shared" ref="D58:N58" si="19">+D55+D56+D57</f>
        <v>0</v>
      </c>
      <c r="E58" s="769">
        <f t="shared" si="19"/>
        <v>0</v>
      </c>
      <c r="F58" s="769">
        <f t="shared" si="19"/>
        <v>0</v>
      </c>
      <c r="G58" s="769">
        <f t="shared" si="19"/>
        <v>0</v>
      </c>
      <c r="H58" s="769">
        <f t="shared" si="19"/>
        <v>0</v>
      </c>
      <c r="I58" s="769">
        <f t="shared" si="19"/>
        <v>0</v>
      </c>
      <c r="J58" s="769">
        <f t="shared" si="19"/>
        <v>0</v>
      </c>
      <c r="K58" s="769">
        <f t="shared" si="19"/>
        <v>0</v>
      </c>
      <c r="L58" s="769">
        <f t="shared" si="19"/>
        <v>0</v>
      </c>
      <c r="M58" s="769">
        <f t="shared" si="19"/>
        <v>0</v>
      </c>
      <c r="N58" s="769">
        <f t="shared" si="19"/>
        <v>0</v>
      </c>
      <c r="O58" s="893">
        <f>SUM(C58:N58)</f>
        <v>0</v>
      </c>
      <c r="P58" s="768">
        <f>+P55+P56+P57</f>
        <v>0</v>
      </c>
      <c r="Q58" s="768">
        <f>+Q55+Q56+Q57</f>
        <v>0</v>
      </c>
      <c r="R58" s="9"/>
    </row>
    <row r="59" spans="1:18" ht="18" hidden="1" customHeight="1" x14ac:dyDescent="0.2">
      <c r="A59" s="894" t="s">
        <v>299</v>
      </c>
      <c r="B59" s="895">
        <f>+Historical!C29</f>
        <v>0</v>
      </c>
      <c r="C59" s="878">
        <f t="shared" ref="C59:N59" si="20">+B59+C58</f>
        <v>0</v>
      </c>
      <c r="D59" s="878">
        <f t="shared" si="20"/>
        <v>0</v>
      </c>
      <c r="E59" s="878">
        <f t="shared" si="20"/>
        <v>0</v>
      </c>
      <c r="F59" s="878">
        <f t="shared" si="20"/>
        <v>0</v>
      </c>
      <c r="G59" s="878">
        <f t="shared" si="20"/>
        <v>0</v>
      </c>
      <c r="H59" s="878">
        <f t="shared" si="20"/>
        <v>0</v>
      </c>
      <c r="I59" s="878">
        <f t="shared" si="20"/>
        <v>0</v>
      </c>
      <c r="J59" s="878">
        <f t="shared" si="20"/>
        <v>0</v>
      </c>
      <c r="K59" s="878">
        <f t="shared" si="20"/>
        <v>0</v>
      </c>
      <c r="L59" s="878">
        <f t="shared" si="20"/>
        <v>0</v>
      </c>
      <c r="M59" s="878">
        <f t="shared" si="20"/>
        <v>0</v>
      </c>
      <c r="N59" s="878">
        <f t="shared" si="20"/>
        <v>0</v>
      </c>
      <c r="O59" s="896">
        <f>+N59</f>
        <v>0</v>
      </c>
      <c r="P59" s="895">
        <f>+O59+P58</f>
        <v>0</v>
      </c>
      <c r="Q59" s="895">
        <f>+P59+Q58</f>
        <v>0</v>
      </c>
      <c r="R59" s="9"/>
    </row>
    <row r="60" spans="1:18" ht="18" customHeight="1" x14ac:dyDescent="0.2">
      <c r="A60" s="108"/>
      <c r="B60" s="109"/>
      <c r="C60" s="109"/>
      <c r="D60" s="109"/>
      <c r="E60" s="109"/>
      <c r="F60" s="109"/>
      <c r="G60" s="109"/>
      <c r="H60" s="109"/>
      <c r="I60" s="109"/>
      <c r="J60" s="109"/>
      <c r="K60" s="109"/>
      <c r="L60" s="109"/>
      <c r="M60" s="109"/>
      <c r="N60" s="109"/>
      <c r="O60" s="109"/>
      <c r="P60" s="109"/>
      <c r="Q60" s="109"/>
      <c r="R60" s="9"/>
    </row>
    <row r="61" spans="1:18" ht="12" customHeight="1" x14ac:dyDescent="0.2">
      <c r="A61" s="703" t="s">
        <v>349</v>
      </c>
      <c r="B61" s="106"/>
      <c r="C61" s="106"/>
      <c r="D61" s="92"/>
      <c r="E61" s="92"/>
      <c r="F61" s="92"/>
      <c r="G61" s="92"/>
      <c r="H61" s="92"/>
      <c r="I61" s="92"/>
      <c r="J61" s="92"/>
      <c r="K61" s="92"/>
      <c r="L61" s="92"/>
      <c r="M61" s="92"/>
      <c r="N61" s="105"/>
      <c r="O61" s="110"/>
      <c r="P61" s="110"/>
      <c r="Q61" s="110"/>
      <c r="R61" s="110"/>
    </row>
    <row r="62" spans="1:18" ht="12" customHeight="1" x14ac:dyDescent="0.2">
      <c r="A62" s="92"/>
      <c r="B62" s="106"/>
      <c r="C62" s="106"/>
      <c r="D62" s="92"/>
      <c r="E62" s="92"/>
      <c r="F62" s="92"/>
      <c r="G62" s="92"/>
      <c r="H62" s="92"/>
      <c r="I62" s="92"/>
      <c r="J62" s="92"/>
      <c r="K62" s="92"/>
      <c r="L62" s="92"/>
      <c r="M62" s="92"/>
      <c r="N62" s="105"/>
      <c r="O62" s="110"/>
      <c r="P62" s="110"/>
      <c r="Q62" s="110"/>
      <c r="R62" s="110"/>
    </row>
    <row r="63" spans="1:18" ht="12" customHeight="1" x14ac:dyDescent="0.2">
      <c r="A63" s="897" t="s">
        <v>350</v>
      </c>
      <c r="B63" s="111"/>
      <c r="C63" s="111"/>
      <c r="D63" s="111"/>
      <c r="E63" s="111"/>
      <c r="F63" s="111"/>
      <c r="G63" s="111"/>
      <c r="H63" s="111"/>
      <c r="I63" s="111"/>
      <c r="J63" s="111"/>
      <c r="K63" s="111"/>
      <c r="L63" s="111"/>
      <c r="M63" s="111"/>
      <c r="N63" s="111"/>
      <c r="O63" s="111"/>
      <c r="P63" s="898"/>
    </row>
    <row r="64" spans="1:18" ht="12" customHeight="1" x14ac:dyDescent="0.2">
      <c r="A64" s="899" t="s">
        <v>351</v>
      </c>
      <c r="B64" s="900">
        <v>10000</v>
      </c>
      <c r="C64" s="901">
        <f>+'BAL-Liabilities &amp; Equity'!F16</f>
        <v>44771</v>
      </c>
      <c r="D64" s="901">
        <f>+'BAL-Liabilities &amp; Equity'!G16</f>
        <v>44799</v>
      </c>
      <c r="E64" s="901">
        <f>+'BAL-Liabilities &amp; Equity'!H16</f>
        <v>44827</v>
      </c>
      <c r="F64" s="901">
        <f>+'BAL-Liabilities &amp; Equity'!I16</f>
        <v>44855</v>
      </c>
      <c r="G64" s="901">
        <f>+'BAL-Liabilities &amp; Equity'!J16</f>
        <v>44883</v>
      </c>
      <c r="H64" s="901">
        <f>+'BAL-Liabilities &amp; Equity'!K16</f>
        <v>44911</v>
      </c>
      <c r="I64" s="901">
        <f>+'BAL-Liabilities &amp; Equity'!L16</f>
        <v>44939</v>
      </c>
      <c r="J64" s="901">
        <f>+'BAL-Liabilities &amp; Equity'!M16</f>
        <v>44967</v>
      </c>
      <c r="K64" s="901">
        <f>+'BAL-Liabilities &amp; Equity'!N16</f>
        <v>44995</v>
      </c>
      <c r="L64" s="901">
        <f>+'BAL-Liabilities &amp; Equity'!O16</f>
        <v>45023</v>
      </c>
      <c r="M64" s="901">
        <f>+'BAL-Liabilities &amp; Equity'!P16</f>
        <v>45051</v>
      </c>
      <c r="N64" s="901">
        <f>+'BAL-Liabilities &amp; Equity'!Q16</f>
        <v>45079</v>
      </c>
      <c r="O64" s="902">
        <f>+N64</f>
        <v>45079</v>
      </c>
      <c r="P64" s="903">
        <f>+O64+365</f>
        <v>45444</v>
      </c>
      <c r="Q64" s="904">
        <f>+P64+365</f>
        <v>45809</v>
      </c>
      <c r="R64" s="92"/>
    </row>
    <row r="65" spans="1:18" ht="12" customHeight="1" x14ac:dyDescent="0.2">
      <c r="A65" s="905" t="s">
        <v>352</v>
      </c>
      <c r="B65" s="112"/>
      <c r="C65" s="906">
        <f>+'Detail CF Projections'!C71</f>
        <v>103529.56902047124</v>
      </c>
      <c r="D65" s="907">
        <f>'Detail CF Projections'!D71</f>
        <v>87593.682040942498</v>
      </c>
      <c r="E65" s="907">
        <f>+'Detail CF Projections'!E71</f>
        <v>87151.741061413748</v>
      </c>
      <c r="F65" s="907">
        <f>+'Detail CF Projections'!F71</f>
        <v>86763.14808188501</v>
      </c>
      <c r="G65" s="907">
        <f>+'Detail CF Projections'!G71</f>
        <v>86287.305102356273</v>
      </c>
      <c r="H65" s="907">
        <f>+'Detail CF Projections'!H71</f>
        <v>85750.614122827523</v>
      </c>
      <c r="I65" s="907">
        <f>+'Detail CF Projections'!I71</f>
        <v>85292.957143298787</v>
      </c>
      <c r="J65" s="907">
        <f>+'Detail CF Projections'!J71</f>
        <v>89634.580163770035</v>
      </c>
      <c r="K65" s="907">
        <f>+'Detail CF Projections'!K71</f>
        <v>113091.08118424131</v>
      </c>
      <c r="L65" s="907">
        <f>+'Detail CF Projections'!L71</f>
        <v>139857.05820471258</v>
      </c>
      <c r="M65" s="907">
        <f>+'Detail CF Projections'!M71</f>
        <v>173088.84922518383</v>
      </c>
      <c r="N65" s="908">
        <f>+'Detail CF Projections'!N71</f>
        <v>211636.4542456551</v>
      </c>
      <c r="O65" s="906">
        <f>+'Detail CF Projections'!O71</f>
        <v>211636.45424565504</v>
      </c>
      <c r="P65" s="909">
        <f>+'Detail CF Projections'!P71</f>
        <v>324733.83482708584</v>
      </c>
      <c r="Q65" s="910">
        <f>+'Detail CF Projections'!Q71</f>
        <v>473047.52890087105</v>
      </c>
      <c r="R65" s="92"/>
    </row>
    <row r="66" spans="1:18" ht="12" customHeight="1" x14ac:dyDescent="0.2">
      <c r="A66" s="911" t="s">
        <v>353</v>
      </c>
      <c r="B66" s="259"/>
      <c r="C66" s="912">
        <f>+C65-$B64</f>
        <v>93529.569020471245</v>
      </c>
      <c r="D66" s="913">
        <f>+D65-B64</f>
        <v>77593.682040942498</v>
      </c>
      <c r="E66" s="913">
        <f t="shared" ref="E66:Q66" si="21">+E65-$B64</f>
        <v>77151.741061413748</v>
      </c>
      <c r="F66" s="913">
        <f t="shared" si="21"/>
        <v>76763.14808188501</v>
      </c>
      <c r="G66" s="913">
        <f t="shared" si="21"/>
        <v>76287.305102356273</v>
      </c>
      <c r="H66" s="913">
        <f t="shared" si="21"/>
        <v>75750.614122827523</v>
      </c>
      <c r="I66" s="913">
        <f t="shared" si="21"/>
        <v>75292.957143298787</v>
      </c>
      <c r="J66" s="913">
        <f t="shared" si="21"/>
        <v>79634.580163770035</v>
      </c>
      <c r="K66" s="913">
        <f t="shared" si="21"/>
        <v>103091.08118424131</v>
      </c>
      <c r="L66" s="913">
        <f t="shared" si="21"/>
        <v>129857.05820471258</v>
      </c>
      <c r="M66" s="913">
        <f t="shared" si="21"/>
        <v>163088.84922518383</v>
      </c>
      <c r="N66" s="914">
        <f t="shared" si="21"/>
        <v>201636.4542456551</v>
      </c>
      <c r="O66" s="912">
        <f t="shared" si="21"/>
        <v>201636.45424565504</v>
      </c>
      <c r="P66" s="915">
        <f t="shared" si="21"/>
        <v>314733.83482708584</v>
      </c>
      <c r="Q66" s="916">
        <f t="shared" si="21"/>
        <v>463047.52890087105</v>
      </c>
      <c r="R66" s="92"/>
    </row>
    <row r="67" spans="1:18" ht="12" customHeight="1" x14ac:dyDescent="0.2">
      <c r="A67" s="917" t="s">
        <v>354</v>
      </c>
      <c r="B67" s="260"/>
      <c r="C67" s="918"/>
      <c r="D67" s="919">
        <v>2100</v>
      </c>
      <c r="E67" s="919">
        <v>13700</v>
      </c>
      <c r="F67" s="919">
        <v>9100</v>
      </c>
      <c r="G67" s="919">
        <v>3600</v>
      </c>
      <c r="H67" s="920"/>
      <c r="I67" s="920"/>
      <c r="J67" s="920"/>
      <c r="K67" s="920"/>
      <c r="L67" s="920"/>
      <c r="M67" s="920"/>
      <c r="N67" s="921"/>
      <c r="O67" s="922">
        <f>+SUM(C67:N67)</f>
        <v>28500</v>
      </c>
      <c r="P67" s="923"/>
      <c r="Q67" s="921"/>
      <c r="R67" s="92"/>
    </row>
    <row r="68" spans="1:18" ht="12" customHeight="1" x14ac:dyDescent="0.2">
      <c r="A68" s="917" t="s">
        <v>355</v>
      </c>
      <c r="B68" s="260"/>
      <c r="C68" s="918"/>
      <c r="D68" s="920"/>
      <c r="E68" s="920"/>
      <c r="F68" s="920"/>
      <c r="G68" s="920"/>
      <c r="H68" s="919">
        <v>-2633</v>
      </c>
      <c r="I68" s="919">
        <v>-12717</v>
      </c>
      <c r="J68" s="919">
        <v>-13896</v>
      </c>
      <c r="K68" s="920"/>
      <c r="L68" s="920"/>
      <c r="M68" s="920"/>
      <c r="N68" s="921"/>
      <c r="O68" s="922">
        <f>+SUM(C68:N68)</f>
        <v>-29246</v>
      </c>
      <c r="P68" s="923"/>
      <c r="Q68" s="921"/>
      <c r="R68" s="92"/>
    </row>
    <row r="69" spans="1:18" ht="12" customHeight="1" x14ac:dyDescent="0.2">
      <c r="A69" s="924" t="s">
        <v>356</v>
      </c>
      <c r="B69" s="925">
        <v>0.08</v>
      </c>
      <c r="C69" s="113"/>
      <c r="D69" s="926">
        <f>C70*$B69/12</f>
        <v>0</v>
      </c>
      <c r="E69" s="926">
        <f t="shared" ref="E69:N69" si="22">IF(D70&gt;0,D70*$B69/12,0)</f>
        <v>14</v>
      </c>
      <c r="F69" s="926">
        <f t="shared" si="22"/>
        <v>105.42666666666668</v>
      </c>
      <c r="G69" s="926">
        <f t="shared" si="22"/>
        <v>166.79617777777779</v>
      </c>
      <c r="H69" s="926">
        <f t="shared" si="22"/>
        <v>191.90815229629629</v>
      </c>
      <c r="I69" s="926">
        <f t="shared" si="22"/>
        <v>175.63420664493825</v>
      </c>
      <c r="J69" s="926">
        <f t="shared" si="22"/>
        <v>92.025101355904511</v>
      </c>
      <c r="K69" s="926">
        <f t="shared" si="22"/>
        <v>0</v>
      </c>
      <c r="L69" s="926">
        <f t="shared" si="22"/>
        <v>0</v>
      </c>
      <c r="M69" s="926">
        <f t="shared" si="22"/>
        <v>0</v>
      </c>
      <c r="N69" s="926">
        <f t="shared" si="22"/>
        <v>0</v>
      </c>
      <c r="O69" s="927">
        <f>SUM(C69:N69)</f>
        <v>745.79030474158355</v>
      </c>
      <c r="P69" s="928">
        <f>+O70*$B69</f>
        <v>-1.677562067343729E-2</v>
      </c>
      <c r="Q69" s="929">
        <f>+P70*$B69</f>
        <v>-1.8117670327312273E-2</v>
      </c>
      <c r="R69" s="92"/>
    </row>
    <row r="70" spans="1:18" ht="12" customHeight="1" x14ac:dyDescent="0.2">
      <c r="A70" s="930" t="s">
        <v>357</v>
      </c>
      <c r="B70" s="931">
        <v>0</v>
      </c>
      <c r="C70" s="932">
        <f>+C67+C68+C69</f>
        <v>0</v>
      </c>
      <c r="D70" s="933">
        <f t="shared" ref="D70:N70" si="23">C70+D67+D68+D69</f>
        <v>2100</v>
      </c>
      <c r="E70" s="933">
        <f t="shared" si="23"/>
        <v>15814</v>
      </c>
      <c r="F70" s="933">
        <f t="shared" si="23"/>
        <v>25019.426666666666</v>
      </c>
      <c r="G70" s="933">
        <f t="shared" si="23"/>
        <v>28786.222844444444</v>
      </c>
      <c r="H70" s="933">
        <f t="shared" si="23"/>
        <v>26345.13099674074</v>
      </c>
      <c r="I70" s="933">
        <f t="shared" si="23"/>
        <v>13803.765203385678</v>
      </c>
      <c r="J70" s="933">
        <f t="shared" si="23"/>
        <v>-0.2096952584179661</v>
      </c>
      <c r="K70" s="933">
        <f t="shared" si="23"/>
        <v>-0.2096952584179661</v>
      </c>
      <c r="L70" s="933">
        <f t="shared" si="23"/>
        <v>-0.2096952584179661</v>
      </c>
      <c r="M70" s="933">
        <f t="shared" si="23"/>
        <v>-0.2096952584179661</v>
      </c>
      <c r="N70" s="933">
        <f t="shared" si="23"/>
        <v>-0.2096952584179661</v>
      </c>
      <c r="O70" s="932">
        <f>+N70</f>
        <v>-0.2096952584179661</v>
      </c>
      <c r="P70" s="934">
        <f>+O70+P67+P69+P68</f>
        <v>-0.2264708790914034</v>
      </c>
      <c r="Q70" s="935">
        <f>+P70+Q67+Q69+Q68</f>
        <v>-0.24458854941871566</v>
      </c>
      <c r="R70" s="92"/>
    </row>
    <row r="71" spans="1:18" ht="12" customHeight="1" x14ac:dyDescent="0.2">
      <c r="A71" s="92"/>
      <c r="B71" s="92"/>
      <c r="C71" s="92"/>
      <c r="D71" s="114"/>
      <c r="E71" s="92"/>
      <c r="F71" s="92"/>
      <c r="G71" s="92"/>
      <c r="H71" s="92"/>
      <c r="I71" s="92"/>
      <c r="J71" s="92"/>
      <c r="K71" s="92"/>
      <c r="L71" s="92"/>
      <c r="M71" s="92"/>
      <c r="N71" s="92"/>
      <c r="O71" s="92"/>
      <c r="P71" s="92"/>
      <c r="Q71" s="92"/>
      <c r="R71" s="92"/>
    </row>
    <row r="72" spans="1:18" ht="12" customHeight="1" x14ac:dyDescent="0.2">
      <c r="A72" s="936" t="s">
        <v>358</v>
      </c>
      <c r="B72" s="937" t="s">
        <v>359</v>
      </c>
      <c r="C72" s="76"/>
      <c r="D72" s="76"/>
      <c r="E72" s="76"/>
      <c r="F72" s="76"/>
      <c r="G72" s="76"/>
      <c r="H72" s="76"/>
      <c r="I72" s="76"/>
      <c r="J72" s="76"/>
      <c r="K72" s="76"/>
      <c r="L72" s="76"/>
      <c r="M72" s="76"/>
      <c r="N72" s="76"/>
      <c r="O72" s="76"/>
      <c r="P72" s="898"/>
    </row>
    <row r="73" spans="1:18" ht="12" customHeight="1" x14ac:dyDescent="0.2">
      <c r="A73" s="938" t="s">
        <v>360</v>
      </c>
      <c r="B73" s="939">
        <v>250000</v>
      </c>
      <c r="C73" s="940" t="s">
        <v>361</v>
      </c>
      <c r="D73" s="941">
        <f t="shared" ref="D73:O73" si="24">+C64</f>
        <v>44771</v>
      </c>
      <c r="E73" s="941">
        <f t="shared" si="24"/>
        <v>44799</v>
      </c>
      <c r="F73" s="941">
        <f t="shared" si="24"/>
        <v>44827</v>
      </c>
      <c r="G73" s="941">
        <f t="shared" si="24"/>
        <v>44855</v>
      </c>
      <c r="H73" s="941">
        <f t="shared" si="24"/>
        <v>44883</v>
      </c>
      <c r="I73" s="941">
        <f t="shared" si="24"/>
        <v>44911</v>
      </c>
      <c r="J73" s="941">
        <f t="shared" si="24"/>
        <v>44939</v>
      </c>
      <c r="K73" s="941">
        <f t="shared" si="24"/>
        <v>44967</v>
      </c>
      <c r="L73" s="941">
        <f t="shared" si="24"/>
        <v>44995</v>
      </c>
      <c r="M73" s="941">
        <f t="shared" si="24"/>
        <v>45023</v>
      </c>
      <c r="N73" s="941">
        <f t="shared" si="24"/>
        <v>45051</v>
      </c>
      <c r="O73" s="941">
        <f t="shared" si="24"/>
        <v>45079</v>
      </c>
      <c r="P73" s="942">
        <f>+O73</f>
        <v>45079</v>
      </c>
      <c r="Q73" s="115"/>
      <c r="R73" s="115"/>
    </row>
    <row r="74" spans="1:18" ht="12" customHeight="1" x14ac:dyDescent="0.2">
      <c r="A74" s="943" t="s">
        <v>362</v>
      </c>
      <c r="B74" s="944">
        <v>0.06</v>
      </c>
      <c r="C74" s="945" t="s">
        <v>363</v>
      </c>
      <c r="D74" s="946">
        <f>+IF($B$77=1,B73*$B74/12,0)</f>
        <v>1250</v>
      </c>
      <c r="E74" s="946">
        <f>IF($B$77=2,$B$73*$B$74/12,IF(D74&gt;0,+D76*$B$74/12,0))</f>
        <v>1247.2946117690228</v>
      </c>
      <c r="F74" s="946">
        <f>IF($B$77=3,$B$73*$B$74/12,IF(E74&gt;0,+E76*$B$74/12,0))</f>
        <v>1244.575696596891</v>
      </c>
      <c r="G74" s="946">
        <f>IF($B$77=4,$B$73*$B$74/12,IF(F74&gt;0,+F76*$B$74/12,0))</f>
        <v>1241.8431868488983</v>
      </c>
      <c r="H74" s="946">
        <f>IF($B$77=5,$B$73*$B$74/12,IF(G74&gt;0,+G76*$B$74/12,0))</f>
        <v>1239.0970145521658</v>
      </c>
      <c r="I74" s="946">
        <f>IF($B$77=6,$B$73*$B$74/12,IF(H74&gt;0,+H76*$B$74/12,0))</f>
        <v>1236.3371113939495</v>
      </c>
      <c r="J74" s="946">
        <f>IF($B$77=7,$B$73*$B$74/12,IF(I74&gt;0,+I76*$B$74/12,0))</f>
        <v>1233.5634087199421</v>
      </c>
      <c r="K74" s="946">
        <f>IF($B$77=8,$B$73*$B$74/12,IF(J74&gt;0,+J76*$B$74/12,0))</f>
        <v>1230.775837532565</v>
      </c>
      <c r="L74" s="946">
        <f>IF($B$77=9,$B$73*$B$74/12,IF(K74&gt;0,+K76*$B$74/12,0))</f>
        <v>1227.9743284892506</v>
      </c>
      <c r="M74" s="946">
        <f>IF($B$77=10,$B$73*$B$74/12,IF(L74&gt;0,+L76*$B$74/12,0))</f>
        <v>1225.1588119007199</v>
      </c>
      <c r="N74" s="946">
        <f>IF($B$77=11,$B$73*$B$74/12,IF(M74&gt;0,+M76*$B$74/12,0))</f>
        <v>1222.3292177292465</v>
      </c>
      <c r="O74" s="946">
        <f>IF($B$77=12,$B$73*$B$74/12,IF(N74&gt;0,+N76*$B$74/12,0))</f>
        <v>1219.4854755869155</v>
      </c>
      <c r="P74" s="947">
        <f>SUM(D74:O74)</f>
        <v>14818.434701119564</v>
      </c>
      <c r="Q74" s="105"/>
      <c r="R74" s="92"/>
    </row>
    <row r="75" spans="1:18" ht="12" customHeight="1" x14ac:dyDescent="0.2">
      <c r="A75" s="943" t="s">
        <v>364</v>
      </c>
      <c r="B75" s="948">
        <v>20</v>
      </c>
      <c r="C75" s="945" t="s">
        <v>365</v>
      </c>
      <c r="D75" s="946">
        <f>IF(D74=0,0,-$B76-D74)</f>
        <v>541.07764619541217</v>
      </c>
      <c r="E75" s="946">
        <f t="shared" ref="E75:O75" si="25">IF(E74=0,0,-$B$76-E74)</f>
        <v>543.78303442638935</v>
      </c>
      <c r="F75" s="946">
        <f t="shared" si="25"/>
        <v>546.50194959852115</v>
      </c>
      <c r="G75" s="946">
        <f t="shared" si="25"/>
        <v>549.23445934651386</v>
      </c>
      <c r="H75" s="946">
        <f t="shared" si="25"/>
        <v>551.9806316432464</v>
      </c>
      <c r="I75" s="946">
        <f t="shared" si="25"/>
        <v>554.74053480146267</v>
      </c>
      <c r="J75" s="946">
        <f t="shared" si="25"/>
        <v>557.51423747547005</v>
      </c>
      <c r="K75" s="946">
        <f t="shared" si="25"/>
        <v>560.30180866284718</v>
      </c>
      <c r="L75" s="946">
        <f t="shared" si="25"/>
        <v>563.10331770616153</v>
      </c>
      <c r="M75" s="946">
        <f t="shared" si="25"/>
        <v>565.91883429469226</v>
      </c>
      <c r="N75" s="946">
        <f t="shared" si="25"/>
        <v>568.74842846616571</v>
      </c>
      <c r="O75" s="946">
        <f t="shared" si="25"/>
        <v>571.59217060849664</v>
      </c>
      <c r="P75" s="947">
        <f>SUM(D75:O75)</f>
        <v>6674.4970532253801</v>
      </c>
      <c r="Q75" s="105"/>
      <c r="R75" s="92"/>
    </row>
    <row r="76" spans="1:18" ht="12" customHeight="1" x14ac:dyDescent="0.2">
      <c r="A76" s="943" t="s">
        <v>366</v>
      </c>
      <c r="B76" s="949">
        <f>+IF(B73=0,0,PMT(B74/12,B75*12,B73))</f>
        <v>-1791.0776461954122</v>
      </c>
      <c r="C76" s="950" t="s">
        <v>299</v>
      </c>
      <c r="D76" s="951">
        <f>+IF($B$77=1,$B$73-D75,0)</f>
        <v>249458.92235380458</v>
      </c>
      <c r="E76" s="951">
        <f>+IF($B$77=2,$B$73-E75,D76-E75)</f>
        <v>248915.13931937818</v>
      </c>
      <c r="F76" s="951">
        <f>+IF($B$77=3,$B$73-F75,E76-F75)</f>
        <v>248368.63736977967</v>
      </c>
      <c r="G76" s="951">
        <f>+IF($B$77=4,$B$73-G75,F76-G75)</f>
        <v>247819.40291043316</v>
      </c>
      <c r="H76" s="951">
        <f>+IF($B$77=5,$B$73-H75,G76-H75)</f>
        <v>247267.42227878992</v>
      </c>
      <c r="I76" s="951">
        <f>+IF($B$77=6,$B$73-I75,H76-I75)</f>
        <v>246712.68174398845</v>
      </c>
      <c r="J76" s="951">
        <f>+IF($B$77=7,$B$73-J75,I76-J75)</f>
        <v>246155.16750651298</v>
      </c>
      <c r="K76" s="951">
        <f>+IF($B$77=8,$B$73-K75,J76-K75)</f>
        <v>245594.86569785012</v>
      </c>
      <c r="L76" s="951">
        <f>+IF($B$77=9,$B$73-L75,K76-L75)</f>
        <v>245031.76238014398</v>
      </c>
      <c r="M76" s="951">
        <f>+IF($B$77=10,$B$73-M75,L76-M75)</f>
        <v>244465.84354584929</v>
      </c>
      <c r="N76" s="951">
        <f>+IF($B$77=11,$B$73-N75,M76-N75)</f>
        <v>243897.09511738311</v>
      </c>
      <c r="O76" s="951">
        <f>+IF($B$77=12,$B$73-O75,N76-O75)</f>
        <v>243325.50294677462</v>
      </c>
      <c r="P76" s="952">
        <f>+O76</f>
        <v>243325.50294677462</v>
      </c>
      <c r="Q76" s="105"/>
      <c r="R76" s="105"/>
    </row>
    <row r="77" spans="1:18" ht="12" customHeight="1" x14ac:dyDescent="0.2">
      <c r="A77" s="953" t="s">
        <v>367</v>
      </c>
      <c r="B77" s="954">
        <v>1</v>
      </c>
      <c r="C77" s="940" t="s">
        <v>368</v>
      </c>
      <c r="D77" s="941">
        <f t="shared" ref="D77:O77" si="26">+D73+365</f>
        <v>45136</v>
      </c>
      <c r="E77" s="941">
        <f t="shared" si="26"/>
        <v>45164</v>
      </c>
      <c r="F77" s="941">
        <f t="shared" si="26"/>
        <v>45192</v>
      </c>
      <c r="G77" s="941">
        <f t="shared" si="26"/>
        <v>45220</v>
      </c>
      <c r="H77" s="941">
        <f t="shared" si="26"/>
        <v>45248</v>
      </c>
      <c r="I77" s="941">
        <f t="shared" si="26"/>
        <v>45276</v>
      </c>
      <c r="J77" s="941">
        <f t="shared" si="26"/>
        <v>45304</v>
      </c>
      <c r="K77" s="941">
        <f t="shared" si="26"/>
        <v>45332</v>
      </c>
      <c r="L77" s="941">
        <f t="shared" si="26"/>
        <v>45360</v>
      </c>
      <c r="M77" s="941">
        <f t="shared" si="26"/>
        <v>45388</v>
      </c>
      <c r="N77" s="941">
        <f t="shared" si="26"/>
        <v>45416</v>
      </c>
      <c r="O77" s="941">
        <f t="shared" si="26"/>
        <v>45444</v>
      </c>
      <c r="P77" s="942">
        <f>+O77</f>
        <v>45444</v>
      </c>
      <c r="Q77" s="92"/>
      <c r="R77" s="92"/>
    </row>
    <row r="78" spans="1:18" ht="12" customHeight="1" x14ac:dyDescent="0.2">
      <c r="A78" s="92"/>
      <c r="B78" s="116"/>
      <c r="C78" s="955" t="s">
        <v>363</v>
      </c>
      <c r="D78" s="946">
        <f>IF($B$77=13,$B$73*$B74/12,IF(O74&gt;0,+O76*$B74/12,0))</f>
        <v>1216.6275147338731</v>
      </c>
      <c r="E78" s="946">
        <f>IF($B$77=14,$B$73*$B$74/12,IF(D78&gt;0,+D80*$B$74/12,0))</f>
        <v>1213.7552640765653</v>
      </c>
      <c r="F78" s="946">
        <f>IF($B$77=15,$B$73*$B$74/12,IF(E78&gt;0,+E80*$B$74/12,0))</f>
        <v>1210.8686521659711</v>
      </c>
      <c r="G78" s="946">
        <f>IF($B$77=16,$B$73*$B$74/12,IF(F78&gt;0,+F80*$B$74/12,0))</f>
        <v>1207.967607195824</v>
      </c>
      <c r="H78" s="946">
        <f>IF($B$77=17,$B$73*$B$74/12,IF(G78&gt;0,+G80*$B$74/12,0))</f>
        <v>1205.0520570008259</v>
      </c>
      <c r="I78" s="946">
        <f>IF($B$77=18,$B$73*$B$74/12,IF(H78&gt;0,+H80*$B$74/12,0))</f>
        <v>1202.1219290548531</v>
      </c>
      <c r="J78" s="946">
        <f>IF($B$77=19,$B$73*$B$74/12,IF(I78&gt;0,+I80*$B$74/12,0))</f>
        <v>1199.1771504691503</v>
      </c>
      <c r="K78" s="946">
        <f>IF($B$77=20,$B$73*$B$74/12,IF(J78&gt;0,+J80*$B$74/12,0))</f>
        <v>1196.217647990519</v>
      </c>
      <c r="L78" s="946">
        <f>IF($B$77=21,$B$73*$B$74/12,IF(K78&gt;0,+K80*$B$74/12,0))</f>
        <v>1193.2433479994945</v>
      </c>
      <c r="M78" s="946">
        <f>IF($B$77=22,$B$73*$B$74/12,IF(L78&gt;0,+L80*$B$74/12,0))</f>
        <v>1190.254176508515</v>
      </c>
      <c r="N78" s="946">
        <f>IF($B$77=23,$B$73*$B$74/12,IF(M78&gt;0,+M80*$B$74/12,0))</f>
        <v>1187.2500591600804</v>
      </c>
      <c r="O78" s="946">
        <f>IF($B$77=24,$B$73*$B$74/12,IF(N78&gt;0,+N80*$B$74/12,0))</f>
        <v>1184.2309212249036</v>
      </c>
      <c r="P78" s="947">
        <f>SUM(D78:O78)</f>
        <v>14406.766327580575</v>
      </c>
      <c r="Q78" s="92"/>
      <c r="R78" s="92"/>
    </row>
    <row r="79" spans="1:18" ht="12" customHeight="1" x14ac:dyDescent="0.2">
      <c r="A79" s="92"/>
      <c r="B79" s="92"/>
      <c r="C79" s="955" t="s">
        <v>365</v>
      </c>
      <c r="D79" s="946">
        <f>IF(D78=0,0,-$B76-D78)</f>
        <v>574.45013146153906</v>
      </c>
      <c r="E79" s="946">
        <f t="shared" ref="E79:O79" si="27">IF(E78=0,0,-$B$76-E78)</f>
        <v>577.32238211884692</v>
      </c>
      <c r="F79" s="946">
        <f t="shared" si="27"/>
        <v>580.2089940294411</v>
      </c>
      <c r="G79" s="946">
        <f t="shared" si="27"/>
        <v>583.11003899958814</v>
      </c>
      <c r="H79" s="946">
        <f t="shared" si="27"/>
        <v>586.02558919458625</v>
      </c>
      <c r="I79" s="946">
        <f t="shared" si="27"/>
        <v>588.95571714055905</v>
      </c>
      <c r="J79" s="946">
        <f t="shared" si="27"/>
        <v>591.90049572626185</v>
      </c>
      <c r="K79" s="946">
        <f t="shared" si="27"/>
        <v>594.85999820489315</v>
      </c>
      <c r="L79" s="946">
        <f t="shared" si="27"/>
        <v>597.83429819591765</v>
      </c>
      <c r="M79" s="946">
        <f t="shared" si="27"/>
        <v>600.82346968689717</v>
      </c>
      <c r="N79" s="946">
        <f t="shared" si="27"/>
        <v>603.82758703533182</v>
      </c>
      <c r="O79" s="946">
        <f t="shared" si="27"/>
        <v>606.8467249705086</v>
      </c>
      <c r="P79" s="947">
        <f>SUM(D79:O79)</f>
        <v>7086.1654267643698</v>
      </c>
      <c r="Q79" s="92"/>
      <c r="R79" s="92"/>
    </row>
    <row r="80" spans="1:18" ht="12" customHeight="1" x14ac:dyDescent="0.2">
      <c r="A80" s="92"/>
      <c r="B80" s="92"/>
      <c r="C80" s="956" t="s">
        <v>299</v>
      </c>
      <c r="D80" s="951">
        <f>+IF($B$77=13,$B$73-D79,O76-D79)</f>
        <v>242751.05281531307</v>
      </c>
      <c r="E80" s="951">
        <f>+IF($B$77=14,$B$73-E79,D80-E79)</f>
        <v>242173.73043319423</v>
      </c>
      <c r="F80" s="951">
        <f>+IF($B$77=15,$B$73-F79,E80-F79)</f>
        <v>241593.52143916479</v>
      </c>
      <c r="G80" s="951">
        <f>+IF($B$77=16,$B$73-G79,F80-G79)</f>
        <v>241010.41140016521</v>
      </c>
      <c r="H80" s="951">
        <f>+IF($B$77=17,$B$73-H79,G80-H79)</f>
        <v>240424.38581097062</v>
      </c>
      <c r="I80" s="951">
        <f>+IF($B$77=18,$B$73-I79,H80-I79)</f>
        <v>239835.43009383007</v>
      </c>
      <c r="J80" s="951">
        <f>+IF($B$77=19,$B$73-J79,I80-J79)</f>
        <v>239243.52959810381</v>
      </c>
      <c r="K80" s="951">
        <f>+IF($B$77=20,$B$73-K79,J80-K79)</f>
        <v>238648.66959989892</v>
      </c>
      <c r="L80" s="951">
        <f>+IF($B$77=21,$B$73-L79,K80-L79)</f>
        <v>238050.83530170299</v>
      </c>
      <c r="M80" s="951">
        <f>+IF($B$77=22,$B$73-M79,L80-M79)</f>
        <v>237450.01183201608</v>
      </c>
      <c r="N80" s="951">
        <f>+IF($B$77=23,$B$73-N79,M80-N79)</f>
        <v>236846.18424498074</v>
      </c>
      <c r="O80" s="951">
        <f>+IF($B$77=24,$B$73-O79,N80-O79)</f>
        <v>236239.33752001025</v>
      </c>
      <c r="P80" s="952">
        <f>+O80</f>
        <v>236239.33752001025</v>
      </c>
      <c r="Q80" s="92"/>
      <c r="R80" s="92"/>
    </row>
    <row r="81" spans="1:18" ht="12" customHeight="1" x14ac:dyDescent="0.2">
      <c r="A81" s="92"/>
      <c r="B81" s="92"/>
      <c r="C81" s="957" t="s">
        <v>369</v>
      </c>
      <c r="D81" s="941">
        <f t="shared" ref="D81:O81" si="28">+D77+365</f>
        <v>45501</v>
      </c>
      <c r="E81" s="941">
        <f t="shared" si="28"/>
        <v>45529</v>
      </c>
      <c r="F81" s="941">
        <f t="shared" si="28"/>
        <v>45557</v>
      </c>
      <c r="G81" s="941">
        <f t="shared" si="28"/>
        <v>45585</v>
      </c>
      <c r="H81" s="941">
        <f t="shared" si="28"/>
        <v>45613</v>
      </c>
      <c r="I81" s="941">
        <f t="shared" si="28"/>
        <v>45641</v>
      </c>
      <c r="J81" s="941">
        <f t="shared" si="28"/>
        <v>45669</v>
      </c>
      <c r="K81" s="941">
        <f t="shared" si="28"/>
        <v>45697</v>
      </c>
      <c r="L81" s="941">
        <f t="shared" si="28"/>
        <v>45725</v>
      </c>
      <c r="M81" s="941">
        <f t="shared" si="28"/>
        <v>45753</v>
      </c>
      <c r="N81" s="941">
        <f t="shared" si="28"/>
        <v>45781</v>
      </c>
      <c r="O81" s="941">
        <f t="shared" si="28"/>
        <v>45809</v>
      </c>
      <c r="P81" s="942">
        <f>+O81</f>
        <v>45809</v>
      </c>
      <c r="Q81" s="92"/>
      <c r="R81" s="92"/>
    </row>
    <row r="82" spans="1:18" ht="12" customHeight="1" x14ac:dyDescent="0.2">
      <c r="A82" s="92"/>
      <c r="B82" s="92"/>
      <c r="C82" s="955" t="s">
        <v>363</v>
      </c>
      <c r="D82" s="946">
        <f>IF($B$77=25,$B$73*$B74/12,IF(O78&gt;0,+O80*$B74/12,0))</f>
        <v>1181.1966876000513</v>
      </c>
      <c r="E82" s="946">
        <f>IF($B$77=26,$B$73*$B$74/12,IF(D82&gt;0,+D84*$B$74/12,0))</f>
        <v>1178.1472828070744</v>
      </c>
      <c r="F82" s="946">
        <f>IF($B$77=27,$B$73*$B$74/12,IF(E82&gt;0,+E84*$B$74/12,0))</f>
        <v>1175.0826309901327</v>
      </c>
      <c r="G82" s="946">
        <f>IF($B$77=28,$B$73*$B$74/12,IF(F82&gt;0,+F84*$B$74/12,0))</f>
        <v>1172.0026559141063</v>
      </c>
      <c r="H82" s="946">
        <f>IF($B$77=29,$B$73*$B$74/12,IF(G82&gt;0,+G84*$B$74/12,0))</f>
        <v>1168.9072809626998</v>
      </c>
      <c r="I82" s="946">
        <f>IF($B$77=30,$B$73*$B$74/12,IF(H82&gt;0,+H84*$B$74/12,0))</f>
        <v>1165.7964291365361</v>
      </c>
      <c r="J82" s="946">
        <f>IF($B$77=31,$B$73*$B$74/12,IF(I82&gt;0,+I84*$B$74/12,0))</f>
        <v>1162.6700230512417</v>
      </c>
      <c r="K82" s="946">
        <f>IF($B$77=32,$B$73*$B$74/12,IF(J82&gt;0,+J84*$B$74/12,0))</f>
        <v>1159.5279849355209</v>
      </c>
      <c r="L82" s="946">
        <f>IF($B$77=33,$B$73*$B$74/12,IF(K82&gt;0,+K84*$B$74/12,0))</f>
        <v>1156.3702366292214</v>
      </c>
      <c r="M82" s="946">
        <f>IF($B$77=34,$B$73*$B$74/12,IF(L82&gt;0,+L84*$B$74/12,0))</f>
        <v>1153.1966995813905</v>
      </c>
      <c r="N82" s="946">
        <f>IF($B$77=35,$B$73*$B$74/12,IF(M82&gt;0,+M84*$B$74/12,0))</f>
        <v>1150.0072948483205</v>
      </c>
      <c r="O82" s="946">
        <f>IF($B$77=36,$B$73*$B$74/12,IF(N82&gt;0,+N84*$B$74/12,0))</f>
        <v>1146.8019430915849</v>
      </c>
      <c r="P82" s="947">
        <f>SUM(D82:O82)</f>
        <v>13969.707149547881</v>
      </c>
      <c r="Q82" s="92"/>
      <c r="R82" s="92"/>
    </row>
    <row r="83" spans="1:18" ht="12" customHeight="1" x14ac:dyDescent="0.2">
      <c r="A83" s="92"/>
      <c r="B83" s="92"/>
      <c r="C83" s="955" t="s">
        <v>365</v>
      </c>
      <c r="D83" s="946">
        <f>IF(D82=0,0,-$B76-D82)</f>
        <v>609.88095859536088</v>
      </c>
      <c r="E83" s="946">
        <f t="shared" ref="E83:O83" si="29">IF(E82=0,0,-$B$76-E82)</f>
        <v>612.93036338833781</v>
      </c>
      <c r="F83" s="946">
        <f t="shared" si="29"/>
        <v>615.99501520527951</v>
      </c>
      <c r="G83" s="946">
        <f t="shared" si="29"/>
        <v>619.07499028130587</v>
      </c>
      <c r="H83" s="946">
        <f t="shared" si="29"/>
        <v>622.17036523271236</v>
      </c>
      <c r="I83" s="946">
        <f t="shared" si="29"/>
        <v>625.28121705887611</v>
      </c>
      <c r="J83" s="946">
        <f t="shared" si="29"/>
        <v>628.40762314417043</v>
      </c>
      <c r="K83" s="946">
        <f t="shared" si="29"/>
        <v>631.54966125989131</v>
      </c>
      <c r="L83" s="946">
        <f t="shared" si="29"/>
        <v>634.70740956619079</v>
      </c>
      <c r="M83" s="946">
        <f t="shared" si="29"/>
        <v>637.8809466140217</v>
      </c>
      <c r="N83" s="946">
        <f t="shared" si="29"/>
        <v>641.07035134709167</v>
      </c>
      <c r="O83" s="946">
        <f t="shared" si="29"/>
        <v>644.27570310382725</v>
      </c>
      <c r="P83" s="947">
        <f>SUM(D83:O83)</f>
        <v>7523.2246047970666</v>
      </c>
      <c r="Q83" s="92"/>
      <c r="R83" s="92"/>
    </row>
    <row r="84" spans="1:18" ht="12" customHeight="1" x14ac:dyDescent="0.2">
      <c r="A84" s="92"/>
      <c r="B84" s="92"/>
      <c r="C84" s="956" t="s">
        <v>299</v>
      </c>
      <c r="D84" s="951">
        <f>+IF($B$77=25,$B$73-D83,O80-D83)</f>
        <v>235629.45656141487</v>
      </c>
      <c r="E84" s="951">
        <f>+IF($B$77=26,$B$73-E83,D84-E83)</f>
        <v>235016.52619802655</v>
      </c>
      <c r="F84" s="951">
        <f>+IF($B$77=27,$B$73-F83,E84-F83)</f>
        <v>234400.53118282126</v>
      </c>
      <c r="G84" s="951">
        <f>+IF($B$77=28,$B$73-G83,F84-G83)</f>
        <v>233781.45619253995</v>
      </c>
      <c r="H84" s="951">
        <f>+IF($B$77=29,$B$73-H83,G84-H83)</f>
        <v>233159.28582730723</v>
      </c>
      <c r="I84" s="951">
        <f>+IF($B$77=30,$B$73-I83,H84-I83)</f>
        <v>232534.00461024835</v>
      </c>
      <c r="J84" s="951">
        <f>+IF($B$77=31,$B$73-J83,I84-J83)</f>
        <v>231905.59698710419</v>
      </c>
      <c r="K84" s="951">
        <f>+IF($B$77=32,$B$73-K83,J84-K83)</f>
        <v>231274.04732584429</v>
      </c>
      <c r="L84" s="951">
        <f>+IF($B$77=33,$B$73-L83,K84-L83)</f>
        <v>230639.33991627811</v>
      </c>
      <c r="M84" s="951">
        <f>+IF($B$77=34,$B$73-M83,L84-M83)</f>
        <v>230001.45896966409</v>
      </c>
      <c r="N84" s="951">
        <f>+IF($B$77=35,$B$73-N83,M84-N83)</f>
        <v>229360.388618317</v>
      </c>
      <c r="O84" s="951">
        <f>+IF($B$77=36,$B$73-O83,N84-O83)</f>
        <v>228716.11291521316</v>
      </c>
      <c r="P84" s="952">
        <f>+O84</f>
        <v>228716.11291521316</v>
      </c>
      <c r="Q84" s="92"/>
      <c r="R84" s="92"/>
    </row>
    <row r="85" spans="1:18" ht="12" customHeight="1" x14ac:dyDescent="0.2">
      <c r="A85" s="92"/>
      <c r="B85" s="92"/>
      <c r="C85" s="92"/>
      <c r="D85" s="92"/>
      <c r="E85" s="92"/>
      <c r="F85" s="92"/>
      <c r="G85" s="92"/>
      <c r="H85" s="92"/>
      <c r="I85" s="92"/>
      <c r="J85" s="92"/>
      <c r="K85" s="92"/>
      <c r="L85" s="92"/>
      <c r="M85" s="92"/>
      <c r="N85" s="92"/>
      <c r="O85" s="92"/>
      <c r="P85" s="92"/>
      <c r="Q85" s="92"/>
      <c r="R85" s="92"/>
    </row>
    <row r="86" spans="1:18" ht="12" customHeight="1" x14ac:dyDescent="0.2">
      <c r="A86" s="936" t="s">
        <v>370</v>
      </c>
      <c r="B86" s="937" t="s">
        <v>359</v>
      </c>
      <c r="C86" s="76"/>
      <c r="D86" s="76"/>
      <c r="E86" s="76"/>
      <c r="F86" s="76"/>
      <c r="G86" s="76"/>
      <c r="H86" s="76"/>
      <c r="I86" s="76"/>
      <c r="J86" s="76"/>
      <c r="K86" s="76"/>
      <c r="L86" s="76"/>
      <c r="M86" s="76"/>
      <c r="N86" s="76"/>
      <c r="O86" s="76"/>
      <c r="P86" s="898"/>
    </row>
    <row r="87" spans="1:18" ht="12" customHeight="1" x14ac:dyDescent="0.2">
      <c r="A87" s="938" t="s">
        <v>360</v>
      </c>
      <c r="B87" s="958"/>
      <c r="C87" s="940" t="s">
        <v>361</v>
      </c>
      <c r="D87" s="941">
        <f t="shared" ref="D87:P87" si="30">+D73</f>
        <v>44771</v>
      </c>
      <c r="E87" s="941">
        <f t="shared" si="30"/>
        <v>44799</v>
      </c>
      <c r="F87" s="941">
        <f t="shared" si="30"/>
        <v>44827</v>
      </c>
      <c r="G87" s="941">
        <f t="shared" si="30"/>
        <v>44855</v>
      </c>
      <c r="H87" s="941">
        <f t="shared" si="30"/>
        <v>44883</v>
      </c>
      <c r="I87" s="941">
        <f t="shared" si="30"/>
        <v>44911</v>
      </c>
      <c r="J87" s="941">
        <f t="shared" si="30"/>
        <v>44939</v>
      </c>
      <c r="K87" s="941">
        <f t="shared" si="30"/>
        <v>44967</v>
      </c>
      <c r="L87" s="941">
        <f t="shared" si="30"/>
        <v>44995</v>
      </c>
      <c r="M87" s="941">
        <f t="shared" si="30"/>
        <v>45023</v>
      </c>
      <c r="N87" s="941">
        <f t="shared" si="30"/>
        <v>45051</v>
      </c>
      <c r="O87" s="941">
        <f t="shared" si="30"/>
        <v>45079</v>
      </c>
      <c r="P87" s="959">
        <f t="shared" si="30"/>
        <v>45079</v>
      </c>
      <c r="Q87" s="115"/>
      <c r="R87" s="115"/>
    </row>
    <row r="88" spans="1:18" ht="12" customHeight="1" x14ac:dyDescent="0.2">
      <c r="A88" s="943" t="s">
        <v>362</v>
      </c>
      <c r="B88" s="944">
        <v>0.08</v>
      </c>
      <c r="C88" s="945" t="s">
        <v>363</v>
      </c>
      <c r="D88" s="946">
        <f>+IF($B$91=1,B87*$B88/12,0)</f>
        <v>0</v>
      </c>
      <c r="E88" s="946">
        <f>IF($B$91=2,$B$87*$B$88/12,IF(D88&gt;0,+D90*$B$88/12,0))</f>
        <v>0</v>
      </c>
      <c r="F88" s="946">
        <f>IF($B$91=3,$B$87*$B88/12,IF(E88&gt;0,+E90*$B88/12,0))</f>
        <v>0</v>
      </c>
      <c r="G88" s="946">
        <f>IF($B$91=4,$B$87*$B88/12,IF(F88&gt;0,+F90*$B88/12,0))</f>
        <v>0</v>
      </c>
      <c r="H88" s="946">
        <f>IF($B$91=5,$B$87*$B88/12,IF(G88&gt;0,+G90*$B88/12,0))</f>
        <v>0</v>
      </c>
      <c r="I88" s="946">
        <f>IF($B$91=6,$B$87*$B88/12,IF(H88&gt;0,+H90*$B88/12,0))</f>
        <v>0</v>
      </c>
      <c r="J88" s="946">
        <f>IF($B$91=7,$B$87*$B88/12,IF(I88&gt;0,+I90*$B88/12,0))</f>
        <v>0</v>
      </c>
      <c r="K88" s="946">
        <f>IF($B$91=8,$B$87*$B88/12,IF(J88&gt;0,+J90*$B88/12,0))</f>
        <v>0</v>
      </c>
      <c r="L88" s="946">
        <f>IF($B$91=9,$B$87*$B88/12,IF(K88&gt;0,+K90*$B88/12,0))</f>
        <v>0</v>
      </c>
      <c r="M88" s="946">
        <f>IF($B$91=10,$B$87*$B88/12,IF(L88&gt;0,+L90*$B88/12,0))</f>
        <v>0</v>
      </c>
      <c r="N88" s="946">
        <f>IF($B$91=11,$B$87*$B88/12,IF(M88&gt;0,+M90*$B88/12,0))</f>
        <v>0</v>
      </c>
      <c r="O88" s="946">
        <f>IF($B$91=12,$B$87*$B88/12,IF(N88&gt;0,+N90*$B88/12,0))</f>
        <v>0</v>
      </c>
      <c r="P88" s="947">
        <f>SUM(D88:O88)</f>
        <v>0</v>
      </c>
      <c r="Q88" s="105"/>
      <c r="R88" s="92"/>
    </row>
    <row r="89" spans="1:18" ht="12" customHeight="1" x14ac:dyDescent="0.2">
      <c r="A89" s="943" t="s">
        <v>364</v>
      </c>
      <c r="B89" s="948">
        <v>15</v>
      </c>
      <c r="C89" s="945" t="s">
        <v>365</v>
      </c>
      <c r="D89" s="946">
        <f>IF(D88=0,0,-$B90-D88)</f>
        <v>0</v>
      </c>
      <c r="E89" s="946">
        <f>IF(E88=0,0,-$B$90-E88)</f>
        <v>0</v>
      </c>
      <c r="F89" s="946">
        <f t="shared" ref="F89:O89" si="31">IF(F88=0,0,-$B90-F88)</f>
        <v>0</v>
      </c>
      <c r="G89" s="946">
        <f t="shared" si="31"/>
        <v>0</v>
      </c>
      <c r="H89" s="946">
        <f t="shared" si="31"/>
        <v>0</v>
      </c>
      <c r="I89" s="946">
        <f t="shared" si="31"/>
        <v>0</v>
      </c>
      <c r="J89" s="946">
        <f t="shared" si="31"/>
        <v>0</v>
      </c>
      <c r="K89" s="946">
        <f t="shared" si="31"/>
        <v>0</v>
      </c>
      <c r="L89" s="946">
        <f t="shared" si="31"/>
        <v>0</v>
      </c>
      <c r="M89" s="946">
        <f t="shared" si="31"/>
        <v>0</v>
      </c>
      <c r="N89" s="946">
        <f t="shared" si="31"/>
        <v>0</v>
      </c>
      <c r="O89" s="946">
        <f t="shared" si="31"/>
        <v>0</v>
      </c>
      <c r="P89" s="947">
        <f>SUM(D89:O89)</f>
        <v>0</v>
      </c>
      <c r="Q89" s="105"/>
      <c r="R89" s="92"/>
    </row>
    <row r="90" spans="1:18" ht="12" customHeight="1" x14ac:dyDescent="0.2">
      <c r="A90" s="943" t="s">
        <v>366</v>
      </c>
      <c r="B90" s="949">
        <f>+IF(B87=0,0,PMT(B88/12,B89*12,B87))</f>
        <v>0</v>
      </c>
      <c r="C90" s="950" t="s">
        <v>299</v>
      </c>
      <c r="D90" s="951">
        <f>+IF($B$91=1,$B$87-D89,0)</f>
        <v>0</v>
      </c>
      <c r="E90" s="951">
        <f>+IF($B$91=2,$B$87-E89,D90-E89)</f>
        <v>0</v>
      </c>
      <c r="F90" s="951">
        <f>+IF($B$91=3,$B$87-F89,E90-F89)</f>
        <v>0</v>
      </c>
      <c r="G90" s="951">
        <f>+IF($B$91=4,$B$87-G89,F90-G89)</f>
        <v>0</v>
      </c>
      <c r="H90" s="951">
        <f>+IF($B$91=5,$B$87-H89,G90-H89)</f>
        <v>0</v>
      </c>
      <c r="I90" s="951">
        <f>+IF($B$91=6,$B$87-I89,H90-I89)</f>
        <v>0</v>
      </c>
      <c r="J90" s="951">
        <f>+IF($B$91=7,$B$87-J89,I90-J89)</f>
        <v>0</v>
      </c>
      <c r="K90" s="951">
        <f>+IF($B$91=8,$B$87-K89,J90-K89)</f>
        <v>0</v>
      </c>
      <c r="L90" s="951">
        <f>+IF($B$91=9,$B$87-L89,K90-L89)</f>
        <v>0</v>
      </c>
      <c r="M90" s="951">
        <f>+IF($B$91=10,$B$87-M89,L90-M89)</f>
        <v>0</v>
      </c>
      <c r="N90" s="951">
        <f>+IF($B$91=11,$B$87-N89,M90-N89)</f>
        <v>0</v>
      </c>
      <c r="O90" s="951">
        <f>+IF($B$91=12,$B$87-O89,N90-O89)</f>
        <v>0</v>
      </c>
      <c r="P90" s="952">
        <f>+O90</f>
        <v>0</v>
      </c>
      <c r="Q90" s="105"/>
      <c r="R90" s="105"/>
    </row>
    <row r="91" spans="1:18" ht="12" customHeight="1" x14ac:dyDescent="0.2">
      <c r="A91" s="953" t="s">
        <v>367</v>
      </c>
      <c r="B91" s="954">
        <v>13</v>
      </c>
      <c r="C91" s="940" t="s">
        <v>368</v>
      </c>
      <c r="D91" s="941">
        <f t="shared" ref="D91:O91" si="32">+D87+365</f>
        <v>45136</v>
      </c>
      <c r="E91" s="941">
        <f t="shared" si="32"/>
        <v>45164</v>
      </c>
      <c r="F91" s="941">
        <f t="shared" si="32"/>
        <v>45192</v>
      </c>
      <c r="G91" s="941">
        <f t="shared" si="32"/>
        <v>45220</v>
      </c>
      <c r="H91" s="941">
        <f t="shared" si="32"/>
        <v>45248</v>
      </c>
      <c r="I91" s="941">
        <f t="shared" si="32"/>
        <v>45276</v>
      </c>
      <c r="J91" s="941">
        <f t="shared" si="32"/>
        <v>45304</v>
      </c>
      <c r="K91" s="941">
        <f t="shared" si="32"/>
        <v>45332</v>
      </c>
      <c r="L91" s="941">
        <f t="shared" si="32"/>
        <v>45360</v>
      </c>
      <c r="M91" s="941">
        <f t="shared" si="32"/>
        <v>45388</v>
      </c>
      <c r="N91" s="941">
        <f t="shared" si="32"/>
        <v>45416</v>
      </c>
      <c r="O91" s="941">
        <f t="shared" si="32"/>
        <v>45444</v>
      </c>
      <c r="P91" s="942">
        <f>+O91</f>
        <v>45444</v>
      </c>
      <c r="Q91" s="92"/>
      <c r="R91" s="92"/>
    </row>
    <row r="92" spans="1:18" ht="12" customHeight="1" x14ac:dyDescent="0.2">
      <c r="A92" s="92"/>
      <c r="B92" s="116"/>
      <c r="C92" s="955" t="s">
        <v>363</v>
      </c>
      <c r="D92" s="946">
        <f>IF($B$91=13,$B$87*$B88/12,IF(O88&gt;0,+O90*$B88/12,0))</f>
        <v>0</v>
      </c>
      <c r="E92" s="946">
        <f>IF($B$91=14,$B$87*$B$88/12,IF(D92&gt;0,+D94*$B$88/12,0))</f>
        <v>0</v>
      </c>
      <c r="F92" s="946">
        <f>IF($B$91=15,$B$87*$B$88/12,IF(E92&gt;0,+E94*$B$88/12,0))</f>
        <v>0</v>
      </c>
      <c r="G92" s="946">
        <f>IF($B$91=16,$B$87*$B$88/12,IF(F92&gt;0,+F94*$B$88/12,0))</f>
        <v>0</v>
      </c>
      <c r="H92" s="946">
        <f>IF($B$91=17,$B$87*$B$88/12,IF(G92&gt;0,+G94*$B$88/12,0))</f>
        <v>0</v>
      </c>
      <c r="I92" s="946">
        <f>IF($B$91=18,$B$87*$B$88/12,IF(H92&gt;0,+H94*$B$88/12,0))</f>
        <v>0</v>
      </c>
      <c r="J92" s="946">
        <f>IF($B$91=19,$B$87*$B$88/12,IF(I92&gt;0,+I94*$B$88/12,0))</f>
        <v>0</v>
      </c>
      <c r="K92" s="946">
        <f>IF($B$91=20,$B$87*$B$88/12,IF(J92&gt;0,+J94*$B$88/12,0))</f>
        <v>0</v>
      </c>
      <c r="L92" s="946">
        <f>IF($B$91=21,$B$87*$B$88/12,IF(K92&gt;0,+K94*$B$88/12,0))</f>
        <v>0</v>
      </c>
      <c r="M92" s="946">
        <f>IF($B$91=22,$B$87*$B$88/12,IF(L92&gt;0,+L94*$B$88/12,0))</f>
        <v>0</v>
      </c>
      <c r="N92" s="946">
        <f>IF($B$91=23,$B$87*$B$88/12,IF(M92&gt;0,+M94*$B$88/12,0))</f>
        <v>0</v>
      </c>
      <c r="O92" s="946">
        <f>IF($B$91=24,$B$87*$B$88/12,IF(N92&gt;0,+N94*$B$88/12,0))</f>
        <v>0</v>
      </c>
      <c r="P92" s="947">
        <f>SUM(D92:O92)</f>
        <v>0</v>
      </c>
      <c r="Q92" s="92"/>
      <c r="R92" s="92"/>
    </row>
    <row r="93" spans="1:18" ht="12" customHeight="1" x14ac:dyDescent="0.2">
      <c r="A93" s="92"/>
      <c r="B93" s="92"/>
      <c r="C93" s="955" t="s">
        <v>365</v>
      </c>
      <c r="D93" s="946">
        <f>IF(D92=0,0,-$B90-D92)</f>
        <v>0</v>
      </c>
      <c r="E93" s="946">
        <f t="shared" ref="E93:O93" si="33">IF(E92=0,0,-$B$90-E92)</f>
        <v>0</v>
      </c>
      <c r="F93" s="946">
        <f t="shared" si="33"/>
        <v>0</v>
      </c>
      <c r="G93" s="946">
        <f t="shared" si="33"/>
        <v>0</v>
      </c>
      <c r="H93" s="946">
        <f t="shared" si="33"/>
        <v>0</v>
      </c>
      <c r="I93" s="946">
        <f t="shared" si="33"/>
        <v>0</v>
      </c>
      <c r="J93" s="946">
        <f t="shared" si="33"/>
        <v>0</v>
      </c>
      <c r="K93" s="946">
        <f t="shared" si="33"/>
        <v>0</v>
      </c>
      <c r="L93" s="946">
        <f t="shared" si="33"/>
        <v>0</v>
      </c>
      <c r="M93" s="946">
        <f t="shared" si="33"/>
        <v>0</v>
      </c>
      <c r="N93" s="946">
        <f t="shared" si="33"/>
        <v>0</v>
      </c>
      <c r="O93" s="946">
        <f t="shared" si="33"/>
        <v>0</v>
      </c>
      <c r="P93" s="947">
        <f>SUM(D93:O93)</f>
        <v>0</v>
      </c>
      <c r="Q93" s="92"/>
      <c r="R93" s="92"/>
    </row>
    <row r="94" spans="1:18" ht="12" customHeight="1" x14ac:dyDescent="0.2">
      <c r="A94" s="92"/>
      <c r="B94" s="92"/>
      <c r="C94" s="956" t="s">
        <v>299</v>
      </c>
      <c r="D94" s="951">
        <f>+IF($B$91=13,$B$87-D93,O90-D93)</f>
        <v>0</v>
      </c>
      <c r="E94" s="951">
        <f>+IF($B$91=14,$B$87-E93,D94-E93)</f>
        <v>0</v>
      </c>
      <c r="F94" s="951">
        <f>+IF($B$91=15,$B$87-F93,E94-F93)</f>
        <v>0</v>
      </c>
      <c r="G94" s="951">
        <f>+IF($B$91=16,$B$87-G93,F94-G93)</f>
        <v>0</v>
      </c>
      <c r="H94" s="951">
        <f>+IF($B$91=17,$B$87-H93,G94-H93)</f>
        <v>0</v>
      </c>
      <c r="I94" s="951">
        <f>+IF($B$91=18,$B$87-I93,H94-I93)</f>
        <v>0</v>
      </c>
      <c r="J94" s="951">
        <f>+IF($B$91=19,$B$87-J93,I94-J93)</f>
        <v>0</v>
      </c>
      <c r="K94" s="951">
        <f>+IF($B$91=20,$B$87-K93,J94-K93)</f>
        <v>0</v>
      </c>
      <c r="L94" s="951">
        <f>+IF($B$91=21,$B$87-L93,K94-L93)</f>
        <v>0</v>
      </c>
      <c r="M94" s="951">
        <f>+IF($B$91=22,$B$87-M93,L94-M93)</f>
        <v>0</v>
      </c>
      <c r="N94" s="951">
        <f>+IF($B$91=23,$B$87-N93,M94-N93)</f>
        <v>0</v>
      </c>
      <c r="O94" s="951">
        <f>+IF($B$91=24,$B$87-O93,N94-O93)</f>
        <v>0</v>
      </c>
      <c r="P94" s="952">
        <f>+O94</f>
        <v>0</v>
      </c>
      <c r="Q94" s="92"/>
      <c r="R94" s="92"/>
    </row>
    <row r="95" spans="1:18" ht="12" customHeight="1" x14ac:dyDescent="0.2">
      <c r="A95" s="92"/>
      <c r="B95" s="92"/>
      <c r="C95" s="957" t="s">
        <v>369</v>
      </c>
      <c r="D95" s="941">
        <f t="shared" ref="D95:O95" si="34">+D91+365</f>
        <v>45501</v>
      </c>
      <c r="E95" s="941">
        <f t="shared" si="34"/>
        <v>45529</v>
      </c>
      <c r="F95" s="941">
        <f t="shared" si="34"/>
        <v>45557</v>
      </c>
      <c r="G95" s="941">
        <f t="shared" si="34"/>
        <v>45585</v>
      </c>
      <c r="H95" s="941">
        <f t="shared" si="34"/>
        <v>45613</v>
      </c>
      <c r="I95" s="941">
        <f t="shared" si="34"/>
        <v>45641</v>
      </c>
      <c r="J95" s="941">
        <f t="shared" si="34"/>
        <v>45669</v>
      </c>
      <c r="K95" s="941">
        <f t="shared" si="34"/>
        <v>45697</v>
      </c>
      <c r="L95" s="941">
        <f t="shared" si="34"/>
        <v>45725</v>
      </c>
      <c r="M95" s="941">
        <f t="shared" si="34"/>
        <v>45753</v>
      </c>
      <c r="N95" s="941">
        <f t="shared" si="34"/>
        <v>45781</v>
      </c>
      <c r="O95" s="941">
        <f t="shared" si="34"/>
        <v>45809</v>
      </c>
      <c r="P95" s="942">
        <f>+O95</f>
        <v>45809</v>
      </c>
      <c r="Q95" s="92"/>
      <c r="R95" s="92"/>
    </row>
    <row r="96" spans="1:18" ht="12" customHeight="1" x14ac:dyDescent="0.2">
      <c r="A96" s="92"/>
      <c r="B96" s="92"/>
      <c r="C96" s="955" t="s">
        <v>363</v>
      </c>
      <c r="D96" s="946">
        <f>IF($B$91=25,$B$87*$B88/12,IF(O92&gt;0,+O94*$B88/12,0))</f>
        <v>0</v>
      </c>
      <c r="E96" s="946">
        <f>IF($B$91=26,$B$87*$B$88/12,IF(D96&gt;0,+D98*$B$88/12,0))</f>
        <v>0</v>
      </c>
      <c r="F96" s="946">
        <f>IF($B$91=27,$B$87*$B$88/12,IF(E96&gt;0,+E98*$B$88/12,0))</f>
        <v>0</v>
      </c>
      <c r="G96" s="946">
        <f>IF($B$91=28,$B$87*$B$88/12,IF(F96&gt;0,+F98*$B$88/12,0))</f>
        <v>0</v>
      </c>
      <c r="H96" s="946">
        <f>IF($B$91=29,$B$87*$B$88/12,IF(G96&gt;0,+G98*$B$88/12,0))</f>
        <v>0</v>
      </c>
      <c r="I96" s="946">
        <f>IF($B$91=30,$B$87*$B$88/12,IF(H96&gt;0,+H98*$B$88/12,0))</f>
        <v>0</v>
      </c>
      <c r="J96" s="946">
        <f>IF($B$91=31,$B$87*$B$88/12,IF(I96&gt;0,+I98*$B$88/12,0))</f>
        <v>0</v>
      </c>
      <c r="K96" s="946">
        <f>IF($B$91=32,$B$87*$B$88/12,IF(J96&gt;0,+J98*$B$88/12,0))</f>
        <v>0</v>
      </c>
      <c r="L96" s="946">
        <f>IF($B$91=33,$B$87*$B$88/12,IF(K96&gt;0,+K98*$B$88/12,0))</f>
        <v>0</v>
      </c>
      <c r="M96" s="946">
        <f>IF($B$91=34,$B$87*$B$88/12,IF(L96&gt;0,+L98*$B$88/12,0))</f>
        <v>0</v>
      </c>
      <c r="N96" s="946">
        <f>IF($B$91=35,$B$87*$B$88/12,IF(M96&gt;0,+M98*$B$88/12,0))</f>
        <v>0</v>
      </c>
      <c r="O96" s="946">
        <f>IF($B$91=36,$B$87*$B$88/12,IF(N96&gt;0,+N98*$B$88/12,0))</f>
        <v>0</v>
      </c>
      <c r="P96" s="947">
        <f>SUM(D96:O96)</f>
        <v>0</v>
      </c>
      <c r="Q96" s="92"/>
      <c r="R96" s="92"/>
    </row>
    <row r="97" spans="1:16" ht="12" customHeight="1" x14ac:dyDescent="0.2">
      <c r="A97" s="92"/>
      <c r="B97" s="92"/>
      <c r="C97" s="955" t="s">
        <v>365</v>
      </c>
      <c r="D97" s="946">
        <f>IF(D96=0,0,-$B90-D96)</f>
        <v>0</v>
      </c>
      <c r="E97" s="946">
        <f t="shared" ref="E97:O97" si="35">IF(E96=0,0,-$B$90-E96)</f>
        <v>0</v>
      </c>
      <c r="F97" s="946">
        <f t="shared" si="35"/>
        <v>0</v>
      </c>
      <c r="G97" s="946">
        <f t="shared" si="35"/>
        <v>0</v>
      </c>
      <c r="H97" s="946">
        <f t="shared" si="35"/>
        <v>0</v>
      </c>
      <c r="I97" s="946">
        <f t="shared" si="35"/>
        <v>0</v>
      </c>
      <c r="J97" s="946">
        <f t="shared" si="35"/>
        <v>0</v>
      </c>
      <c r="K97" s="946">
        <f t="shared" si="35"/>
        <v>0</v>
      </c>
      <c r="L97" s="946">
        <f t="shared" si="35"/>
        <v>0</v>
      </c>
      <c r="M97" s="946">
        <f t="shared" si="35"/>
        <v>0</v>
      </c>
      <c r="N97" s="946">
        <f t="shared" si="35"/>
        <v>0</v>
      </c>
      <c r="O97" s="946">
        <f t="shared" si="35"/>
        <v>0</v>
      </c>
      <c r="P97" s="947">
        <f>SUM(D97:O97)</f>
        <v>0</v>
      </c>
    </row>
    <row r="98" spans="1:16" ht="12" customHeight="1" x14ac:dyDescent="0.2">
      <c r="A98" s="92"/>
      <c r="B98" s="92"/>
      <c r="C98" s="956" t="s">
        <v>299</v>
      </c>
      <c r="D98" s="951">
        <f>+IF($B$91=25,$B$87-D97,O94-D97)</f>
        <v>0</v>
      </c>
      <c r="E98" s="951">
        <f>+IF($B$91=26,$B$87-E97,D98-E97)</f>
        <v>0</v>
      </c>
      <c r="F98" s="951">
        <f>+IF($B$91=27,$B$87-F97,E98-F97)</f>
        <v>0</v>
      </c>
      <c r="G98" s="951">
        <f>+IF($B$91=28,$B$87-G97,F98-G97)</f>
        <v>0</v>
      </c>
      <c r="H98" s="951">
        <f>+IF($B$91=29,$B$87-H97,G98-H97)</f>
        <v>0</v>
      </c>
      <c r="I98" s="951">
        <f>+IF($B$91=30,$B$87-I97,H98-I97)</f>
        <v>0</v>
      </c>
      <c r="J98" s="951">
        <f>+IF($B$91=31,$B$87-J97,I98-J97)</f>
        <v>0</v>
      </c>
      <c r="K98" s="951">
        <f>+IF($B$91=32,$B$87-K97,J98-K97)</f>
        <v>0</v>
      </c>
      <c r="L98" s="951">
        <f>+IF($B$91=33,$B$87-L97,K98-L97)</f>
        <v>0</v>
      </c>
      <c r="M98" s="951">
        <f>+IF($B$91=34,$B$87-M97,L98-M97)</f>
        <v>0</v>
      </c>
      <c r="N98" s="951">
        <f>+IF($B$91=35,$B$87-N97,M98-N97)</f>
        <v>0</v>
      </c>
      <c r="O98" s="951">
        <f>+IF($B$91=36,$B$87-O97,N98-O97)</f>
        <v>0</v>
      </c>
      <c r="P98" s="952">
        <f>+O98</f>
        <v>0</v>
      </c>
    </row>
  </sheetData>
  <mergeCells count="16">
    <mergeCell ref="O51:Q51"/>
    <mergeCell ref="R3:T3"/>
    <mergeCell ref="B17:D18"/>
    <mergeCell ref="B24:D24"/>
    <mergeCell ref="B20:D20"/>
    <mergeCell ref="B4:D4"/>
    <mergeCell ref="B16:D16"/>
    <mergeCell ref="B22:D22"/>
    <mergeCell ref="O30:Q30"/>
    <mergeCell ref="B12:D12"/>
    <mergeCell ref="B11:D11"/>
    <mergeCell ref="R15:T15"/>
    <mergeCell ref="B5:D6"/>
    <mergeCell ref="B23:D23"/>
    <mergeCell ref="B7:D8"/>
    <mergeCell ref="B10:D10"/>
  </mergeCells>
  <pageMargins left="0.7" right="0.7" top="0.75" bottom="0.75" header="0" footer="0"/>
  <pageSetup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E2E8F0"/>
  </sheetPr>
  <dimension ref="A1:Z15"/>
  <sheetViews>
    <sheetView showGridLines="0" workbookViewId="0"/>
  </sheetViews>
  <sheetFormatPr baseColWidth="10" defaultColWidth="14.5" defaultRowHeight="15" customHeight="1" x14ac:dyDescent="0.2"/>
  <cols>
    <col min="1" max="1" width="18.83203125" customWidth="1"/>
    <col min="2" max="2" width="25.5" customWidth="1"/>
    <col min="3" max="3" width="8.6640625" customWidth="1"/>
    <col min="4" max="4" width="9.1640625" customWidth="1"/>
    <col min="5" max="5" width="10.1640625" customWidth="1"/>
    <col min="6" max="6" width="11.5" customWidth="1"/>
    <col min="7" max="8" width="9.1640625" customWidth="1"/>
    <col min="9" max="9" width="9.5" customWidth="1"/>
    <col min="10" max="21" width="8.6640625" customWidth="1"/>
    <col min="22" max="22" width="12.33203125" customWidth="1"/>
    <col min="23" max="23" width="10.1640625" customWidth="1"/>
    <col min="24" max="26" width="8.6640625" customWidth="1"/>
  </cols>
  <sheetData>
    <row r="1" spans="1:26" x14ac:dyDescent="0.2"/>
    <row r="2" spans="1:26" x14ac:dyDescent="0.2"/>
    <row r="3" spans="1:26" ht="29.25" customHeight="1" x14ac:dyDescent="0.2">
      <c r="D3" s="117"/>
      <c r="E3" s="118"/>
      <c r="G3" s="118"/>
      <c r="H3" s="118"/>
      <c r="I3" s="1154" t="s">
        <v>371</v>
      </c>
      <c r="J3" s="1152">
        <f>+'P&amp;L-Revenues'!D14</f>
        <v>44771</v>
      </c>
      <c r="K3" s="1152">
        <f>+'P&amp;L-Revenues'!E14</f>
        <v>44799</v>
      </c>
      <c r="L3" s="1152">
        <f>+'P&amp;L-Revenues'!F14</f>
        <v>44827</v>
      </c>
      <c r="M3" s="1152">
        <f>+'P&amp;L-Revenues'!G14</f>
        <v>44855</v>
      </c>
      <c r="N3" s="1152">
        <f>+'P&amp;L-Revenues'!H14</f>
        <v>44883</v>
      </c>
      <c r="O3" s="1152">
        <f>+'P&amp;L-Revenues'!I14</f>
        <v>44911</v>
      </c>
      <c r="P3" s="1152">
        <f>+'P&amp;L-Revenues'!J14</f>
        <v>44939</v>
      </c>
      <c r="Q3" s="1152">
        <f>+'P&amp;L-Revenues'!K14</f>
        <v>44967</v>
      </c>
      <c r="R3" s="1152">
        <f>+'P&amp;L-Revenues'!L14</f>
        <v>44995</v>
      </c>
      <c r="S3" s="1152">
        <f>+'P&amp;L-Revenues'!M14</f>
        <v>45023</v>
      </c>
      <c r="T3" s="1152">
        <f>+'P&amp;L-Revenues'!N14</f>
        <v>45051</v>
      </c>
      <c r="U3" s="1152">
        <f>+'P&amp;L-Revenues'!O14</f>
        <v>45079</v>
      </c>
      <c r="V3" s="960" t="s">
        <v>372</v>
      </c>
      <c r="W3" s="961"/>
      <c r="X3" s="960" t="s">
        <v>372</v>
      </c>
      <c r="Y3" s="961"/>
      <c r="Z3" s="960" t="s">
        <v>373</v>
      </c>
    </row>
    <row r="4" spans="1:26" x14ac:dyDescent="0.2">
      <c r="B4" s="962" t="s">
        <v>374</v>
      </c>
      <c r="C4" s="963" t="s">
        <v>375</v>
      </c>
      <c r="D4" s="964" t="s">
        <v>376</v>
      </c>
      <c r="E4" s="963" t="s">
        <v>377</v>
      </c>
      <c r="F4" s="963" t="s">
        <v>378</v>
      </c>
      <c r="G4" s="963" t="s">
        <v>379</v>
      </c>
      <c r="H4" s="963" t="s">
        <v>380</v>
      </c>
      <c r="I4" s="1153"/>
      <c r="J4" s="1153"/>
      <c r="K4" s="1153"/>
      <c r="L4" s="1153"/>
      <c r="M4" s="1153"/>
      <c r="N4" s="1153"/>
      <c r="O4" s="1153"/>
      <c r="P4" s="1153"/>
      <c r="Q4" s="1153"/>
      <c r="R4" s="1153"/>
      <c r="S4" s="1153"/>
      <c r="T4" s="1153"/>
      <c r="U4" s="1153"/>
      <c r="V4" s="965">
        <f>+'P&amp;L-Revenues'!P14</f>
        <v>45079</v>
      </c>
      <c r="W4" s="966" t="s">
        <v>381</v>
      </c>
      <c r="X4" s="965">
        <f>+'P&amp;L-Revenues'!Q14</f>
        <v>45444</v>
      </c>
      <c r="Y4" s="966" t="s">
        <v>381</v>
      </c>
      <c r="Z4" s="965">
        <f>+'P&amp;L-Revenues'!S14</f>
        <v>45809</v>
      </c>
    </row>
    <row r="5" spans="1:26" x14ac:dyDescent="0.2">
      <c r="A5" s="967" t="s">
        <v>382</v>
      </c>
      <c r="B5" s="967" t="s">
        <v>383</v>
      </c>
      <c r="C5" s="968"/>
      <c r="D5" s="969"/>
      <c r="E5" s="970"/>
      <c r="F5" s="971"/>
      <c r="G5" s="968"/>
      <c r="H5" s="968"/>
      <c r="I5" s="972">
        <f>+$F5/12*$H5</f>
        <v>0</v>
      </c>
      <c r="J5" s="972">
        <f t="shared" ref="J5:U5" si="0">+$F5/12</f>
        <v>0</v>
      </c>
      <c r="K5" s="972">
        <f t="shared" si="0"/>
        <v>0</v>
      </c>
      <c r="L5" s="972">
        <f t="shared" si="0"/>
        <v>0</v>
      </c>
      <c r="M5" s="972">
        <f t="shared" si="0"/>
        <v>0</v>
      </c>
      <c r="N5" s="972">
        <f t="shared" si="0"/>
        <v>0</v>
      </c>
      <c r="O5" s="972">
        <f t="shared" si="0"/>
        <v>0</v>
      </c>
      <c r="P5" s="972">
        <f t="shared" si="0"/>
        <v>0</v>
      </c>
      <c r="Q5" s="972">
        <f t="shared" si="0"/>
        <v>0</v>
      </c>
      <c r="R5" s="972">
        <f t="shared" si="0"/>
        <v>0</v>
      </c>
      <c r="S5" s="972">
        <f t="shared" si="0"/>
        <v>0</v>
      </c>
      <c r="T5" s="972">
        <f t="shared" si="0"/>
        <v>0</v>
      </c>
      <c r="U5" s="972">
        <f t="shared" si="0"/>
        <v>0</v>
      </c>
      <c r="V5" s="972">
        <f t="shared" ref="V5:V14" si="1">SUM(J5:U5)</f>
        <v>0</v>
      </c>
      <c r="W5" s="973">
        <v>0.05</v>
      </c>
      <c r="X5" s="972">
        <f t="shared" ref="X5:X14" si="2">+V5*(1+W5)</f>
        <v>0</v>
      </c>
      <c r="Y5" s="973">
        <v>0.05</v>
      </c>
      <c r="Z5" s="972">
        <f t="shared" ref="Z5:Z14" si="3">+X5*(1+Y5)</f>
        <v>0</v>
      </c>
    </row>
    <row r="6" spans="1:26" x14ac:dyDescent="0.2">
      <c r="A6" s="967" t="s">
        <v>384</v>
      </c>
      <c r="B6" s="967" t="s">
        <v>385</v>
      </c>
      <c r="C6" s="968"/>
      <c r="D6" s="970"/>
      <c r="E6" s="968"/>
      <c r="F6" s="968"/>
      <c r="G6" s="968"/>
      <c r="H6" s="968"/>
      <c r="I6" s="972">
        <f>+$D6*$E6*(4.33333333333333*$H6)</f>
        <v>0</v>
      </c>
      <c r="J6" s="972">
        <f t="shared" ref="J6:U6" si="4">+$D6*$E6*(52/12)</f>
        <v>0</v>
      </c>
      <c r="K6" s="972">
        <f t="shared" si="4"/>
        <v>0</v>
      </c>
      <c r="L6" s="972">
        <f t="shared" si="4"/>
        <v>0</v>
      </c>
      <c r="M6" s="972">
        <f t="shared" si="4"/>
        <v>0</v>
      </c>
      <c r="N6" s="972">
        <f t="shared" si="4"/>
        <v>0</v>
      </c>
      <c r="O6" s="972">
        <f t="shared" si="4"/>
        <v>0</v>
      </c>
      <c r="P6" s="972">
        <f t="shared" si="4"/>
        <v>0</v>
      </c>
      <c r="Q6" s="972">
        <f t="shared" si="4"/>
        <v>0</v>
      </c>
      <c r="R6" s="972">
        <f t="shared" si="4"/>
        <v>0</v>
      </c>
      <c r="S6" s="972">
        <f t="shared" si="4"/>
        <v>0</v>
      </c>
      <c r="T6" s="972">
        <f t="shared" si="4"/>
        <v>0</v>
      </c>
      <c r="U6" s="972">
        <f t="shared" si="4"/>
        <v>0</v>
      </c>
      <c r="V6" s="972">
        <f t="shared" si="1"/>
        <v>0</v>
      </c>
      <c r="W6" s="973">
        <v>0.05</v>
      </c>
      <c r="X6" s="972">
        <f t="shared" si="2"/>
        <v>0</v>
      </c>
      <c r="Y6" s="973">
        <v>0.05</v>
      </c>
      <c r="Z6" s="972">
        <f t="shared" si="3"/>
        <v>0</v>
      </c>
    </row>
    <row r="7" spans="1:26" x14ac:dyDescent="0.2">
      <c r="A7" s="967" t="s">
        <v>386</v>
      </c>
      <c r="B7" s="967" t="s">
        <v>387</v>
      </c>
      <c r="C7" s="968"/>
      <c r="D7" s="969"/>
      <c r="E7" s="968"/>
      <c r="F7" s="974"/>
      <c r="G7" s="975"/>
      <c r="H7" s="968"/>
      <c r="I7" s="119"/>
      <c r="J7" s="119"/>
      <c r="K7" s="119"/>
      <c r="L7" s="119"/>
      <c r="M7" s="119"/>
      <c r="N7" s="119"/>
      <c r="O7" s="119"/>
      <c r="P7" s="119"/>
      <c r="Q7" s="972">
        <f>+$D7*$E7*(52/12)</f>
        <v>0</v>
      </c>
      <c r="R7" s="972">
        <f>+$D7*$E7*(52/12)</f>
        <v>0</v>
      </c>
      <c r="S7" s="972">
        <f>+$D7*$E7*(52/12)</f>
        <v>0</v>
      </c>
      <c r="T7" s="972">
        <f>+$D7*$E7*(52/12)</f>
        <v>0</v>
      </c>
      <c r="U7" s="972">
        <f>+$D7*$E7*(52/12)</f>
        <v>0</v>
      </c>
      <c r="V7" s="972">
        <f t="shared" si="1"/>
        <v>0</v>
      </c>
      <c r="W7" s="973">
        <v>0.03</v>
      </c>
      <c r="X7" s="972">
        <f t="shared" si="2"/>
        <v>0</v>
      </c>
      <c r="Y7" s="973">
        <v>0.05</v>
      </c>
      <c r="Z7" s="972">
        <f t="shared" si="3"/>
        <v>0</v>
      </c>
    </row>
    <row r="8" spans="1:26" x14ac:dyDescent="0.2">
      <c r="A8" s="967" t="s">
        <v>388</v>
      </c>
      <c r="C8" s="974"/>
      <c r="D8" s="969"/>
      <c r="E8" s="968"/>
      <c r="F8" s="974"/>
      <c r="G8" s="968"/>
      <c r="H8" s="968"/>
      <c r="I8" s="119"/>
      <c r="J8" s="119"/>
      <c r="K8" s="119"/>
      <c r="L8" s="119"/>
      <c r="M8" s="119"/>
      <c r="N8" s="119"/>
      <c r="O8" s="119"/>
      <c r="P8" s="119"/>
      <c r="Q8" s="119"/>
      <c r="R8" s="119"/>
      <c r="S8" s="119"/>
      <c r="T8" s="119"/>
      <c r="U8" s="119"/>
      <c r="V8" s="972">
        <f t="shared" si="1"/>
        <v>0</v>
      </c>
      <c r="W8" s="976"/>
      <c r="X8" s="972">
        <f t="shared" si="2"/>
        <v>0</v>
      </c>
      <c r="Y8" s="976"/>
      <c r="Z8" s="972">
        <f t="shared" si="3"/>
        <v>0</v>
      </c>
    </row>
    <row r="9" spans="1:26" x14ac:dyDescent="0.2">
      <c r="A9" s="967" t="s">
        <v>389</v>
      </c>
      <c r="C9" s="974"/>
      <c r="D9" s="969"/>
      <c r="E9" s="968"/>
      <c r="F9" s="974"/>
      <c r="G9" s="968"/>
      <c r="H9" s="968"/>
      <c r="I9" s="119"/>
      <c r="J9" s="119"/>
      <c r="K9" s="119"/>
      <c r="L9" s="119"/>
      <c r="M9" s="119"/>
      <c r="N9" s="119"/>
      <c r="O9" s="119"/>
      <c r="P9" s="119"/>
      <c r="Q9" s="119"/>
      <c r="R9" s="119"/>
      <c r="S9" s="119"/>
      <c r="T9" s="119"/>
      <c r="U9" s="119"/>
      <c r="V9" s="972">
        <f t="shared" si="1"/>
        <v>0</v>
      </c>
      <c r="W9" s="976"/>
      <c r="X9" s="972">
        <f t="shared" si="2"/>
        <v>0</v>
      </c>
      <c r="Y9" s="976"/>
      <c r="Z9" s="972">
        <f t="shared" si="3"/>
        <v>0</v>
      </c>
    </row>
    <row r="10" spans="1:26" x14ac:dyDescent="0.2">
      <c r="A10" s="967" t="s">
        <v>390</v>
      </c>
      <c r="C10" s="974"/>
      <c r="D10" s="969"/>
      <c r="E10" s="968"/>
      <c r="F10" s="974"/>
      <c r="G10" s="968"/>
      <c r="H10" s="968"/>
      <c r="I10" s="119"/>
      <c r="J10" s="119"/>
      <c r="K10" s="119"/>
      <c r="L10" s="119"/>
      <c r="M10" s="119"/>
      <c r="N10" s="119"/>
      <c r="O10" s="119"/>
      <c r="P10" s="119"/>
      <c r="Q10" s="119"/>
      <c r="R10" s="119"/>
      <c r="S10" s="119"/>
      <c r="T10" s="119"/>
      <c r="U10" s="119"/>
      <c r="V10" s="972">
        <f t="shared" si="1"/>
        <v>0</v>
      </c>
      <c r="W10" s="976"/>
      <c r="X10" s="972">
        <f t="shared" si="2"/>
        <v>0</v>
      </c>
      <c r="Y10" s="976"/>
      <c r="Z10" s="972">
        <f t="shared" si="3"/>
        <v>0</v>
      </c>
    </row>
    <row r="11" spans="1:26" x14ac:dyDescent="0.2">
      <c r="A11" s="967" t="s">
        <v>391</v>
      </c>
      <c r="C11" s="974"/>
      <c r="D11" s="969"/>
      <c r="E11" s="968"/>
      <c r="F11" s="974"/>
      <c r="G11" s="968"/>
      <c r="H11" s="968"/>
      <c r="I11" s="119"/>
      <c r="J11" s="119"/>
      <c r="K11" s="119"/>
      <c r="L11" s="119"/>
      <c r="M11" s="119"/>
      <c r="N11" s="119"/>
      <c r="O11" s="119"/>
      <c r="P11" s="119"/>
      <c r="Q11" s="119"/>
      <c r="R11" s="119"/>
      <c r="S11" s="119"/>
      <c r="T11" s="119"/>
      <c r="U11" s="119"/>
      <c r="V11" s="972">
        <f t="shared" si="1"/>
        <v>0</v>
      </c>
      <c r="W11" s="976"/>
      <c r="X11" s="972">
        <f t="shared" si="2"/>
        <v>0</v>
      </c>
      <c r="Y11" s="976"/>
      <c r="Z11" s="972">
        <f t="shared" si="3"/>
        <v>0</v>
      </c>
    </row>
    <row r="12" spans="1:26" x14ac:dyDescent="0.2">
      <c r="A12" s="967" t="s">
        <v>392</v>
      </c>
      <c r="C12" s="974"/>
      <c r="D12" s="969"/>
      <c r="E12" s="968"/>
      <c r="F12" s="974"/>
      <c r="G12" s="968"/>
      <c r="H12" s="968"/>
      <c r="I12" s="119"/>
      <c r="J12" s="119"/>
      <c r="K12" s="119"/>
      <c r="L12" s="119"/>
      <c r="M12" s="119"/>
      <c r="N12" s="119"/>
      <c r="O12" s="119"/>
      <c r="P12" s="119"/>
      <c r="Q12" s="119"/>
      <c r="R12" s="119"/>
      <c r="S12" s="119"/>
      <c r="T12" s="119"/>
      <c r="U12" s="119"/>
      <c r="V12" s="972">
        <f t="shared" si="1"/>
        <v>0</v>
      </c>
      <c r="W12" s="976"/>
      <c r="X12" s="972">
        <f t="shared" si="2"/>
        <v>0</v>
      </c>
      <c r="Y12" s="976"/>
      <c r="Z12" s="972">
        <f t="shared" si="3"/>
        <v>0</v>
      </c>
    </row>
    <row r="13" spans="1:26" x14ac:dyDescent="0.2">
      <c r="A13" s="967" t="s">
        <v>393</v>
      </c>
      <c r="C13" s="974"/>
      <c r="D13" s="969"/>
      <c r="E13" s="968"/>
      <c r="F13" s="974"/>
      <c r="G13" s="968"/>
      <c r="H13" s="968"/>
      <c r="I13" s="119"/>
      <c r="J13" s="119"/>
      <c r="K13" s="119"/>
      <c r="L13" s="119"/>
      <c r="M13" s="119"/>
      <c r="N13" s="119"/>
      <c r="O13" s="119"/>
      <c r="P13" s="119"/>
      <c r="Q13" s="119"/>
      <c r="R13" s="119"/>
      <c r="S13" s="119"/>
      <c r="T13" s="119"/>
      <c r="U13" s="119"/>
      <c r="V13" s="972">
        <f t="shared" si="1"/>
        <v>0</v>
      </c>
      <c r="W13" s="976"/>
      <c r="X13" s="972">
        <f t="shared" si="2"/>
        <v>0</v>
      </c>
      <c r="Y13" s="976"/>
      <c r="Z13" s="972">
        <f t="shared" si="3"/>
        <v>0</v>
      </c>
    </row>
    <row r="14" spans="1:26" x14ac:dyDescent="0.2">
      <c r="A14" s="967" t="s">
        <v>394</v>
      </c>
      <c r="C14" s="974"/>
      <c r="D14" s="969"/>
      <c r="E14" s="968"/>
      <c r="F14" s="974"/>
      <c r="G14" s="968"/>
      <c r="H14" s="968"/>
      <c r="I14" s="119"/>
      <c r="J14" s="119"/>
      <c r="K14" s="119"/>
      <c r="L14" s="119"/>
      <c r="M14" s="119"/>
      <c r="N14" s="119"/>
      <c r="O14" s="119"/>
      <c r="P14" s="119"/>
      <c r="Q14" s="119"/>
      <c r="R14" s="119"/>
      <c r="S14" s="119"/>
      <c r="T14" s="119"/>
      <c r="U14" s="119"/>
      <c r="V14" s="972">
        <f t="shared" si="1"/>
        <v>0</v>
      </c>
      <c r="W14" s="976"/>
      <c r="X14" s="972">
        <f t="shared" si="2"/>
        <v>0</v>
      </c>
      <c r="Y14" s="976"/>
      <c r="Z14" s="972">
        <f t="shared" si="3"/>
        <v>0</v>
      </c>
    </row>
    <row r="15" spans="1:26" x14ac:dyDescent="0.2">
      <c r="C15" s="30"/>
      <c r="D15" s="120"/>
      <c r="E15" s="121"/>
      <c r="F15" s="30"/>
      <c r="G15" s="121"/>
      <c r="H15" s="977" t="s">
        <v>395</v>
      </c>
      <c r="I15" s="978">
        <f t="shared" ref="I15:V15" si="5">SUM(I5:I14)</f>
        <v>0</v>
      </c>
      <c r="J15" s="978">
        <f t="shared" si="5"/>
        <v>0</v>
      </c>
      <c r="K15" s="978">
        <f t="shared" si="5"/>
        <v>0</v>
      </c>
      <c r="L15" s="978">
        <f t="shared" si="5"/>
        <v>0</v>
      </c>
      <c r="M15" s="978">
        <f t="shared" si="5"/>
        <v>0</v>
      </c>
      <c r="N15" s="978">
        <f t="shared" si="5"/>
        <v>0</v>
      </c>
      <c r="O15" s="978">
        <f t="shared" si="5"/>
        <v>0</v>
      </c>
      <c r="P15" s="978">
        <f t="shared" si="5"/>
        <v>0</v>
      </c>
      <c r="Q15" s="978">
        <f t="shared" si="5"/>
        <v>0</v>
      </c>
      <c r="R15" s="978">
        <f t="shared" si="5"/>
        <v>0</v>
      </c>
      <c r="S15" s="978">
        <f t="shared" si="5"/>
        <v>0</v>
      </c>
      <c r="T15" s="978">
        <f t="shared" si="5"/>
        <v>0</v>
      </c>
      <c r="U15" s="978">
        <f t="shared" si="5"/>
        <v>0</v>
      </c>
      <c r="V15" s="978">
        <f t="shared" si="5"/>
        <v>0</v>
      </c>
      <c r="W15" s="81"/>
      <c r="X15" s="978">
        <f>SUM(X5:X14)</f>
        <v>0</v>
      </c>
      <c r="Y15" s="81"/>
      <c r="Z15" s="978">
        <f>SUM(Z5:Z14)</f>
        <v>0</v>
      </c>
    </row>
  </sheetData>
  <mergeCells count="13">
    <mergeCell ref="I3:I4"/>
    <mergeCell ref="P3:P4"/>
    <mergeCell ref="U3:U4"/>
    <mergeCell ref="J3:J4"/>
    <mergeCell ref="Q3:Q4"/>
    <mergeCell ref="R3:R4"/>
    <mergeCell ref="S3:S4"/>
    <mergeCell ref="T3:T4"/>
    <mergeCell ref="K3:K4"/>
    <mergeCell ref="L3:L4"/>
    <mergeCell ref="O3:O4"/>
    <mergeCell ref="M3:M4"/>
    <mergeCell ref="N3:N4"/>
  </mergeCells>
  <pageMargins left="0.7" right="0.7" top="0.75" bottom="0.75" header="0" footer="0"/>
  <pageSetup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1E3A8A"/>
    <pageSetUpPr fitToPage="1"/>
  </sheetPr>
  <dimension ref="A1:S113"/>
  <sheetViews>
    <sheetView showGridLines="0" workbookViewId="0">
      <pane ySplit="3" topLeftCell="A4" activePane="bottomLeft" state="frozen"/>
      <selection pane="bottomLeft" activeCell="M30" sqref="M30"/>
    </sheetView>
  </sheetViews>
  <sheetFormatPr baseColWidth="10" defaultColWidth="14.5" defaultRowHeight="15" customHeight="1" outlineLevelRow="2" outlineLevelCol="1" x14ac:dyDescent="0.2"/>
  <cols>
    <col min="1" max="1" width="37.33203125" customWidth="1"/>
    <col min="2" max="2" width="15.33203125" customWidth="1"/>
    <col min="3" max="3" width="8.6640625" customWidth="1" outlineLevel="1"/>
    <col min="4" max="14" width="10" customWidth="1" outlineLevel="1"/>
    <col min="15" max="17" width="10.33203125" customWidth="1"/>
    <col min="18" max="18" width="9" customWidth="1"/>
    <col min="19" max="33" width="7.33203125" customWidth="1"/>
    <col min="34" max="34" width="8.5" customWidth="1"/>
  </cols>
  <sheetData>
    <row r="1" spans="1:17" ht="12.75" customHeight="1" x14ac:dyDescent="0.2">
      <c r="A1" s="1074" t="str">
        <f>+'Info &amp; Instructions'!B5</f>
        <v>Draper Yoga</v>
      </c>
      <c r="B1" s="1062"/>
      <c r="C1" s="1062"/>
      <c r="D1" s="1062"/>
      <c r="E1" s="1062"/>
      <c r="F1" s="1062"/>
      <c r="G1" s="1062"/>
      <c r="H1" s="1062"/>
      <c r="I1" s="1062"/>
      <c r="J1" s="1062"/>
      <c r="K1" s="1062"/>
      <c r="L1" s="1062"/>
      <c r="M1" s="1062"/>
      <c r="N1" s="1062"/>
      <c r="O1" s="1062"/>
      <c r="P1" s="1062"/>
      <c r="Q1" s="1062"/>
    </row>
    <row r="2" spans="1:17" ht="12.75" customHeight="1" x14ac:dyDescent="0.2">
      <c r="A2" s="1063" t="s">
        <v>396</v>
      </c>
      <c r="B2" s="1062"/>
      <c r="C2" s="1062"/>
      <c r="D2" s="1062"/>
      <c r="E2" s="1062"/>
      <c r="F2" s="1062"/>
      <c r="G2" s="1062"/>
      <c r="H2" s="1062"/>
      <c r="I2" s="1062"/>
      <c r="J2" s="1062"/>
      <c r="K2" s="1062"/>
      <c r="L2" s="1062"/>
      <c r="M2" s="1062"/>
      <c r="N2" s="1062"/>
      <c r="O2" s="1062"/>
      <c r="P2" s="1062"/>
      <c r="Q2" s="1062"/>
    </row>
    <row r="3" spans="1:17" ht="12.75" customHeight="1" x14ac:dyDescent="0.2">
      <c r="A3" s="163"/>
      <c r="B3" s="163"/>
      <c r="C3" s="163"/>
      <c r="D3" s="163"/>
      <c r="E3" s="163"/>
      <c r="F3" s="163"/>
      <c r="G3" s="163"/>
      <c r="H3" s="163"/>
      <c r="I3" s="163"/>
      <c r="J3" s="163"/>
      <c r="K3" s="163"/>
      <c r="L3" s="163"/>
      <c r="M3" s="163"/>
      <c r="N3" s="163"/>
      <c r="O3" s="163"/>
      <c r="P3" s="163"/>
      <c r="Q3" s="163"/>
    </row>
    <row r="4" spans="1:17" ht="12.75" customHeight="1" x14ac:dyDescent="0.2">
      <c r="A4" s="405" t="s">
        <v>397</v>
      </c>
      <c r="B4" s="194"/>
      <c r="C4" s="166"/>
      <c r="D4" s="166"/>
      <c r="E4" s="166"/>
      <c r="F4" s="166"/>
      <c r="G4" s="166"/>
      <c r="H4" s="166"/>
      <c r="I4" s="166"/>
      <c r="J4" s="166"/>
      <c r="K4" s="166"/>
      <c r="L4" s="166"/>
      <c r="M4" s="166"/>
      <c r="N4" s="166"/>
      <c r="O4" s="1076" t="s">
        <v>126</v>
      </c>
      <c r="P4" s="1065"/>
      <c r="Q4" s="1065"/>
    </row>
    <row r="5" spans="1:17" ht="12.75" customHeight="1" x14ac:dyDescent="0.2">
      <c r="A5" s="385"/>
      <c r="B5" s="386" t="s">
        <v>131</v>
      </c>
      <c r="C5" s="370">
        <f>+'P&amp;L-Revenues'!B4</f>
        <v>44771</v>
      </c>
      <c r="D5" s="370">
        <f>+'P&amp;L-Revenues'!C4</f>
        <v>44799</v>
      </c>
      <c r="E5" s="370">
        <f>+'P&amp;L-Revenues'!D4</f>
        <v>44827</v>
      </c>
      <c r="F5" s="370">
        <f>+'P&amp;L-Revenues'!E4</f>
        <v>44855</v>
      </c>
      <c r="G5" s="370">
        <f>+'P&amp;L-Revenues'!F4</f>
        <v>44883</v>
      </c>
      <c r="H5" s="370">
        <f>+'P&amp;L-Revenues'!G4</f>
        <v>44911</v>
      </c>
      <c r="I5" s="370">
        <f>+'P&amp;L-Revenues'!H4</f>
        <v>44939</v>
      </c>
      <c r="J5" s="370">
        <f>+'P&amp;L-Revenues'!I4</f>
        <v>44967</v>
      </c>
      <c r="K5" s="370">
        <f>+'P&amp;L-Revenues'!J4</f>
        <v>44995</v>
      </c>
      <c r="L5" s="370">
        <f>+'P&amp;L-Revenues'!K4</f>
        <v>45023</v>
      </c>
      <c r="M5" s="370">
        <f>+'P&amp;L-Revenues'!L4</f>
        <v>45051</v>
      </c>
      <c r="N5" s="370">
        <f>+'P&amp;L-Revenues'!M4</f>
        <v>45079</v>
      </c>
      <c r="O5" s="371">
        <f>+N5</f>
        <v>45079</v>
      </c>
      <c r="P5" s="372">
        <f>+O5+365</f>
        <v>45444</v>
      </c>
      <c r="Q5" s="372">
        <f>+P5+365</f>
        <v>45809</v>
      </c>
    </row>
    <row r="6" spans="1:17" ht="12.75" customHeight="1" x14ac:dyDescent="0.2">
      <c r="A6" s="979" t="s">
        <v>140</v>
      </c>
      <c r="B6" s="192"/>
      <c r="C6" s="261"/>
      <c r="D6" s="261"/>
      <c r="E6" s="261"/>
      <c r="F6" s="261"/>
      <c r="G6" s="261"/>
      <c r="H6" s="261"/>
      <c r="I6" s="261"/>
      <c r="J6" s="261"/>
      <c r="K6" s="261"/>
      <c r="L6" s="261"/>
      <c r="M6" s="261"/>
      <c r="N6" s="261"/>
      <c r="O6" s="262"/>
      <c r="P6" s="263"/>
      <c r="Q6" s="263"/>
    </row>
    <row r="7" spans="1:17" ht="12.75" customHeight="1" x14ac:dyDescent="0.2">
      <c r="A7" s="980" t="s">
        <v>100</v>
      </c>
      <c r="B7" s="264"/>
      <c r="C7" s="265"/>
      <c r="D7" s="265"/>
      <c r="E7" s="265"/>
      <c r="F7" s="265"/>
      <c r="G7" s="265"/>
      <c r="H7" s="265"/>
      <c r="I7" s="265"/>
      <c r="J7" s="265"/>
      <c r="K7" s="265"/>
      <c r="L7" s="265"/>
      <c r="M7" s="265"/>
      <c r="N7" s="265"/>
      <c r="O7" s="266"/>
      <c r="P7" s="265"/>
      <c r="Q7" s="265"/>
    </row>
    <row r="8" spans="1:17" ht="12.75" customHeight="1" outlineLevel="1" x14ac:dyDescent="0.2">
      <c r="A8" s="390" t="str">
        <f>+'P&amp;L-Revenues'!A5</f>
        <v>Drop-Ins</v>
      </c>
      <c r="B8" s="183"/>
      <c r="C8" s="391">
        <f>+'P&amp;L-Revenues'!B5</f>
        <v>1872.0000000000002</v>
      </c>
      <c r="D8" s="391">
        <f>+'P&amp;L-Revenues'!C5</f>
        <v>2808</v>
      </c>
      <c r="E8" s="391">
        <f>+'P&amp;L-Revenues'!D5</f>
        <v>3744.0000000000005</v>
      </c>
      <c r="F8" s="391">
        <f>+'P&amp;L-Revenues'!E5</f>
        <v>4680</v>
      </c>
      <c r="G8" s="391">
        <f>+'P&amp;L-Revenues'!F5</f>
        <v>5616</v>
      </c>
      <c r="H8" s="391">
        <f>+'P&amp;L-Revenues'!G5</f>
        <v>6551.9999999999991</v>
      </c>
      <c r="I8" s="391">
        <f>+'P&amp;L-Revenues'!H5</f>
        <v>9360</v>
      </c>
      <c r="J8" s="391">
        <f>+'P&amp;L-Revenues'!I5</f>
        <v>8424</v>
      </c>
      <c r="K8" s="391">
        <f>+'P&amp;L-Revenues'!J5</f>
        <v>7488.0000000000009</v>
      </c>
      <c r="L8" s="391">
        <f>+'P&amp;L-Revenues'!K5</f>
        <v>6551.9999999999991</v>
      </c>
      <c r="M8" s="391">
        <f>+'P&amp;L-Revenues'!L5</f>
        <v>6551.9999999999991</v>
      </c>
      <c r="N8" s="391">
        <f>+'P&amp;L-Revenues'!M5</f>
        <v>6551.9999999999991</v>
      </c>
      <c r="O8" s="981">
        <f>+'P&amp;L-Revenues'!N5</f>
        <v>70200</v>
      </c>
      <c r="P8" s="391">
        <f>+'P&amp;L-Revenues'!P5</f>
        <v>86767.200000000026</v>
      </c>
      <c r="Q8" s="391">
        <f>+'P&amp;L-Revenues'!R5</f>
        <v>96876.000000000015</v>
      </c>
    </row>
    <row r="9" spans="1:17" ht="12.75" customHeight="1" outlineLevel="1" x14ac:dyDescent="0.2">
      <c r="A9" s="390" t="str">
        <f>+'P&amp;L-Revenues'!A6</f>
        <v>Unlimited Class Memberships</v>
      </c>
      <c r="B9" s="183"/>
      <c r="C9" s="391">
        <f>+'P&amp;L-Revenues'!B6</f>
        <v>2040</v>
      </c>
      <c r="D9" s="391">
        <f>+'P&amp;L-Revenues'!C6</f>
        <v>4590</v>
      </c>
      <c r="E9" s="391">
        <f>+'P&amp;L-Revenues'!D6</f>
        <v>7905</v>
      </c>
      <c r="F9" s="391">
        <f>+'P&amp;L-Revenues'!E6</f>
        <v>11985</v>
      </c>
      <c r="G9" s="391">
        <f>+'P&amp;L-Revenues'!F6</f>
        <v>16830</v>
      </c>
      <c r="H9" s="391">
        <f>+'P&amp;L-Revenues'!G6</f>
        <v>22440</v>
      </c>
      <c r="I9" s="391">
        <f>+'P&amp;L-Revenues'!H6</f>
        <v>30855</v>
      </c>
      <c r="J9" s="391">
        <f>+'P&amp;L-Revenues'!I6</f>
        <v>37485</v>
      </c>
      <c r="K9" s="391">
        <f>+'P&amp;L-Revenues'!J6</f>
        <v>43350</v>
      </c>
      <c r="L9" s="391">
        <f>+'P&amp;L-Revenues'!K6</f>
        <v>48450</v>
      </c>
      <c r="M9" s="391">
        <f>+'P&amp;L-Revenues'!L6</f>
        <v>53805</v>
      </c>
      <c r="N9" s="391">
        <f>+'P&amp;L-Revenues'!M6</f>
        <v>59160</v>
      </c>
      <c r="O9" s="981">
        <f>+'P&amp;L-Revenues'!N6</f>
        <v>338895</v>
      </c>
      <c r="P9" s="391">
        <f>+'P&amp;L-Revenues'!P6</f>
        <v>418874.22</v>
      </c>
      <c r="Q9" s="391">
        <f>+'P&amp;L-Revenues'!R6</f>
        <v>467675.1</v>
      </c>
    </row>
    <row r="10" spans="1:17" ht="12.75" customHeight="1" outlineLevel="1" x14ac:dyDescent="0.2">
      <c r="A10" s="390" t="str">
        <f>+'P&amp;L-Revenues'!A7</f>
        <v>Nutritional Numbers</v>
      </c>
      <c r="B10" s="183"/>
      <c r="C10" s="391">
        <f>+'P&amp;L-Revenues'!B7</f>
        <v>179.99999999999997</v>
      </c>
      <c r="D10" s="391">
        <f>+'P&amp;L-Revenues'!C7</f>
        <v>270</v>
      </c>
      <c r="E10" s="391">
        <f>+'P&amp;L-Revenues'!D7</f>
        <v>359.99999999999994</v>
      </c>
      <c r="F10" s="391">
        <f>+'P&amp;L-Revenues'!E7</f>
        <v>450</v>
      </c>
      <c r="G10" s="391">
        <f>+'P&amp;L-Revenues'!F7</f>
        <v>540</v>
      </c>
      <c r="H10" s="391">
        <f>+'P&amp;L-Revenues'!G7</f>
        <v>630</v>
      </c>
      <c r="I10" s="391">
        <f>+'P&amp;L-Revenues'!H7</f>
        <v>900</v>
      </c>
      <c r="J10" s="391">
        <f>+'P&amp;L-Revenues'!I7</f>
        <v>810</v>
      </c>
      <c r="K10" s="391">
        <f>+'P&amp;L-Revenues'!J7</f>
        <v>719.99999999999989</v>
      </c>
      <c r="L10" s="391">
        <f>+'P&amp;L-Revenues'!K7</f>
        <v>630</v>
      </c>
      <c r="M10" s="391">
        <f>+'P&amp;L-Revenues'!L7</f>
        <v>630</v>
      </c>
      <c r="N10" s="391">
        <f>+'P&amp;L-Revenues'!M7</f>
        <v>630</v>
      </c>
      <c r="O10" s="981">
        <f>+'P&amp;L-Revenues'!N7</f>
        <v>6750</v>
      </c>
      <c r="P10" s="391">
        <f>+'P&amp;L-Revenues'!P7</f>
        <v>8342.9999999999982</v>
      </c>
      <c r="Q10" s="391">
        <f>+'P&amp;L-Revenues'!R7</f>
        <v>9314.9999999999982</v>
      </c>
    </row>
    <row r="11" spans="1:17" ht="12.75" hidden="1" customHeight="1" outlineLevel="1" x14ac:dyDescent="0.2">
      <c r="A11" s="390" t="str">
        <f>+'P&amp;L-Revenues'!A8</f>
        <v>Nutritional Coaching</v>
      </c>
      <c r="B11" s="183"/>
      <c r="C11" s="391">
        <f>+'P&amp;L-Revenues'!B8</f>
        <v>359.99999999999994</v>
      </c>
      <c r="D11" s="391">
        <f>+'P&amp;L-Revenues'!C8</f>
        <v>810</v>
      </c>
      <c r="E11" s="391">
        <f>+'P&amp;L-Revenues'!D8</f>
        <v>1395</v>
      </c>
      <c r="F11" s="391">
        <f>+'P&amp;L-Revenues'!E8</f>
        <v>2115</v>
      </c>
      <c r="G11" s="391">
        <f>+'P&amp;L-Revenues'!F8</f>
        <v>2970</v>
      </c>
      <c r="H11" s="391">
        <f>+'P&amp;L-Revenues'!G8</f>
        <v>3960</v>
      </c>
      <c r="I11" s="391">
        <f>+'P&amp;L-Revenues'!H8</f>
        <v>5445</v>
      </c>
      <c r="J11" s="391">
        <f>+'P&amp;L-Revenues'!I8</f>
        <v>6615</v>
      </c>
      <c r="K11" s="391">
        <f>+'P&amp;L-Revenues'!J8</f>
        <v>7650</v>
      </c>
      <c r="L11" s="391">
        <f>+'P&amp;L-Revenues'!K8</f>
        <v>8549.9999999999982</v>
      </c>
      <c r="M11" s="391">
        <f>+'P&amp;L-Revenues'!L8</f>
        <v>9494.9999999999982</v>
      </c>
      <c r="N11" s="391">
        <f>+'P&amp;L-Revenues'!M8</f>
        <v>10439.999999999998</v>
      </c>
      <c r="O11" s="981">
        <f>+'P&amp;L-Revenues'!N8</f>
        <v>59805</v>
      </c>
      <c r="P11" s="391">
        <f>+'P&amp;L-Revenues'!P8</f>
        <v>73918.98</v>
      </c>
      <c r="Q11" s="391">
        <f>+'P&amp;L-Revenues'!R8</f>
        <v>82530.899999999994</v>
      </c>
    </row>
    <row r="12" spans="1:17" ht="12.75" hidden="1" customHeight="1" outlineLevel="1" x14ac:dyDescent="0.2">
      <c r="A12" s="393">
        <f>+'P&amp;L-Revenues'!A10</f>
        <v>0</v>
      </c>
      <c r="B12" s="183"/>
      <c r="C12" s="391">
        <f>+'P&amp;L-Revenues'!B10</f>
        <v>0</v>
      </c>
      <c r="D12" s="391">
        <f>+'P&amp;L-Revenues'!C10</f>
        <v>0</v>
      </c>
      <c r="E12" s="391">
        <f>+'P&amp;L-Revenues'!D10</f>
        <v>0</v>
      </c>
      <c r="F12" s="391">
        <f>+'P&amp;L-Revenues'!E10</f>
        <v>0</v>
      </c>
      <c r="G12" s="391">
        <f>+'P&amp;L-Revenues'!F10</f>
        <v>0</v>
      </c>
      <c r="H12" s="391">
        <f>+'P&amp;L-Revenues'!G10</f>
        <v>0</v>
      </c>
      <c r="I12" s="391">
        <f>+'P&amp;L-Revenues'!H10</f>
        <v>0</v>
      </c>
      <c r="J12" s="391">
        <f>+'P&amp;L-Revenues'!I10</f>
        <v>0</v>
      </c>
      <c r="K12" s="391">
        <f>+'P&amp;L-Revenues'!J10</f>
        <v>0</v>
      </c>
      <c r="L12" s="391">
        <f>+'P&amp;L-Revenues'!K10</f>
        <v>0</v>
      </c>
      <c r="M12" s="391">
        <f>+'P&amp;L-Revenues'!L10</f>
        <v>0</v>
      </c>
      <c r="N12" s="391">
        <f>+'P&amp;L-Revenues'!M10</f>
        <v>0</v>
      </c>
      <c r="O12" s="981">
        <f>+'P&amp;L-Revenues'!N10</f>
        <v>0</v>
      </c>
      <c r="P12" s="391">
        <f>+'P&amp;L-Revenues'!P10</f>
        <v>0</v>
      </c>
      <c r="Q12" s="391">
        <f>+'P&amp;L-Revenues'!R10</f>
        <v>0</v>
      </c>
    </row>
    <row r="13" spans="1:17" ht="12.75" customHeight="1" x14ac:dyDescent="0.2">
      <c r="A13" s="982" t="s">
        <v>132</v>
      </c>
      <c r="B13" s="268"/>
      <c r="C13" s="394">
        <f t="shared" ref="C13:Q13" si="0">SUM(C8:C12)</f>
        <v>4452</v>
      </c>
      <c r="D13" s="394">
        <f t="shared" si="0"/>
        <v>8478</v>
      </c>
      <c r="E13" s="394">
        <f t="shared" si="0"/>
        <v>13404</v>
      </c>
      <c r="F13" s="394">
        <f t="shared" si="0"/>
        <v>19230</v>
      </c>
      <c r="G13" s="394">
        <f t="shared" si="0"/>
        <v>25956</v>
      </c>
      <c r="H13" s="394">
        <f t="shared" si="0"/>
        <v>33582</v>
      </c>
      <c r="I13" s="394">
        <f t="shared" si="0"/>
        <v>46560</v>
      </c>
      <c r="J13" s="394">
        <f t="shared" si="0"/>
        <v>53334</v>
      </c>
      <c r="K13" s="394">
        <f t="shared" si="0"/>
        <v>59208</v>
      </c>
      <c r="L13" s="394">
        <f t="shared" si="0"/>
        <v>64182</v>
      </c>
      <c r="M13" s="394">
        <f t="shared" si="0"/>
        <v>70482</v>
      </c>
      <c r="N13" s="394">
        <f t="shared" si="0"/>
        <v>76782</v>
      </c>
      <c r="O13" s="983">
        <f t="shared" si="0"/>
        <v>475650</v>
      </c>
      <c r="P13" s="394">
        <f t="shared" si="0"/>
        <v>587903.4</v>
      </c>
      <c r="Q13" s="394">
        <f t="shared" si="0"/>
        <v>656397</v>
      </c>
    </row>
    <row r="14" spans="1:17" ht="18" customHeight="1" x14ac:dyDescent="0.2">
      <c r="A14" s="980" t="s">
        <v>133</v>
      </c>
      <c r="B14" s="264"/>
      <c r="C14" s="181"/>
      <c r="D14" s="181"/>
      <c r="E14" s="181"/>
      <c r="F14" s="181"/>
      <c r="G14" s="181"/>
      <c r="H14" s="181"/>
      <c r="I14" s="181"/>
      <c r="J14" s="181"/>
      <c r="K14" s="181"/>
      <c r="L14" s="181"/>
      <c r="M14" s="181"/>
      <c r="N14" s="181"/>
      <c r="O14" s="267"/>
      <c r="P14" s="181"/>
      <c r="Q14" s="181"/>
    </row>
    <row r="15" spans="1:17" ht="12.75" customHeight="1" outlineLevel="1" x14ac:dyDescent="0.2">
      <c r="A15" s="338" t="str">
        <f>+'P&amp;L-COGS'!A6</f>
        <v>Direct Labor</v>
      </c>
      <c r="B15" s="188"/>
      <c r="C15" s="391">
        <f>+'P&amp;L-COGS'!B6</f>
        <v>546</v>
      </c>
      <c r="D15" s="391">
        <f>+'P&amp;L-COGS'!C6</f>
        <v>819</v>
      </c>
      <c r="E15" s="391">
        <f>+'P&amp;L-COGS'!D6</f>
        <v>1092</v>
      </c>
      <c r="F15" s="391">
        <f>+'P&amp;L-COGS'!E6</f>
        <v>1365</v>
      </c>
      <c r="G15" s="391">
        <f>+'P&amp;L-COGS'!F6</f>
        <v>1638</v>
      </c>
      <c r="H15" s="391">
        <f>+'P&amp;L-COGS'!G6</f>
        <v>1910.9999999999998</v>
      </c>
      <c r="I15" s="391">
        <f>+'P&amp;L-COGS'!H6</f>
        <v>2730</v>
      </c>
      <c r="J15" s="391">
        <f>+'P&amp;L-COGS'!I6</f>
        <v>2457</v>
      </c>
      <c r="K15" s="391">
        <f>+'P&amp;L-COGS'!J6</f>
        <v>2184</v>
      </c>
      <c r="L15" s="391">
        <f>+'P&amp;L-COGS'!K6</f>
        <v>1910.9999999999998</v>
      </c>
      <c r="M15" s="391">
        <f>+'P&amp;L-COGS'!L6</f>
        <v>1910.9999999999998</v>
      </c>
      <c r="N15" s="391">
        <f>+'P&amp;L-COGS'!M6</f>
        <v>1910.9999999999998</v>
      </c>
      <c r="O15" s="981">
        <f>+'P&amp;L-COGS'!N6</f>
        <v>20475</v>
      </c>
      <c r="P15" s="391">
        <f>+'P&amp;L-COGS'!P6</f>
        <v>31119.946199999995</v>
      </c>
      <c r="Q15" s="391">
        <f>+'P&amp;L-COGS'!R6</f>
        <v>34745.570999999989</v>
      </c>
    </row>
    <row r="16" spans="1:17" ht="12.75" customHeight="1" outlineLevel="1" x14ac:dyDescent="0.2">
      <c r="A16" s="338" t="str">
        <f>+'P&amp;L-COGS'!A7</f>
        <v>Direct Materials</v>
      </c>
      <c r="B16" s="188"/>
      <c r="C16" s="391">
        <f>+'P&amp;L-COGS'!B7</f>
        <v>231</v>
      </c>
      <c r="D16" s="391">
        <f>+'P&amp;L-COGS'!C7</f>
        <v>442.8</v>
      </c>
      <c r="E16" s="391">
        <f>+'P&amp;L-COGS'!D7</f>
        <v>702.75</v>
      </c>
      <c r="F16" s="391">
        <f>+'P&amp;L-COGS'!E7</f>
        <v>1010.85</v>
      </c>
      <c r="G16" s="391">
        <f>+'P&amp;L-COGS'!F7</f>
        <v>1367.1000000000001</v>
      </c>
      <c r="H16" s="391">
        <f>+'P&amp;L-COGS'!G7</f>
        <v>1771.5</v>
      </c>
      <c r="I16" s="391">
        <f>+'P&amp;L-COGS'!H7</f>
        <v>2455.0500000000002</v>
      </c>
      <c r="J16" s="391">
        <f>+'P&amp;L-COGS'!I7</f>
        <v>2821.05</v>
      </c>
      <c r="K16" s="391">
        <f>+'P&amp;L-COGS'!J7</f>
        <v>3138.9</v>
      </c>
      <c r="L16" s="391">
        <f>+'P&amp;L-COGS'!K7</f>
        <v>3408.6000000000004</v>
      </c>
      <c r="M16" s="391">
        <f>+'P&amp;L-COGS'!L7</f>
        <v>3745.65</v>
      </c>
      <c r="N16" s="391">
        <f>+'P&amp;L-COGS'!M7</f>
        <v>4082.7000000000003</v>
      </c>
      <c r="O16" s="981">
        <f>+'P&amp;L-COGS'!N7</f>
        <v>25177.95</v>
      </c>
      <c r="P16" s="391">
        <f>+'P&amp;L-COGS'!P7</f>
        <v>31119.946199999995</v>
      </c>
      <c r="Q16" s="391">
        <f>+'P&amp;L-COGS'!R7</f>
        <v>34745.570999999989</v>
      </c>
    </row>
    <row r="17" spans="1:19" ht="12.75" customHeight="1" outlineLevel="1" x14ac:dyDescent="0.2">
      <c r="A17" s="338" t="str">
        <f>+'P&amp;L-COGS'!A8</f>
        <v>Other Direct Costs</v>
      </c>
      <c r="B17" s="188"/>
      <c r="C17" s="984">
        <f>+SUM('P&amp;L-COGS'!B8)</f>
        <v>231</v>
      </c>
      <c r="D17" s="984">
        <f>+SUM('P&amp;L-COGS'!C8)</f>
        <v>442.8</v>
      </c>
      <c r="E17" s="984">
        <f>+SUM('P&amp;L-COGS'!D8)</f>
        <v>702.75</v>
      </c>
      <c r="F17" s="984">
        <f>+SUM('P&amp;L-COGS'!E8)</f>
        <v>1010.85</v>
      </c>
      <c r="G17" s="984">
        <f>+SUM('P&amp;L-COGS'!F8)</f>
        <v>1367.1000000000001</v>
      </c>
      <c r="H17" s="984">
        <f>+SUM('P&amp;L-COGS'!G8)</f>
        <v>1771.5</v>
      </c>
      <c r="I17" s="984">
        <f>+SUM('P&amp;L-COGS'!H8)</f>
        <v>2455.0500000000002</v>
      </c>
      <c r="J17" s="984">
        <f>+SUM('P&amp;L-COGS'!I8)</f>
        <v>2821.05</v>
      </c>
      <c r="K17" s="984">
        <f>+SUM('P&amp;L-COGS'!J8)</f>
        <v>3138.9</v>
      </c>
      <c r="L17" s="984">
        <f>+SUM('P&amp;L-COGS'!K8)</f>
        <v>3408.6000000000004</v>
      </c>
      <c r="M17" s="984">
        <f>+SUM('P&amp;L-COGS'!L8)</f>
        <v>3745.65</v>
      </c>
      <c r="N17" s="984">
        <f>+SUM('P&amp;L-COGS'!M8)</f>
        <v>4082.7000000000003</v>
      </c>
      <c r="O17" s="985">
        <f>+SUM('P&amp;L-COGS'!N8)</f>
        <v>25177.95</v>
      </c>
      <c r="P17" s="984">
        <f>+SUM('P&amp;L-COGS'!P8)</f>
        <v>31119.946199999995</v>
      </c>
      <c r="Q17" s="984">
        <f>+SUM('P&amp;L-COGS'!R8)</f>
        <v>34745.570999999989</v>
      </c>
      <c r="R17" s="181"/>
      <c r="S17" s="17"/>
    </row>
    <row r="18" spans="1:19" ht="12.75" customHeight="1" x14ac:dyDescent="0.2">
      <c r="A18" s="982" t="s">
        <v>36</v>
      </c>
      <c r="B18" s="184"/>
      <c r="C18" s="391">
        <f>+'P&amp;L-COGS'!B9</f>
        <v>-1008</v>
      </c>
      <c r="D18" s="394">
        <f t="shared" ref="D18:Q18" si="1">-SUM(D15:D17)</f>
        <v>-1704.6</v>
      </c>
      <c r="E18" s="394">
        <f t="shared" si="1"/>
        <v>-2497.5</v>
      </c>
      <c r="F18" s="394">
        <f t="shared" si="1"/>
        <v>-3386.7</v>
      </c>
      <c r="G18" s="394">
        <f t="shared" si="1"/>
        <v>-4372.2000000000007</v>
      </c>
      <c r="H18" s="394">
        <f t="shared" si="1"/>
        <v>-5454</v>
      </c>
      <c r="I18" s="394">
        <f t="shared" si="1"/>
        <v>-7640.1</v>
      </c>
      <c r="J18" s="394">
        <f t="shared" si="1"/>
        <v>-8099.1</v>
      </c>
      <c r="K18" s="394">
        <f t="shared" si="1"/>
        <v>-8461.7999999999993</v>
      </c>
      <c r="L18" s="394">
        <f t="shared" si="1"/>
        <v>-8728.2000000000007</v>
      </c>
      <c r="M18" s="394">
        <f t="shared" si="1"/>
        <v>-9402.2999999999993</v>
      </c>
      <c r="N18" s="394">
        <f t="shared" si="1"/>
        <v>-10076.4</v>
      </c>
      <c r="O18" s="983">
        <f t="shared" si="1"/>
        <v>-70830.899999999994</v>
      </c>
      <c r="P18" s="394">
        <f t="shared" si="1"/>
        <v>-93359.838599999988</v>
      </c>
      <c r="Q18" s="394">
        <f t="shared" si="1"/>
        <v>-104236.71299999996</v>
      </c>
      <c r="R18" s="181"/>
      <c r="S18" s="17"/>
    </row>
    <row r="19" spans="1:19" ht="18.75" customHeight="1" x14ac:dyDescent="0.2">
      <c r="A19" s="337" t="s">
        <v>39</v>
      </c>
      <c r="B19" s="398">
        <f t="shared" ref="B19:Q19" si="2">+B13+B18</f>
        <v>0</v>
      </c>
      <c r="C19" s="397">
        <f t="shared" si="2"/>
        <v>3444</v>
      </c>
      <c r="D19" s="397">
        <f t="shared" si="2"/>
        <v>6773.4</v>
      </c>
      <c r="E19" s="397">
        <f t="shared" si="2"/>
        <v>10906.5</v>
      </c>
      <c r="F19" s="397">
        <f t="shared" si="2"/>
        <v>15843.3</v>
      </c>
      <c r="G19" s="397">
        <f t="shared" si="2"/>
        <v>21583.8</v>
      </c>
      <c r="H19" s="397">
        <f t="shared" si="2"/>
        <v>28128</v>
      </c>
      <c r="I19" s="397">
        <f t="shared" si="2"/>
        <v>38919.9</v>
      </c>
      <c r="J19" s="397">
        <f t="shared" si="2"/>
        <v>45234.9</v>
      </c>
      <c r="K19" s="397">
        <f t="shared" si="2"/>
        <v>50746.2</v>
      </c>
      <c r="L19" s="397">
        <f t="shared" si="2"/>
        <v>55453.8</v>
      </c>
      <c r="M19" s="397">
        <f t="shared" si="2"/>
        <v>61079.7</v>
      </c>
      <c r="N19" s="397">
        <f t="shared" si="2"/>
        <v>66705.600000000006</v>
      </c>
      <c r="O19" s="986">
        <f t="shared" si="2"/>
        <v>404819.1</v>
      </c>
      <c r="P19" s="397">
        <f t="shared" si="2"/>
        <v>494543.56140000001</v>
      </c>
      <c r="Q19" s="397">
        <f t="shared" si="2"/>
        <v>552160.28700000001</v>
      </c>
      <c r="R19" s="181"/>
      <c r="S19" s="122"/>
    </row>
    <row r="20" spans="1:19" ht="19.5" customHeight="1" x14ac:dyDescent="0.2">
      <c r="A20" s="980" t="s">
        <v>42</v>
      </c>
      <c r="B20" s="264"/>
      <c r="C20" s="181"/>
      <c r="D20" s="181"/>
      <c r="E20" s="181"/>
      <c r="F20" s="181"/>
      <c r="G20" s="181"/>
      <c r="H20" s="181"/>
      <c r="I20" s="181"/>
      <c r="J20" s="181"/>
      <c r="K20" s="181"/>
      <c r="L20" s="181"/>
      <c r="M20" s="181"/>
      <c r="N20" s="181"/>
      <c r="O20" s="267"/>
      <c r="P20" s="269"/>
      <c r="Q20" s="269"/>
      <c r="R20" s="181"/>
      <c r="S20" s="17"/>
    </row>
    <row r="21" spans="1:19" ht="12.75" customHeight="1" outlineLevel="1" x14ac:dyDescent="0.2">
      <c r="A21" s="338" t="str">
        <f>+'P&amp;L-Expenses'!A6</f>
        <v>Payroll: Salaries &amp; wages</v>
      </c>
      <c r="B21" s="188"/>
      <c r="C21" s="391">
        <f>+'P&amp;L-Expenses'!F6</f>
        <v>11773.333333333334</v>
      </c>
      <c r="D21" s="391">
        <f>+'P&amp;L-Expenses'!G6</f>
        <v>11773.333333333334</v>
      </c>
      <c r="E21" s="391">
        <f>+'P&amp;L-Expenses'!H6</f>
        <v>11773.333333333334</v>
      </c>
      <c r="F21" s="391">
        <f>+'P&amp;L-Expenses'!I6</f>
        <v>11773.333333333334</v>
      </c>
      <c r="G21" s="391">
        <f>+'P&amp;L-Expenses'!J6</f>
        <v>11773.333333333334</v>
      </c>
      <c r="H21" s="391">
        <f>+'P&amp;L-Expenses'!K6</f>
        <v>11773.333333333334</v>
      </c>
      <c r="I21" s="391">
        <f>+'P&amp;L-Expenses'!L6</f>
        <v>11773.333333333334</v>
      </c>
      <c r="J21" s="391">
        <f>+'P&amp;L-Expenses'!M6</f>
        <v>11773.333333333334</v>
      </c>
      <c r="K21" s="391">
        <f>+'P&amp;L-Expenses'!N6</f>
        <v>11773.333333333334</v>
      </c>
      <c r="L21" s="391">
        <f>+'P&amp;L-Expenses'!O6</f>
        <v>11773.333333333334</v>
      </c>
      <c r="M21" s="391">
        <f>+'P&amp;L-Expenses'!P6</f>
        <v>11773.333333333334</v>
      </c>
      <c r="N21" s="391">
        <f>+'P&amp;L-Expenses'!Q6</f>
        <v>11773.333333333334</v>
      </c>
      <c r="O21" s="981">
        <f>+'P&amp;L-Expenses'!R6</f>
        <v>141279.99999999997</v>
      </c>
      <c r="P21" s="391">
        <f>+'P&amp;L-Expenses'!S6</f>
        <v>168031.5</v>
      </c>
      <c r="Q21" s="391">
        <f>+'P&amp;L-Expenses'!T6</f>
        <v>176433.07500000001</v>
      </c>
      <c r="R21" s="191"/>
      <c r="S21" s="987" t="s">
        <v>45</v>
      </c>
    </row>
    <row r="22" spans="1:19" ht="12.75" customHeight="1" outlineLevel="1" x14ac:dyDescent="0.2">
      <c r="A22" s="338" t="str">
        <f>+'P&amp;L-Expenses'!A7</f>
        <v>Payroll: taxes &amp; benefits</v>
      </c>
      <c r="B22" s="188"/>
      <c r="C22" s="391">
        <f>+'P&amp;L-Expenses'!F7</f>
        <v>737.5</v>
      </c>
      <c r="D22" s="391">
        <f>+'P&amp;L-Expenses'!G7</f>
        <v>737.5</v>
      </c>
      <c r="E22" s="391">
        <f>+'P&amp;L-Expenses'!H7</f>
        <v>737.5</v>
      </c>
      <c r="F22" s="391">
        <f>+'P&amp;L-Expenses'!I7</f>
        <v>737.5</v>
      </c>
      <c r="G22" s="391">
        <f>+'P&amp;L-Expenses'!J7</f>
        <v>737.5</v>
      </c>
      <c r="H22" s="391">
        <f>+'P&amp;L-Expenses'!K7</f>
        <v>737.5</v>
      </c>
      <c r="I22" s="391">
        <f>+'P&amp;L-Expenses'!L7</f>
        <v>737.5</v>
      </c>
      <c r="J22" s="391">
        <f>+'P&amp;L-Expenses'!M7</f>
        <v>737.5</v>
      </c>
      <c r="K22" s="391">
        <f>+'P&amp;L-Expenses'!N7</f>
        <v>737.5</v>
      </c>
      <c r="L22" s="391">
        <f>+'P&amp;L-Expenses'!O7</f>
        <v>737.5</v>
      </c>
      <c r="M22" s="391">
        <f>+'P&amp;L-Expenses'!P7</f>
        <v>737.5</v>
      </c>
      <c r="N22" s="391">
        <f>+'P&amp;L-Expenses'!Q7</f>
        <v>737.5</v>
      </c>
      <c r="O22" s="981">
        <f>+'P&amp;L-Expenses'!R7</f>
        <v>8850</v>
      </c>
      <c r="P22" s="391">
        <f>+'P&amp;L-Expenses'!S7</f>
        <v>23503.59375</v>
      </c>
      <c r="Q22" s="391">
        <f>+'P&amp;L-Expenses'!T7</f>
        <v>24678.7734375</v>
      </c>
      <c r="R22" s="191"/>
      <c r="S22" s="987" t="s">
        <v>48</v>
      </c>
    </row>
    <row r="23" spans="1:19" ht="12.75" customHeight="1" outlineLevel="1" x14ac:dyDescent="0.2">
      <c r="A23" s="338" t="str">
        <f>+'P&amp;L-Expenses'!A8</f>
        <v>Advertising and Marketing</v>
      </c>
      <c r="B23" s="988">
        <f>+'P&amp;L-Expenses'!E9</f>
        <v>5000</v>
      </c>
      <c r="C23" s="391">
        <f>+'P&amp;L-Expenses'!F8+'P&amp;L-Expenses'!F9</f>
        <v>1500</v>
      </c>
      <c r="D23" s="391">
        <f>+'P&amp;L-Expenses'!G8+'P&amp;L-Expenses'!G9</f>
        <v>1500</v>
      </c>
      <c r="E23" s="391">
        <f>+'P&amp;L-Expenses'!H8+'P&amp;L-Expenses'!H9</f>
        <v>1500</v>
      </c>
      <c r="F23" s="391">
        <f>+'P&amp;L-Expenses'!I8+'P&amp;L-Expenses'!I9</f>
        <v>1500</v>
      </c>
      <c r="G23" s="391">
        <f>+'P&amp;L-Expenses'!J8+'P&amp;L-Expenses'!J9</f>
        <v>1500</v>
      </c>
      <c r="H23" s="391">
        <f>+'P&amp;L-Expenses'!K8+'P&amp;L-Expenses'!K9</f>
        <v>1500</v>
      </c>
      <c r="I23" s="391">
        <f>+'P&amp;L-Expenses'!L8+'P&amp;L-Expenses'!L9</f>
        <v>1500</v>
      </c>
      <c r="J23" s="391">
        <f>+'P&amp;L-Expenses'!M8+'P&amp;L-Expenses'!M9</f>
        <v>1500</v>
      </c>
      <c r="K23" s="391">
        <f>+'P&amp;L-Expenses'!N8+'P&amp;L-Expenses'!N9</f>
        <v>1500</v>
      </c>
      <c r="L23" s="391">
        <f>+'P&amp;L-Expenses'!O8+'P&amp;L-Expenses'!O9</f>
        <v>1500</v>
      </c>
      <c r="M23" s="391">
        <f>+'P&amp;L-Expenses'!P8+'P&amp;L-Expenses'!P9</f>
        <v>1500</v>
      </c>
      <c r="N23" s="391">
        <f>+'P&amp;L-Expenses'!Q8+'P&amp;L-Expenses'!Q9</f>
        <v>1500</v>
      </c>
      <c r="O23" s="981">
        <f>+'P&amp;L-Expenses'!R8+'P&amp;L-Expenses'!R9</f>
        <v>18000</v>
      </c>
      <c r="P23" s="391">
        <f>+'P&amp;L-Expenses'!S8+'P&amp;L-Expenses'!S9</f>
        <v>18540</v>
      </c>
      <c r="Q23" s="391">
        <f>+'P&amp;L-Expenses'!T8+'P&amp;L-Expenses'!T9</f>
        <v>19096.2</v>
      </c>
      <c r="R23" s="181"/>
      <c r="S23" s="872" t="s">
        <v>51</v>
      </c>
    </row>
    <row r="24" spans="1:19" ht="12.75" customHeight="1" outlineLevel="1" x14ac:dyDescent="0.2">
      <c r="A24" s="338" t="str">
        <f>+'P&amp;L-Expenses'!A10</f>
        <v>Communications (IT, phone, postal)</v>
      </c>
      <c r="B24" s="988">
        <f>+'P&amp;L-Expenses'!E11</f>
        <v>2500</v>
      </c>
      <c r="C24" s="391">
        <f>+'P&amp;L-Expenses'!F10+'P&amp;L-Expenses'!F11</f>
        <v>150</v>
      </c>
      <c r="D24" s="391">
        <f>+'P&amp;L-Expenses'!G10+'P&amp;L-Expenses'!G11</f>
        <v>150</v>
      </c>
      <c r="E24" s="391">
        <f>+'P&amp;L-Expenses'!H10+'P&amp;L-Expenses'!H11</f>
        <v>150</v>
      </c>
      <c r="F24" s="391">
        <f>+'P&amp;L-Expenses'!I10+'P&amp;L-Expenses'!I11</f>
        <v>150</v>
      </c>
      <c r="G24" s="391">
        <f>+'P&amp;L-Expenses'!J10+'P&amp;L-Expenses'!J11</f>
        <v>150</v>
      </c>
      <c r="H24" s="391">
        <f>+'P&amp;L-Expenses'!K10+'P&amp;L-Expenses'!K11</f>
        <v>150</v>
      </c>
      <c r="I24" s="391">
        <f>+'P&amp;L-Expenses'!L10+'P&amp;L-Expenses'!L11</f>
        <v>150</v>
      </c>
      <c r="J24" s="391">
        <f>+'P&amp;L-Expenses'!M10+'P&amp;L-Expenses'!M11</f>
        <v>150</v>
      </c>
      <c r="K24" s="391">
        <f>+'P&amp;L-Expenses'!N10+'P&amp;L-Expenses'!N11</f>
        <v>150</v>
      </c>
      <c r="L24" s="391">
        <f>+'P&amp;L-Expenses'!O10+'P&amp;L-Expenses'!O11</f>
        <v>150</v>
      </c>
      <c r="M24" s="391">
        <f>+'P&amp;L-Expenses'!P10+'P&amp;L-Expenses'!P11</f>
        <v>150</v>
      </c>
      <c r="N24" s="391">
        <f>+'P&amp;L-Expenses'!Q10+'P&amp;L-Expenses'!Q11</f>
        <v>150</v>
      </c>
      <c r="O24" s="981">
        <f>+'P&amp;L-Expenses'!R10+'P&amp;L-Expenses'!R11</f>
        <v>1800</v>
      </c>
      <c r="P24" s="391">
        <f>+'P&amp;L-Expenses'!S10+'P&amp;L-Expenses'!S11</f>
        <v>1854</v>
      </c>
      <c r="Q24" s="391">
        <f>+'P&amp;L-Expenses'!T10+'P&amp;L-Expenses'!T11</f>
        <v>1909.6200000000001</v>
      </c>
      <c r="R24" s="181"/>
      <c r="S24" s="872" t="s">
        <v>54</v>
      </c>
    </row>
    <row r="25" spans="1:19" ht="12.75" customHeight="1" outlineLevel="1" x14ac:dyDescent="0.2">
      <c r="A25" s="338" t="str">
        <f>+'P&amp;L-Expenses'!A12</f>
        <v>Depr/amort</v>
      </c>
      <c r="B25" s="188"/>
      <c r="C25" s="391">
        <f>+'P&amp;L-Expenses'!F12</f>
        <v>1166.6666666666667</v>
      </c>
      <c r="D25" s="391">
        <f>+'P&amp;L-Expenses'!G12</f>
        <v>1166.6666666666667</v>
      </c>
      <c r="E25" s="391">
        <f>+'P&amp;L-Expenses'!H12</f>
        <v>1166.6666666666667</v>
      </c>
      <c r="F25" s="391">
        <f>+'P&amp;L-Expenses'!I12</f>
        <v>1166.6666666666667</v>
      </c>
      <c r="G25" s="391">
        <f>+'P&amp;L-Expenses'!J12</f>
        <v>1166.6666666666667</v>
      </c>
      <c r="H25" s="391">
        <f>+'P&amp;L-Expenses'!K12</f>
        <v>1166.6666666666667</v>
      </c>
      <c r="I25" s="391">
        <f>+'P&amp;L-Expenses'!L12</f>
        <v>1166.6666666666667</v>
      </c>
      <c r="J25" s="391">
        <f>+'P&amp;L-Expenses'!M12</f>
        <v>1166.6666666666667</v>
      </c>
      <c r="K25" s="391">
        <f>+'P&amp;L-Expenses'!N12</f>
        <v>1166.6666666666667</v>
      </c>
      <c r="L25" s="391">
        <f>+'P&amp;L-Expenses'!O12</f>
        <v>1166.6666666666667</v>
      </c>
      <c r="M25" s="391">
        <f>+'P&amp;L-Expenses'!P12</f>
        <v>1166.6666666666667</v>
      </c>
      <c r="N25" s="391">
        <f>+'P&amp;L-Expenses'!Q12</f>
        <v>1166.6666666666667</v>
      </c>
      <c r="O25" s="981">
        <f>+'P&amp;L-Expenses'!R12</f>
        <v>14000</v>
      </c>
      <c r="P25" s="391">
        <f>+'BAL-Assets'!Q87</f>
        <v>14857.142857142857</v>
      </c>
      <c r="Q25" s="391">
        <f>+'BAL-Assets'!R87</f>
        <v>14857.142857142857</v>
      </c>
      <c r="R25" s="181"/>
      <c r="S25" s="872" t="s">
        <v>60</v>
      </c>
    </row>
    <row r="26" spans="1:19" ht="12.75" customHeight="1" outlineLevel="1" x14ac:dyDescent="0.2">
      <c r="A26" s="338" t="str">
        <f>+'P&amp;L-Expenses'!A27</f>
        <v>Supplies</v>
      </c>
      <c r="B26" s="988">
        <f>+'P&amp;L-Expenses'!E28</f>
        <v>1000</v>
      </c>
      <c r="C26" s="391">
        <f>+'P&amp;L-Expenses'!F27+'P&amp;L-Expenses'!F28</f>
        <v>100</v>
      </c>
      <c r="D26" s="391">
        <f>+'P&amp;L-Expenses'!G27+'P&amp;L-Expenses'!G28</f>
        <v>100</v>
      </c>
      <c r="E26" s="391">
        <f>+'P&amp;L-Expenses'!H27+'P&amp;L-Expenses'!H28</f>
        <v>100</v>
      </c>
      <c r="F26" s="391">
        <f>+'P&amp;L-Expenses'!I27+'P&amp;L-Expenses'!I28</f>
        <v>100</v>
      </c>
      <c r="G26" s="391">
        <f>+'P&amp;L-Expenses'!J27+'P&amp;L-Expenses'!J28</f>
        <v>100</v>
      </c>
      <c r="H26" s="391">
        <f>+'P&amp;L-Expenses'!K27+'P&amp;L-Expenses'!K28</f>
        <v>100</v>
      </c>
      <c r="I26" s="391">
        <f>+'P&amp;L-Expenses'!L27+'P&amp;L-Expenses'!L28</f>
        <v>100</v>
      </c>
      <c r="J26" s="391">
        <f>+'P&amp;L-Expenses'!M27+'P&amp;L-Expenses'!M28</f>
        <v>100</v>
      </c>
      <c r="K26" s="391">
        <f>+'P&amp;L-Expenses'!N27+'P&amp;L-Expenses'!N28</f>
        <v>100</v>
      </c>
      <c r="L26" s="391">
        <f>+'P&amp;L-Expenses'!O27+'P&amp;L-Expenses'!O28</f>
        <v>100</v>
      </c>
      <c r="M26" s="391">
        <f>+'P&amp;L-Expenses'!P27+'P&amp;L-Expenses'!P28</f>
        <v>100</v>
      </c>
      <c r="N26" s="391">
        <f>+'P&amp;L-Expenses'!Q27+'P&amp;L-Expenses'!Q28</f>
        <v>100</v>
      </c>
      <c r="O26" s="981">
        <f>+'P&amp;L-Expenses'!R27+'P&amp;L-Expenses'!R28</f>
        <v>1200</v>
      </c>
      <c r="P26" s="391">
        <f>+'P&amp;L-Expenses'!S27+'P&amp;L-Expenses'!S28</f>
        <v>1236</v>
      </c>
      <c r="Q26" s="391">
        <f>+'P&amp;L-Expenses'!T27+'P&amp;L-Expenses'!T28</f>
        <v>1273.08</v>
      </c>
      <c r="R26" s="181"/>
      <c r="S26" s="872" t="s">
        <v>65</v>
      </c>
    </row>
    <row r="27" spans="1:19" ht="12.75" customHeight="1" outlineLevel="1" x14ac:dyDescent="0.2">
      <c r="A27" s="338" t="str">
        <f>+'P&amp;L-Expenses'!A15</f>
        <v>Facility Lease</v>
      </c>
      <c r="B27" s="188"/>
      <c r="C27" s="391">
        <f>+'P&amp;L-Expenses'!F15+'P&amp;L-Expenses'!F16</f>
        <v>6000</v>
      </c>
      <c r="D27" s="391">
        <f>+'P&amp;L-Expenses'!G15+'P&amp;L-Expenses'!G16</f>
        <v>6000</v>
      </c>
      <c r="E27" s="391">
        <f>+'P&amp;L-Expenses'!H15+'P&amp;L-Expenses'!H16</f>
        <v>6000</v>
      </c>
      <c r="F27" s="391">
        <f>+'P&amp;L-Expenses'!I15+'P&amp;L-Expenses'!I16</f>
        <v>6000</v>
      </c>
      <c r="G27" s="391">
        <f>+'P&amp;L-Expenses'!J15+'P&amp;L-Expenses'!J16</f>
        <v>6000</v>
      </c>
      <c r="H27" s="391">
        <f>+'P&amp;L-Expenses'!K15+'P&amp;L-Expenses'!K16</f>
        <v>6000</v>
      </c>
      <c r="I27" s="391">
        <f>+'P&amp;L-Expenses'!L15+'P&amp;L-Expenses'!L16</f>
        <v>6000</v>
      </c>
      <c r="J27" s="391">
        <f>+'P&amp;L-Expenses'!M15+'P&amp;L-Expenses'!M16</f>
        <v>6000</v>
      </c>
      <c r="K27" s="391">
        <f>+'P&amp;L-Expenses'!N15+'P&amp;L-Expenses'!N16</f>
        <v>6000</v>
      </c>
      <c r="L27" s="391">
        <f>+'P&amp;L-Expenses'!O15+'P&amp;L-Expenses'!O16</f>
        <v>6000</v>
      </c>
      <c r="M27" s="391">
        <f>+'P&amp;L-Expenses'!P15+'P&amp;L-Expenses'!P16</f>
        <v>6000</v>
      </c>
      <c r="N27" s="391">
        <f>+'P&amp;L-Expenses'!Q15+'P&amp;L-Expenses'!Q16</f>
        <v>6000</v>
      </c>
      <c r="O27" s="981">
        <f>+'P&amp;L-Expenses'!R15+'P&amp;L-Expenses'!R16</f>
        <v>72000</v>
      </c>
      <c r="P27" s="391">
        <f>+'P&amp;L-Expenses'!S15+'P&amp;L-Expenses'!S16</f>
        <v>74160</v>
      </c>
      <c r="Q27" s="391">
        <f>+'P&amp;L-Expenses'!T15+'P&amp;L-Expenses'!T16</f>
        <v>76384.800000000003</v>
      </c>
      <c r="R27" s="181"/>
      <c r="S27" s="872" t="s">
        <v>68</v>
      </c>
    </row>
    <row r="28" spans="1:19" ht="12.75" customHeight="1" outlineLevel="1" x14ac:dyDescent="0.2">
      <c r="A28" s="338" t="str">
        <f>+'P&amp;L-Expenses'!A17</f>
        <v>Insurance (non-benefit)</v>
      </c>
      <c r="B28" s="988">
        <f>+'P&amp;L-Expenses'!E18</f>
        <v>200</v>
      </c>
      <c r="C28" s="391">
        <f>+'P&amp;L-Expenses'!F17+'P&amp;L-Expenses'!F18</f>
        <v>300</v>
      </c>
      <c r="D28" s="391">
        <f>+'P&amp;L-Expenses'!G17+'P&amp;L-Expenses'!G18</f>
        <v>300</v>
      </c>
      <c r="E28" s="391">
        <f>+'P&amp;L-Expenses'!H17+'P&amp;L-Expenses'!H18</f>
        <v>300</v>
      </c>
      <c r="F28" s="391">
        <f>+'P&amp;L-Expenses'!I17+'P&amp;L-Expenses'!I18</f>
        <v>300</v>
      </c>
      <c r="G28" s="391">
        <f>+'P&amp;L-Expenses'!J17+'P&amp;L-Expenses'!J18</f>
        <v>300</v>
      </c>
      <c r="H28" s="391">
        <f>+'P&amp;L-Expenses'!K17+'P&amp;L-Expenses'!K18</f>
        <v>300</v>
      </c>
      <c r="I28" s="391">
        <f>+'P&amp;L-Expenses'!L17+'P&amp;L-Expenses'!L18</f>
        <v>300</v>
      </c>
      <c r="J28" s="391">
        <f>+'P&amp;L-Expenses'!M17+'P&amp;L-Expenses'!M18</f>
        <v>300</v>
      </c>
      <c r="K28" s="391">
        <f>+'P&amp;L-Expenses'!N17+'P&amp;L-Expenses'!N18</f>
        <v>300</v>
      </c>
      <c r="L28" s="391">
        <f>+'P&amp;L-Expenses'!O17+'P&amp;L-Expenses'!O18</f>
        <v>300</v>
      </c>
      <c r="M28" s="391">
        <f>+'P&amp;L-Expenses'!P17+'P&amp;L-Expenses'!P18</f>
        <v>300</v>
      </c>
      <c r="N28" s="391">
        <f>+'P&amp;L-Expenses'!Q17+'P&amp;L-Expenses'!Q18</f>
        <v>300</v>
      </c>
      <c r="O28" s="981">
        <f>+'P&amp;L-Expenses'!R17+'P&amp;L-Expenses'!R18</f>
        <v>3600</v>
      </c>
      <c r="P28" s="391">
        <f>+'P&amp;L-Expenses'!S17+'P&amp;L-Expenses'!S18</f>
        <v>3708</v>
      </c>
      <c r="Q28" s="391">
        <f>+'P&amp;L-Expenses'!T17+'P&amp;L-Expenses'!T18</f>
        <v>3819.2400000000002</v>
      </c>
      <c r="R28" s="181"/>
      <c r="S28" s="872" t="s">
        <v>70</v>
      </c>
    </row>
    <row r="29" spans="1:19" ht="12.75" customHeight="1" outlineLevel="1" x14ac:dyDescent="0.2">
      <c r="A29" s="338" t="str">
        <f>+'P&amp;L-Expenses'!A19</f>
        <v>Licenses/fees/taxes</v>
      </c>
      <c r="B29" s="988">
        <f>+'P&amp;L-Expenses'!E20</f>
        <v>200</v>
      </c>
      <c r="C29" s="391">
        <f>+'P&amp;L-Expenses'!F19+'P&amp;L-Expenses'!F20</f>
        <v>150</v>
      </c>
      <c r="D29" s="391">
        <f>+'P&amp;L-Expenses'!G19+'P&amp;L-Expenses'!G20</f>
        <v>150</v>
      </c>
      <c r="E29" s="391">
        <f>+'P&amp;L-Expenses'!H19+'P&amp;L-Expenses'!H20</f>
        <v>150</v>
      </c>
      <c r="F29" s="391">
        <f>+'P&amp;L-Expenses'!I19+'P&amp;L-Expenses'!I20</f>
        <v>150</v>
      </c>
      <c r="G29" s="391">
        <f>+'P&amp;L-Expenses'!J19+'P&amp;L-Expenses'!J20</f>
        <v>150</v>
      </c>
      <c r="H29" s="391">
        <f>+'P&amp;L-Expenses'!K19+'P&amp;L-Expenses'!K20</f>
        <v>150</v>
      </c>
      <c r="I29" s="391">
        <f>+'P&amp;L-Expenses'!L19+'P&amp;L-Expenses'!L20</f>
        <v>150</v>
      </c>
      <c r="J29" s="391">
        <f>+'P&amp;L-Expenses'!M19+'P&amp;L-Expenses'!M20</f>
        <v>150</v>
      </c>
      <c r="K29" s="391">
        <f>+'P&amp;L-Expenses'!N19+'P&amp;L-Expenses'!N20</f>
        <v>150</v>
      </c>
      <c r="L29" s="391">
        <f>+'P&amp;L-Expenses'!O19+'P&amp;L-Expenses'!O20</f>
        <v>300</v>
      </c>
      <c r="M29" s="391">
        <f>+'P&amp;L-Expenses'!P19+'P&amp;L-Expenses'!P20</f>
        <v>150</v>
      </c>
      <c r="N29" s="391">
        <f>+'P&amp;L-Expenses'!Q19+'P&amp;L-Expenses'!Q20</f>
        <v>150</v>
      </c>
      <c r="O29" s="981">
        <f>+'P&amp;L-Expenses'!R19+'P&amp;L-Expenses'!R20</f>
        <v>1950</v>
      </c>
      <c r="P29" s="391">
        <f>+'P&amp;L-Expenses'!S19+'P&amp;L-Expenses'!S20</f>
        <v>2008.5</v>
      </c>
      <c r="Q29" s="391">
        <f>+'P&amp;L-Expenses'!T19+'P&amp;L-Expenses'!T20</f>
        <v>2068.7550000000001</v>
      </c>
      <c r="R29" s="181"/>
      <c r="S29" s="872" t="s">
        <v>260</v>
      </c>
    </row>
    <row r="30" spans="1:19" ht="12.75" customHeight="1" outlineLevel="1" x14ac:dyDescent="0.2">
      <c r="A30" s="338" t="str">
        <f>+'P&amp;L-Expenses'!A25</f>
        <v>Repairs/maintenance</v>
      </c>
      <c r="B30" s="988">
        <f>+'P&amp;L-Expenses'!E26</f>
        <v>500</v>
      </c>
      <c r="C30" s="391">
        <f>+'P&amp;L-Expenses'!F25+'P&amp;L-Expenses'!F26</f>
        <v>750</v>
      </c>
      <c r="D30" s="391">
        <f>+'P&amp;L-Expenses'!G25+'P&amp;L-Expenses'!G26</f>
        <v>750</v>
      </c>
      <c r="E30" s="391">
        <f>+'P&amp;L-Expenses'!H25+'P&amp;L-Expenses'!H26</f>
        <v>750</v>
      </c>
      <c r="F30" s="391">
        <f>+'P&amp;L-Expenses'!I25+'P&amp;L-Expenses'!I26</f>
        <v>750</v>
      </c>
      <c r="G30" s="391">
        <f>+'P&amp;L-Expenses'!J25+'P&amp;L-Expenses'!J26</f>
        <v>750</v>
      </c>
      <c r="H30" s="391">
        <f>+'P&amp;L-Expenses'!K25+'P&amp;L-Expenses'!K26</f>
        <v>750</v>
      </c>
      <c r="I30" s="391">
        <f>+'P&amp;L-Expenses'!L25+'P&amp;L-Expenses'!L26</f>
        <v>750</v>
      </c>
      <c r="J30" s="391">
        <f>+'P&amp;L-Expenses'!M25+'P&amp;L-Expenses'!M26</f>
        <v>750</v>
      </c>
      <c r="K30" s="391">
        <f>+'P&amp;L-Expenses'!N25+'P&amp;L-Expenses'!N26</f>
        <v>750</v>
      </c>
      <c r="L30" s="391">
        <f>+'P&amp;L-Expenses'!O25+'P&amp;L-Expenses'!O26</f>
        <v>750</v>
      </c>
      <c r="M30" s="391">
        <f>+'P&amp;L-Expenses'!P25+'P&amp;L-Expenses'!P26</f>
        <v>750</v>
      </c>
      <c r="N30" s="391">
        <f>+'P&amp;L-Expenses'!Q25+'P&amp;L-Expenses'!Q26</f>
        <v>750</v>
      </c>
      <c r="O30" s="981">
        <f>+'P&amp;L-Expenses'!R25+'P&amp;L-Expenses'!R26</f>
        <v>9000</v>
      </c>
      <c r="P30" s="391">
        <f>+'P&amp;L-Expenses'!S25+'P&amp;L-Expenses'!S26</f>
        <v>9270</v>
      </c>
      <c r="Q30" s="391">
        <f>+'P&amp;L-Expenses'!T25+'P&amp;L-Expenses'!T26</f>
        <v>9548.1</v>
      </c>
      <c r="R30" s="181"/>
      <c r="S30" s="872" t="s">
        <v>74</v>
      </c>
    </row>
    <row r="31" spans="1:19" ht="12.75" customHeight="1" outlineLevel="1" x14ac:dyDescent="0.2">
      <c r="A31" s="338" t="str">
        <f>+'P&amp;L-Expenses'!A23</f>
        <v>Professional Services (legal, CPA)</v>
      </c>
      <c r="B31" s="988">
        <f>+'P&amp;L-Expenses'!E24</f>
        <v>1500</v>
      </c>
      <c r="C31" s="391">
        <f>+'P&amp;L-Expenses'!F23+'P&amp;L-Expenses'!F24</f>
        <v>50</v>
      </c>
      <c r="D31" s="391">
        <f>+'P&amp;L-Expenses'!G23+'P&amp;L-Expenses'!G24</f>
        <v>50</v>
      </c>
      <c r="E31" s="391">
        <f>+'P&amp;L-Expenses'!H23+'P&amp;L-Expenses'!H24</f>
        <v>50</v>
      </c>
      <c r="F31" s="391">
        <f>+'P&amp;L-Expenses'!I23+'P&amp;L-Expenses'!I24</f>
        <v>50</v>
      </c>
      <c r="G31" s="391">
        <f>+'P&amp;L-Expenses'!J23+'P&amp;L-Expenses'!J24</f>
        <v>50</v>
      </c>
      <c r="H31" s="391">
        <f>+'P&amp;L-Expenses'!K23+'P&amp;L-Expenses'!K24</f>
        <v>50</v>
      </c>
      <c r="I31" s="391">
        <f>+'P&amp;L-Expenses'!L23+'P&amp;L-Expenses'!L24</f>
        <v>50</v>
      </c>
      <c r="J31" s="391">
        <f>+'P&amp;L-Expenses'!M23+'P&amp;L-Expenses'!M24</f>
        <v>50</v>
      </c>
      <c r="K31" s="391">
        <f>+'P&amp;L-Expenses'!N23+'P&amp;L-Expenses'!N24</f>
        <v>50</v>
      </c>
      <c r="L31" s="391">
        <f>+'P&amp;L-Expenses'!O23+'P&amp;L-Expenses'!O24</f>
        <v>1050</v>
      </c>
      <c r="M31" s="391">
        <f>+'P&amp;L-Expenses'!P23+'P&amp;L-Expenses'!P24</f>
        <v>50</v>
      </c>
      <c r="N31" s="391">
        <f>+'P&amp;L-Expenses'!Q23+'P&amp;L-Expenses'!Q24</f>
        <v>50</v>
      </c>
      <c r="O31" s="981">
        <f>+'P&amp;L-Expenses'!R23+'P&amp;L-Expenses'!R24</f>
        <v>1600</v>
      </c>
      <c r="P31" s="391">
        <f>+'P&amp;L-Expenses'!S23+'P&amp;L-Expenses'!S24</f>
        <v>1648</v>
      </c>
      <c r="Q31" s="391">
        <f>+'P&amp;L-Expenses'!T23+'P&amp;L-Expenses'!T24</f>
        <v>1697.44</v>
      </c>
      <c r="R31" s="181"/>
      <c r="S31" s="872" t="s">
        <v>72</v>
      </c>
    </row>
    <row r="32" spans="1:19" ht="12.75" customHeight="1" outlineLevel="1" x14ac:dyDescent="0.2">
      <c r="A32" s="338" t="str">
        <f>+'P&amp;L-Expenses'!A21</f>
        <v>Office expenses</v>
      </c>
      <c r="B32" s="988">
        <f>+'P&amp;L-Expenses'!E22</f>
        <v>500</v>
      </c>
      <c r="C32" s="391">
        <f>+'P&amp;L-Expenses'!F21+'P&amp;L-Expenses'!F22</f>
        <v>50</v>
      </c>
      <c r="D32" s="391">
        <f>+'P&amp;L-Expenses'!G21+'P&amp;L-Expenses'!G22</f>
        <v>50</v>
      </c>
      <c r="E32" s="391">
        <f>+'P&amp;L-Expenses'!H21+'P&amp;L-Expenses'!H22</f>
        <v>50</v>
      </c>
      <c r="F32" s="391">
        <f>+'P&amp;L-Expenses'!I21+'P&amp;L-Expenses'!I22</f>
        <v>50</v>
      </c>
      <c r="G32" s="391">
        <f>+'P&amp;L-Expenses'!J21+'P&amp;L-Expenses'!J22</f>
        <v>50</v>
      </c>
      <c r="H32" s="391">
        <f>+'P&amp;L-Expenses'!K21+'P&amp;L-Expenses'!K22</f>
        <v>50</v>
      </c>
      <c r="I32" s="391">
        <f>+'P&amp;L-Expenses'!L21+'P&amp;L-Expenses'!L22</f>
        <v>50</v>
      </c>
      <c r="J32" s="391">
        <f>+'P&amp;L-Expenses'!M21+'P&amp;L-Expenses'!M22</f>
        <v>50</v>
      </c>
      <c r="K32" s="391">
        <f>+'P&amp;L-Expenses'!N21+'P&amp;L-Expenses'!N22</f>
        <v>50</v>
      </c>
      <c r="L32" s="391">
        <f>+'P&amp;L-Expenses'!O21+'P&amp;L-Expenses'!O22</f>
        <v>50</v>
      </c>
      <c r="M32" s="391">
        <f>+'P&amp;L-Expenses'!P21+'P&amp;L-Expenses'!P22</f>
        <v>50</v>
      </c>
      <c r="N32" s="391">
        <f>+'P&amp;L-Expenses'!Q21+'P&amp;L-Expenses'!Q22</f>
        <v>50</v>
      </c>
      <c r="O32" s="981">
        <f>+'P&amp;L-Expenses'!R21+'P&amp;L-Expenses'!R22</f>
        <v>600</v>
      </c>
      <c r="P32" s="391">
        <f>+'P&amp;L-Expenses'!S21+'P&amp;L-Expenses'!S22</f>
        <v>618</v>
      </c>
      <c r="Q32" s="391">
        <f>+'P&amp;L-Expenses'!T21+'P&amp;L-Expenses'!T22</f>
        <v>636.54</v>
      </c>
      <c r="R32" s="181"/>
      <c r="S32" s="872" t="s">
        <v>259</v>
      </c>
    </row>
    <row r="33" spans="1:19" ht="12.75" customHeight="1" outlineLevel="1" x14ac:dyDescent="0.2">
      <c r="A33" s="338" t="str">
        <f>+'P&amp;L-Expenses'!A13</f>
        <v>Contractors</v>
      </c>
      <c r="B33" s="988">
        <f>+'P&amp;L-Expenses'!E14</f>
        <v>0</v>
      </c>
      <c r="C33" s="391">
        <f>+'P&amp;L-Expenses'!F13+'P&amp;L-Expenses'!F14</f>
        <v>0</v>
      </c>
      <c r="D33" s="391">
        <f>+'P&amp;L-Expenses'!G13+'P&amp;L-Expenses'!G14</f>
        <v>0</v>
      </c>
      <c r="E33" s="391">
        <f>+'P&amp;L-Expenses'!H13+'P&amp;L-Expenses'!H14</f>
        <v>0</v>
      </c>
      <c r="F33" s="391">
        <f>+'P&amp;L-Expenses'!I13+'P&amp;L-Expenses'!I14</f>
        <v>0</v>
      </c>
      <c r="G33" s="391">
        <f>+'P&amp;L-Expenses'!J13+'P&amp;L-Expenses'!J14</f>
        <v>0</v>
      </c>
      <c r="H33" s="391">
        <f>+'P&amp;L-Expenses'!K13+'P&amp;L-Expenses'!K14</f>
        <v>0</v>
      </c>
      <c r="I33" s="391">
        <f>+'P&amp;L-Expenses'!L13+'P&amp;L-Expenses'!L14</f>
        <v>0</v>
      </c>
      <c r="J33" s="391">
        <f>+'P&amp;L-Expenses'!M13+'P&amp;L-Expenses'!M14</f>
        <v>0</v>
      </c>
      <c r="K33" s="391">
        <f>+'P&amp;L-Expenses'!N13+'P&amp;L-Expenses'!N14</f>
        <v>0</v>
      </c>
      <c r="L33" s="391">
        <f>+'P&amp;L-Expenses'!O13+'P&amp;L-Expenses'!O14</f>
        <v>0</v>
      </c>
      <c r="M33" s="391">
        <f>+'P&amp;L-Expenses'!P13+'P&amp;L-Expenses'!P14</f>
        <v>0</v>
      </c>
      <c r="N33" s="391">
        <f>+'P&amp;L-Expenses'!Q13+'P&amp;L-Expenses'!Q14</f>
        <v>0</v>
      </c>
      <c r="O33" s="981">
        <f>+'P&amp;L-Expenses'!R13+'P&amp;L-Expenses'!R14</f>
        <v>0</v>
      </c>
      <c r="P33" s="391">
        <f>+'P&amp;L-Expenses'!S13+'P&amp;L-Expenses'!S14</f>
        <v>0</v>
      </c>
      <c r="Q33" s="391">
        <f>+'P&amp;L-Expenses'!T13+'P&amp;L-Expenses'!T14</f>
        <v>0</v>
      </c>
      <c r="R33" s="181"/>
      <c r="S33" s="872" t="s">
        <v>80</v>
      </c>
    </row>
    <row r="34" spans="1:19" ht="12.75" customHeight="1" outlineLevel="1" x14ac:dyDescent="0.2">
      <c r="A34" s="338" t="str">
        <f>+'P&amp;L-Expenses'!A31</f>
        <v xml:space="preserve">Travel &amp; Meals </v>
      </c>
      <c r="B34" s="988">
        <f>+'P&amp;L-Expenses'!E32</f>
        <v>0</v>
      </c>
      <c r="C34" s="391">
        <f>+'P&amp;L-Expenses'!F31+'P&amp;L-Expenses'!F32</f>
        <v>50</v>
      </c>
      <c r="D34" s="391">
        <f>+'P&amp;L-Expenses'!G31+'P&amp;L-Expenses'!G32</f>
        <v>50</v>
      </c>
      <c r="E34" s="391">
        <f>+'P&amp;L-Expenses'!H31+'P&amp;L-Expenses'!H32</f>
        <v>50</v>
      </c>
      <c r="F34" s="391">
        <f>+'P&amp;L-Expenses'!I31+'P&amp;L-Expenses'!I32</f>
        <v>50</v>
      </c>
      <c r="G34" s="391">
        <f>+'P&amp;L-Expenses'!J31+'P&amp;L-Expenses'!J32</f>
        <v>50</v>
      </c>
      <c r="H34" s="391">
        <f>+'P&amp;L-Expenses'!K31+'P&amp;L-Expenses'!K32</f>
        <v>50</v>
      </c>
      <c r="I34" s="391">
        <f>+'P&amp;L-Expenses'!L31+'P&amp;L-Expenses'!L32</f>
        <v>50</v>
      </c>
      <c r="J34" s="391">
        <f>+'P&amp;L-Expenses'!M31+'P&amp;L-Expenses'!M32</f>
        <v>50</v>
      </c>
      <c r="K34" s="391">
        <f>+'P&amp;L-Expenses'!N31+'P&amp;L-Expenses'!N32</f>
        <v>50</v>
      </c>
      <c r="L34" s="391">
        <f>+'P&amp;L-Expenses'!O31+'P&amp;L-Expenses'!O32</f>
        <v>50</v>
      </c>
      <c r="M34" s="391">
        <f>+'P&amp;L-Expenses'!P31+'P&amp;L-Expenses'!P32</f>
        <v>50</v>
      </c>
      <c r="N34" s="391">
        <f>+'P&amp;L-Expenses'!Q31+'P&amp;L-Expenses'!Q32</f>
        <v>50</v>
      </c>
      <c r="O34" s="981">
        <f>+'P&amp;L-Expenses'!R31+'P&amp;L-Expenses'!R32</f>
        <v>600</v>
      </c>
      <c r="P34" s="391">
        <f>+'P&amp;L-Expenses'!S31+'P&amp;L-Expenses'!S32</f>
        <v>618</v>
      </c>
      <c r="Q34" s="391">
        <f>+'P&amp;L-Expenses'!T31+'P&amp;L-Expenses'!T32</f>
        <v>636.54</v>
      </c>
      <c r="R34" s="181"/>
      <c r="S34" s="872" t="s">
        <v>82</v>
      </c>
    </row>
    <row r="35" spans="1:19" ht="12.75" customHeight="1" outlineLevel="1" x14ac:dyDescent="0.2">
      <c r="A35" s="338" t="str">
        <f>+'P&amp;L-Expenses'!A33</f>
        <v>Utilities</v>
      </c>
      <c r="B35" s="988">
        <f>+'P&amp;L-Expenses'!E34</f>
        <v>600</v>
      </c>
      <c r="C35" s="391">
        <f>+'P&amp;L-Expenses'!F33+'P&amp;L-Expenses'!F34</f>
        <v>300</v>
      </c>
      <c r="D35" s="391">
        <f>+'P&amp;L-Expenses'!G33+'P&amp;L-Expenses'!G34</f>
        <v>300</v>
      </c>
      <c r="E35" s="391">
        <f>+'P&amp;L-Expenses'!H33+'P&amp;L-Expenses'!H34</f>
        <v>300</v>
      </c>
      <c r="F35" s="391">
        <f>+'P&amp;L-Expenses'!I33+'P&amp;L-Expenses'!I34</f>
        <v>300</v>
      </c>
      <c r="G35" s="391">
        <f>+'P&amp;L-Expenses'!J33+'P&amp;L-Expenses'!J34</f>
        <v>300</v>
      </c>
      <c r="H35" s="391">
        <f>+'P&amp;L-Expenses'!K33+'P&amp;L-Expenses'!K34</f>
        <v>300</v>
      </c>
      <c r="I35" s="391">
        <f>+'P&amp;L-Expenses'!L33+'P&amp;L-Expenses'!L34</f>
        <v>300</v>
      </c>
      <c r="J35" s="391">
        <f>+'P&amp;L-Expenses'!M33+'P&amp;L-Expenses'!M34</f>
        <v>300</v>
      </c>
      <c r="K35" s="391">
        <f>+'P&amp;L-Expenses'!N33+'P&amp;L-Expenses'!N34</f>
        <v>300</v>
      </c>
      <c r="L35" s="391">
        <f>+'P&amp;L-Expenses'!O33+'P&amp;L-Expenses'!O34</f>
        <v>300</v>
      </c>
      <c r="M35" s="391">
        <f>+'P&amp;L-Expenses'!P33+'P&amp;L-Expenses'!P34</f>
        <v>300</v>
      </c>
      <c r="N35" s="391">
        <f>+'P&amp;L-Expenses'!Q33+'P&amp;L-Expenses'!Q34</f>
        <v>300</v>
      </c>
      <c r="O35" s="981">
        <f>+'P&amp;L-Expenses'!R33+'P&amp;L-Expenses'!R34</f>
        <v>3600</v>
      </c>
      <c r="P35" s="391">
        <f>+'P&amp;L-Expenses'!S33+'P&amp;L-Expenses'!S34</f>
        <v>3708</v>
      </c>
      <c r="Q35" s="391">
        <f>+'P&amp;L-Expenses'!T33+'P&amp;L-Expenses'!T34</f>
        <v>3819.2400000000002</v>
      </c>
      <c r="R35" s="181"/>
      <c r="S35" s="872" t="s">
        <v>84</v>
      </c>
    </row>
    <row r="36" spans="1:19" ht="12.75" customHeight="1" outlineLevel="1" x14ac:dyDescent="0.2">
      <c r="A36" s="338" t="str">
        <f>+'P&amp;L-Expenses'!A35</f>
        <v>Vehicle (gas, repairs, maintenance)</v>
      </c>
      <c r="B36" s="988">
        <f>+'P&amp;L-Expenses'!E36</f>
        <v>300</v>
      </c>
      <c r="C36" s="391">
        <f>+'P&amp;L-Expenses'!F35+'P&amp;L-Expenses'!F36</f>
        <v>200</v>
      </c>
      <c r="D36" s="391">
        <f>+'P&amp;L-Expenses'!G35+'P&amp;L-Expenses'!G36</f>
        <v>200</v>
      </c>
      <c r="E36" s="391">
        <f>+'P&amp;L-Expenses'!H35+'P&amp;L-Expenses'!H36</f>
        <v>200</v>
      </c>
      <c r="F36" s="391">
        <f>+'P&amp;L-Expenses'!I35+'P&amp;L-Expenses'!I36</f>
        <v>200</v>
      </c>
      <c r="G36" s="391">
        <f>+'P&amp;L-Expenses'!J35+'P&amp;L-Expenses'!J36</f>
        <v>200</v>
      </c>
      <c r="H36" s="391">
        <f>+'P&amp;L-Expenses'!K35+'P&amp;L-Expenses'!K36</f>
        <v>200</v>
      </c>
      <c r="I36" s="391">
        <f>+'P&amp;L-Expenses'!L35+'P&amp;L-Expenses'!L36</f>
        <v>200</v>
      </c>
      <c r="J36" s="391">
        <f>+'P&amp;L-Expenses'!M35+'P&amp;L-Expenses'!M36</f>
        <v>200</v>
      </c>
      <c r="K36" s="391">
        <f>+'P&amp;L-Expenses'!N35+'P&amp;L-Expenses'!N36</f>
        <v>200</v>
      </c>
      <c r="L36" s="391">
        <f>+'P&amp;L-Expenses'!O35+'P&amp;L-Expenses'!O36</f>
        <v>200</v>
      </c>
      <c r="M36" s="391">
        <f>+'P&amp;L-Expenses'!P35+'P&amp;L-Expenses'!P36</f>
        <v>200</v>
      </c>
      <c r="N36" s="391">
        <f>+'P&amp;L-Expenses'!Q35+'P&amp;L-Expenses'!Q36</f>
        <v>200</v>
      </c>
      <c r="O36" s="981">
        <f>+'P&amp;L-Expenses'!R35+'P&amp;L-Expenses'!R36</f>
        <v>2400</v>
      </c>
      <c r="P36" s="391">
        <f>+'P&amp;L-Expenses'!S35+'P&amp;L-Expenses'!S36</f>
        <v>2472</v>
      </c>
      <c r="Q36" s="391">
        <f>+'P&amp;L-Expenses'!T35+'P&amp;L-Expenses'!T36</f>
        <v>2546.16</v>
      </c>
      <c r="R36" s="181"/>
      <c r="S36" s="872" t="s">
        <v>85</v>
      </c>
    </row>
    <row r="37" spans="1:19" ht="12.75" customHeight="1" outlineLevel="1" x14ac:dyDescent="0.2">
      <c r="A37" s="338" t="str">
        <f>+'P&amp;L-Expenses'!A29</f>
        <v>Training</v>
      </c>
      <c r="B37" s="988">
        <f>+'P&amp;L-Expenses'!E30</f>
        <v>0</v>
      </c>
      <c r="C37" s="391">
        <f>+'P&amp;L-Expenses'!F29+'P&amp;L-Expenses'!F30</f>
        <v>100</v>
      </c>
      <c r="D37" s="391">
        <f>+'P&amp;L-Expenses'!G29+'P&amp;L-Expenses'!G30</f>
        <v>100</v>
      </c>
      <c r="E37" s="391">
        <f>+'P&amp;L-Expenses'!H29+'P&amp;L-Expenses'!H30</f>
        <v>100</v>
      </c>
      <c r="F37" s="391">
        <f>+'P&amp;L-Expenses'!I29+'P&amp;L-Expenses'!I30</f>
        <v>100</v>
      </c>
      <c r="G37" s="391">
        <f>+'P&amp;L-Expenses'!J29+'P&amp;L-Expenses'!J30</f>
        <v>100</v>
      </c>
      <c r="H37" s="391">
        <f>+'P&amp;L-Expenses'!K29+'P&amp;L-Expenses'!K30</f>
        <v>100</v>
      </c>
      <c r="I37" s="391">
        <f>+'P&amp;L-Expenses'!L29+'P&amp;L-Expenses'!L30</f>
        <v>100</v>
      </c>
      <c r="J37" s="391">
        <f>+'P&amp;L-Expenses'!M29+'P&amp;L-Expenses'!M30</f>
        <v>100</v>
      </c>
      <c r="K37" s="391">
        <f>+'P&amp;L-Expenses'!N29+'P&amp;L-Expenses'!N30</f>
        <v>100</v>
      </c>
      <c r="L37" s="391">
        <f>+'P&amp;L-Expenses'!O29+'P&amp;L-Expenses'!O30</f>
        <v>100</v>
      </c>
      <c r="M37" s="391">
        <f>+'P&amp;L-Expenses'!P29+'P&amp;L-Expenses'!P30</f>
        <v>100</v>
      </c>
      <c r="N37" s="391">
        <f>+'P&amp;L-Expenses'!Q29+'P&amp;L-Expenses'!Q30</f>
        <v>100</v>
      </c>
      <c r="O37" s="981">
        <f>+'P&amp;L-Expenses'!R29+'P&amp;L-Expenses'!R30</f>
        <v>1200</v>
      </c>
      <c r="P37" s="391">
        <f>+'P&amp;L-Expenses'!S29+'P&amp;L-Expenses'!S30</f>
        <v>1236</v>
      </c>
      <c r="Q37" s="391">
        <f>+'P&amp;L-Expenses'!T29+'P&amp;L-Expenses'!T30</f>
        <v>1273.08</v>
      </c>
      <c r="R37" s="181"/>
      <c r="S37" s="12"/>
    </row>
    <row r="38" spans="1:19" ht="12.75" customHeight="1" outlineLevel="1" x14ac:dyDescent="0.2">
      <c r="A38" s="338" t="str">
        <f>+'P&amp;L-Expenses'!A37</f>
        <v>Other</v>
      </c>
      <c r="B38" s="988">
        <f>+'P&amp;L-Expenses'!E38</f>
        <v>5000</v>
      </c>
      <c r="C38" s="391">
        <f>+'P&amp;L-Expenses'!F37+'P&amp;L-Expenses'!F38</f>
        <v>400</v>
      </c>
      <c r="D38" s="391">
        <f>+'P&amp;L-Expenses'!G37+'P&amp;L-Expenses'!G38</f>
        <v>400</v>
      </c>
      <c r="E38" s="391">
        <f>+'P&amp;L-Expenses'!H37+'P&amp;L-Expenses'!H38</f>
        <v>400</v>
      </c>
      <c r="F38" s="391">
        <f>+'P&amp;L-Expenses'!I37+'P&amp;L-Expenses'!I38</f>
        <v>400</v>
      </c>
      <c r="G38" s="391">
        <f>+'P&amp;L-Expenses'!J37+'P&amp;L-Expenses'!J38</f>
        <v>400</v>
      </c>
      <c r="H38" s="391">
        <f>+'P&amp;L-Expenses'!K37+'P&amp;L-Expenses'!K38</f>
        <v>400</v>
      </c>
      <c r="I38" s="391">
        <f>+'P&amp;L-Expenses'!L37+'P&amp;L-Expenses'!L38</f>
        <v>400</v>
      </c>
      <c r="J38" s="391">
        <f>+'P&amp;L-Expenses'!M37+'P&amp;L-Expenses'!M38</f>
        <v>400</v>
      </c>
      <c r="K38" s="391">
        <f>+'P&amp;L-Expenses'!N37+'P&amp;L-Expenses'!N38</f>
        <v>400</v>
      </c>
      <c r="L38" s="391">
        <f>+'P&amp;L-Expenses'!O37+'P&amp;L-Expenses'!O38</f>
        <v>400</v>
      </c>
      <c r="M38" s="391">
        <f>+'P&amp;L-Expenses'!P37+'P&amp;L-Expenses'!P38</f>
        <v>400</v>
      </c>
      <c r="N38" s="391">
        <f>+'P&amp;L-Expenses'!Q37+'P&amp;L-Expenses'!Q38</f>
        <v>400</v>
      </c>
      <c r="O38" s="981">
        <f>+'P&amp;L-Expenses'!R37+'P&amp;L-Expenses'!R38</f>
        <v>4800</v>
      </c>
      <c r="P38" s="391">
        <f>+'P&amp;L-Expenses'!S37+'P&amp;L-Expenses'!S38</f>
        <v>4944</v>
      </c>
      <c r="Q38" s="391">
        <f>+'P&amp;L-Expenses'!T37+'P&amp;L-Expenses'!T38</f>
        <v>5092.32</v>
      </c>
      <c r="R38" s="181"/>
      <c r="S38" s="12"/>
    </row>
    <row r="39" spans="1:19" ht="12.75" customHeight="1" x14ac:dyDescent="0.2">
      <c r="A39" s="982" t="s">
        <v>87</v>
      </c>
      <c r="B39" s="395">
        <f t="shared" ref="B39:Q39" si="3">-SUM(B21:B38)</f>
        <v>-17300</v>
      </c>
      <c r="C39" s="394">
        <f t="shared" si="3"/>
        <v>-23777.5</v>
      </c>
      <c r="D39" s="394">
        <f t="shared" si="3"/>
        <v>-23777.5</v>
      </c>
      <c r="E39" s="394">
        <f t="shared" si="3"/>
        <v>-23777.5</v>
      </c>
      <c r="F39" s="394">
        <f t="shared" si="3"/>
        <v>-23777.5</v>
      </c>
      <c r="G39" s="394">
        <f t="shared" si="3"/>
        <v>-23777.5</v>
      </c>
      <c r="H39" s="394">
        <f t="shared" si="3"/>
        <v>-23777.5</v>
      </c>
      <c r="I39" s="394">
        <f t="shared" si="3"/>
        <v>-23777.5</v>
      </c>
      <c r="J39" s="394">
        <f t="shared" si="3"/>
        <v>-23777.5</v>
      </c>
      <c r="K39" s="394">
        <f t="shared" si="3"/>
        <v>-23777.5</v>
      </c>
      <c r="L39" s="394">
        <f t="shared" si="3"/>
        <v>-24927.5</v>
      </c>
      <c r="M39" s="394">
        <f t="shared" si="3"/>
        <v>-23777.5</v>
      </c>
      <c r="N39" s="394">
        <f t="shared" si="3"/>
        <v>-23777.5</v>
      </c>
      <c r="O39" s="983">
        <f t="shared" si="3"/>
        <v>-286480</v>
      </c>
      <c r="P39" s="394">
        <f t="shared" si="3"/>
        <v>-332412.73660714284</v>
      </c>
      <c r="Q39" s="394">
        <f t="shared" si="3"/>
        <v>-345770.10629464278</v>
      </c>
      <c r="R39" s="181"/>
      <c r="S39" s="17"/>
    </row>
    <row r="40" spans="1:19" ht="19.5" customHeight="1" x14ac:dyDescent="0.2">
      <c r="A40" s="337" t="s">
        <v>134</v>
      </c>
      <c r="B40" s="398">
        <f t="shared" ref="B40:Q40" si="4">+B19+B39</f>
        <v>-17300</v>
      </c>
      <c r="C40" s="397">
        <f t="shared" si="4"/>
        <v>-20333.5</v>
      </c>
      <c r="D40" s="397">
        <f t="shared" si="4"/>
        <v>-17004.099999999999</v>
      </c>
      <c r="E40" s="397">
        <f t="shared" si="4"/>
        <v>-12871</v>
      </c>
      <c r="F40" s="397">
        <f t="shared" si="4"/>
        <v>-7934.2000000000007</v>
      </c>
      <c r="G40" s="397">
        <f t="shared" si="4"/>
        <v>-2193.7000000000007</v>
      </c>
      <c r="H40" s="397">
        <f t="shared" si="4"/>
        <v>4350.5</v>
      </c>
      <c r="I40" s="397">
        <f t="shared" si="4"/>
        <v>15142.400000000001</v>
      </c>
      <c r="J40" s="397">
        <f t="shared" si="4"/>
        <v>21457.4</v>
      </c>
      <c r="K40" s="397">
        <f t="shared" si="4"/>
        <v>26968.699999999997</v>
      </c>
      <c r="L40" s="397">
        <f t="shared" si="4"/>
        <v>30526.300000000003</v>
      </c>
      <c r="M40" s="397">
        <f t="shared" si="4"/>
        <v>37302.199999999997</v>
      </c>
      <c r="N40" s="397">
        <f t="shared" si="4"/>
        <v>42928.100000000006</v>
      </c>
      <c r="O40" s="986">
        <f t="shared" si="4"/>
        <v>118339.09999999998</v>
      </c>
      <c r="P40" s="397">
        <f t="shared" si="4"/>
        <v>162130.82479285717</v>
      </c>
      <c r="Q40" s="397">
        <f t="shared" si="4"/>
        <v>206390.18070535723</v>
      </c>
      <c r="R40" s="191"/>
      <c r="S40" s="18"/>
    </row>
    <row r="41" spans="1:19" ht="18.75" customHeight="1" x14ac:dyDescent="0.2">
      <c r="A41" s="338" t="s">
        <v>398</v>
      </c>
      <c r="B41" s="392">
        <f>+'P&amp;L-Expenses'!E45</f>
        <v>0</v>
      </c>
      <c r="C41" s="391">
        <f>+'P&amp;L-Expenses'!F45</f>
        <v>-1250</v>
      </c>
      <c r="D41" s="391">
        <f>+'P&amp;L-Expenses'!G45</f>
        <v>-1247.2946117690228</v>
      </c>
      <c r="E41" s="391">
        <f>+'P&amp;L-Expenses'!H45</f>
        <v>-1258.575696596891</v>
      </c>
      <c r="F41" s="391">
        <f>+'P&amp;L-Expenses'!I45</f>
        <v>-1347.269853515565</v>
      </c>
      <c r="G41" s="391">
        <f>+'P&amp;L-Expenses'!J45</f>
        <v>-1405.8931923299435</v>
      </c>
      <c r="H41" s="391">
        <f>+'P&amp;L-Expenses'!K45</f>
        <v>-1428.2452636902458</v>
      </c>
      <c r="I41" s="391">
        <f>+'P&amp;L-Expenses'!L45</f>
        <v>-1409.1976153648804</v>
      </c>
      <c r="J41" s="391">
        <f>+'P&amp;L-Expenses'!M45</f>
        <v>-1322.8009388884695</v>
      </c>
      <c r="K41" s="391">
        <f>+'P&amp;L-Expenses'!N45</f>
        <v>-1227.9743284892506</v>
      </c>
      <c r="L41" s="391">
        <f>+'P&amp;L-Expenses'!O45</f>
        <v>-1225.1588119007199</v>
      </c>
      <c r="M41" s="391">
        <f>+'P&amp;L-Expenses'!P45</f>
        <v>-1222.3292177292465</v>
      </c>
      <c r="N41" s="391">
        <f>+'P&amp;L-Expenses'!Q45</f>
        <v>-1219.4854755869155</v>
      </c>
      <c r="O41" s="981">
        <f>SUM(C41:N41)</f>
        <v>-15564.22500586115</v>
      </c>
      <c r="P41" s="391">
        <f>+'P&amp;L-Expenses'!S45</f>
        <v>-14406.749551959902</v>
      </c>
      <c r="Q41" s="391">
        <f>+'P&amp;L-Expenses'!T45</f>
        <v>-13969.689031877553</v>
      </c>
      <c r="R41" s="191"/>
      <c r="S41" s="18"/>
    </row>
    <row r="42" spans="1:19" ht="18.75" customHeight="1" x14ac:dyDescent="0.2">
      <c r="A42" s="337" t="s">
        <v>135</v>
      </c>
      <c r="B42" s="398">
        <f t="shared" ref="B42:Q42" si="5">+B40+B41</f>
        <v>-17300</v>
      </c>
      <c r="C42" s="397">
        <f t="shared" si="5"/>
        <v>-21583.5</v>
      </c>
      <c r="D42" s="397">
        <f t="shared" si="5"/>
        <v>-18251.394611769021</v>
      </c>
      <c r="E42" s="397">
        <f t="shared" si="5"/>
        <v>-14129.57569659689</v>
      </c>
      <c r="F42" s="397">
        <f t="shared" si="5"/>
        <v>-9281.4698535155658</v>
      </c>
      <c r="G42" s="397">
        <f t="shared" si="5"/>
        <v>-3599.593192329944</v>
      </c>
      <c r="H42" s="397">
        <f t="shared" si="5"/>
        <v>2922.2547363097542</v>
      </c>
      <c r="I42" s="397">
        <f t="shared" si="5"/>
        <v>13733.20238463512</v>
      </c>
      <c r="J42" s="397">
        <f t="shared" si="5"/>
        <v>20134.59906111153</v>
      </c>
      <c r="K42" s="397">
        <f t="shared" si="5"/>
        <v>25740.725671510747</v>
      </c>
      <c r="L42" s="397">
        <f t="shared" si="5"/>
        <v>29301.141188099282</v>
      </c>
      <c r="M42" s="397">
        <f t="shared" si="5"/>
        <v>36079.870782270751</v>
      </c>
      <c r="N42" s="397">
        <f t="shared" si="5"/>
        <v>41708.614524413089</v>
      </c>
      <c r="O42" s="986">
        <f t="shared" si="5"/>
        <v>102774.87499413882</v>
      </c>
      <c r="P42" s="397">
        <f t="shared" si="5"/>
        <v>147724.07524089728</v>
      </c>
      <c r="Q42" s="397">
        <f t="shared" si="5"/>
        <v>192420.49167347967</v>
      </c>
      <c r="R42" s="191"/>
      <c r="S42" s="18"/>
    </row>
    <row r="43" spans="1:19" ht="17.25" customHeight="1" x14ac:dyDescent="0.2">
      <c r="A43" s="338" t="s">
        <v>399</v>
      </c>
      <c r="B43" s="184"/>
      <c r="C43" s="181"/>
      <c r="D43" s="181"/>
      <c r="E43" s="181"/>
      <c r="F43" s="181"/>
      <c r="G43" s="181"/>
      <c r="H43" s="181"/>
      <c r="I43" s="181"/>
      <c r="J43" s="181"/>
      <c r="K43" s="181"/>
      <c r="L43" s="181"/>
      <c r="M43" s="181"/>
      <c r="N43" s="181"/>
      <c r="O43" s="981">
        <f>-O42*0.25</f>
        <v>-25693.718748534706</v>
      </c>
      <c r="P43" s="984">
        <f>-P42*0.25</f>
        <v>-36931.018810224319</v>
      </c>
      <c r="Q43" s="391">
        <f>-Q42*0.25</f>
        <v>-48105.122918369918</v>
      </c>
      <c r="R43" s="181"/>
      <c r="S43" s="17"/>
    </row>
    <row r="44" spans="1:19" ht="20.25" customHeight="1" x14ac:dyDescent="0.2">
      <c r="A44" s="989" t="s">
        <v>136</v>
      </c>
      <c r="B44" s="990">
        <f t="shared" ref="B44:Q44" si="6">+B42+B43</f>
        <v>-17300</v>
      </c>
      <c r="C44" s="991">
        <f t="shared" si="6"/>
        <v>-21583.5</v>
      </c>
      <c r="D44" s="991">
        <f t="shared" si="6"/>
        <v>-18251.394611769021</v>
      </c>
      <c r="E44" s="991">
        <f t="shared" si="6"/>
        <v>-14129.57569659689</v>
      </c>
      <c r="F44" s="991">
        <f t="shared" si="6"/>
        <v>-9281.4698535155658</v>
      </c>
      <c r="G44" s="991">
        <f t="shared" si="6"/>
        <v>-3599.593192329944</v>
      </c>
      <c r="H44" s="991">
        <f t="shared" si="6"/>
        <v>2922.2547363097542</v>
      </c>
      <c r="I44" s="991">
        <f t="shared" si="6"/>
        <v>13733.20238463512</v>
      </c>
      <c r="J44" s="991">
        <f t="shared" si="6"/>
        <v>20134.59906111153</v>
      </c>
      <c r="K44" s="991">
        <f t="shared" si="6"/>
        <v>25740.725671510747</v>
      </c>
      <c r="L44" s="991">
        <f t="shared" si="6"/>
        <v>29301.141188099282</v>
      </c>
      <c r="M44" s="991">
        <f t="shared" si="6"/>
        <v>36079.870782270751</v>
      </c>
      <c r="N44" s="991">
        <f t="shared" si="6"/>
        <v>41708.614524413089</v>
      </c>
      <c r="O44" s="992">
        <f t="shared" si="6"/>
        <v>77081.156245604114</v>
      </c>
      <c r="P44" s="993">
        <f t="shared" si="6"/>
        <v>110793.05643067296</v>
      </c>
      <c r="Q44" s="991">
        <f t="shared" si="6"/>
        <v>144315.36875510975</v>
      </c>
      <c r="R44" s="191"/>
      <c r="S44" s="123"/>
    </row>
    <row r="45" spans="1:19" ht="12.75" customHeight="1" outlineLevel="1" x14ac:dyDescent="0.2">
      <c r="A45" s="338" t="s">
        <v>400</v>
      </c>
      <c r="B45" s="188"/>
      <c r="C45" s="994">
        <f>+'P&amp;L-Expenses'!F12</f>
        <v>1166.6666666666667</v>
      </c>
      <c r="D45" s="994">
        <f>+'P&amp;L-Expenses'!G12</f>
        <v>1166.6666666666667</v>
      </c>
      <c r="E45" s="994">
        <f>+'P&amp;L-Expenses'!H12</f>
        <v>1166.6666666666667</v>
      </c>
      <c r="F45" s="994">
        <f>+'P&amp;L-Expenses'!I12</f>
        <v>1166.6666666666667</v>
      </c>
      <c r="G45" s="994">
        <f>+'P&amp;L-Expenses'!J12</f>
        <v>1166.6666666666667</v>
      </c>
      <c r="H45" s="994">
        <f>+'P&amp;L-Expenses'!K12</f>
        <v>1166.6666666666667</v>
      </c>
      <c r="I45" s="994">
        <f>+'P&amp;L-Expenses'!L12</f>
        <v>1166.6666666666667</v>
      </c>
      <c r="J45" s="994">
        <f>+'P&amp;L-Expenses'!M12</f>
        <v>1166.6666666666667</v>
      </c>
      <c r="K45" s="994">
        <f>+'P&amp;L-Expenses'!N12</f>
        <v>1166.6666666666667</v>
      </c>
      <c r="L45" s="994">
        <f>+'P&amp;L-Expenses'!O12</f>
        <v>1166.6666666666667</v>
      </c>
      <c r="M45" s="994">
        <f>+'P&amp;L-Expenses'!P12</f>
        <v>1166.6666666666667</v>
      </c>
      <c r="N45" s="994">
        <f>+'P&amp;L-Expenses'!Q12</f>
        <v>1166.6666666666667</v>
      </c>
      <c r="O45" s="995">
        <f>+'P&amp;L-Expenses'!R12</f>
        <v>14000</v>
      </c>
      <c r="P45" s="994">
        <f>+'P&amp;L-Expenses'!S12</f>
        <v>14857.142857142857</v>
      </c>
      <c r="Q45" s="994">
        <f>+'P&amp;L-Expenses'!T12</f>
        <v>14857.142857142857</v>
      </c>
      <c r="R45" s="181"/>
      <c r="S45" s="17"/>
    </row>
    <row r="46" spans="1:19" ht="12.75" customHeight="1" outlineLevel="1" x14ac:dyDescent="0.2">
      <c r="A46" s="390" t="str">
        <f>+'BAL-Assets'!A7</f>
        <v>Change in accounts receivable</v>
      </c>
      <c r="B46" s="996">
        <f>+'BAL-Assets'!B7</f>
        <v>0</v>
      </c>
      <c r="C46" s="391">
        <f>+'BAL-Assets'!F7</f>
        <v>-184.8</v>
      </c>
      <c r="D46" s="391">
        <f>+'BAL-Assets'!G7</f>
        <v>-354.24</v>
      </c>
      <c r="E46" s="391">
        <f>+'BAL-Assets'!H7</f>
        <v>-562.20000000000005</v>
      </c>
      <c r="F46" s="391">
        <f>+'BAL-Assets'!I7</f>
        <v>-808.68000000000006</v>
      </c>
      <c r="G46" s="391">
        <f>+'BAL-Assets'!J7</f>
        <v>-1093.68</v>
      </c>
      <c r="H46" s="391">
        <f>+'BAL-Assets'!K7</f>
        <v>-1417.2</v>
      </c>
      <c r="I46" s="391">
        <f>+'BAL-Assets'!L7</f>
        <v>-1964.04</v>
      </c>
      <c r="J46" s="391">
        <f>+'BAL-Assets'!M7</f>
        <v>-2256.84</v>
      </c>
      <c r="K46" s="391">
        <f>+'BAL-Assets'!N7</f>
        <v>-2511.12</v>
      </c>
      <c r="L46" s="391">
        <f>+'BAL-Assets'!O7</f>
        <v>-2726.88</v>
      </c>
      <c r="M46" s="391">
        <f>+'BAL-Assets'!P7</f>
        <v>-2996.52</v>
      </c>
      <c r="N46" s="391">
        <f>+'BAL-Assets'!Q7</f>
        <v>-3266.16</v>
      </c>
      <c r="O46" s="981">
        <f>+'BAL-Assets'!R7</f>
        <v>-20142.36</v>
      </c>
      <c r="P46" s="391">
        <f>+'BAL-Assets'!S7</f>
        <v>-4753.5969599999953</v>
      </c>
      <c r="Q46" s="391">
        <f>+'BAL-Assets'!T7</f>
        <v>-2900.4998399999968</v>
      </c>
      <c r="R46" s="181"/>
      <c r="S46" s="17"/>
    </row>
    <row r="47" spans="1:19" ht="12.75" customHeight="1" outlineLevel="1" x14ac:dyDescent="0.2">
      <c r="A47" s="390" t="str">
        <f>+'BAL-Assets'!A9</f>
        <v>Change in inventory</v>
      </c>
      <c r="B47" s="996">
        <f>+'BAL-Assets'!B9</f>
        <v>0</v>
      </c>
      <c r="C47" s="391">
        <f>+'BAL-Assets'!F9</f>
        <v>-27.72</v>
      </c>
      <c r="D47" s="391">
        <f>+'BAL-Assets'!G9</f>
        <v>-53.136000000000003</v>
      </c>
      <c r="E47" s="391">
        <f>+'BAL-Assets'!H9</f>
        <v>-84.33</v>
      </c>
      <c r="F47" s="391">
        <f>+'BAL-Assets'!I9</f>
        <v>-121.30200000000001</v>
      </c>
      <c r="G47" s="391">
        <f>+'BAL-Assets'!J9</f>
        <v>-164.05199999999999</v>
      </c>
      <c r="H47" s="391">
        <f>+'BAL-Assets'!K9</f>
        <v>-212.58</v>
      </c>
      <c r="I47" s="391">
        <f>+'BAL-Assets'!L9</f>
        <v>-294.60599999999999</v>
      </c>
      <c r="J47" s="391">
        <f>+'BAL-Assets'!M9</f>
        <v>-338.52600000000001</v>
      </c>
      <c r="K47" s="391">
        <f>+'BAL-Assets'!N9</f>
        <v>-376.66800000000001</v>
      </c>
      <c r="L47" s="391">
        <f>+'BAL-Assets'!O9</f>
        <v>-409.03199999999998</v>
      </c>
      <c r="M47" s="391">
        <f>+'BAL-Assets'!P9</f>
        <v>-449.47800000000001</v>
      </c>
      <c r="N47" s="391">
        <f>+'BAL-Assets'!Q9</f>
        <v>-489.92400000000004</v>
      </c>
      <c r="O47" s="981">
        <f>'BAL-Assets'!R9</f>
        <v>-3021.3540000000003</v>
      </c>
      <c r="P47" s="391">
        <f>+'BAL-Assets'!S9</f>
        <v>-713.0395439999993</v>
      </c>
      <c r="Q47" s="391">
        <f>+'BAL-Assets'!T9</f>
        <v>-435.07497599999897</v>
      </c>
      <c r="R47" s="181"/>
      <c r="S47" s="17"/>
    </row>
    <row r="48" spans="1:19" ht="12.75" customHeight="1" outlineLevel="1" x14ac:dyDescent="0.2">
      <c r="A48" s="390" t="str">
        <f>'BAL-Assets'!A11</f>
        <v>Change in other current assets</v>
      </c>
      <c r="B48" s="392">
        <f>+'BAL-Assets'!B11</f>
        <v>0</v>
      </c>
      <c r="C48" s="391">
        <f>'BAL-Assets'!F11</f>
        <v>-106.26</v>
      </c>
      <c r="D48" s="391">
        <f>'BAL-Assets'!G11</f>
        <v>-203.68799999999999</v>
      </c>
      <c r="E48" s="391">
        <f>'BAL-Assets'!H11</f>
        <v>-323.26499999999999</v>
      </c>
      <c r="F48" s="391">
        <f>'BAL-Assets'!I11</f>
        <v>-464.99099999999999</v>
      </c>
      <c r="G48" s="391">
        <f>'BAL-Assets'!J11</f>
        <v>-628.86599999999999</v>
      </c>
      <c r="H48" s="391">
        <f>'BAL-Assets'!K11</f>
        <v>-814.89</v>
      </c>
      <c r="I48" s="391">
        <f>'BAL-Assets'!L11</f>
        <v>-1129.3230000000001</v>
      </c>
      <c r="J48" s="391">
        <f>'BAL-Assets'!M11</f>
        <v>-1297.683</v>
      </c>
      <c r="K48" s="391">
        <f>'BAL-Assets'!N11</f>
        <v>-1443.894</v>
      </c>
      <c r="L48" s="391">
        <f>'BAL-Assets'!O11</f>
        <v>-1567.9559999999999</v>
      </c>
      <c r="M48" s="391">
        <f>'BAL-Assets'!P11</f>
        <v>-1722.999</v>
      </c>
      <c r="N48" s="391">
        <f>'BAL-Assets'!Q11</f>
        <v>-1878.0419999999999</v>
      </c>
      <c r="O48" s="981">
        <f>+'BAL-Assets'!R11</f>
        <v>-11581.857</v>
      </c>
      <c r="P48" s="391">
        <f>+'BAL-Assets'!S11</f>
        <v>-2733.3182519999973</v>
      </c>
      <c r="Q48" s="391">
        <f>+'BAL-Assets'!T11</f>
        <v>-1667.7874079999983</v>
      </c>
      <c r="R48" s="181"/>
      <c r="S48" s="17"/>
    </row>
    <row r="49" spans="1:17" ht="12.75" customHeight="1" outlineLevel="1" x14ac:dyDescent="0.2">
      <c r="A49" s="390" t="str">
        <f>'BAL-Liabilities &amp; Equity'!A6</f>
        <v>Change in accounts payable</v>
      </c>
      <c r="B49" s="996">
        <f>+'BAL-Liabilities &amp; Equity'!E5</f>
        <v>0</v>
      </c>
      <c r="C49" s="391">
        <f>'BAL-Liabilities &amp; Equity'!F6</f>
        <v>106.26</v>
      </c>
      <c r="D49" s="391">
        <f>'BAL-Liabilities &amp; Equity'!G6</f>
        <v>203.68799999999999</v>
      </c>
      <c r="E49" s="391">
        <f>'BAL-Liabilities &amp; Equity'!H6</f>
        <v>323.26499999999999</v>
      </c>
      <c r="F49" s="391">
        <f>'BAL-Liabilities &amp; Equity'!I6</f>
        <v>464.99099999999999</v>
      </c>
      <c r="G49" s="391">
        <f>'BAL-Liabilities &amp; Equity'!J6</f>
        <v>628.86599999999999</v>
      </c>
      <c r="H49" s="391">
        <f>'BAL-Liabilities &amp; Equity'!K6</f>
        <v>814.89</v>
      </c>
      <c r="I49" s="391">
        <f>'BAL-Liabilities &amp; Equity'!L6</f>
        <v>1129.3230000000001</v>
      </c>
      <c r="J49" s="391">
        <f>'BAL-Liabilities &amp; Equity'!M6</f>
        <v>1297.683</v>
      </c>
      <c r="K49" s="391">
        <f>'BAL-Liabilities &amp; Equity'!N6</f>
        <v>1443.894</v>
      </c>
      <c r="L49" s="391">
        <f>'BAL-Liabilities &amp; Equity'!O6</f>
        <v>1567.9559999999999</v>
      </c>
      <c r="M49" s="391">
        <f>'BAL-Liabilities &amp; Equity'!P6</f>
        <v>1722.999</v>
      </c>
      <c r="N49" s="391">
        <f>'BAL-Liabilities &amp; Equity'!Q6</f>
        <v>1878.0419999999999</v>
      </c>
      <c r="O49" s="981">
        <f>'BAL-Liabilities &amp; Equity'!R6</f>
        <v>11581.857</v>
      </c>
      <c r="P49" s="391">
        <f>'BAL-Liabilities &amp; Equity'!S6</f>
        <v>2733.3182519999973</v>
      </c>
      <c r="Q49" s="391">
        <f>'BAL-Liabilities &amp; Equity'!T6</f>
        <v>1667.7874079999983</v>
      </c>
    </row>
    <row r="50" spans="1:17" ht="12.75" customHeight="1" outlineLevel="1" x14ac:dyDescent="0.2">
      <c r="A50" s="390" t="str">
        <f>'BAL-Liabilities &amp; Equity'!A8</f>
        <v>Change in line of credit</v>
      </c>
      <c r="B50" s="996">
        <f>+'BAL-Liabilities &amp; Equity'!E7</f>
        <v>0</v>
      </c>
      <c r="C50" s="391">
        <f>'BAL-Liabilities &amp; Equity'!F8</f>
        <v>0</v>
      </c>
      <c r="D50" s="391">
        <f>'BAL-Liabilities &amp; Equity'!G8</f>
        <v>2100</v>
      </c>
      <c r="E50" s="391">
        <f>'BAL-Liabilities &amp; Equity'!H8</f>
        <v>13714</v>
      </c>
      <c r="F50" s="391">
        <f>'BAL-Liabilities &amp; Equity'!I8</f>
        <v>9205.4266666666663</v>
      </c>
      <c r="G50" s="391">
        <f>'BAL-Liabilities &amp; Equity'!J8</f>
        <v>3766.7961777777778</v>
      </c>
      <c r="H50" s="391">
        <f>'BAL-Liabilities &amp; Equity'!K8</f>
        <v>-2441.0918477037039</v>
      </c>
      <c r="I50" s="391">
        <f>'BAL-Liabilities &amp; Equity'!L8</f>
        <v>-12541.365793355062</v>
      </c>
      <c r="J50" s="391">
        <f>'BAL-Liabilities &amp; Equity'!M8</f>
        <v>-13803.974898644095</v>
      </c>
      <c r="K50" s="391">
        <f>'BAL-Liabilities &amp; Equity'!N8</f>
        <v>0</v>
      </c>
      <c r="L50" s="391">
        <f>'BAL-Liabilities &amp; Equity'!O8</f>
        <v>0</v>
      </c>
      <c r="M50" s="391">
        <f>'BAL-Liabilities &amp; Equity'!P8</f>
        <v>0</v>
      </c>
      <c r="N50" s="391">
        <f>'BAL-Liabilities &amp; Equity'!Q8</f>
        <v>0</v>
      </c>
      <c r="O50" s="981">
        <f>'BAL-Liabilities &amp; Equity'!R8</f>
        <v>-0.20969525841792347</v>
      </c>
      <c r="P50" s="391">
        <f>'BAL-Liabilities &amp; Equity'!S8</f>
        <v>-1.677562067343729E-2</v>
      </c>
      <c r="Q50" s="391">
        <f>'BAL-Liabilities &amp; Equity'!T8</f>
        <v>-1.8117670327312273E-2</v>
      </c>
    </row>
    <row r="51" spans="1:17" ht="12.75" customHeight="1" outlineLevel="1" x14ac:dyDescent="0.2">
      <c r="A51" s="390" t="str">
        <f>'BAL-Liabilities &amp; Equity'!A10</f>
        <v>Change in credit cards</v>
      </c>
      <c r="B51" s="183"/>
      <c r="C51" s="391">
        <f>'BAL-Liabilities &amp; Equity'!F10</f>
        <v>0</v>
      </c>
      <c r="D51" s="391">
        <f>'BAL-Liabilities &amp; Equity'!G10</f>
        <v>0</v>
      </c>
      <c r="E51" s="391">
        <f>'BAL-Liabilities &amp; Equity'!H10</f>
        <v>0</v>
      </c>
      <c r="F51" s="391">
        <f>'BAL-Liabilities &amp; Equity'!I10</f>
        <v>0</v>
      </c>
      <c r="G51" s="391">
        <f>'BAL-Liabilities &amp; Equity'!J10</f>
        <v>0</v>
      </c>
      <c r="H51" s="391">
        <f>'BAL-Liabilities &amp; Equity'!K10</f>
        <v>0</v>
      </c>
      <c r="I51" s="391">
        <f>'BAL-Liabilities &amp; Equity'!L10</f>
        <v>0</v>
      </c>
      <c r="J51" s="391">
        <f>'BAL-Liabilities &amp; Equity'!M10</f>
        <v>0</v>
      </c>
      <c r="K51" s="391">
        <f>'BAL-Liabilities &amp; Equity'!N10</f>
        <v>0</v>
      </c>
      <c r="L51" s="391">
        <f>'BAL-Liabilities &amp; Equity'!O10</f>
        <v>0</v>
      </c>
      <c r="M51" s="391">
        <f>'BAL-Liabilities &amp; Equity'!P10</f>
        <v>0</v>
      </c>
      <c r="N51" s="391">
        <f>'BAL-Liabilities &amp; Equity'!Q10</f>
        <v>0</v>
      </c>
      <c r="O51" s="981">
        <f>'BAL-Liabilities &amp; Equity'!R10</f>
        <v>0</v>
      </c>
      <c r="P51" s="391">
        <f>'BAL-Liabilities &amp; Equity'!S10</f>
        <v>0</v>
      </c>
      <c r="Q51" s="391">
        <f>'BAL-Liabilities &amp; Equity'!T10</f>
        <v>0</v>
      </c>
    </row>
    <row r="52" spans="1:17" ht="12.75" customHeight="1" outlineLevel="1" x14ac:dyDescent="0.2">
      <c r="A52" s="390" t="str">
        <f>'BAL-Liabilities &amp; Equity'!A12</f>
        <v>Change in other current liabilities</v>
      </c>
      <c r="B52" s="996">
        <f>+'BAL-Liabilities &amp; Equity'!E11</f>
        <v>0</v>
      </c>
      <c r="C52" s="391">
        <f>'BAL-Liabilities &amp; Equity'!F12</f>
        <v>0</v>
      </c>
      <c r="D52" s="391">
        <f>'BAL-Liabilities &amp; Equity'!G12</f>
        <v>0</v>
      </c>
      <c r="E52" s="391">
        <f>'BAL-Liabilities &amp; Equity'!H12</f>
        <v>0</v>
      </c>
      <c r="F52" s="391">
        <f>'BAL-Liabilities &amp; Equity'!I12</f>
        <v>0</v>
      </c>
      <c r="G52" s="391">
        <f>'BAL-Liabilities &amp; Equity'!J12</f>
        <v>0</v>
      </c>
      <c r="H52" s="391">
        <f>'BAL-Liabilities &amp; Equity'!K12</f>
        <v>0</v>
      </c>
      <c r="I52" s="391">
        <f>'BAL-Liabilities &amp; Equity'!L12</f>
        <v>0</v>
      </c>
      <c r="J52" s="391">
        <f>'BAL-Liabilities &amp; Equity'!M12</f>
        <v>0</v>
      </c>
      <c r="K52" s="391">
        <f>'BAL-Liabilities &amp; Equity'!N12</f>
        <v>0</v>
      </c>
      <c r="L52" s="391">
        <f>'BAL-Liabilities &amp; Equity'!O12</f>
        <v>0</v>
      </c>
      <c r="M52" s="391">
        <f>'BAL-Liabilities &amp; Equity'!P12</f>
        <v>0</v>
      </c>
      <c r="N52" s="391">
        <f>'BAL-Liabilities &amp; Equity'!Q12</f>
        <v>0</v>
      </c>
      <c r="O52" s="981">
        <f>'BAL-Liabilities &amp; Equity'!R12</f>
        <v>0</v>
      </c>
      <c r="P52" s="391">
        <f>'BAL-Liabilities &amp; Equity'!S12</f>
        <v>0</v>
      </c>
      <c r="Q52" s="391">
        <f>'BAL-Liabilities &amp; Equity'!T12</f>
        <v>0</v>
      </c>
    </row>
    <row r="53" spans="1:17" ht="12.75" customHeight="1" x14ac:dyDescent="0.2">
      <c r="A53" s="997" t="s">
        <v>401</v>
      </c>
      <c r="B53" s="395">
        <f t="shared" ref="B53:Q53" si="7">SUM(B44:B52)</f>
        <v>-17300</v>
      </c>
      <c r="C53" s="394">
        <f t="shared" si="7"/>
        <v>-20629.353333333333</v>
      </c>
      <c r="D53" s="394">
        <f t="shared" si="7"/>
        <v>-15392.103945102353</v>
      </c>
      <c r="E53" s="394">
        <f t="shared" si="7"/>
        <v>104.56097006977507</v>
      </c>
      <c r="F53" s="394">
        <f t="shared" si="7"/>
        <v>160.64147981776841</v>
      </c>
      <c r="G53" s="394">
        <f t="shared" si="7"/>
        <v>76.137652114500725</v>
      </c>
      <c r="H53" s="394">
        <f t="shared" si="7"/>
        <v>18.049555272717043</v>
      </c>
      <c r="I53" s="394">
        <f t="shared" si="7"/>
        <v>99.857257946723621</v>
      </c>
      <c r="J53" s="394">
        <f t="shared" si="7"/>
        <v>4901.9248291341009</v>
      </c>
      <c r="K53" s="394">
        <f t="shared" si="7"/>
        <v>24019.604338177414</v>
      </c>
      <c r="L53" s="394">
        <f t="shared" si="7"/>
        <v>27331.895854765949</v>
      </c>
      <c r="M53" s="394">
        <f t="shared" si="7"/>
        <v>33800.539448937416</v>
      </c>
      <c r="N53" s="394">
        <f t="shared" si="7"/>
        <v>39119.197191079758</v>
      </c>
      <c r="O53" s="983">
        <f t="shared" si="7"/>
        <v>67917.232550345681</v>
      </c>
      <c r="P53" s="394">
        <f t="shared" si="7"/>
        <v>120183.54600819515</v>
      </c>
      <c r="Q53" s="394">
        <f t="shared" si="7"/>
        <v>155836.9186785823</v>
      </c>
    </row>
    <row r="54" spans="1:17" ht="18" customHeight="1" x14ac:dyDescent="0.2">
      <c r="A54" s="980" t="s">
        <v>402</v>
      </c>
      <c r="B54" s="264"/>
      <c r="C54" s="181"/>
      <c r="D54" s="181"/>
      <c r="E54" s="181"/>
      <c r="F54" s="181"/>
      <c r="G54" s="181"/>
      <c r="H54" s="181"/>
      <c r="I54" s="181"/>
      <c r="J54" s="181"/>
      <c r="K54" s="181"/>
      <c r="L54" s="181"/>
      <c r="M54" s="181"/>
      <c r="N54" s="181"/>
      <c r="O54" s="267"/>
      <c r="P54" s="181"/>
      <c r="Q54" s="181"/>
    </row>
    <row r="55" spans="1:17" ht="12.75" customHeight="1" outlineLevel="1" x14ac:dyDescent="0.2">
      <c r="A55" s="390" t="str">
        <f>'BAL-Assets'!A16</f>
        <v>Change in furniture/fixtures</v>
      </c>
      <c r="B55" s="996">
        <f>-'BAL-Assets'!B16</f>
        <v>-6000</v>
      </c>
      <c r="C55" s="391">
        <f>'BAL-Assets'!F16</f>
        <v>0</v>
      </c>
      <c r="D55" s="391">
        <f>'BAL-Assets'!G16</f>
        <v>0</v>
      </c>
      <c r="E55" s="391">
        <f>'BAL-Assets'!H16</f>
        <v>0</v>
      </c>
      <c r="F55" s="391">
        <f>'BAL-Assets'!I16</f>
        <v>0</v>
      </c>
      <c r="G55" s="391">
        <f>'BAL-Assets'!J16</f>
        <v>0</v>
      </c>
      <c r="H55" s="391">
        <f>'BAL-Assets'!K16</f>
        <v>0</v>
      </c>
      <c r="I55" s="391">
        <f>'BAL-Assets'!L16</f>
        <v>0</v>
      </c>
      <c r="J55" s="391">
        <f>'BAL-Assets'!M16</f>
        <v>0</v>
      </c>
      <c r="K55" s="391">
        <f>'BAL-Assets'!N16</f>
        <v>0</v>
      </c>
      <c r="L55" s="391">
        <f>'BAL-Assets'!O16</f>
        <v>0</v>
      </c>
      <c r="M55" s="391">
        <f>'BAL-Assets'!P16</f>
        <v>0</v>
      </c>
      <c r="N55" s="391">
        <f>'BAL-Assets'!Q16</f>
        <v>0</v>
      </c>
      <c r="O55" s="981">
        <f>'BAL-Assets'!R16</f>
        <v>0</v>
      </c>
      <c r="P55" s="391">
        <f>'BAL-Assets'!S16</f>
        <v>0</v>
      </c>
      <c r="Q55" s="391">
        <f>'BAL-Assets'!T16</f>
        <v>0</v>
      </c>
    </row>
    <row r="56" spans="1:17" ht="12.75" customHeight="1" outlineLevel="1" x14ac:dyDescent="0.2">
      <c r="A56" s="390" t="str">
        <f>'BAL-Assets'!A18</f>
        <v>Change in equipment</v>
      </c>
      <c r="B56" s="996">
        <f>+-'BAL-Assets'!B18</f>
        <v>-6000</v>
      </c>
      <c r="C56" s="391">
        <f>'BAL-Assets'!F18</f>
        <v>0</v>
      </c>
      <c r="D56" s="391">
        <f>'BAL-Assets'!G18</f>
        <v>0</v>
      </c>
      <c r="E56" s="391">
        <f>'BAL-Assets'!H18</f>
        <v>0</v>
      </c>
      <c r="F56" s="391">
        <f>'BAL-Assets'!I18</f>
        <v>0</v>
      </c>
      <c r="G56" s="391">
        <f>'BAL-Assets'!J18</f>
        <v>0</v>
      </c>
      <c r="H56" s="391">
        <f>'BAL-Assets'!K18</f>
        <v>0</v>
      </c>
      <c r="I56" s="391">
        <f>'BAL-Assets'!L18</f>
        <v>0</v>
      </c>
      <c r="J56" s="391">
        <f>'BAL-Assets'!M18</f>
        <v>0</v>
      </c>
      <c r="K56" s="391">
        <f>'BAL-Assets'!N18</f>
        <v>0</v>
      </c>
      <c r="L56" s="391">
        <f>'BAL-Assets'!O18</f>
        <v>0</v>
      </c>
      <c r="M56" s="391">
        <f>'BAL-Assets'!P18</f>
        <v>0</v>
      </c>
      <c r="N56" s="391">
        <f>'BAL-Assets'!Q18</f>
        <v>0</v>
      </c>
      <c r="O56" s="981">
        <f>'BAL-Assets'!R18</f>
        <v>0</v>
      </c>
      <c r="P56" s="391">
        <f>'BAL-Assets'!S18</f>
        <v>0</v>
      </c>
      <c r="Q56" s="391">
        <f>'BAL-Assets'!T18</f>
        <v>0</v>
      </c>
    </row>
    <row r="57" spans="1:17" ht="12.75" customHeight="1" outlineLevel="1" x14ac:dyDescent="0.2">
      <c r="A57" s="390" t="str">
        <f>'BAL-Assets'!A20</f>
        <v>Change in vehicles</v>
      </c>
      <c r="B57" s="996">
        <f>+-'BAL-Assets'!B20</f>
        <v>0</v>
      </c>
      <c r="C57" s="391">
        <f>'BAL-Assets'!F20</f>
        <v>0</v>
      </c>
      <c r="D57" s="391">
        <f>'BAL-Assets'!G20</f>
        <v>0</v>
      </c>
      <c r="E57" s="391">
        <f>'BAL-Assets'!H20</f>
        <v>0</v>
      </c>
      <c r="F57" s="391">
        <f>'BAL-Assets'!I20</f>
        <v>0</v>
      </c>
      <c r="G57" s="391">
        <f>'BAL-Assets'!J20</f>
        <v>0</v>
      </c>
      <c r="H57" s="391">
        <f>'BAL-Assets'!K20</f>
        <v>0</v>
      </c>
      <c r="I57" s="391">
        <f>'BAL-Assets'!L20</f>
        <v>0</v>
      </c>
      <c r="J57" s="391">
        <f>'BAL-Assets'!M20</f>
        <v>0</v>
      </c>
      <c r="K57" s="391">
        <f>'BAL-Assets'!N20</f>
        <v>0</v>
      </c>
      <c r="L57" s="391">
        <f>'BAL-Assets'!O20</f>
        <v>0</v>
      </c>
      <c r="M57" s="391">
        <f>'BAL-Assets'!P20</f>
        <v>0</v>
      </c>
      <c r="N57" s="391">
        <f>'BAL-Assets'!Q20</f>
        <v>0</v>
      </c>
      <c r="O57" s="981">
        <f>'BAL-Assets'!R20</f>
        <v>0</v>
      </c>
      <c r="P57" s="391">
        <f>'BAL-Assets'!S20</f>
        <v>0</v>
      </c>
      <c r="Q57" s="391">
        <f>'BAL-Assets'!T20</f>
        <v>0</v>
      </c>
    </row>
    <row r="58" spans="1:17" ht="12.75" customHeight="1" outlineLevel="1" x14ac:dyDescent="0.2">
      <c r="A58" s="390" t="str">
        <f>'BAL-Assets'!A22</f>
        <v>Change in leasehold improvements</v>
      </c>
      <c r="B58" s="996">
        <f>+-'BAL-Assets'!B22</f>
        <v>-120000</v>
      </c>
      <c r="C58" s="391">
        <f>'BAL-Assets'!F22</f>
        <v>0</v>
      </c>
      <c r="D58" s="391">
        <f>'BAL-Assets'!G22</f>
        <v>0</v>
      </c>
      <c r="E58" s="391">
        <f>'BAL-Assets'!H22</f>
        <v>0</v>
      </c>
      <c r="F58" s="391">
        <f>'BAL-Assets'!I22</f>
        <v>0</v>
      </c>
      <c r="G58" s="391">
        <f>'BAL-Assets'!J22</f>
        <v>0</v>
      </c>
      <c r="H58" s="391">
        <f>'BAL-Assets'!K22</f>
        <v>0</v>
      </c>
      <c r="I58" s="391">
        <f>'BAL-Assets'!L22</f>
        <v>0</v>
      </c>
      <c r="J58" s="391">
        <f>'BAL-Assets'!M22</f>
        <v>0</v>
      </c>
      <c r="K58" s="391">
        <f>'BAL-Assets'!N22</f>
        <v>0</v>
      </c>
      <c r="L58" s="391">
        <f>'BAL-Assets'!O22</f>
        <v>0</v>
      </c>
      <c r="M58" s="391">
        <f>'BAL-Assets'!P22</f>
        <v>0</v>
      </c>
      <c r="N58" s="391">
        <f>'BAL-Assets'!Q22</f>
        <v>0</v>
      </c>
      <c r="O58" s="981">
        <f>'BAL-Assets'!R22</f>
        <v>0</v>
      </c>
      <c r="P58" s="391">
        <f>'BAL-Assets'!S22</f>
        <v>0</v>
      </c>
      <c r="Q58" s="391">
        <f>'BAL-Assets'!T22</f>
        <v>0</v>
      </c>
    </row>
    <row r="59" spans="1:17" ht="12.75" customHeight="1" outlineLevel="1" x14ac:dyDescent="0.2">
      <c r="A59" s="390" t="s">
        <v>403</v>
      </c>
      <c r="B59" s="996">
        <f>-'BAL-Assets'!B24</f>
        <v>0</v>
      </c>
      <c r="C59" s="391">
        <f>'BAL-Assets'!F24</f>
        <v>0</v>
      </c>
      <c r="D59" s="391">
        <f>'BAL-Assets'!G24</f>
        <v>0</v>
      </c>
      <c r="E59" s="391">
        <f>'BAL-Assets'!H24</f>
        <v>0</v>
      </c>
      <c r="F59" s="391">
        <f>'BAL-Assets'!I24</f>
        <v>0</v>
      </c>
      <c r="G59" s="391">
        <f>'BAL-Assets'!J24</f>
        <v>0</v>
      </c>
      <c r="H59" s="391">
        <f>'BAL-Assets'!K24</f>
        <v>0</v>
      </c>
      <c r="I59" s="391">
        <f>'BAL-Assets'!L24</f>
        <v>0</v>
      </c>
      <c r="J59" s="391">
        <f>'BAL-Assets'!M24</f>
        <v>0</v>
      </c>
      <c r="K59" s="391">
        <f>'BAL-Assets'!N24</f>
        <v>0</v>
      </c>
      <c r="L59" s="391">
        <f>'BAL-Assets'!O24</f>
        <v>0</v>
      </c>
      <c r="M59" s="391">
        <f>'BAL-Assets'!P24</f>
        <v>0</v>
      </c>
      <c r="N59" s="391">
        <f>'BAL-Assets'!Q24</f>
        <v>0</v>
      </c>
      <c r="O59" s="981">
        <f>'BAL-Assets'!R24</f>
        <v>0</v>
      </c>
      <c r="P59" s="391">
        <f>'BAL-Assets'!S24</f>
        <v>0</v>
      </c>
      <c r="Q59" s="391">
        <f>'BAL-Assets'!T24</f>
        <v>0</v>
      </c>
    </row>
    <row r="60" spans="1:17" ht="12.75" customHeight="1" outlineLevel="1" x14ac:dyDescent="0.2">
      <c r="A60" s="390" t="str">
        <f>'BAL-Assets'!A29</f>
        <v>Change in other assets</v>
      </c>
      <c r="B60" s="996">
        <f>-'BAL-Assets'!B29</f>
        <v>-6000</v>
      </c>
      <c r="C60" s="391">
        <f>+'BAL-Assets'!F29</f>
        <v>0</v>
      </c>
      <c r="D60" s="391">
        <f>+'BAL-Assets'!G29</f>
        <v>0</v>
      </c>
      <c r="E60" s="391">
        <f>+'BAL-Assets'!H29</f>
        <v>0</v>
      </c>
      <c r="F60" s="391">
        <f>+'BAL-Assets'!I29</f>
        <v>0</v>
      </c>
      <c r="G60" s="391">
        <f>+'BAL-Assets'!J29</f>
        <v>0</v>
      </c>
      <c r="H60" s="391">
        <f>+'BAL-Assets'!K29</f>
        <v>0</v>
      </c>
      <c r="I60" s="391">
        <f>+'BAL-Assets'!L29</f>
        <v>0</v>
      </c>
      <c r="J60" s="391">
        <f>+'BAL-Assets'!M29</f>
        <v>0</v>
      </c>
      <c r="K60" s="391">
        <f>+'BAL-Assets'!N29</f>
        <v>0</v>
      </c>
      <c r="L60" s="391">
        <f>+'BAL-Assets'!O29</f>
        <v>0</v>
      </c>
      <c r="M60" s="391">
        <f>+'BAL-Assets'!P29</f>
        <v>0</v>
      </c>
      <c r="N60" s="391">
        <f>+'BAL-Assets'!Q29</f>
        <v>0</v>
      </c>
      <c r="O60" s="981">
        <f>+'BAL-Assets'!R29</f>
        <v>0</v>
      </c>
      <c r="P60" s="391">
        <f>+'BAL-Assets'!S29</f>
        <v>0</v>
      </c>
      <c r="Q60" s="391">
        <f>+'BAL-Assets'!T29</f>
        <v>0</v>
      </c>
    </row>
    <row r="61" spans="1:17" ht="12.75" customHeight="1" x14ac:dyDescent="0.2">
      <c r="A61" s="997" t="s">
        <v>404</v>
      </c>
      <c r="B61" s="395">
        <f t="shared" ref="B61:Q61" si="8">SUM(B55:B60)</f>
        <v>-138000</v>
      </c>
      <c r="C61" s="394">
        <f t="shared" si="8"/>
        <v>0</v>
      </c>
      <c r="D61" s="394">
        <f t="shared" si="8"/>
        <v>0</v>
      </c>
      <c r="E61" s="394">
        <f t="shared" si="8"/>
        <v>0</v>
      </c>
      <c r="F61" s="394">
        <f t="shared" si="8"/>
        <v>0</v>
      </c>
      <c r="G61" s="394">
        <f t="shared" si="8"/>
        <v>0</v>
      </c>
      <c r="H61" s="394">
        <f t="shared" si="8"/>
        <v>0</v>
      </c>
      <c r="I61" s="394">
        <f t="shared" si="8"/>
        <v>0</v>
      </c>
      <c r="J61" s="394">
        <f t="shared" si="8"/>
        <v>0</v>
      </c>
      <c r="K61" s="394">
        <f t="shared" si="8"/>
        <v>0</v>
      </c>
      <c r="L61" s="394">
        <f t="shared" si="8"/>
        <v>0</v>
      </c>
      <c r="M61" s="394">
        <f t="shared" si="8"/>
        <v>0</v>
      </c>
      <c r="N61" s="394">
        <f t="shared" si="8"/>
        <v>0</v>
      </c>
      <c r="O61" s="983">
        <f t="shared" si="8"/>
        <v>0</v>
      </c>
      <c r="P61" s="394">
        <f t="shared" si="8"/>
        <v>0</v>
      </c>
      <c r="Q61" s="394">
        <f t="shared" si="8"/>
        <v>0</v>
      </c>
    </row>
    <row r="62" spans="1:17" ht="17.25" customHeight="1" x14ac:dyDescent="0.2">
      <c r="A62" s="980" t="s">
        <v>405</v>
      </c>
      <c r="B62" s="264"/>
      <c r="C62" s="181"/>
      <c r="D62" s="181"/>
      <c r="E62" s="181"/>
      <c r="F62" s="181"/>
      <c r="G62" s="181"/>
      <c r="H62" s="181"/>
      <c r="I62" s="181"/>
      <c r="J62" s="181"/>
      <c r="K62" s="181"/>
      <c r="L62" s="181"/>
      <c r="M62" s="181"/>
      <c r="N62" s="181"/>
      <c r="O62" s="267"/>
      <c r="P62" s="181"/>
      <c r="Q62" s="181"/>
    </row>
    <row r="63" spans="1:17" ht="12.75" customHeight="1" outlineLevel="1" x14ac:dyDescent="0.2">
      <c r="A63" s="338" t="s">
        <v>46</v>
      </c>
      <c r="B63" s="988">
        <f>+'BAL-Liabilities &amp; Equity'!E17</f>
        <v>250000</v>
      </c>
      <c r="C63" s="391">
        <f>+'BAL-Liabilities &amp; Equity'!F18</f>
        <v>-541.07764619542286</v>
      </c>
      <c r="D63" s="391">
        <f>+'BAL-Liabilities &amp; Equity'!G18</f>
        <v>-543.78303442639299</v>
      </c>
      <c r="E63" s="391">
        <f>+'BAL-Liabilities &amp; Equity'!H18</f>
        <v>-546.50194959851797</v>
      </c>
      <c r="F63" s="391">
        <f>+'BAL-Liabilities &amp; Equity'!I18</f>
        <v>-549.23445934650954</v>
      </c>
      <c r="G63" s="391">
        <f>+'BAL-Liabilities &amp; Equity'!J18</f>
        <v>-551.98063164323685</v>
      </c>
      <c r="H63" s="391">
        <f>+'BAL-Liabilities &amp; Equity'!K18</f>
        <v>-554.74053480147268</v>
      </c>
      <c r="I63" s="391">
        <f>+'BAL-Liabilities &amp; Equity'!L18</f>
        <v>-557.51423747546505</v>
      </c>
      <c r="J63" s="391">
        <f>+'BAL-Liabilities &amp; Equity'!M18</f>
        <v>-560.30180866285809</v>
      </c>
      <c r="K63" s="391">
        <f>+'BAL-Liabilities &amp; Equity'!N18</f>
        <v>-563.10331770614721</v>
      </c>
      <c r="L63" s="391">
        <f>+'BAL-Liabilities &amp; Equity'!O18</f>
        <v>-565.91883429468726</v>
      </c>
      <c r="M63" s="391">
        <f>+'BAL-Liabilities &amp; Equity'!P18</f>
        <v>-568.74842846617685</v>
      </c>
      <c r="N63" s="391">
        <f>+'BAL-Liabilities &amp; Equity'!Q18</f>
        <v>-571.59217060849187</v>
      </c>
      <c r="O63" s="981">
        <f>+'BAL-Liabilities &amp; Equity'!R18</f>
        <v>-6674.4970532253792</v>
      </c>
      <c r="P63" s="391">
        <f>+'BAL-Liabilities &amp; Equity'!S18</f>
        <v>-7086.1654267643753</v>
      </c>
      <c r="Q63" s="391">
        <f>+'BAL-Liabilities &amp; Equity'!T18</f>
        <v>-7523.2246047970839</v>
      </c>
    </row>
    <row r="64" spans="1:17" ht="12.75" customHeight="1" outlineLevel="1" x14ac:dyDescent="0.2">
      <c r="A64" s="338" t="str">
        <f>'BAL-Liabilities &amp; Equity'!A20</f>
        <v>Change in other long-term debt</v>
      </c>
      <c r="B64" s="988">
        <f>+'BAL-Liabilities &amp; Equity'!E20</f>
        <v>0</v>
      </c>
      <c r="C64" s="391">
        <f>+'BAL-Liabilities &amp; Equity'!F20</f>
        <v>0</v>
      </c>
      <c r="D64" s="391">
        <f>+'BAL-Liabilities &amp; Equity'!G20</f>
        <v>0</v>
      </c>
      <c r="E64" s="391">
        <f>+'BAL-Liabilities &amp; Equity'!H20</f>
        <v>0</v>
      </c>
      <c r="F64" s="391">
        <f>+'BAL-Liabilities &amp; Equity'!I20</f>
        <v>0</v>
      </c>
      <c r="G64" s="391">
        <f>+'BAL-Liabilities &amp; Equity'!J20</f>
        <v>0</v>
      </c>
      <c r="H64" s="391">
        <f>+'BAL-Liabilities &amp; Equity'!K20</f>
        <v>0</v>
      </c>
      <c r="I64" s="391">
        <f>+'BAL-Liabilities &amp; Equity'!L20</f>
        <v>0</v>
      </c>
      <c r="J64" s="391">
        <f>+'BAL-Liabilities &amp; Equity'!M20</f>
        <v>0</v>
      </c>
      <c r="K64" s="391">
        <f>+'BAL-Liabilities &amp; Equity'!N20</f>
        <v>0</v>
      </c>
      <c r="L64" s="391">
        <f>+'BAL-Liabilities &amp; Equity'!O20</f>
        <v>0</v>
      </c>
      <c r="M64" s="391">
        <f>+'BAL-Liabilities &amp; Equity'!P20</f>
        <v>0</v>
      </c>
      <c r="N64" s="391">
        <f>+'BAL-Liabilities &amp; Equity'!Q20</f>
        <v>0</v>
      </c>
      <c r="O64" s="981">
        <f>+'BAL-Liabilities &amp; Equity'!R20</f>
        <v>0</v>
      </c>
      <c r="P64" s="391">
        <f>+'BAL-Liabilities &amp; Equity'!S20</f>
        <v>0</v>
      </c>
      <c r="Q64" s="391">
        <f>+'BAL-Liabilities &amp; Equity'!T20</f>
        <v>0</v>
      </c>
    </row>
    <row r="65" spans="1:17" ht="12.75" customHeight="1" outlineLevel="1" x14ac:dyDescent="0.2">
      <c r="A65" s="338" t="str">
        <f>'BAL-Liabilities &amp; Equity'!A22</f>
        <v>Change in equity funding</v>
      </c>
      <c r="B65" s="988">
        <f>+'BAL-Liabilities &amp; Equity'!E22</f>
        <v>0</v>
      </c>
      <c r="C65" s="391">
        <f>'BAL-Liabilities &amp; Equity'!F22</f>
        <v>0</v>
      </c>
      <c r="D65" s="391">
        <f>'BAL-Liabilities &amp; Equity'!G22</f>
        <v>0</v>
      </c>
      <c r="E65" s="391">
        <f>'BAL-Liabilities &amp; Equity'!H22</f>
        <v>0</v>
      </c>
      <c r="F65" s="391">
        <f>'BAL-Liabilities &amp; Equity'!I22</f>
        <v>0</v>
      </c>
      <c r="G65" s="391">
        <f>'BAL-Liabilities &amp; Equity'!J22</f>
        <v>0</v>
      </c>
      <c r="H65" s="391">
        <f>'BAL-Liabilities &amp; Equity'!K22</f>
        <v>0</v>
      </c>
      <c r="I65" s="391">
        <f>'BAL-Liabilities &amp; Equity'!L22</f>
        <v>0</v>
      </c>
      <c r="J65" s="391">
        <f>'BAL-Liabilities &amp; Equity'!M22</f>
        <v>0</v>
      </c>
      <c r="K65" s="391">
        <f>'BAL-Liabilities &amp; Equity'!N22</f>
        <v>0</v>
      </c>
      <c r="L65" s="391">
        <f>'BAL-Liabilities &amp; Equity'!O22</f>
        <v>0</v>
      </c>
      <c r="M65" s="391">
        <f>'BAL-Liabilities &amp; Equity'!P22</f>
        <v>0</v>
      </c>
      <c r="N65" s="391">
        <f>'BAL-Liabilities &amp; Equity'!Q22</f>
        <v>0</v>
      </c>
      <c r="O65" s="981">
        <f>'BAL-Liabilities &amp; Equity'!R22</f>
        <v>0</v>
      </c>
      <c r="P65" s="391">
        <f>'BAL-Liabilities &amp; Equity'!S22</f>
        <v>0</v>
      </c>
      <c r="Q65" s="391">
        <f>'BAL-Liabilities &amp; Equity'!T22</f>
        <v>0</v>
      </c>
    </row>
    <row r="66" spans="1:17" ht="14.25" customHeight="1" outlineLevel="1" x14ac:dyDescent="0.2">
      <c r="A66" s="338" t="str">
        <f>'BAL-Liabilities &amp; Equity'!A24</f>
        <v>Change in owner contributions/distributions</v>
      </c>
      <c r="B66" s="988">
        <f>+'BAL-Liabilities &amp; Equity'!E24</f>
        <v>30000</v>
      </c>
      <c r="C66" s="391">
        <f>'BAL-Liabilities &amp; Equity'!F24</f>
        <v>0</v>
      </c>
      <c r="D66" s="391">
        <f>'BAL-Liabilities &amp; Equity'!G24</f>
        <v>0</v>
      </c>
      <c r="E66" s="391">
        <f>'BAL-Liabilities &amp; Equity'!H24</f>
        <v>0</v>
      </c>
      <c r="F66" s="391">
        <f>'BAL-Liabilities &amp; Equity'!I24</f>
        <v>0</v>
      </c>
      <c r="G66" s="391">
        <f>'BAL-Liabilities &amp; Equity'!J24</f>
        <v>0</v>
      </c>
      <c r="H66" s="391">
        <f>'BAL-Liabilities &amp; Equity'!K24</f>
        <v>0</v>
      </c>
      <c r="I66" s="391">
        <f>'BAL-Liabilities &amp; Equity'!L24</f>
        <v>0</v>
      </c>
      <c r="J66" s="391">
        <f>'BAL-Liabilities &amp; Equity'!M24</f>
        <v>0</v>
      </c>
      <c r="K66" s="391">
        <f>'BAL-Liabilities &amp; Equity'!N24</f>
        <v>0</v>
      </c>
      <c r="L66" s="391">
        <f>'BAL-Liabilities &amp; Equity'!O24</f>
        <v>0</v>
      </c>
      <c r="M66" s="391">
        <f>'BAL-Liabilities &amp; Equity'!P24</f>
        <v>0</v>
      </c>
      <c r="N66" s="391">
        <f>'BAL-Liabilities &amp; Equity'!Q24</f>
        <v>0</v>
      </c>
      <c r="O66" s="981">
        <f>'BAL-Liabilities &amp; Equity'!R24</f>
        <v>0</v>
      </c>
      <c r="P66" s="391">
        <f>'BAL-Liabilities &amp; Equity'!S24</f>
        <v>0</v>
      </c>
      <c r="Q66" s="391">
        <f>'BAL-Liabilities &amp; Equity'!T24</f>
        <v>0</v>
      </c>
    </row>
    <row r="67" spans="1:17" ht="12.75" customHeight="1" x14ac:dyDescent="0.2">
      <c r="A67" s="982" t="s">
        <v>406</v>
      </c>
      <c r="B67" s="395">
        <f t="shared" ref="B67:Q67" si="9">SUM(B63:B66)</f>
        <v>280000</v>
      </c>
      <c r="C67" s="394">
        <f t="shared" si="9"/>
        <v>-541.07764619542286</v>
      </c>
      <c r="D67" s="394">
        <f t="shared" si="9"/>
        <v>-543.78303442639299</v>
      </c>
      <c r="E67" s="394">
        <f t="shared" si="9"/>
        <v>-546.50194959851797</v>
      </c>
      <c r="F67" s="394">
        <f t="shared" si="9"/>
        <v>-549.23445934650954</v>
      </c>
      <c r="G67" s="394">
        <f t="shared" si="9"/>
        <v>-551.98063164323685</v>
      </c>
      <c r="H67" s="394">
        <f t="shared" si="9"/>
        <v>-554.74053480147268</v>
      </c>
      <c r="I67" s="394">
        <f t="shared" si="9"/>
        <v>-557.51423747546505</v>
      </c>
      <c r="J67" s="394">
        <f t="shared" si="9"/>
        <v>-560.30180866285809</v>
      </c>
      <c r="K67" s="394">
        <f t="shared" si="9"/>
        <v>-563.10331770614721</v>
      </c>
      <c r="L67" s="394">
        <f t="shared" si="9"/>
        <v>-565.91883429468726</v>
      </c>
      <c r="M67" s="394">
        <f t="shared" si="9"/>
        <v>-568.74842846617685</v>
      </c>
      <c r="N67" s="394">
        <f t="shared" si="9"/>
        <v>-571.59217060849187</v>
      </c>
      <c r="O67" s="983">
        <f t="shared" si="9"/>
        <v>-6674.4970532253792</v>
      </c>
      <c r="P67" s="394">
        <f t="shared" si="9"/>
        <v>-7086.1654267643753</v>
      </c>
      <c r="Q67" s="394">
        <f t="shared" si="9"/>
        <v>-7523.2246047970839</v>
      </c>
    </row>
    <row r="68" spans="1:17" ht="12.75" customHeight="1" x14ac:dyDescent="0.2">
      <c r="A68" s="203"/>
      <c r="B68" s="270"/>
      <c r="C68" s="203"/>
      <c r="D68" s="203"/>
      <c r="E68" s="203"/>
      <c r="F68" s="203"/>
      <c r="G68" s="203"/>
      <c r="H68" s="203"/>
      <c r="I68" s="203"/>
      <c r="J68" s="203"/>
      <c r="K68" s="203"/>
      <c r="L68" s="203"/>
      <c r="M68" s="203"/>
      <c r="N68" s="203"/>
      <c r="O68" s="271"/>
      <c r="P68" s="203"/>
      <c r="Q68" s="203"/>
    </row>
    <row r="69" spans="1:17" ht="18" customHeight="1" x14ac:dyDescent="0.2">
      <c r="A69" s="340" t="s">
        <v>123</v>
      </c>
      <c r="B69" s="398">
        <f t="shared" ref="B69:N69" si="10">+B53+B61+B67</f>
        <v>124700</v>
      </c>
      <c r="C69" s="397">
        <f t="shared" si="10"/>
        <v>-21170.430979528755</v>
      </c>
      <c r="D69" s="397">
        <f t="shared" si="10"/>
        <v>-15935.886979528746</v>
      </c>
      <c r="E69" s="397">
        <f t="shared" si="10"/>
        <v>-441.9409795287429</v>
      </c>
      <c r="F69" s="397">
        <f t="shared" si="10"/>
        <v>-388.59297952874113</v>
      </c>
      <c r="G69" s="397">
        <f t="shared" si="10"/>
        <v>-475.84297952873612</v>
      </c>
      <c r="H69" s="397">
        <f t="shared" si="10"/>
        <v>-536.69097952875563</v>
      </c>
      <c r="I69" s="397">
        <f t="shared" si="10"/>
        <v>-457.65697952874143</v>
      </c>
      <c r="J69" s="397">
        <f t="shared" si="10"/>
        <v>4341.6230204712429</v>
      </c>
      <c r="K69" s="397">
        <f t="shared" si="10"/>
        <v>23456.501020471267</v>
      </c>
      <c r="L69" s="397">
        <f t="shared" si="10"/>
        <v>26765.977020471262</v>
      </c>
      <c r="M69" s="397">
        <f t="shared" si="10"/>
        <v>33231.791020471239</v>
      </c>
      <c r="N69" s="397">
        <f t="shared" si="10"/>
        <v>38547.605020471266</v>
      </c>
      <c r="O69" s="986">
        <f>SUM(C69:N69)</f>
        <v>86936.454245655041</v>
      </c>
      <c r="P69" s="397">
        <f>+P53+P61+P67</f>
        <v>113097.38058143077</v>
      </c>
      <c r="Q69" s="397">
        <f>+Q53+Q61+Q67</f>
        <v>148313.69407378521</v>
      </c>
    </row>
    <row r="70" spans="1:17" ht="15" customHeight="1" x14ac:dyDescent="0.2">
      <c r="A70" s="338" t="s">
        <v>407</v>
      </c>
      <c r="B70" s="392">
        <f>+Historical!L25</f>
        <v>0</v>
      </c>
      <c r="C70" s="391">
        <f t="shared" ref="C70:N70" si="11">+B71</f>
        <v>124700</v>
      </c>
      <c r="D70" s="391">
        <f t="shared" si="11"/>
        <v>103529.56902047124</v>
      </c>
      <c r="E70" s="391">
        <f t="shared" si="11"/>
        <v>87593.682040942498</v>
      </c>
      <c r="F70" s="391">
        <f t="shared" si="11"/>
        <v>87151.741061413748</v>
      </c>
      <c r="G70" s="391">
        <f t="shared" si="11"/>
        <v>86763.14808188501</v>
      </c>
      <c r="H70" s="391">
        <f t="shared" si="11"/>
        <v>86287.305102356273</v>
      </c>
      <c r="I70" s="391">
        <f t="shared" si="11"/>
        <v>85750.614122827523</v>
      </c>
      <c r="J70" s="391">
        <f t="shared" si="11"/>
        <v>85292.957143298787</v>
      </c>
      <c r="K70" s="391">
        <f t="shared" si="11"/>
        <v>89634.580163770035</v>
      </c>
      <c r="L70" s="391">
        <f t="shared" si="11"/>
        <v>113091.08118424131</v>
      </c>
      <c r="M70" s="391">
        <f t="shared" si="11"/>
        <v>139857.05820471258</v>
      </c>
      <c r="N70" s="391">
        <f t="shared" si="11"/>
        <v>173088.84922518383</v>
      </c>
      <c r="O70" s="981">
        <f>+C70</f>
        <v>124700</v>
      </c>
      <c r="P70" s="391">
        <f>+O71</f>
        <v>211636.45424565504</v>
      </c>
      <c r="Q70" s="391">
        <f>+P71</f>
        <v>324733.83482708584</v>
      </c>
    </row>
    <row r="71" spans="1:17" ht="24.75" customHeight="1" x14ac:dyDescent="0.2">
      <c r="A71" s="400" t="s">
        <v>408</v>
      </c>
      <c r="B71" s="401">
        <f t="shared" ref="B71:Q71" si="12">SUM(B69:B70)</f>
        <v>124700</v>
      </c>
      <c r="C71" s="402">
        <f t="shared" si="12"/>
        <v>103529.56902047124</v>
      </c>
      <c r="D71" s="402">
        <f t="shared" si="12"/>
        <v>87593.682040942498</v>
      </c>
      <c r="E71" s="402">
        <f t="shared" si="12"/>
        <v>87151.741061413748</v>
      </c>
      <c r="F71" s="402">
        <f t="shared" si="12"/>
        <v>86763.14808188501</v>
      </c>
      <c r="G71" s="402">
        <f t="shared" si="12"/>
        <v>86287.305102356273</v>
      </c>
      <c r="H71" s="402">
        <f t="shared" si="12"/>
        <v>85750.614122827523</v>
      </c>
      <c r="I71" s="402">
        <f t="shared" si="12"/>
        <v>85292.957143298787</v>
      </c>
      <c r="J71" s="402">
        <f t="shared" si="12"/>
        <v>89634.580163770035</v>
      </c>
      <c r="K71" s="402">
        <f t="shared" si="12"/>
        <v>113091.08118424131</v>
      </c>
      <c r="L71" s="402">
        <f t="shared" si="12"/>
        <v>139857.05820471258</v>
      </c>
      <c r="M71" s="402">
        <f t="shared" si="12"/>
        <v>173088.84922518383</v>
      </c>
      <c r="N71" s="402">
        <f t="shared" si="12"/>
        <v>211636.4542456551</v>
      </c>
      <c r="O71" s="998">
        <f t="shared" si="12"/>
        <v>211636.45424565504</v>
      </c>
      <c r="P71" s="402">
        <f t="shared" si="12"/>
        <v>324733.83482708584</v>
      </c>
      <c r="Q71" s="402">
        <f t="shared" si="12"/>
        <v>473047.52890087105</v>
      </c>
    </row>
    <row r="72" spans="1:17" ht="12.75" customHeight="1" x14ac:dyDescent="0.2">
      <c r="A72" s="166"/>
      <c r="B72" s="166"/>
      <c r="C72" s="166"/>
      <c r="D72" s="166"/>
      <c r="E72" s="166"/>
      <c r="F72" s="166"/>
      <c r="G72" s="166"/>
      <c r="H72" s="166"/>
      <c r="I72" s="166"/>
      <c r="J72" s="166"/>
      <c r="K72" s="166"/>
      <c r="L72" s="166"/>
      <c r="M72" s="166"/>
      <c r="N72" s="166"/>
      <c r="O72" s="166"/>
      <c r="P72" s="166"/>
      <c r="Q72" s="166"/>
    </row>
    <row r="73" spans="1:17" ht="12.75" customHeight="1" x14ac:dyDescent="0.2">
      <c r="A73" s="166"/>
      <c r="B73" s="166"/>
      <c r="C73" s="166"/>
      <c r="D73" s="166"/>
      <c r="E73" s="166"/>
      <c r="F73" s="166"/>
      <c r="G73" s="166"/>
      <c r="H73" s="166"/>
      <c r="I73" s="166"/>
      <c r="J73" s="166"/>
      <c r="K73" s="166"/>
      <c r="L73" s="166"/>
      <c r="M73" s="166"/>
      <c r="N73" s="166"/>
      <c r="O73" s="166"/>
      <c r="P73" s="166"/>
      <c r="Q73" s="166"/>
    </row>
    <row r="74" spans="1:17" ht="12.75" customHeight="1" outlineLevel="1" x14ac:dyDescent="0.2">
      <c r="A74" s="166"/>
      <c r="B74" s="166"/>
      <c r="C74" s="166"/>
      <c r="D74" s="166"/>
      <c r="E74" s="166"/>
      <c r="F74" s="166"/>
      <c r="G74" s="166"/>
      <c r="H74" s="166"/>
      <c r="I74" s="166"/>
      <c r="J74" s="166"/>
      <c r="K74" s="166"/>
      <c r="L74" s="166"/>
      <c r="M74" s="166"/>
      <c r="N74" s="166"/>
      <c r="O74" s="166"/>
      <c r="P74" s="166"/>
      <c r="Q74" s="166"/>
    </row>
    <row r="75" spans="1:17" ht="21" customHeight="1" outlineLevel="1" x14ac:dyDescent="0.2">
      <c r="A75" s="413" t="s">
        <v>96</v>
      </c>
      <c r="B75" s="198"/>
      <c r="C75" s="166"/>
      <c r="D75" s="166"/>
      <c r="E75" s="166"/>
      <c r="F75" s="166"/>
      <c r="G75" s="166"/>
      <c r="H75" s="166"/>
      <c r="I75" s="166"/>
      <c r="J75" s="166"/>
      <c r="K75" s="166"/>
      <c r="L75" s="166"/>
      <c r="M75" s="166"/>
      <c r="N75" s="166"/>
      <c r="O75" s="1155" t="s">
        <v>138</v>
      </c>
      <c r="P75" s="1065"/>
      <c r="Q75" s="1065"/>
    </row>
    <row r="76" spans="1:17" ht="12.75" customHeight="1" outlineLevel="1" x14ac:dyDescent="0.2">
      <c r="A76" s="999"/>
      <c r="B76" s="1000" t="s">
        <v>131</v>
      </c>
      <c r="C76" s="1001">
        <f t="shared" ref="C76:N76" si="13">+C5</f>
        <v>44771</v>
      </c>
      <c r="D76" s="1001">
        <f t="shared" si="13"/>
        <v>44799</v>
      </c>
      <c r="E76" s="1001">
        <f t="shared" si="13"/>
        <v>44827</v>
      </c>
      <c r="F76" s="1001">
        <f t="shared" si="13"/>
        <v>44855</v>
      </c>
      <c r="G76" s="1001">
        <f t="shared" si="13"/>
        <v>44883</v>
      </c>
      <c r="H76" s="1001">
        <f t="shared" si="13"/>
        <v>44911</v>
      </c>
      <c r="I76" s="1001">
        <f t="shared" si="13"/>
        <v>44939</v>
      </c>
      <c r="J76" s="1001">
        <f t="shared" si="13"/>
        <v>44967</v>
      </c>
      <c r="K76" s="1001">
        <f t="shared" si="13"/>
        <v>44995</v>
      </c>
      <c r="L76" s="1001">
        <f t="shared" si="13"/>
        <v>45023</v>
      </c>
      <c r="M76" s="1001">
        <f t="shared" si="13"/>
        <v>45051</v>
      </c>
      <c r="N76" s="1001">
        <f t="shared" si="13"/>
        <v>45079</v>
      </c>
      <c r="O76" s="1002">
        <f>+N76</f>
        <v>45079</v>
      </c>
      <c r="P76" s="1003">
        <f>+O76+365</f>
        <v>45444</v>
      </c>
      <c r="Q76" s="1003">
        <f>+P76+365</f>
        <v>45809</v>
      </c>
    </row>
    <row r="77" spans="1:17" ht="12.75" customHeight="1" outlineLevel="1" x14ac:dyDescent="0.2">
      <c r="A77" s="310" t="s">
        <v>11</v>
      </c>
      <c r="B77" s="130"/>
      <c r="C77" s="166"/>
      <c r="D77" s="166"/>
      <c r="E77" s="166"/>
      <c r="F77" s="166"/>
      <c r="G77" s="166"/>
      <c r="H77" s="166"/>
      <c r="I77" s="166"/>
      <c r="J77" s="166"/>
      <c r="K77" s="166"/>
      <c r="L77" s="166"/>
      <c r="M77" s="166"/>
      <c r="N77" s="166"/>
      <c r="O77" s="272"/>
      <c r="P77" s="166"/>
      <c r="Q77" s="166"/>
    </row>
    <row r="78" spans="1:17" ht="12.75" customHeight="1" outlineLevel="1" x14ac:dyDescent="0.2">
      <c r="A78" s="311" t="s">
        <v>14</v>
      </c>
      <c r="B78" s="135"/>
      <c r="C78" s="166"/>
      <c r="D78" s="166"/>
      <c r="E78" s="166"/>
      <c r="F78" s="166"/>
      <c r="G78" s="166"/>
      <c r="H78" s="166"/>
      <c r="I78" s="166"/>
      <c r="J78" s="166"/>
      <c r="K78" s="166"/>
      <c r="L78" s="166"/>
      <c r="M78" s="166"/>
      <c r="N78" s="166"/>
      <c r="O78" s="272"/>
      <c r="P78" s="166"/>
      <c r="Q78" s="166"/>
    </row>
    <row r="79" spans="1:17" ht="12.75" customHeight="1" outlineLevel="2" x14ac:dyDescent="0.2">
      <c r="A79" s="315" t="s">
        <v>17</v>
      </c>
      <c r="B79" s="393">
        <f t="shared" ref="B79:Q79" si="14">+B71</f>
        <v>124700</v>
      </c>
      <c r="C79" s="316">
        <f t="shared" si="14"/>
        <v>103529.56902047124</v>
      </c>
      <c r="D79" s="316">
        <f t="shared" si="14"/>
        <v>87593.682040942498</v>
      </c>
      <c r="E79" s="316">
        <f t="shared" si="14"/>
        <v>87151.741061413748</v>
      </c>
      <c r="F79" s="316">
        <f t="shared" si="14"/>
        <v>86763.14808188501</v>
      </c>
      <c r="G79" s="316">
        <f t="shared" si="14"/>
        <v>86287.305102356273</v>
      </c>
      <c r="H79" s="316">
        <f t="shared" si="14"/>
        <v>85750.614122827523</v>
      </c>
      <c r="I79" s="316">
        <f t="shared" si="14"/>
        <v>85292.957143298787</v>
      </c>
      <c r="J79" s="316">
        <f t="shared" si="14"/>
        <v>89634.580163770035</v>
      </c>
      <c r="K79" s="316">
        <f t="shared" si="14"/>
        <v>113091.08118424131</v>
      </c>
      <c r="L79" s="316">
        <f t="shared" si="14"/>
        <v>139857.05820471258</v>
      </c>
      <c r="M79" s="316">
        <f t="shared" si="14"/>
        <v>173088.84922518383</v>
      </c>
      <c r="N79" s="316">
        <f t="shared" si="14"/>
        <v>211636.4542456551</v>
      </c>
      <c r="O79" s="373">
        <f t="shared" si="14"/>
        <v>211636.45424565504</v>
      </c>
      <c r="P79" s="316">
        <f t="shared" si="14"/>
        <v>324733.83482708584</v>
      </c>
      <c r="Q79" s="316">
        <f t="shared" si="14"/>
        <v>473047.52890087105</v>
      </c>
    </row>
    <row r="80" spans="1:17" ht="12.75" customHeight="1" outlineLevel="2" x14ac:dyDescent="0.2">
      <c r="A80" s="315" t="s">
        <v>20</v>
      </c>
      <c r="B80" s="316">
        <f>+'BAL-Assets'!B6</f>
        <v>0</v>
      </c>
      <c r="C80" s="316">
        <f>+'BAL-Assets'!F6</f>
        <v>184.8</v>
      </c>
      <c r="D80" s="316">
        <f>+'BAL-Assets'!G6</f>
        <v>539.04</v>
      </c>
      <c r="E80" s="316">
        <f>+'BAL-Assets'!H6</f>
        <v>1101.24</v>
      </c>
      <c r="F80" s="316">
        <f>+'BAL-Assets'!I6</f>
        <v>1909.92</v>
      </c>
      <c r="G80" s="316">
        <f>+'BAL-Assets'!J6</f>
        <v>3003.6000000000004</v>
      </c>
      <c r="H80" s="316">
        <f>+'BAL-Assets'!K6</f>
        <v>4420.8</v>
      </c>
      <c r="I80" s="316">
        <f>+'BAL-Assets'!L6</f>
        <v>6384.84</v>
      </c>
      <c r="J80" s="316">
        <f>+'BAL-Assets'!M6</f>
        <v>8641.68</v>
      </c>
      <c r="K80" s="316">
        <f>+'BAL-Assets'!N6</f>
        <v>11152.8</v>
      </c>
      <c r="L80" s="316">
        <f>+'BAL-Assets'!O6</f>
        <v>13879.68</v>
      </c>
      <c r="M80" s="316">
        <f>+'BAL-Assets'!P6</f>
        <v>16876.2</v>
      </c>
      <c r="N80" s="316">
        <f>+'BAL-Assets'!Q6</f>
        <v>20142.36</v>
      </c>
      <c r="O80" s="373">
        <f>+'BAL-Assets'!R6</f>
        <v>20142.36</v>
      </c>
      <c r="P80" s="316">
        <f>+'BAL-Assets'!S6</f>
        <v>24895.956959999996</v>
      </c>
      <c r="Q80" s="316">
        <f>+'BAL-Assets'!T6</f>
        <v>27796.456799999993</v>
      </c>
    </row>
    <row r="81" spans="1:17" ht="12.75" customHeight="1" outlineLevel="2" x14ac:dyDescent="0.2">
      <c r="A81" s="315" t="s">
        <v>23</v>
      </c>
      <c r="B81" s="316">
        <f>+'BAL-Assets'!B8</f>
        <v>0</v>
      </c>
      <c r="C81" s="316">
        <f>+'BAL-Assets'!F8</f>
        <v>27.72</v>
      </c>
      <c r="D81" s="316">
        <f>+'BAL-Assets'!G8</f>
        <v>80.855999999999995</v>
      </c>
      <c r="E81" s="316">
        <f>+'BAL-Assets'!H8</f>
        <v>165.18599999999998</v>
      </c>
      <c r="F81" s="316">
        <f>+'BAL-Assets'!I8</f>
        <v>286.488</v>
      </c>
      <c r="G81" s="316">
        <f>+'BAL-Assets'!J8</f>
        <v>450.53999999999996</v>
      </c>
      <c r="H81" s="316">
        <f>+'BAL-Assets'!K8</f>
        <v>663.12</v>
      </c>
      <c r="I81" s="316">
        <f>+'BAL-Assets'!L8</f>
        <v>957.726</v>
      </c>
      <c r="J81" s="316">
        <f>+'BAL-Assets'!M8</f>
        <v>1296.252</v>
      </c>
      <c r="K81" s="316">
        <f>+'BAL-Assets'!N8</f>
        <v>1672.92</v>
      </c>
      <c r="L81" s="316">
        <f>+'BAL-Assets'!O8</f>
        <v>2081.9520000000002</v>
      </c>
      <c r="M81" s="316">
        <f>+'BAL-Assets'!P8</f>
        <v>2531.4300000000003</v>
      </c>
      <c r="N81" s="316">
        <f>+'BAL-Assets'!Q8</f>
        <v>3021.3540000000003</v>
      </c>
      <c r="O81" s="373">
        <f>+'BAL-Assets'!R8</f>
        <v>3021.3540000000003</v>
      </c>
      <c r="P81" s="316">
        <f>+'BAL-Assets'!S8</f>
        <v>3734.3935439999996</v>
      </c>
      <c r="Q81" s="316">
        <f>+'BAL-Assets'!T8</f>
        <v>4169.4685199999985</v>
      </c>
    </row>
    <row r="82" spans="1:17" ht="12.75" customHeight="1" outlineLevel="2" x14ac:dyDescent="0.2">
      <c r="A82" s="315" t="s">
        <v>409</v>
      </c>
      <c r="B82" s="393">
        <f>+'BAL-Assets'!B10</f>
        <v>0</v>
      </c>
      <c r="C82" s="316">
        <f>+'BAL-Assets'!F10</f>
        <v>106.26</v>
      </c>
      <c r="D82" s="316">
        <f>+'BAL-Assets'!G10</f>
        <v>309.94799999999998</v>
      </c>
      <c r="E82" s="316">
        <f>+'BAL-Assets'!H10</f>
        <v>633.21299999999997</v>
      </c>
      <c r="F82" s="316">
        <f>+'BAL-Assets'!I10</f>
        <v>1098.204</v>
      </c>
      <c r="G82" s="316">
        <f>+'BAL-Assets'!J10</f>
        <v>1727.07</v>
      </c>
      <c r="H82" s="316">
        <f>+'BAL-Assets'!K10</f>
        <v>2541.96</v>
      </c>
      <c r="I82" s="316">
        <f>+'BAL-Assets'!L10</f>
        <v>3671.2830000000004</v>
      </c>
      <c r="J82" s="316">
        <f>+'BAL-Assets'!M10</f>
        <v>4968.9660000000003</v>
      </c>
      <c r="K82" s="316">
        <f>+'BAL-Assets'!N10</f>
        <v>6412.8600000000006</v>
      </c>
      <c r="L82" s="316">
        <f>+'BAL-Assets'!O10</f>
        <v>7980.8160000000007</v>
      </c>
      <c r="M82" s="316">
        <f>+'BAL-Assets'!P10</f>
        <v>9703.8150000000005</v>
      </c>
      <c r="N82" s="316">
        <f>+'BAL-Assets'!Q10</f>
        <v>11581.857</v>
      </c>
      <c r="O82" s="373">
        <f>+'BAL-Assets'!R10</f>
        <v>11581.857</v>
      </c>
      <c r="P82" s="316">
        <f>+'BAL-Assets'!S10</f>
        <v>14315.175251999997</v>
      </c>
      <c r="Q82" s="316">
        <f>+'BAL-Assets'!T10</f>
        <v>15982.962659999996</v>
      </c>
    </row>
    <row r="83" spans="1:17" ht="12.75" customHeight="1" outlineLevel="1" x14ac:dyDescent="0.2">
      <c r="A83" s="321" t="s">
        <v>29</v>
      </c>
      <c r="B83" s="318">
        <f t="shared" ref="B83:Q83" si="15">ROUND(SUM(B79:B82),0)</f>
        <v>124700</v>
      </c>
      <c r="C83" s="318">
        <f t="shared" si="15"/>
        <v>103848</v>
      </c>
      <c r="D83" s="318">
        <f t="shared" si="15"/>
        <v>88524</v>
      </c>
      <c r="E83" s="318">
        <f t="shared" si="15"/>
        <v>89051</v>
      </c>
      <c r="F83" s="318">
        <f t="shared" si="15"/>
        <v>90058</v>
      </c>
      <c r="G83" s="318">
        <f t="shared" si="15"/>
        <v>91469</v>
      </c>
      <c r="H83" s="318">
        <f t="shared" si="15"/>
        <v>93376</v>
      </c>
      <c r="I83" s="318">
        <f t="shared" si="15"/>
        <v>96307</v>
      </c>
      <c r="J83" s="318">
        <f t="shared" si="15"/>
        <v>104541</v>
      </c>
      <c r="K83" s="318">
        <f t="shared" si="15"/>
        <v>132330</v>
      </c>
      <c r="L83" s="318">
        <f t="shared" si="15"/>
        <v>163800</v>
      </c>
      <c r="M83" s="318">
        <f t="shared" si="15"/>
        <v>202200</v>
      </c>
      <c r="N83" s="318">
        <f t="shared" si="15"/>
        <v>246382</v>
      </c>
      <c r="O83" s="374">
        <f t="shared" si="15"/>
        <v>246382</v>
      </c>
      <c r="P83" s="318">
        <f t="shared" si="15"/>
        <v>367679</v>
      </c>
      <c r="Q83" s="318">
        <f t="shared" si="15"/>
        <v>520996</v>
      </c>
    </row>
    <row r="84" spans="1:17" ht="12.75" customHeight="1" outlineLevel="1" x14ac:dyDescent="0.2">
      <c r="A84" s="311" t="s">
        <v>32</v>
      </c>
      <c r="B84" s="135"/>
      <c r="C84" s="142"/>
      <c r="D84" s="142"/>
      <c r="E84" s="142"/>
      <c r="F84" s="142"/>
      <c r="G84" s="142"/>
      <c r="H84" s="142"/>
      <c r="I84" s="142"/>
      <c r="J84" s="142"/>
      <c r="K84" s="142"/>
      <c r="L84" s="142"/>
      <c r="M84" s="142"/>
      <c r="N84" s="142"/>
      <c r="O84" s="273"/>
      <c r="P84" s="142"/>
      <c r="Q84" s="142"/>
    </row>
    <row r="85" spans="1:17" ht="12.75" customHeight="1" outlineLevel="2" x14ac:dyDescent="0.2">
      <c r="A85" s="338" t="str">
        <f>+'BAL-Assets'!A15</f>
        <v>Furniture/Fixtures</v>
      </c>
      <c r="B85" s="1004">
        <f>+'BAL-Assets'!B16</f>
        <v>6000</v>
      </c>
      <c r="C85" s="316">
        <f>+'BAL-Assets'!F15</f>
        <v>6000</v>
      </c>
      <c r="D85" s="316">
        <f>+'BAL-Assets'!G15</f>
        <v>6000</v>
      </c>
      <c r="E85" s="316">
        <f>+'BAL-Assets'!H15</f>
        <v>6000</v>
      </c>
      <c r="F85" s="316">
        <f>+'BAL-Assets'!I15</f>
        <v>6000</v>
      </c>
      <c r="G85" s="316">
        <f>+'BAL-Assets'!J15</f>
        <v>6000</v>
      </c>
      <c r="H85" s="316">
        <f>+'BAL-Assets'!K15</f>
        <v>6000</v>
      </c>
      <c r="I85" s="316">
        <f>+'BAL-Assets'!L15</f>
        <v>6000</v>
      </c>
      <c r="J85" s="316">
        <f>+'BAL-Assets'!M15</f>
        <v>6000</v>
      </c>
      <c r="K85" s="316">
        <f>+'BAL-Assets'!N15</f>
        <v>6000</v>
      </c>
      <c r="L85" s="316">
        <f>+'BAL-Assets'!O15</f>
        <v>6000</v>
      </c>
      <c r="M85" s="316">
        <f>+'BAL-Assets'!P15</f>
        <v>6000</v>
      </c>
      <c r="N85" s="316">
        <f>+'BAL-Assets'!Q15</f>
        <v>6000</v>
      </c>
      <c r="O85" s="373">
        <f>+'BAL-Assets'!R15</f>
        <v>6000</v>
      </c>
      <c r="P85" s="316">
        <f>+'BAL-Assets'!S15</f>
        <v>6000</v>
      </c>
      <c r="Q85" s="316">
        <f>+'BAL-Assets'!T15</f>
        <v>6000</v>
      </c>
    </row>
    <row r="86" spans="1:17" ht="12.75" customHeight="1" outlineLevel="2" x14ac:dyDescent="0.2">
      <c r="A86" s="338" t="str">
        <f>+'BAL-Assets'!A17</f>
        <v>Equipment</v>
      </c>
      <c r="B86" s="316">
        <f>+'BAL-Assets'!B18</f>
        <v>6000</v>
      </c>
      <c r="C86" s="316">
        <f>'BAL-Assets'!F17</f>
        <v>6000</v>
      </c>
      <c r="D86" s="316">
        <f>'BAL-Assets'!G17</f>
        <v>6000</v>
      </c>
      <c r="E86" s="316">
        <f>'BAL-Assets'!H17</f>
        <v>6000</v>
      </c>
      <c r="F86" s="316">
        <f>'BAL-Assets'!I17</f>
        <v>6000</v>
      </c>
      <c r="G86" s="316">
        <f>'BAL-Assets'!J17</f>
        <v>6000</v>
      </c>
      <c r="H86" s="316">
        <f>'BAL-Assets'!K17</f>
        <v>6000</v>
      </c>
      <c r="I86" s="316">
        <f>'BAL-Assets'!L17</f>
        <v>6000</v>
      </c>
      <c r="J86" s="316">
        <f>'BAL-Assets'!M17</f>
        <v>6000</v>
      </c>
      <c r="K86" s="316">
        <f>'BAL-Assets'!N17</f>
        <v>6000</v>
      </c>
      <c r="L86" s="316">
        <f>'BAL-Assets'!O17</f>
        <v>6000</v>
      </c>
      <c r="M86" s="316">
        <f>'BAL-Assets'!P17</f>
        <v>6000</v>
      </c>
      <c r="N86" s="316">
        <f>'BAL-Assets'!Q17</f>
        <v>6000</v>
      </c>
      <c r="O86" s="373">
        <f>'BAL-Assets'!R17</f>
        <v>6000</v>
      </c>
      <c r="P86" s="316">
        <f>'BAL-Assets'!S17</f>
        <v>6000</v>
      </c>
      <c r="Q86" s="316">
        <f>'BAL-Assets'!T17</f>
        <v>6000</v>
      </c>
    </row>
    <row r="87" spans="1:17" ht="12.75" customHeight="1" outlineLevel="2" x14ac:dyDescent="0.2">
      <c r="A87" s="338" t="str">
        <f>+'BAL-Assets'!A19</f>
        <v>Vehicles</v>
      </c>
      <c r="B87" s="1004">
        <f>+'BAL-Assets'!B20</f>
        <v>0</v>
      </c>
      <c r="C87" s="316">
        <f>'BAL-Assets'!F19</f>
        <v>0</v>
      </c>
      <c r="D87" s="316">
        <f>'BAL-Assets'!G19</f>
        <v>0</v>
      </c>
      <c r="E87" s="316">
        <f>'BAL-Assets'!H19</f>
        <v>0</v>
      </c>
      <c r="F87" s="316">
        <f>'BAL-Assets'!I19</f>
        <v>0</v>
      </c>
      <c r="G87" s="316">
        <f>'BAL-Assets'!J19</f>
        <v>0</v>
      </c>
      <c r="H87" s="316">
        <f>'BAL-Assets'!K19</f>
        <v>0</v>
      </c>
      <c r="I87" s="316">
        <f>'BAL-Assets'!L19</f>
        <v>0</v>
      </c>
      <c r="J87" s="316">
        <f>'BAL-Assets'!M19</f>
        <v>0</v>
      </c>
      <c r="K87" s="316">
        <f>'BAL-Assets'!N19</f>
        <v>0</v>
      </c>
      <c r="L87" s="316">
        <f>'BAL-Assets'!O19</f>
        <v>0</v>
      </c>
      <c r="M87" s="316">
        <f>'BAL-Assets'!P19</f>
        <v>0</v>
      </c>
      <c r="N87" s="316">
        <f>'BAL-Assets'!Q19</f>
        <v>0</v>
      </c>
      <c r="O87" s="373">
        <f>'BAL-Assets'!R19</f>
        <v>0</v>
      </c>
      <c r="P87" s="316">
        <f>'BAL-Assets'!S19</f>
        <v>0</v>
      </c>
      <c r="Q87" s="316">
        <f>'BAL-Assets'!T19</f>
        <v>0</v>
      </c>
    </row>
    <row r="88" spans="1:17" ht="12.75" customHeight="1" outlineLevel="2" x14ac:dyDescent="0.2">
      <c r="A88" s="338" t="str">
        <f>+'BAL-Assets'!A21</f>
        <v xml:space="preserve">Facility buildout </v>
      </c>
      <c r="B88" s="316">
        <f>+'BAL-Assets'!B22</f>
        <v>120000</v>
      </c>
      <c r="C88" s="316">
        <f>'BAL-Assets'!F21</f>
        <v>120000</v>
      </c>
      <c r="D88" s="316">
        <f>'BAL-Assets'!G21</f>
        <v>120000</v>
      </c>
      <c r="E88" s="316">
        <f>'BAL-Assets'!H21</f>
        <v>120000</v>
      </c>
      <c r="F88" s="316">
        <f>'BAL-Assets'!I21</f>
        <v>120000</v>
      </c>
      <c r="G88" s="316">
        <f>'BAL-Assets'!J21</f>
        <v>120000</v>
      </c>
      <c r="H88" s="316">
        <f>'BAL-Assets'!K21</f>
        <v>120000</v>
      </c>
      <c r="I88" s="316">
        <f>'BAL-Assets'!L21</f>
        <v>120000</v>
      </c>
      <c r="J88" s="316">
        <f>'BAL-Assets'!M21</f>
        <v>120000</v>
      </c>
      <c r="K88" s="316">
        <f>'BAL-Assets'!N21</f>
        <v>120000</v>
      </c>
      <c r="L88" s="316">
        <f>'BAL-Assets'!O21</f>
        <v>120000</v>
      </c>
      <c r="M88" s="316">
        <f>'BAL-Assets'!P21</f>
        <v>120000</v>
      </c>
      <c r="N88" s="316">
        <f>'BAL-Assets'!Q21</f>
        <v>120000</v>
      </c>
      <c r="O88" s="373">
        <f>'BAL-Assets'!R21</f>
        <v>120000</v>
      </c>
      <c r="P88" s="316">
        <f>'BAL-Assets'!S21</f>
        <v>120000</v>
      </c>
      <c r="Q88" s="316">
        <f>'BAL-Assets'!T21</f>
        <v>120000</v>
      </c>
    </row>
    <row r="89" spans="1:17" ht="12.75" customHeight="1" outlineLevel="2" x14ac:dyDescent="0.2">
      <c r="A89" s="338" t="str">
        <f>+'BAL-Assets'!A23</f>
        <v>Facilities puchased</v>
      </c>
      <c r="B89" s="1004">
        <f>+'BAL-Assets'!B24</f>
        <v>0</v>
      </c>
      <c r="C89" s="316">
        <f>'BAL-Assets'!F23</f>
        <v>0</v>
      </c>
      <c r="D89" s="316">
        <f>'BAL-Assets'!G23</f>
        <v>0</v>
      </c>
      <c r="E89" s="316">
        <f>'BAL-Assets'!H23</f>
        <v>0</v>
      </c>
      <c r="F89" s="316">
        <f>'BAL-Assets'!I23</f>
        <v>0</v>
      </c>
      <c r="G89" s="316">
        <f>'BAL-Assets'!J23</f>
        <v>0</v>
      </c>
      <c r="H89" s="316">
        <f>'BAL-Assets'!K23</f>
        <v>0</v>
      </c>
      <c r="I89" s="316">
        <f>'BAL-Assets'!L23</f>
        <v>0</v>
      </c>
      <c r="J89" s="316">
        <f>'BAL-Assets'!M23</f>
        <v>0</v>
      </c>
      <c r="K89" s="316">
        <f>'BAL-Assets'!N23</f>
        <v>0</v>
      </c>
      <c r="L89" s="316">
        <f>'BAL-Assets'!O23</f>
        <v>0</v>
      </c>
      <c r="M89" s="316">
        <f>'BAL-Assets'!P23</f>
        <v>0</v>
      </c>
      <c r="N89" s="316">
        <f>'BAL-Assets'!Q23</f>
        <v>0</v>
      </c>
      <c r="O89" s="373">
        <f>'BAL-Assets'!R23</f>
        <v>0</v>
      </c>
      <c r="P89" s="316">
        <f>'BAL-Assets'!S23</f>
        <v>0</v>
      </c>
      <c r="Q89" s="316">
        <f>'BAL-Assets'!T23</f>
        <v>0</v>
      </c>
    </row>
    <row r="90" spans="1:17" ht="12.75" customHeight="1" outlineLevel="2" x14ac:dyDescent="0.2">
      <c r="A90" s="1005" t="str">
        <f>+Historical!A20</f>
        <v>Accumulated depr</v>
      </c>
      <c r="B90" s="1004">
        <v>0</v>
      </c>
      <c r="C90" s="316">
        <f>+-'BAL-Assets'!F26</f>
        <v>-1166.6666666666667</v>
      </c>
      <c r="D90" s="316">
        <f>+-'BAL-Assets'!G26</f>
        <v>-2333.3333333333335</v>
      </c>
      <c r="E90" s="316">
        <f>+-'BAL-Assets'!H26</f>
        <v>-3500</v>
      </c>
      <c r="F90" s="316">
        <f>+-'BAL-Assets'!I26</f>
        <v>-4666.666666666667</v>
      </c>
      <c r="G90" s="316">
        <f>+-'BAL-Assets'!J26</f>
        <v>-5833.3333333333339</v>
      </c>
      <c r="H90" s="316">
        <f>+-'BAL-Assets'!K26</f>
        <v>-7000.0000000000009</v>
      </c>
      <c r="I90" s="316">
        <f>+-'BAL-Assets'!L26</f>
        <v>-8166.6666666666679</v>
      </c>
      <c r="J90" s="316">
        <f>+-'BAL-Assets'!M26</f>
        <v>-9333.3333333333339</v>
      </c>
      <c r="K90" s="316">
        <f>+-'BAL-Assets'!N26</f>
        <v>-10500</v>
      </c>
      <c r="L90" s="316">
        <f>+-'BAL-Assets'!O26</f>
        <v>-11666.666666666666</v>
      </c>
      <c r="M90" s="316">
        <f>+-'BAL-Assets'!P26</f>
        <v>-12833.333333333332</v>
      </c>
      <c r="N90" s="316">
        <f>+-'BAL-Assets'!Q26</f>
        <v>-13999.999999999998</v>
      </c>
      <c r="O90" s="373">
        <f>+-'BAL-Assets'!R26</f>
        <v>-13999.999999999998</v>
      </c>
      <c r="P90" s="316">
        <f>-'BAL-Assets'!S26</f>
        <v>-28857.142857142855</v>
      </c>
      <c r="Q90" s="316">
        <f>-'BAL-Assets'!T26</f>
        <v>-43714.28571428571</v>
      </c>
    </row>
    <row r="91" spans="1:17" ht="12.75" customHeight="1" outlineLevel="1" x14ac:dyDescent="0.2">
      <c r="A91" s="321" t="s">
        <v>53</v>
      </c>
      <c r="B91" s="318">
        <f t="shared" ref="B91:Q91" si="16">ROUND(SUM(B85:B90),0)</f>
        <v>132000</v>
      </c>
      <c r="C91" s="318">
        <f t="shared" si="16"/>
        <v>130833</v>
      </c>
      <c r="D91" s="318">
        <f t="shared" si="16"/>
        <v>129667</v>
      </c>
      <c r="E91" s="318">
        <f t="shared" si="16"/>
        <v>128500</v>
      </c>
      <c r="F91" s="318">
        <f t="shared" si="16"/>
        <v>127333</v>
      </c>
      <c r="G91" s="318">
        <f t="shared" si="16"/>
        <v>126167</v>
      </c>
      <c r="H91" s="318">
        <f t="shared" si="16"/>
        <v>125000</v>
      </c>
      <c r="I91" s="318">
        <f t="shared" si="16"/>
        <v>123833</v>
      </c>
      <c r="J91" s="318">
        <f t="shared" si="16"/>
        <v>122667</v>
      </c>
      <c r="K91" s="318">
        <f t="shared" si="16"/>
        <v>121500</v>
      </c>
      <c r="L91" s="318">
        <f t="shared" si="16"/>
        <v>120333</v>
      </c>
      <c r="M91" s="318">
        <f t="shared" si="16"/>
        <v>119167</v>
      </c>
      <c r="N91" s="318">
        <f t="shared" si="16"/>
        <v>118000</v>
      </c>
      <c r="O91" s="374">
        <f t="shared" si="16"/>
        <v>118000</v>
      </c>
      <c r="P91" s="318">
        <f t="shared" si="16"/>
        <v>103143</v>
      </c>
      <c r="Q91" s="318">
        <f t="shared" si="16"/>
        <v>88286</v>
      </c>
    </row>
    <row r="92" spans="1:17" ht="12.75" customHeight="1" outlineLevel="1" x14ac:dyDescent="0.2">
      <c r="A92" s="315" t="s">
        <v>56</v>
      </c>
      <c r="B92" s="393">
        <f>+'BAL-Assets'!B29</f>
        <v>6000</v>
      </c>
      <c r="C92" s="316">
        <f>'BAL-Assets'!F28</f>
        <v>6000</v>
      </c>
      <c r="D92" s="316">
        <f>'BAL-Assets'!G28</f>
        <v>6000</v>
      </c>
      <c r="E92" s="316">
        <f>'BAL-Assets'!H28</f>
        <v>6000</v>
      </c>
      <c r="F92" s="316">
        <f>'BAL-Assets'!I28</f>
        <v>6000</v>
      </c>
      <c r="G92" s="316">
        <f>'BAL-Assets'!J28</f>
        <v>6000</v>
      </c>
      <c r="H92" s="316">
        <f>'BAL-Assets'!K28</f>
        <v>6000</v>
      </c>
      <c r="I92" s="316">
        <f>'BAL-Assets'!L28</f>
        <v>6000</v>
      </c>
      <c r="J92" s="316">
        <f>'BAL-Assets'!M28</f>
        <v>6000</v>
      </c>
      <c r="K92" s="316">
        <f>'BAL-Assets'!N28</f>
        <v>6000</v>
      </c>
      <c r="L92" s="316">
        <f>'BAL-Assets'!O28</f>
        <v>6000</v>
      </c>
      <c r="M92" s="316">
        <f>'BAL-Assets'!P28</f>
        <v>6000</v>
      </c>
      <c r="N92" s="316">
        <f>'BAL-Assets'!Q28</f>
        <v>6000</v>
      </c>
      <c r="O92" s="373">
        <f>'BAL-Assets'!R28</f>
        <v>6000</v>
      </c>
      <c r="P92" s="316">
        <f>'BAL-Assets'!S28</f>
        <v>6000</v>
      </c>
      <c r="Q92" s="316">
        <f>'BAL-Assets'!T28</f>
        <v>6000</v>
      </c>
    </row>
    <row r="93" spans="1:17" ht="18.75" customHeight="1" outlineLevel="1" x14ac:dyDescent="0.2">
      <c r="A93" s="326" t="s">
        <v>59</v>
      </c>
      <c r="B93" s="327">
        <f t="shared" ref="B93:Q93" si="17">+B83+B91+B92</f>
        <v>262700</v>
      </c>
      <c r="C93" s="327">
        <f t="shared" si="17"/>
        <v>240681</v>
      </c>
      <c r="D93" s="327">
        <f t="shared" si="17"/>
        <v>224191</v>
      </c>
      <c r="E93" s="327">
        <f t="shared" si="17"/>
        <v>223551</v>
      </c>
      <c r="F93" s="327">
        <f t="shared" si="17"/>
        <v>223391</v>
      </c>
      <c r="G93" s="327">
        <f t="shared" si="17"/>
        <v>223636</v>
      </c>
      <c r="H93" s="327">
        <f t="shared" si="17"/>
        <v>224376</v>
      </c>
      <c r="I93" s="327">
        <f t="shared" si="17"/>
        <v>226140</v>
      </c>
      <c r="J93" s="327">
        <f t="shared" si="17"/>
        <v>233208</v>
      </c>
      <c r="K93" s="327">
        <f t="shared" si="17"/>
        <v>259830</v>
      </c>
      <c r="L93" s="327">
        <f t="shared" si="17"/>
        <v>290133</v>
      </c>
      <c r="M93" s="327">
        <f t="shared" si="17"/>
        <v>327367</v>
      </c>
      <c r="N93" s="327">
        <f t="shared" si="17"/>
        <v>370382</v>
      </c>
      <c r="O93" s="382">
        <f t="shared" si="17"/>
        <v>370382</v>
      </c>
      <c r="P93" s="327">
        <f t="shared" si="17"/>
        <v>476822</v>
      </c>
      <c r="Q93" s="327">
        <f t="shared" si="17"/>
        <v>615282</v>
      </c>
    </row>
    <row r="94" spans="1:17" ht="17.25" customHeight="1" outlineLevel="1" x14ac:dyDescent="0.2">
      <c r="A94" s="310" t="s">
        <v>64</v>
      </c>
      <c r="B94" s="130"/>
      <c r="C94" s="142"/>
      <c r="D94" s="142"/>
      <c r="E94" s="142"/>
      <c r="F94" s="142"/>
      <c r="G94" s="142"/>
      <c r="H94" s="142"/>
      <c r="I94" s="142"/>
      <c r="J94" s="142"/>
      <c r="K94" s="142"/>
      <c r="L94" s="142"/>
      <c r="M94" s="142"/>
      <c r="N94" s="142"/>
      <c r="O94" s="273"/>
      <c r="P94" s="142"/>
      <c r="Q94" s="142"/>
    </row>
    <row r="95" spans="1:17" ht="12.75" customHeight="1" outlineLevel="1" x14ac:dyDescent="0.2">
      <c r="A95" s="311" t="s">
        <v>67</v>
      </c>
      <c r="B95" s="135"/>
      <c r="C95" s="142"/>
      <c r="D95" s="142"/>
      <c r="E95" s="142"/>
      <c r="F95" s="142"/>
      <c r="G95" s="142"/>
      <c r="H95" s="142"/>
      <c r="I95" s="142"/>
      <c r="J95" s="142"/>
      <c r="K95" s="142"/>
      <c r="L95" s="142"/>
      <c r="M95" s="142"/>
      <c r="N95" s="142"/>
      <c r="O95" s="273"/>
      <c r="P95" s="142"/>
      <c r="Q95" s="142"/>
    </row>
    <row r="96" spans="1:17" ht="12.75" customHeight="1" outlineLevel="2" x14ac:dyDescent="0.2">
      <c r="A96" s="390" t="str">
        <f>+'BAL-Liabilities &amp; Equity'!A5</f>
        <v>Accounts payable balance</v>
      </c>
      <c r="B96" s="393">
        <f>+'BAL-Liabilities &amp; Equity'!E5</f>
        <v>0</v>
      </c>
      <c r="C96" s="316">
        <f>+'BAL-Liabilities &amp; Equity'!F5</f>
        <v>106.26</v>
      </c>
      <c r="D96" s="316">
        <f>+'BAL-Liabilities &amp; Equity'!G5</f>
        <v>309.94799999999998</v>
      </c>
      <c r="E96" s="316">
        <f>+'BAL-Liabilities &amp; Equity'!H5</f>
        <v>633.21299999999997</v>
      </c>
      <c r="F96" s="316">
        <f>+'BAL-Liabilities &amp; Equity'!I5</f>
        <v>1098.204</v>
      </c>
      <c r="G96" s="316">
        <f>+'BAL-Liabilities &amp; Equity'!J5</f>
        <v>1727.07</v>
      </c>
      <c r="H96" s="316">
        <f>+'BAL-Liabilities &amp; Equity'!K5</f>
        <v>2541.96</v>
      </c>
      <c r="I96" s="316">
        <f>+'BAL-Liabilities &amp; Equity'!L5</f>
        <v>3671.2830000000004</v>
      </c>
      <c r="J96" s="316">
        <f>+'BAL-Liabilities &amp; Equity'!M5</f>
        <v>4968.9660000000003</v>
      </c>
      <c r="K96" s="316">
        <f>+'BAL-Liabilities &amp; Equity'!N5</f>
        <v>6412.8600000000006</v>
      </c>
      <c r="L96" s="316">
        <f>+'BAL-Liabilities &amp; Equity'!O5</f>
        <v>7980.8160000000007</v>
      </c>
      <c r="M96" s="316">
        <f>+'BAL-Liabilities &amp; Equity'!P5</f>
        <v>9703.8150000000005</v>
      </c>
      <c r="N96" s="316">
        <f>+'BAL-Liabilities &amp; Equity'!Q5</f>
        <v>11581.857</v>
      </c>
      <c r="O96" s="373">
        <f>+'BAL-Liabilities &amp; Equity'!R5</f>
        <v>11581.857</v>
      </c>
      <c r="P96" s="316">
        <f>+'BAL-Liabilities &amp; Equity'!S5</f>
        <v>14315.175251999997</v>
      </c>
      <c r="Q96" s="316">
        <f>+'BAL-Liabilities &amp; Equity'!T5</f>
        <v>15982.962659999996</v>
      </c>
    </row>
    <row r="97" spans="1:17" ht="12.75" customHeight="1" outlineLevel="2" x14ac:dyDescent="0.2">
      <c r="A97" s="390" t="str">
        <f>+'BAL-Liabilities &amp; Equity'!A7</f>
        <v>Line of credit balance</v>
      </c>
      <c r="B97" s="393">
        <f>+'BAL-Liabilities &amp; Equity'!E7</f>
        <v>0</v>
      </c>
      <c r="C97" s="316">
        <f>+'BAL-Liabilities &amp; Equity'!F7</f>
        <v>0</v>
      </c>
      <c r="D97" s="316">
        <f>+'BAL-Liabilities &amp; Equity'!G7</f>
        <v>2100</v>
      </c>
      <c r="E97" s="316">
        <f>+'BAL-Liabilities &amp; Equity'!H7</f>
        <v>15814</v>
      </c>
      <c r="F97" s="316">
        <f>+'BAL-Liabilities &amp; Equity'!I7</f>
        <v>25019.426666666666</v>
      </c>
      <c r="G97" s="316">
        <f>+'BAL-Liabilities &amp; Equity'!J7</f>
        <v>28786.222844444444</v>
      </c>
      <c r="H97" s="316">
        <f>+'BAL-Liabilities &amp; Equity'!K7</f>
        <v>26345.13099674074</v>
      </c>
      <c r="I97" s="316">
        <f>+'BAL-Liabilities &amp; Equity'!L7</f>
        <v>13803.765203385678</v>
      </c>
      <c r="J97" s="316">
        <f>+'BAL-Liabilities &amp; Equity'!M7</f>
        <v>-0.20969525841792347</v>
      </c>
      <c r="K97" s="316">
        <f>+'BAL-Liabilities &amp; Equity'!N7</f>
        <v>-0.20969525841792347</v>
      </c>
      <c r="L97" s="316">
        <f>+'BAL-Liabilities &amp; Equity'!O7</f>
        <v>-0.20969525841792347</v>
      </c>
      <c r="M97" s="316">
        <f>+'BAL-Liabilities &amp; Equity'!P7</f>
        <v>-0.20969525841792347</v>
      </c>
      <c r="N97" s="316">
        <f>+'BAL-Liabilities &amp; Equity'!Q7</f>
        <v>-0.20969525841792347</v>
      </c>
      <c r="O97" s="373">
        <f>+'BAL-Liabilities &amp; Equity'!R7</f>
        <v>-0.20969525841792347</v>
      </c>
      <c r="P97" s="316">
        <f>+'BAL-Liabilities &amp; Equity'!S7</f>
        <v>-0.22647087909136077</v>
      </c>
      <c r="Q97" s="316">
        <f>+'BAL-Liabilities &amp; Equity'!T7</f>
        <v>-0.24458854941867303</v>
      </c>
    </row>
    <row r="98" spans="1:17" ht="12.75" customHeight="1" outlineLevel="2" x14ac:dyDescent="0.2">
      <c r="A98" s="390" t="str">
        <f>+'BAL-Liabilities &amp; Equity'!A9</f>
        <v>Credit cards</v>
      </c>
      <c r="B98" s="182"/>
      <c r="C98" s="316">
        <f>+'BAL-Liabilities &amp; Equity'!F9</f>
        <v>0</v>
      </c>
      <c r="D98" s="316">
        <f>+'BAL-Liabilities &amp; Equity'!G9</f>
        <v>0</v>
      </c>
      <c r="E98" s="316">
        <f>+'BAL-Liabilities &amp; Equity'!H9</f>
        <v>0</v>
      </c>
      <c r="F98" s="316">
        <f>+'BAL-Liabilities &amp; Equity'!I9</f>
        <v>0</v>
      </c>
      <c r="G98" s="316">
        <f>+'BAL-Liabilities &amp; Equity'!J9</f>
        <v>0</v>
      </c>
      <c r="H98" s="316">
        <f>+'BAL-Liabilities &amp; Equity'!K9</f>
        <v>0</v>
      </c>
      <c r="I98" s="316">
        <f>+'BAL-Liabilities &amp; Equity'!L9</f>
        <v>0</v>
      </c>
      <c r="J98" s="316">
        <f>+'BAL-Liabilities &amp; Equity'!M9</f>
        <v>0</v>
      </c>
      <c r="K98" s="316">
        <f>+'BAL-Liabilities &amp; Equity'!N9</f>
        <v>0</v>
      </c>
      <c r="L98" s="316">
        <f>+'BAL-Liabilities &amp; Equity'!O9</f>
        <v>0</v>
      </c>
      <c r="M98" s="316">
        <f>+'BAL-Liabilities &amp; Equity'!P9</f>
        <v>0</v>
      </c>
      <c r="N98" s="316">
        <f>+'BAL-Liabilities &amp; Equity'!Q9</f>
        <v>0</v>
      </c>
      <c r="O98" s="373">
        <f>+'BAL-Liabilities &amp; Equity'!R9</f>
        <v>0</v>
      </c>
      <c r="P98" s="316">
        <f>+'BAL-Liabilities &amp; Equity'!S9</f>
        <v>0</v>
      </c>
      <c r="Q98" s="316">
        <f>+'BAL-Liabilities &amp; Equity'!T9</f>
        <v>0</v>
      </c>
    </row>
    <row r="99" spans="1:17" ht="12.75" customHeight="1" outlineLevel="2" x14ac:dyDescent="0.2">
      <c r="A99" s="390" t="str">
        <f>+'BAL-Liabilities &amp; Equity'!A11</f>
        <v>Other current liabilities balance</v>
      </c>
      <c r="B99" s="393">
        <f>+'BAL-Liabilities &amp; Equity'!E11</f>
        <v>0</v>
      </c>
      <c r="C99" s="316">
        <f>+'BAL-Liabilities &amp; Equity'!F11</f>
        <v>0</v>
      </c>
      <c r="D99" s="316">
        <f>+'BAL-Liabilities &amp; Equity'!G11</f>
        <v>0</v>
      </c>
      <c r="E99" s="316">
        <f>+'BAL-Liabilities &amp; Equity'!H11</f>
        <v>0</v>
      </c>
      <c r="F99" s="316">
        <f>+'BAL-Liabilities &amp; Equity'!I11</f>
        <v>0</v>
      </c>
      <c r="G99" s="316">
        <f>+'BAL-Liabilities &amp; Equity'!J11</f>
        <v>0</v>
      </c>
      <c r="H99" s="316">
        <f>+'BAL-Liabilities &amp; Equity'!K11</f>
        <v>0</v>
      </c>
      <c r="I99" s="316">
        <f>+'BAL-Liabilities &amp; Equity'!L11</f>
        <v>0</v>
      </c>
      <c r="J99" s="316">
        <f>+'BAL-Liabilities &amp; Equity'!M11</f>
        <v>0</v>
      </c>
      <c r="K99" s="316">
        <f>+'BAL-Liabilities &amp; Equity'!N11</f>
        <v>0</v>
      </c>
      <c r="L99" s="316">
        <f>+'BAL-Liabilities &amp; Equity'!O11</f>
        <v>0</v>
      </c>
      <c r="M99" s="316">
        <f>+'BAL-Liabilities &amp; Equity'!P11</f>
        <v>0</v>
      </c>
      <c r="N99" s="316">
        <f>+'BAL-Liabilities &amp; Equity'!Q11</f>
        <v>0</v>
      </c>
      <c r="O99" s="373">
        <f>+'BAL-Liabilities &amp; Equity'!R11</f>
        <v>0</v>
      </c>
      <c r="P99" s="316">
        <f>+'BAL-Liabilities &amp; Equity'!S11</f>
        <v>0</v>
      </c>
      <c r="Q99" s="316">
        <f>+'BAL-Liabilities &amp; Equity'!T11</f>
        <v>0</v>
      </c>
    </row>
    <row r="100" spans="1:17" ht="12.75" customHeight="1" outlineLevel="1" x14ac:dyDescent="0.2">
      <c r="A100" s="1006" t="s">
        <v>77</v>
      </c>
      <c r="B100" s="318">
        <f t="shared" ref="B100:Q100" si="18">ROUND(SUM(B96:B99),0)</f>
        <v>0</v>
      </c>
      <c r="C100" s="318">
        <f t="shared" si="18"/>
        <v>106</v>
      </c>
      <c r="D100" s="318">
        <f t="shared" si="18"/>
        <v>2410</v>
      </c>
      <c r="E100" s="318">
        <f t="shared" si="18"/>
        <v>16447</v>
      </c>
      <c r="F100" s="318">
        <f t="shared" si="18"/>
        <v>26118</v>
      </c>
      <c r="G100" s="318">
        <f t="shared" si="18"/>
        <v>30513</v>
      </c>
      <c r="H100" s="318">
        <f t="shared" si="18"/>
        <v>28887</v>
      </c>
      <c r="I100" s="318">
        <f t="shared" si="18"/>
        <v>17475</v>
      </c>
      <c r="J100" s="318">
        <f t="shared" si="18"/>
        <v>4969</v>
      </c>
      <c r="K100" s="318">
        <f t="shared" si="18"/>
        <v>6413</v>
      </c>
      <c r="L100" s="318">
        <f t="shared" si="18"/>
        <v>7981</v>
      </c>
      <c r="M100" s="318">
        <f t="shared" si="18"/>
        <v>9704</v>
      </c>
      <c r="N100" s="318">
        <f t="shared" si="18"/>
        <v>11582</v>
      </c>
      <c r="O100" s="374">
        <f t="shared" si="18"/>
        <v>11582</v>
      </c>
      <c r="P100" s="318">
        <f t="shared" si="18"/>
        <v>14315</v>
      </c>
      <c r="Q100" s="318">
        <f t="shared" si="18"/>
        <v>15983</v>
      </c>
    </row>
    <row r="101" spans="1:17" ht="12.75" customHeight="1" outlineLevel="1" x14ac:dyDescent="0.2">
      <c r="A101" s="315" t="s">
        <v>410</v>
      </c>
      <c r="B101" s="393">
        <f>+'BAL-Liabilities &amp; Equity'!E17</f>
        <v>250000</v>
      </c>
      <c r="C101" s="316">
        <f>+'BAL-Liabilities &amp; Equity'!F17</f>
        <v>249458.92235380458</v>
      </c>
      <c r="D101" s="316">
        <f>+'BAL-Liabilities &amp; Equity'!G17</f>
        <v>248915.13931937818</v>
      </c>
      <c r="E101" s="316">
        <f>+'BAL-Liabilities &amp; Equity'!H17</f>
        <v>248368.63736977967</v>
      </c>
      <c r="F101" s="316">
        <f>+'BAL-Liabilities &amp; Equity'!I17</f>
        <v>247819.40291043316</v>
      </c>
      <c r="G101" s="316">
        <f>+'BAL-Liabilities &amp; Equity'!J17</f>
        <v>247267.42227878992</v>
      </c>
      <c r="H101" s="316">
        <f>+'BAL-Liabilities &amp; Equity'!K17</f>
        <v>246712.68174398845</v>
      </c>
      <c r="I101" s="316">
        <f>+'BAL-Liabilities &amp; Equity'!L17</f>
        <v>246155.16750651298</v>
      </c>
      <c r="J101" s="316">
        <f>+'BAL-Liabilities &amp; Equity'!M17</f>
        <v>245594.86569785012</v>
      </c>
      <c r="K101" s="316">
        <f>+'BAL-Liabilities &amp; Equity'!N17</f>
        <v>245031.76238014398</v>
      </c>
      <c r="L101" s="316">
        <f>+'BAL-Liabilities &amp; Equity'!O17</f>
        <v>244465.84354584929</v>
      </c>
      <c r="M101" s="316">
        <f>+'BAL-Liabilities &amp; Equity'!P17</f>
        <v>243897.09511738311</v>
      </c>
      <c r="N101" s="316">
        <f>+'BAL-Liabilities &amp; Equity'!Q17</f>
        <v>243325.50294677462</v>
      </c>
      <c r="O101" s="373">
        <f>+'BAL-Liabilities &amp; Equity'!R17</f>
        <v>243325.50294677462</v>
      </c>
      <c r="P101" s="316">
        <f>+'BAL-Liabilities &amp; Equity'!S17</f>
        <v>236239.33752001025</v>
      </c>
      <c r="Q101" s="316">
        <f>+'BAL-Liabilities &amp; Equity'!T17</f>
        <v>228716.11291521316</v>
      </c>
    </row>
    <row r="102" spans="1:17" ht="12.75" customHeight="1" outlineLevel="1" x14ac:dyDescent="0.2">
      <c r="A102" s="315" t="s">
        <v>81</v>
      </c>
      <c r="B102" s="182"/>
      <c r="C102" s="316">
        <f>+'BAL-Liabilities &amp; Equity'!F19</f>
        <v>0</v>
      </c>
      <c r="D102" s="316">
        <f>+'BAL-Liabilities &amp; Equity'!G19</f>
        <v>0</v>
      </c>
      <c r="E102" s="316">
        <f>+'BAL-Liabilities &amp; Equity'!H19</f>
        <v>0</v>
      </c>
      <c r="F102" s="316">
        <f>+'BAL-Liabilities &amp; Equity'!I19</f>
        <v>0</v>
      </c>
      <c r="G102" s="316">
        <f>+'BAL-Liabilities &amp; Equity'!J19</f>
        <v>0</v>
      </c>
      <c r="H102" s="316">
        <f>+'BAL-Liabilities &amp; Equity'!K19</f>
        <v>0</v>
      </c>
      <c r="I102" s="316">
        <f>+'BAL-Liabilities &amp; Equity'!L19</f>
        <v>0</v>
      </c>
      <c r="J102" s="316">
        <f>+'BAL-Liabilities &amp; Equity'!M19</f>
        <v>0</v>
      </c>
      <c r="K102" s="316">
        <f>+'BAL-Liabilities &amp; Equity'!N19</f>
        <v>0</v>
      </c>
      <c r="L102" s="316">
        <f>+'BAL-Liabilities &amp; Equity'!O19</f>
        <v>0</v>
      </c>
      <c r="M102" s="316">
        <f>+'BAL-Liabilities &amp; Equity'!P19</f>
        <v>0</v>
      </c>
      <c r="N102" s="316">
        <f>+'BAL-Liabilities &amp; Equity'!Q19</f>
        <v>0</v>
      </c>
      <c r="O102" s="373">
        <f>+'BAL-Liabilities &amp; Equity'!R19</f>
        <v>0</v>
      </c>
      <c r="P102" s="316">
        <f>+'BAL-Liabilities &amp; Equity'!S19</f>
        <v>0</v>
      </c>
      <c r="Q102" s="316">
        <f>+'BAL-Liabilities &amp; Equity'!T19</f>
        <v>0</v>
      </c>
    </row>
    <row r="103" spans="1:17" ht="18" customHeight="1" outlineLevel="1" x14ac:dyDescent="0.2">
      <c r="A103" s="322" t="s">
        <v>83</v>
      </c>
      <c r="B103" s="323">
        <f t="shared" ref="B103:Q103" si="19">ROUND(SUM(B100:B102),0)</f>
        <v>250000</v>
      </c>
      <c r="C103" s="323">
        <f t="shared" si="19"/>
        <v>249565</v>
      </c>
      <c r="D103" s="323">
        <f t="shared" si="19"/>
        <v>251325</v>
      </c>
      <c r="E103" s="323">
        <f t="shared" si="19"/>
        <v>264816</v>
      </c>
      <c r="F103" s="323">
        <f t="shared" si="19"/>
        <v>273937</v>
      </c>
      <c r="G103" s="323">
        <f t="shared" si="19"/>
        <v>277780</v>
      </c>
      <c r="H103" s="323">
        <f t="shared" si="19"/>
        <v>275600</v>
      </c>
      <c r="I103" s="323">
        <f t="shared" si="19"/>
        <v>263630</v>
      </c>
      <c r="J103" s="323">
        <f t="shared" si="19"/>
        <v>250564</v>
      </c>
      <c r="K103" s="323">
        <f t="shared" si="19"/>
        <v>251445</v>
      </c>
      <c r="L103" s="323">
        <f t="shared" si="19"/>
        <v>252447</v>
      </c>
      <c r="M103" s="323">
        <f t="shared" si="19"/>
        <v>253601</v>
      </c>
      <c r="N103" s="323">
        <f t="shared" si="19"/>
        <v>254908</v>
      </c>
      <c r="O103" s="1007">
        <f t="shared" si="19"/>
        <v>254908</v>
      </c>
      <c r="P103" s="323">
        <f t="shared" si="19"/>
        <v>250554</v>
      </c>
      <c r="Q103" s="323">
        <f t="shared" si="19"/>
        <v>244699</v>
      </c>
    </row>
    <row r="104" spans="1:17" ht="17.25" customHeight="1" outlineLevel="1" x14ac:dyDescent="0.2">
      <c r="A104" s="310" t="s">
        <v>86</v>
      </c>
      <c r="B104" s="142"/>
      <c r="C104" s="142"/>
      <c r="D104" s="142"/>
      <c r="E104" s="142"/>
      <c r="F104" s="142"/>
      <c r="G104" s="142"/>
      <c r="H104" s="142"/>
      <c r="I104" s="142"/>
      <c r="J104" s="142"/>
      <c r="K104" s="142"/>
      <c r="L104" s="142"/>
      <c r="M104" s="142"/>
      <c r="N104" s="142"/>
      <c r="O104" s="273"/>
      <c r="P104" s="142"/>
      <c r="Q104" s="142"/>
    </row>
    <row r="105" spans="1:17" ht="12.75" customHeight="1" outlineLevel="2" x14ac:dyDescent="0.2">
      <c r="A105" s="315" t="s">
        <v>411</v>
      </c>
      <c r="B105" s="182"/>
      <c r="C105" s="316">
        <f>'BAL-Liabilities &amp; Equity'!F21</f>
        <v>0</v>
      </c>
      <c r="D105" s="316">
        <f>'BAL-Liabilities &amp; Equity'!G21</f>
        <v>0</v>
      </c>
      <c r="E105" s="316">
        <f>'BAL-Liabilities &amp; Equity'!H21</f>
        <v>0</v>
      </c>
      <c r="F105" s="316">
        <f>'BAL-Liabilities &amp; Equity'!I21</f>
        <v>0</v>
      </c>
      <c r="G105" s="316">
        <f>'BAL-Liabilities &amp; Equity'!J21</f>
        <v>0</v>
      </c>
      <c r="H105" s="316">
        <f>'BAL-Liabilities &amp; Equity'!K21</f>
        <v>0</v>
      </c>
      <c r="I105" s="316">
        <f>'BAL-Liabilities &amp; Equity'!L21</f>
        <v>0</v>
      </c>
      <c r="J105" s="316">
        <f>'BAL-Liabilities &amp; Equity'!M21</f>
        <v>0</v>
      </c>
      <c r="K105" s="316">
        <f>'BAL-Liabilities &amp; Equity'!N21</f>
        <v>0</v>
      </c>
      <c r="L105" s="316">
        <f>'BAL-Liabilities &amp; Equity'!O21</f>
        <v>0</v>
      </c>
      <c r="M105" s="316">
        <f>'BAL-Liabilities &amp; Equity'!P21</f>
        <v>0</v>
      </c>
      <c r="N105" s="316">
        <f>'BAL-Liabilities &amp; Equity'!Q21</f>
        <v>0</v>
      </c>
      <c r="O105" s="373">
        <f>'BAL-Liabilities &amp; Equity'!R21</f>
        <v>0</v>
      </c>
      <c r="P105" s="316">
        <f>'BAL-Liabilities &amp; Equity'!S21</f>
        <v>0</v>
      </c>
      <c r="Q105" s="316">
        <f>'BAL-Liabilities &amp; Equity'!T21</f>
        <v>0</v>
      </c>
    </row>
    <row r="106" spans="1:17" ht="12.75" customHeight="1" outlineLevel="2" x14ac:dyDescent="0.2">
      <c r="A106" s="315" t="s">
        <v>330</v>
      </c>
      <c r="B106" s="393">
        <f>+'BAL-Liabilities &amp; Equity'!E24</f>
        <v>30000</v>
      </c>
      <c r="C106" s="316">
        <f>'BAL-Liabilities &amp; Equity'!F23</f>
        <v>30000</v>
      </c>
      <c r="D106" s="316">
        <f>'BAL-Liabilities &amp; Equity'!G23</f>
        <v>30000</v>
      </c>
      <c r="E106" s="316">
        <f>'BAL-Liabilities &amp; Equity'!H23</f>
        <v>30000</v>
      </c>
      <c r="F106" s="316">
        <f>'BAL-Liabilities &amp; Equity'!I23</f>
        <v>30000</v>
      </c>
      <c r="G106" s="316">
        <f>'BAL-Liabilities &amp; Equity'!J23</f>
        <v>30000</v>
      </c>
      <c r="H106" s="316">
        <f>'BAL-Liabilities &amp; Equity'!K23</f>
        <v>30000</v>
      </c>
      <c r="I106" s="316">
        <f>'BAL-Liabilities &amp; Equity'!L23</f>
        <v>30000</v>
      </c>
      <c r="J106" s="316">
        <f>'BAL-Liabilities &amp; Equity'!M23</f>
        <v>30000</v>
      </c>
      <c r="K106" s="316">
        <f>'BAL-Liabilities &amp; Equity'!N23</f>
        <v>30000</v>
      </c>
      <c r="L106" s="316">
        <f>'BAL-Liabilities &amp; Equity'!O23</f>
        <v>30000</v>
      </c>
      <c r="M106" s="316">
        <f>'BAL-Liabilities &amp; Equity'!P23</f>
        <v>30000</v>
      </c>
      <c r="N106" s="316">
        <f>'BAL-Liabilities &amp; Equity'!Q23</f>
        <v>30000</v>
      </c>
      <c r="O106" s="373">
        <f>'BAL-Liabilities &amp; Equity'!R23</f>
        <v>30000</v>
      </c>
      <c r="P106" s="316">
        <f>'BAL-Liabilities &amp; Equity'!S23</f>
        <v>30000</v>
      </c>
      <c r="Q106" s="316">
        <f>'BAL-Liabilities &amp; Equity'!T23</f>
        <v>30000</v>
      </c>
    </row>
    <row r="107" spans="1:17" ht="12.75" customHeight="1" outlineLevel="2" x14ac:dyDescent="0.2">
      <c r="A107" s="315" t="s">
        <v>92</v>
      </c>
      <c r="B107" s="393">
        <f>+B44</f>
        <v>-17300</v>
      </c>
      <c r="C107" s="316">
        <f>+B107+'Detail CF Projections'!C44</f>
        <v>-38883.5</v>
      </c>
      <c r="D107" s="316">
        <f t="shared" ref="D107:N107" si="20">+C107+D44</f>
        <v>-57134.894611769021</v>
      </c>
      <c r="E107" s="316">
        <f t="shared" si="20"/>
        <v>-71264.470308365911</v>
      </c>
      <c r="F107" s="316">
        <f t="shared" si="20"/>
        <v>-80545.940161881474</v>
      </c>
      <c r="G107" s="316">
        <f t="shared" si="20"/>
        <v>-84145.533354211424</v>
      </c>
      <c r="H107" s="316">
        <f t="shared" si="20"/>
        <v>-81223.278617901669</v>
      </c>
      <c r="I107" s="316">
        <f t="shared" si="20"/>
        <v>-67490.076233266547</v>
      </c>
      <c r="J107" s="316">
        <f t="shared" si="20"/>
        <v>-47355.477172155021</v>
      </c>
      <c r="K107" s="316">
        <f t="shared" si="20"/>
        <v>-21614.751500644274</v>
      </c>
      <c r="L107" s="316">
        <f t="shared" si="20"/>
        <v>7686.3896874550082</v>
      </c>
      <c r="M107" s="316">
        <f t="shared" si="20"/>
        <v>43766.260469725763</v>
      </c>
      <c r="N107" s="316">
        <f t="shared" si="20"/>
        <v>85474.874994138852</v>
      </c>
      <c r="O107" s="373">
        <f>+N107</f>
        <v>85474.874994138852</v>
      </c>
      <c r="P107" s="316">
        <f>+O107+P44</f>
        <v>196267.93142481183</v>
      </c>
      <c r="Q107" s="316">
        <f>+P107+Q44</f>
        <v>340583.30017992156</v>
      </c>
    </row>
    <row r="108" spans="1:17" ht="20.25" customHeight="1" outlineLevel="1" x14ac:dyDescent="0.2">
      <c r="A108" s="322" t="s">
        <v>94</v>
      </c>
      <c r="B108" s="323">
        <f t="shared" ref="B108:Q108" si="21">+ROUND(SUM(B105:B107),0)</f>
        <v>12700</v>
      </c>
      <c r="C108" s="323">
        <f t="shared" si="21"/>
        <v>-8884</v>
      </c>
      <c r="D108" s="323">
        <f t="shared" si="21"/>
        <v>-27135</v>
      </c>
      <c r="E108" s="323">
        <f t="shared" si="21"/>
        <v>-41264</v>
      </c>
      <c r="F108" s="323">
        <f t="shared" si="21"/>
        <v>-50546</v>
      </c>
      <c r="G108" s="323">
        <f t="shared" si="21"/>
        <v>-54146</v>
      </c>
      <c r="H108" s="323">
        <f t="shared" si="21"/>
        <v>-51223</v>
      </c>
      <c r="I108" s="323">
        <f t="shared" si="21"/>
        <v>-37490</v>
      </c>
      <c r="J108" s="323">
        <f t="shared" si="21"/>
        <v>-17355</v>
      </c>
      <c r="K108" s="323">
        <f t="shared" si="21"/>
        <v>8385</v>
      </c>
      <c r="L108" s="323">
        <f t="shared" si="21"/>
        <v>37686</v>
      </c>
      <c r="M108" s="323">
        <f t="shared" si="21"/>
        <v>73766</v>
      </c>
      <c r="N108" s="323">
        <f t="shared" si="21"/>
        <v>115475</v>
      </c>
      <c r="O108" s="1007">
        <f t="shared" si="21"/>
        <v>115475</v>
      </c>
      <c r="P108" s="323">
        <f t="shared" si="21"/>
        <v>226268</v>
      </c>
      <c r="Q108" s="323">
        <f t="shared" si="21"/>
        <v>370583</v>
      </c>
    </row>
    <row r="109" spans="1:17" ht="12.75" customHeight="1" outlineLevel="1" x14ac:dyDescent="0.2">
      <c r="A109" s="143"/>
      <c r="B109" s="144"/>
      <c r="C109" s="144"/>
      <c r="D109" s="144"/>
      <c r="E109" s="144"/>
      <c r="F109" s="144"/>
      <c r="G109" s="144"/>
      <c r="H109" s="144"/>
      <c r="I109" s="144"/>
      <c r="J109" s="144"/>
      <c r="K109" s="144"/>
      <c r="L109" s="144"/>
      <c r="M109" s="144"/>
      <c r="N109" s="144"/>
      <c r="O109" s="274"/>
      <c r="P109" s="144"/>
      <c r="Q109" s="144"/>
    </row>
    <row r="110" spans="1:17" ht="22.5" customHeight="1" outlineLevel="1" x14ac:dyDescent="0.2">
      <c r="A110" s="326" t="s">
        <v>95</v>
      </c>
      <c r="B110" s="327">
        <f t="shared" ref="B110:Q110" si="22">+ROUND(B103+B108,0)</f>
        <v>262700</v>
      </c>
      <c r="C110" s="327">
        <f t="shared" si="22"/>
        <v>240681</v>
      </c>
      <c r="D110" s="327">
        <f t="shared" si="22"/>
        <v>224190</v>
      </c>
      <c r="E110" s="327">
        <f t="shared" si="22"/>
        <v>223552</v>
      </c>
      <c r="F110" s="327">
        <f t="shared" si="22"/>
        <v>223391</v>
      </c>
      <c r="G110" s="327">
        <f t="shared" si="22"/>
        <v>223634</v>
      </c>
      <c r="H110" s="327">
        <f t="shared" si="22"/>
        <v>224377</v>
      </c>
      <c r="I110" s="327">
        <f t="shared" si="22"/>
        <v>226140</v>
      </c>
      <c r="J110" s="327">
        <f t="shared" si="22"/>
        <v>233209</v>
      </c>
      <c r="K110" s="327">
        <f t="shared" si="22"/>
        <v>259830</v>
      </c>
      <c r="L110" s="327">
        <f t="shared" si="22"/>
        <v>290133</v>
      </c>
      <c r="M110" s="327">
        <f t="shared" si="22"/>
        <v>327367</v>
      </c>
      <c r="N110" s="327">
        <f t="shared" si="22"/>
        <v>370383</v>
      </c>
      <c r="O110" s="382">
        <f t="shared" si="22"/>
        <v>370383</v>
      </c>
      <c r="P110" s="327">
        <f t="shared" si="22"/>
        <v>476822</v>
      </c>
      <c r="Q110" s="327">
        <f t="shared" si="22"/>
        <v>615282</v>
      </c>
    </row>
    <row r="111" spans="1:17" ht="12.75" customHeight="1" x14ac:dyDescent="0.2">
      <c r="A111" s="16"/>
      <c r="B111" s="16"/>
      <c r="C111" s="16"/>
      <c r="D111" s="16"/>
      <c r="E111" s="16"/>
      <c r="F111" s="16"/>
      <c r="G111" s="16"/>
      <c r="H111" s="16"/>
      <c r="I111" s="16"/>
      <c r="J111" s="16"/>
      <c r="K111" s="16"/>
      <c r="L111" s="16"/>
      <c r="M111" s="16"/>
      <c r="N111" s="16"/>
      <c r="O111" s="16"/>
      <c r="P111" s="16"/>
      <c r="Q111" s="16"/>
    </row>
    <row r="112" spans="1:17" ht="12.75" hidden="1" customHeight="1" x14ac:dyDescent="0.2">
      <c r="A112" s="16"/>
      <c r="B112" s="16"/>
      <c r="C112" s="503">
        <f t="shared" ref="C112:Q112" si="23">+C110-C93</f>
        <v>0</v>
      </c>
      <c r="D112" s="503">
        <f t="shared" si="23"/>
        <v>-1</v>
      </c>
      <c r="E112" s="503">
        <f t="shared" si="23"/>
        <v>1</v>
      </c>
      <c r="F112" s="503">
        <f t="shared" si="23"/>
        <v>0</v>
      </c>
      <c r="G112" s="503">
        <f t="shared" si="23"/>
        <v>-2</v>
      </c>
      <c r="H112" s="503">
        <f t="shared" si="23"/>
        <v>1</v>
      </c>
      <c r="I112" s="503">
        <f t="shared" si="23"/>
        <v>0</v>
      </c>
      <c r="J112" s="503">
        <f t="shared" si="23"/>
        <v>1</v>
      </c>
      <c r="K112" s="503">
        <f t="shared" si="23"/>
        <v>0</v>
      </c>
      <c r="L112" s="503">
        <f t="shared" si="23"/>
        <v>0</v>
      </c>
      <c r="M112" s="503">
        <f t="shared" si="23"/>
        <v>0</v>
      </c>
      <c r="N112" s="503">
        <f t="shared" si="23"/>
        <v>1</v>
      </c>
      <c r="O112" s="503">
        <f t="shared" si="23"/>
        <v>1</v>
      </c>
      <c r="P112" s="503">
        <f t="shared" si="23"/>
        <v>0</v>
      </c>
      <c r="Q112" s="503">
        <f t="shared" si="23"/>
        <v>0</v>
      </c>
    </row>
    <row r="113" spans="3:17" ht="12.75" hidden="1" customHeight="1" x14ac:dyDescent="0.2">
      <c r="C113" s="369">
        <f t="shared" ref="C113:Q113" si="24">IF(C93-C110&lt;1,IF(C93-C110&gt;-1,0,C93-C110))</f>
        <v>0</v>
      </c>
      <c r="D113" s="369" t="b">
        <f t="shared" si="24"/>
        <v>0</v>
      </c>
      <c r="E113" s="369">
        <f t="shared" si="24"/>
        <v>-1</v>
      </c>
      <c r="F113" s="369">
        <f t="shared" si="24"/>
        <v>0</v>
      </c>
      <c r="G113" s="369" t="b">
        <f t="shared" si="24"/>
        <v>0</v>
      </c>
      <c r="H113" s="369">
        <f t="shared" si="24"/>
        <v>-1</v>
      </c>
      <c r="I113" s="369">
        <f t="shared" si="24"/>
        <v>0</v>
      </c>
      <c r="J113" s="369">
        <f t="shared" si="24"/>
        <v>-1</v>
      </c>
      <c r="K113" s="369">
        <f t="shared" si="24"/>
        <v>0</v>
      </c>
      <c r="L113" s="369">
        <f t="shared" si="24"/>
        <v>0</v>
      </c>
      <c r="M113" s="369">
        <f t="shared" si="24"/>
        <v>0</v>
      </c>
      <c r="N113" s="369">
        <f t="shared" si="24"/>
        <v>-1</v>
      </c>
      <c r="O113" s="369">
        <f t="shared" si="24"/>
        <v>-1</v>
      </c>
      <c r="P113" s="369">
        <f t="shared" si="24"/>
        <v>0</v>
      </c>
      <c r="Q113" s="369">
        <f t="shared" si="24"/>
        <v>0</v>
      </c>
    </row>
  </sheetData>
  <mergeCells count="4">
    <mergeCell ref="A2:Q2"/>
    <mergeCell ref="A1:Q1"/>
    <mergeCell ref="O4:Q4"/>
    <mergeCell ref="O75:Q75"/>
  </mergeCells>
  <pageMargins left="0.44" right="0.25" top="0.24" bottom="0.24" header="0" footer="0"/>
  <pageSetup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1E3A8A"/>
  </sheetPr>
  <dimension ref="A1:L32"/>
  <sheetViews>
    <sheetView showGridLines="0" workbookViewId="0">
      <pane ySplit="2" topLeftCell="A3" activePane="bottomLeft" state="frozen"/>
      <selection pane="bottomLeft" activeCell="M30" sqref="M30"/>
    </sheetView>
  </sheetViews>
  <sheetFormatPr baseColWidth="10" defaultColWidth="14.5" defaultRowHeight="15" customHeight="1" x14ac:dyDescent="0.2"/>
  <cols>
    <col min="1" max="1" width="22.83203125" customWidth="1"/>
    <col min="2" max="2" width="12" customWidth="1"/>
    <col min="3" max="5" width="8.5" customWidth="1"/>
    <col min="6" max="6" width="4.1640625" customWidth="1"/>
    <col min="7" max="7" width="20.33203125" customWidth="1"/>
    <col min="8" max="8" width="5.33203125" customWidth="1"/>
    <col min="9" max="9" width="7.5" customWidth="1"/>
    <col min="10" max="10" width="11.6640625" customWidth="1"/>
    <col min="11" max="12" width="8.5" customWidth="1"/>
    <col min="13" max="26" width="8.6640625" customWidth="1"/>
  </cols>
  <sheetData>
    <row r="1" spans="1:12" ht="16" customHeight="1" x14ac:dyDescent="0.2">
      <c r="A1" s="301" t="s">
        <v>412</v>
      </c>
    </row>
    <row r="2" spans="1:12" x14ac:dyDescent="0.2">
      <c r="A2" s="752" t="s">
        <v>413</v>
      </c>
    </row>
    <row r="3" spans="1:12" x14ac:dyDescent="0.2">
      <c r="B3" s="9"/>
      <c r="C3" s="9"/>
      <c r="D3" s="9"/>
      <c r="E3" s="9"/>
      <c r="F3" s="9"/>
      <c r="G3" s="9"/>
      <c r="H3" s="9"/>
      <c r="I3" s="9"/>
      <c r="J3" s="9"/>
      <c r="K3" s="9"/>
      <c r="L3" s="9"/>
    </row>
    <row r="4" spans="1:12" ht="21.75" customHeight="1" x14ac:dyDescent="0.2">
      <c r="A4" s="1008" t="s">
        <v>414</v>
      </c>
      <c r="B4" s="1009">
        <v>611699.38</v>
      </c>
      <c r="C4" s="1159" t="s">
        <v>415</v>
      </c>
      <c r="D4" s="1059"/>
      <c r="E4" s="1059"/>
      <c r="F4" s="1060"/>
      <c r="G4" s="124"/>
      <c r="H4" s="124"/>
      <c r="I4" s="124"/>
      <c r="J4" s="124"/>
      <c r="K4" s="124"/>
      <c r="L4" s="9"/>
    </row>
    <row r="5" spans="1:12" ht="15" customHeight="1" x14ac:dyDescent="0.2">
      <c r="A5" s="171"/>
      <c r="B5" s="275"/>
      <c r="C5" s="276"/>
      <c r="D5" s="276"/>
      <c r="E5" s="276"/>
      <c r="F5" s="168"/>
      <c r="G5" s="168"/>
      <c r="H5" s="170"/>
      <c r="I5" s="170"/>
      <c r="J5" s="170"/>
      <c r="K5" s="170"/>
      <c r="L5" s="277"/>
    </row>
    <row r="6" spans="1:12" x14ac:dyDescent="0.2">
      <c r="A6" s="1010" t="s">
        <v>416</v>
      </c>
      <c r="B6" s="149"/>
      <c r="C6" s="149"/>
      <c r="D6" s="149"/>
      <c r="E6" s="149"/>
      <c r="F6" s="279"/>
      <c r="G6" s="310" t="s">
        <v>417</v>
      </c>
      <c r="H6" s="130"/>
      <c r="I6" s="149"/>
      <c r="J6" s="149"/>
      <c r="K6" s="149"/>
      <c r="L6" s="280"/>
    </row>
    <row r="7" spans="1:12" ht="30" customHeight="1" x14ac:dyDescent="0.2">
      <c r="A7" s="125"/>
      <c r="B7" s="1011" t="s">
        <v>418</v>
      </c>
      <c r="C7" s="1011" t="s">
        <v>419</v>
      </c>
      <c r="D7" s="1011" t="s">
        <v>420</v>
      </c>
      <c r="E7" s="1011" t="s">
        <v>421</v>
      </c>
      <c r="F7" s="127"/>
      <c r="G7" s="149"/>
      <c r="H7" s="149"/>
      <c r="I7" s="1012" t="s">
        <v>418</v>
      </c>
      <c r="J7" s="1011" t="s">
        <v>419</v>
      </c>
      <c r="K7" s="1011" t="s">
        <v>420</v>
      </c>
      <c r="L7" s="1013" t="s">
        <v>421</v>
      </c>
    </row>
    <row r="8" spans="1:12" x14ac:dyDescent="0.2">
      <c r="A8" s="1014" t="s">
        <v>422</v>
      </c>
      <c r="B8" s="1015">
        <v>1.6</v>
      </c>
      <c r="C8" s="1016">
        <f>+'Projected Fin Stmts'!P58/'Projected Fin Stmts'!P75</f>
        <v>21.272839340843984</v>
      </c>
      <c r="D8" s="1016">
        <f>+'Projected Fin Stmts'!Q58/'Projected Fin Stmts'!Q75</f>
        <v>25.684901193369598</v>
      </c>
      <c r="E8" s="1016">
        <f>+'Projected Fin Stmts'!R58/'Projected Fin Stmts'!R75</f>
        <v>32.596910272218672</v>
      </c>
      <c r="F8" s="281"/>
      <c r="G8" s="1158" t="s">
        <v>423</v>
      </c>
      <c r="H8" s="1062"/>
      <c r="I8" s="1017">
        <v>0.152</v>
      </c>
      <c r="J8" s="1018">
        <f>+-'Projected Fin Stmts'!P17/'Projected Fin Stmts'!P12</f>
        <v>0.14891390728476819</v>
      </c>
      <c r="K8" s="1018">
        <f>+-'Projected Fin Stmts'!Q17/'Projected Fin Stmts'!Q12</f>
        <v>0.15880132450331122</v>
      </c>
      <c r="L8" s="1019">
        <f>+-'Projected Fin Stmts'!R17/'Projected Fin Stmts'!R12</f>
        <v>0.15880132450331119</v>
      </c>
    </row>
    <row r="9" spans="1:12" x14ac:dyDescent="0.2">
      <c r="A9" s="1014" t="s">
        <v>424</v>
      </c>
      <c r="B9" s="1015">
        <v>1.3</v>
      </c>
      <c r="C9" s="1016">
        <f>+('Detail CF Projections'!O83-'Detail CF Projections'!O81)/'Detail CF Projections'!O100</f>
        <v>21.011970816784668</v>
      </c>
      <c r="D9" s="1016">
        <f>+('Detail CF Projections'!P83-'Detail CF Projections'!P81)/'Detail CF Projections'!P100</f>
        <v>25.424003245267201</v>
      </c>
      <c r="E9" s="1016">
        <f>+('Detail CF Projections'!Q83-'Detail CF Projections'!Q81)/'Detail CF Projections'!Q100</f>
        <v>32.336015233685792</v>
      </c>
      <c r="F9" s="281"/>
      <c r="G9" s="1158" t="s">
        <v>425</v>
      </c>
      <c r="H9" s="1062"/>
      <c r="I9" s="1017">
        <v>0.84899999999999998</v>
      </c>
      <c r="J9" s="1018">
        <f>+'Projected Fin Stmts'!P19/'Projected Fin Stmts'!P12</f>
        <v>0.85108609271523172</v>
      </c>
      <c r="K9" s="1018">
        <f>+'Projected Fin Stmts'!Q19/'Projected Fin Stmts'!Q12</f>
        <v>0.8411986754966887</v>
      </c>
      <c r="L9" s="1019">
        <f>+'Projected Fin Stmts'!R19/'Projected Fin Stmts'!R12</f>
        <v>0.84119867549668881</v>
      </c>
    </row>
    <row r="10" spans="1:12" x14ac:dyDescent="0.2">
      <c r="A10" s="1014" t="s">
        <v>426</v>
      </c>
      <c r="B10" s="1020">
        <v>15</v>
      </c>
      <c r="C10" s="1021">
        <f>365/('Projected Fin Stmts'!P12/AVERAGE('Projected Fin Stmts'!D55:O55))</f>
        <v>5.6425401030169251</v>
      </c>
      <c r="D10" s="1021">
        <f>365/('Projected Fin Stmts'!Q12/(('Projected Fin Stmts'!Q55+'Projected Fin Stmts'!P55)/2))</f>
        <v>13.981026211449022</v>
      </c>
      <c r="E10" s="1021">
        <f>365/('Projected Fin Stmts'!R12/(('Projected Fin Stmts'!R55+'Projected Fin Stmts'!Q55)/2))</f>
        <v>14.650227699395332</v>
      </c>
      <c r="F10" s="283"/>
      <c r="G10" s="1158" t="s">
        <v>427</v>
      </c>
      <c r="H10" s="1062"/>
      <c r="I10" s="1017">
        <v>0.219</v>
      </c>
      <c r="J10" s="1018">
        <f>+('Projected Fin Stmts'!P21+'Projected Fin Stmts'!P22)/'Projected Fin Stmts'!P12</f>
        <v>0.31563124145905597</v>
      </c>
      <c r="K10" s="1018">
        <f>+('Projected Fin Stmts'!Q21+'Projected Fin Stmts'!Q22)/'Projected Fin Stmts'!Q12</f>
        <v>0.32579347857147961</v>
      </c>
      <c r="L10" s="1019">
        <f>+('Projected Fin Stmts'!R21+'Projected Fin Stmts'!R22)/'Projected Fin Stmts'!R12</f>
        <v>0.30638751919570018</v>
      </c>
    </row>
    <row r="11" spans="1:12" x14ac:dyDescent="0.2">
      <c r="A11" s="1014" t="s">
        <v>428</v>
      </c>
      <c r="B11" s="1020">
        <v>15</v>
      </c>
      <c r="C11" s="1021">
        <f>365/(-'Projected Fin Stmts'!P17/AVERAGE('Projected Fin Stmts'!D56:O56))</f>
        <v>5.6836935574728003</v>
      </c>
      <c r="D11" s="1021">
        <f>365/(-'Projected Fin Stmts'!Q17/AVERAGE('Projected Fin Stmts'!P56:Q56))</f>
        <v>13.206148867313917</v>
      </c>
      <c r="E11" s="1021">
        <f>365/(-'Projected Fin Stmts'!R17/AVERAGE('Projected Fin Stmts'!Q56:R56))</f>
        <v>13.838260869565218</v>
      </c>
      <c r="F11" s="283"/>
      <c r="G11" s="1157" t="s">
        <v>429</v>
      </c>
      <c r="H11" s="1062"/>
      <c r="I11" s="1022">
        <v>8.1000000000000003E-2</v>
      </c>
      <c r="J11" s="1018">
        <f>+'Projected Fin Stmts'!P27/'Projected Fin Stmts'!P12</f>
        <v>0.15137180700094607</v>
      </c>
      <c r="K11" s="1018">
        <f>+'Projected Fin Stmts'!Q27/'Projected Fin Stmts'!Q12</f>
        <v>0.12614317250078838</v>
      </c>
      <c r="L11" s="1019">
        <f>+'Projected Fin Stmts'!R27/'Projected Fin Stmts'!R12</f>
        <v>0.11636981887485776</v>
      </c>
    </row>
    <row r="12" spans="1:12" ht="14.25" customHeight="1" x14ac:dyDescent="0.2">
      <c r="A12" s="1014" t="s">
        <v>430</v>
      </c>
      <c r="B12" s="1020">
        <v>55</v>
      </c>
      <c r="C12" s="1021">
        <f>365/(-'Projected Fin Stmts'!P17/AVERAGE('Projected Fin Stmts'!D71:O71))</f>
        <v>21.787491970312395</v>
      </c>
      <c r="D12" s="1021">
        <f>365/(-'Projected Fin Stmts'!Q17/AVERAGE('Projected Fin Stmts'!P71:Q71))</f>
        <v>50.623570658036677</v>
      </c>
      <c r="E12" s="1021">
        <f>365/(-'Projected Fin Stmts'!R17/AVERAGE('Projected Fin Stmts'!Q71:R71))</f>
        <v>53.046666666666674</v>
      </c>
      <c r="F12" s="283"/>
      <c r="G12" s="1157" t="s">
        <v>431</v>
      </c>
      <c r="H12" s="1062"/>
      <c r="I12" s="1022">
        <v>1.9E-2</v>
      </c>
      <c r="J12" s="1018">
        <f>+'Projected Fin Stmts'!P23/'Projected Fin Stmts'!P12</f>
        <v>3.7842951750236518E-2</v>
      </c>
      <c r="K12" s="1018">
        <f>+'Projected Fin Stmts'!Q23/'Projected Fin Stmts'!Q12</f>
        <v>3.1535793125197095E-2</v>
      </c>
      <c r="L12" s="1019">
        <f>+'Projected Fin Stmts'!R23/'Projected Fin Stmts'!R12</f>
        <v>2.9092454718714439E-2</v>
      </c>
    </row>
    <row r="13" spans="1:12" x14ac:dyDescent="0.2">
      <c r="A13" s="1014" t="s">
        <v>432</v>
      </c>
      <c r="B13" s="1015">
        <v>8</v>
      </c>
      <c r="C13" s="1016">
        <f>+'Projected Fin Stmts'!P40/-'Projected Fin Stmts'!P41</f>
        <v>7.603276099865945</v>
      </c>
      <c r="D13" s="1016">
        <f>+'Projected Fin Stmts'!Q40/-'Projected Fin Stmts'!Q41</f>
        <v>11.253810181686736</v>
      </c>
      <c r="E13" s="1016">
        <f>+'Projected Fin Stmts'!R40/-'Projected Fin Stmts'!R41</f>
        <v>14.77414280549794</v>
      </c>
      <c r="F13" s="281"/>
      <c r="G13" s="1158" t="s">
        <v>87</v>
      </c>
      <c r="H13" s="1062"/>
      <c r="I13" s="1017">
        <v>0.76500000000000001</v>
      </c>
      <c r="J13" s="1018">
        <f>+-'Projected Fin Stmts'!P39/'Projected Fin Stmts'!P12</f>
        <v>0.60229160096709766</v>
      </c>
      <c r="K13" s="1018">
        <f>+-'Projected Fin Stmts'!Q39/'Projected Fin Stmts'!Q12</f>
        <v>0.56542067388476203</v>
      </c>
      <c r="L13" s="1019">
        <f>+-'Projected Fin Stmts'!R39/'Projected Fin Stmts'!R12</f>
        <v>0.52676978458866019</v>
      </c>
    </row>
    <row r="14" spans="1:12" x14ac:dyDescent="0.2">
      <c r="A14" s="1014" t="s">
        <v>433</v>
      </c>
      <c r="B14" s="1015">
        <v>1.9</v>
      </c>
      <c r="C14" s="1016">
        <f>+'Projected Fin Stmts'!P78/'Projected Fin Stmts'!P83</f>
        <v>2.2074715643529639</v>
      </c>
      <c r="D14" s="1016">
        <f>+'Projected Fin Stmts'!Q78/'Projected Fin Stmts'!Q83</f>
        <v>1.1073347245553828</v>
      </c>
      <c r="E14" s="1016">
        <f>+'Projected Fin Stmts'!R78/'Projected Fin Stmts'!R83</f>
        <v>0.66030798688556536</v>
      </c>
      <c r="F14" s="281"/>
      <c r="G14" s="1158" t="s">
        <v>134</v>
      </c>
      <c r="H14" s="1062"/>
      <c r="I14" s="1017">
        <v>8.4000000000000005E-2</v>
      </c>
      <c r="J14" s="1018">
        <f>+'Projected Fin Stmts'!P40/'Projected Fin Stmts'!P12</f>
        <v>0.24879449174813409</v>
      </c>
      <c r="K14" s="1018">
        <f>+'Projected Fin Stmts'!Q40/'Projected Fin Stmts'!Q12</f>
        <v>0.27577800161192667</v>
      </c>
      <c r="L14" s="1019">
        <f>+'Projected Fin Stmts'!R40/'Projected Fin Stmts'!R12</f>
        <v>0.31442889090802856</v>
      </c>
    </row>
    <row r="15" spans="1:12" x14ac:dyDescent="0.2">
      <c r="A15" s="1014" t="s">
        <v>434</v>
      </c>
      <c r="B15" s="1017">
        <v>0.83299999999999996</v>
      </c>
      <c r="C15" s="1023">
        <f>+'Projected Fin Stmts'!P44/'Projected Fin Stmts'!P83</f>
        <v>0.66751452425920799</v>
      </c>
      <c r="D15" s="1023">
        <f>+'Projected Fin Stmts'!Q44/'Projected Fin Stmts'!Q83</f>
        <v>0.48965425958953962</v>
      </c>
      <c r="E15" s="1023">
        <f>+'Projected Fin Stmts'!R44/'Projected Fin Stmts'!R83</f>
        <v>0.38942760962256889</v>
      </c>
      <c r="F15" s="284"/>
      <c r="G15" s="1158" t="s">
        <v>435</v>
      </c>
      <c r="H15" s="1062"/>
      <c r="I15" s="1017">
        <v>9.6000000000000002E-2</v>
      </c>
      <c r="J15" s="1018">
        <f>+('Projected Fin Stmts'!P40+'Projected Fin Stmts'!P25)/'Projected Fin Stmts'!P12</f>
        <v>0.27822789866498471</v>
      </c>
      <c r="K15" s="1018">
        <f>+('Projected Fin Stmts'!Q40+'Projected Fin Stmts'!Q25)/'Projected Fin Stmts'!Q12</f>
        <v>0.30104940309921668</v>
      </c>
      <c r="L15" s="1019">
        <f>+('Projected Fin Stmts'!R40+'Projected Fin Stmts'!R25)/'Projected Fin Stmts'!R12</f>
        <v>0.33706327658794921</v>
      </c>
    </row>
    <row r="16" spans="1:12" x14ac:dyDescent="0.2">
      <c r="A16" s="1014" t="s">
        <v>436</v>
      </c>
      <c r="B16" s="1017">
        <v>0.28599999999999998</v>
      </c>
      <c r="C16" s="1023">
        <f>+'Projected Fin Stmts'!P44/'Projected Fin Stmts'!P68</f>
        <v>0.20811257294270752</v>
      </c>
      <c r="D16" s="1023">
        <f>+'Projected Fin Stmts'!Q44/'Projected Fin Stmts'!Q68</f>
        <v>0.23235709058440307</v>
      </c>
      <c r="E16" s="1023">
        <f>+'Projected Fin Stmts'!R44/'Projected Fin Stmts'!R68</f>
        <v>0.23455142678496468</v>
      </c>
      <c r="F16" s="284"/>
      <c r="G16" s="1158" t="s">
        <v>437</v>
      </c>
      <c r="H16" s="1062"/>
      <c r="I16" s="1017">
        <v>8.7999999999999995E-2</v>
      </c>
      <c r="J16" s="1018">
        <f>+'Projected Fin Stmts'!P42/'Projected Fin Stmts'!P12</f>
        <v>0.21607247975221028</v>
      </c>
      <c r="K16" s="1018">
        <f>+'Projected Fin Stmts'!Q42/'Projected Fin Stmts'!Q12</f>
        <v>0.25127270099287957</v>
      </c>
      <c r="L16" s="1019">
        <f>+'Projected Fin Stmts'!R42/'Projected Fin Stmts'!R12</f>
        <v>0.29314651296925437</v>
      </c>
    </row>
    <row r="17" spans="1:12" x14ac:dyDescent="0.2">
      <c r="A17" s="1014" t="s">
        <v>438</v>
      </c>
      <c r="B17" s="1015">
        <v>11.1</v>
      </c>
      <c r="C17" s="1016">
        <f>+'Projected Fin Stmts'!P12/AVERAGE('Projected Fin Stmts'!D68:O68)</f>
        <v>1.8611061449353283</v>
      </c>
      <c r="D17" s="1016">
        <f>+'Projected Fin Stmts'!Q12/AVERAGE('Projected Fin Stmts'!P68:Q68)</f>
        <v>1.3878667528967266</v>
      </c>
      <c r="E17" s="1016">
        <f>+'Projected Fin Stmts'!R12/AVERAGE('Projected Fin Stmts'!Q68:R68)</f>
        <v>1.202076968336792</v>
      </c>
      <c r="F17" s="281"/>
      <c r="G17" s="281"/>
      <c r="H17" s="181"/>
      <c r="I17" s="285"/>
      <c r="J17" s="186"/>
      <c r="K17" s="186"/>
      <c r="L17" s="282"/>
    </row>
    <row r="18" spans="1:12" x14ac:dyDescent="0.2">
      <c r="A18" s="1014" t="s">
        <v>439</v>
      </c>
      <c r="B18" s="1017">
        <v>7.0999999999999994E-2</v>
      </c>
      <c r="D18" s="1024">
        <f>+('Projected Fin Stmts'!Q12-'Projected Fin Stmts'!P12)/'Projected Fin Stmts'!P12</f>
        <v>0.23600000000000004</v>
      </c>
      <c r="E18" s="1024">
        <f>+('Projected Fin Stmts'!R12-'Projected Fin Stmts'!Q12)/'Projected Fin Stmts'!Q12</f>
        <v>0.116504854368932</v>
      </c>
      <c r="F18" s="284"/>
      <c r="G18" s="1061" t="s">
        <v>440</v>
      </c>
      <c r="H18" s="1062"/>
      <c r="I18" s="1062"/>
      <c r="J18" s="186"/>
      <c r="K18" s="186"/>
      <c r="L18" s="282"/>
    </row>
    <row r="19" spans="1:12" x14ac:dyDescent="0.2">
      <c r="A19" s="1014" t="s">
        <v>441</v>
      </c>
      <c r="B19" s="1017">
        <v>-2.1000000000000001E-2</v>
      </c>
      <c r="C19" s="284"/>
      <c r="D19" s="1024">
        <f>+('Projected Fin Stmts'!Q44-'Projected Fin Stmts'!P44)/'Projected Fin Stmts'!P44</f>
        <v>0.43735592234310078</v>
      </c>
      <c r="E19" s="1024">
        <f>+('Projected Fin Stmts'!R44-'Projected Fin Stmts'!Q44)/'Projected Fin Stmts'!Q44</f>
        <v>0.30256690630619848</v>
      </c>
      <c r="F19" s="284"/>
      <c r="G19" s="1156" t="s">
        <v>17</v>
      </c>
      <c r="H19" s="1062"/>
      <c r="I19" s="1017">
        <v>0.32200000000000001</v>
      </c>
      <c r="J19" s="1018">
        <f>+'Projected Fin Stmts'!P54/'Projected Fin Stmts'!P68</f>
        <v>0.57140044554075664</v>
      </c>
      <c r="K19" s="1018">
        <f>+'Projected Fin Stmts'!Q54/'Projected Fin Stmts'!Q68</f>
        <v>0.6810373457108484</v>
      </c>
      <c r="L19" s="1019">
        <f>+'Projected Fin Stmts'!R54/'Projected Fin Stmts'!R68</f>
        <v>0.76882991602287398</v>
      </c>
    </row>
    <row r="20" spans="1:12" x14ac:dyDescent="0.2">
      <c r="A20" s="286"/>
      <c r="B20" s="287"/>
      <c r="C20" s="287"/>
      <c r="D20" s="287"/>
      <c r="E20" s="287"/>
      <c r="F20" s="287"/>
      <c r="G20" s="1160" t="s">
        <v>442</v>
      </c>
      <c r="H20" s="1062"/>
      <c r="I20" s="1025">
        <v>0.13</v>
      </c>
      <c r="J20" s="1018">
        <f>+'Projected Fin Stmts'!P55/'Projected Fin Stmts'!P68</f>
        <v>5.4382660677554831E-2</v>
      </c>
      <c r="K20" s="1018">
        <f>+'Projected Fin Stmts'!Q55/'Projected Fin Stmts'!Q68</f>
        <v>5.2212226225204265E-2</v>
      </c>
      <c r="L20" s="1019">
        <f>+'Projected Fin Stmts'!R55/'Projected Fin Stmts'!R68</f>
        <v>4.517674491806882E-2</v>
      </c>
    </row>
    <row r="21" spans="1:12" ht="15.75" customHeight="1" x14ac:dyDescent="0.2">
      <c r="A21" s="278"/>
      <c r="B21" s="191"/>
      <c r="C21" s="127"/>
      <c r="D21" s="127"/>
      <c r="E21" s="127"/>
      <c r="F21" s="127"/>
      <c r="G21" s="1156" t="s">
        <v>23</v>
      </c>
      <c r="H21" s="1062"/>
      <c r="I21" s="1017">
        <v>0.02</v>
      </c>
      <c r="J21" s="1018">
        <f>+'Projected Fin Stmts'!P56/'Projected Fin Stmts'!P68</f>
        <v>8.1573991016332253E-3</v>
      </c>
      <c r="K21" s="1018">
        <f>+'Projected Fin Stmts'!Q56/'Projected Fin Stmts'!Q68</f>
        <v>7.8318339337806395E-3</v>
      </c>
      <c r="L21" s="1019">
        <f>+'Projected Fin Stmts'!R56/'Projected Fin Stmts'!R68</f>
        <v>6.7765117377103223E-3</v>
      </c>
    </row>
    <row r="22" spans="1:12" ht="15.75" customHeight="1" x14ac:dyDescent="0.2">
      <c r="A22" s="288"/>
      <c r="B22" s="157"/>
      <c r="C22" s="127"/>
      <c r="D22" s="127"/>
      <c r="E22" s="127"/>
      <c r="F22" s="127"/>
      <c r="G22" s="1156" t="s">
        <v>443</v>
      </c>
      <c r="H22" s="1062"/>
      <c r="I22" s="1017">
        <v>7.3999999999999996E-2</v>
      </c>
      <c r="J22" s="1018">
        <f>+'Projected Fin Stmts'!P57/'Projected Fin Stmts'!P68</f>
        <v>3.1270029889594028E-2</v>
      </c>
      <c r="K22" s="1018">
        <f>+'Projected Fin Stmts'!Q57/'Projected Fin Stmts'!Q68</f>
        <v>3.0022030079492449E-2</v>
      </c>
      <c r="L22" s="1019">
        <f>+'Projected Fin Stmts'!R57/'Projected Fin Stmts'!R68</f>
        <v>2.5976628327889571E-2</v>
      </c>
    </row>
    <row r="23" spans="1:12" ht="15.75" customHeight="1" x14ac:dyDescent="0.2">
      <c r="A23" s="288"/>
      <c r="B23" s="157"/>
      <c r="C23" s="127"/>
      <c r="D23" s="127"/>
      <c r="E23" s="127"/>
      <c r="F23" s="127"/>
      <c r="G23" s="1156" t="s">
        <v>29</v>
      </c>
      <c r="H23" s="1062"/>
      <c r="I23" s="1017">
        <v>0.54700000000000004</v>
      </c>
      <c r="J23" s="1018">
        <f>+'Projected Fin Stmts'!P58/'Projected Fin Stmts'!P68</f>
        <v>0.66521053520953866</v>
      </c>
      <c r="K23" s="1018">
        <f>+'Projected Fin Stmts'!Q58/'Projected Fin Stmts'!Q68</f>
        <v>0.77110343594932573</v>
      </c>
      <c r="L23" s="1019">
        <f>+'Projected Fin Stmts'!R58/'Projected Fin Stmts'!R68</f>
        <v>0.8467598010065428</v>
      </c>
    </row>
    <row r="24" spans="1:12" ht="15.75" customHeight="1" x14ac:dyDescent="0.2">
      <c r="A24" s="267"/>
      <c r="B24" s="181"/>
      <c r="C24" s="127"/>
      <c r="D24" s="127"/>
      <c r="E24" s="127"/>
      <c r="F24" s="127"/>
      <c r="G24" s="1156" t="s">
        <v>444</v>
      </c>
      <c r="H24" s="1062"/>
      <c r="I24" s="1017">
        <v>0.86499999999999999</v>
      </c>
      <c r="J24" s="1018">
        <f>+('Projected Fin Stmts'!P66-'Projected Fin Stmts'!P65)/'Projected Fin Stmts'!P68</f>
        <v>0.35638878509952343</v>
      </c>
      <c r="K24" s="1018">
        <f>+('Projected Fin Stmts'!Q66-'Projected Fin Stmts'!Q65)/'Projected Fin Stmts'!Q68</f>
        <v>0.27683295451103734</v>
      </c>
      <c r="L24" s="1019">
        <f>+('Projected Fin Stmts'!R66-'Projected Fin Stmts'!R65)/'Projected Fin Stmts'!R68</f>
        <v>0.21453609284570727</v>
      </c>
    </row>
    <row r="25" spans="1:12" ht="15.75" customHeight="1" x14ac:dyDescent="0.2">
      <c r="A25" s="267"/>
      <c r="B25" s="181"/>
      <c r="C25" s="127"/>
      <c r="D25" s="127"/>
      <c r="E25" s="127"/>
      <c r="F25" s="127"/>
      <c r="G25" s="1156" t="s">
        <v>53</v>
      </c>
      <c r="H25" s="1062"/>
      <c r="I25" s="1017">
        <v>0.29099999999999998</v>
      </c>
      <c r="J25" s="1018">
        <f>+'Projected Fin Stmts'!P66/'Projected Fin Stmts'!P68</f>
        <v>0.31858997455866489</v>
      </c>
      <c r="K25" s="1018">
        <f>+'Projected Fin Stmts'!Q66/'Projected Fin Stmts'!Q68</f>
        <v>0.21631326155482894</v>
      </c>
      <c r="L25" s="1019">
        <f>+'Projected Fin Stmts'!R66/'Projected Fin Stmts'!R68</f>
        <v>0.14348857951696292</v>
      </c>
    </row>
    <row r="26" spans="1:12" ht="15.75" customHeight="1" x14ac:dyDescent="0.2">
      <c r="A26" s="267"/>
      <c r="B26" s="181"/>
      <c r="C26" s="127"/>
      <c r="D26" s="127"/>
      <c r="E26" s="127"/>
      <c r="F26" s="127"/>
      <c r="G26" s="1156" t="s">
        <v>56</v>
      </c>
      <c r="H26" s="1062"/>
      <c r="I26" s="1017">
        <v>0.16200000000000001</v>
      </c>
      <c r="J26" s="1018">
        <f>+'Projected Fin Stmts'!P67/'Projected Fin Stmts'!P68</f>
        <v>1.619949023179652E-2</v>
      </c>
      <c r="K26" s="1018">
        <f>+'Projected Fin Stmts'!Q67/'Projected Fin Stmts'!Q68</f>
        <v>1.2583302495845319E-2</v>
      </c>
      <c r="L26" s="1019">
        <f>+'Projected Fin Stmts'!R67/'Projected Fin Stmts'!R68</f>
        <v>9.751619476494321E-3</v>
      </c>
    </row>
    <row r="27" spans="1:12" ht="15.75" customHeight="1" x14ac:dyDescent="0.2">
      <c r="A27" s="267"/>
      <c r="B27" s="181"/>
      <c r="C27" s="137"/>
      <c r="D27" s="137"/>
      <c r="E27" s="137"/>
      <c r="F27" s="137"/>
      <c r="G27" s="1156" t="s">
        <v>69</v>
      </c>
      <c r="H27" s="1062"/>
      <c r="I27" s="1017">
        <v>7.3999999999999996E-2</v>
      </c>
      <c r="J27" s="1018">
        <f>+'Projected Fin Stmts'!P71/'Projected Fin Stmts'!P68</f>
        <v>3.1270029889594028E-2</v>
      </c>
      <c r="K27" s="1018">
        <f>+'Projected Fin Stmts'!Q71/'Projected Fin Stmts'!Q68</f>
        <v>3.0022030079492449E-2</v>
      </c>
      <c r="L27" s="1019">
        <f>+'Projected Fin Stmts'!R71/'Projected Fin Stmts'!R68</f>
        <v>2.5976628327889571E-2</v>
      </c>
    </row>
    <row r="28" spans="1:12" ht="15.75" customHeight="1" x14ac:dyDescent="0.2">
      <c r="A28" s="267"/>
      <c r="B28" s="181"/>
      <c r="C28" s="127"/>
      <c r="D28" s="127"/>
      <c r="E28" s="127"/>
      <c r="F28" s="127"/>
      <c r="G28" s="1156" t="s">
        <v>445</v>
      </c>
      <c r="H28" s="1062"/>
      <c r="I28" s="1017">
        <v>0.24299999999999999</v>
      </c>
      <c r="J28" s="1018">
        <f>+'Projected Fin Stmts'!P74/'Projected Fin Stmts'!P68</f>
        <v>0</v>
      </c>
      <c r="K28" s="1018">
        <f>+'Projected Fin Stmts'!Q74/'Projected Fin Stmts'!Q68</f>
        <v>0</v>
      </c>
      <c r="L28" s="1019">
        <f>+'Projected Fin Stmts'!R74/'Projected Fin Stmts'!R68</f>
        <v>0</v>
      </c>
    </row>
    <row r="29" spans="1:12" ht="15.75" customHeight="1" x14ac:dyDescent="0.2">
      <c r="A29" s="267"/>
      <c r="B29" s="181"/>
      <c r="C29" s="127"/>
      <c r="D29" s="127"/>
      <c r="E29" s="127"/>
      <c r="F29" s="127"/>
      <c r="G29" s="1156" t="s">
        <v>77</v>
      </c>
      <c r="H29" s="1062"/>
      <c r="I29" s="1017">
        <v>0.34100000000000003</v>
      </c>
      <c r="J29" s="1018">
        <f>+'Projected Fin Stmts'!P75/'Projected Fin Stmts'!P68</f>
        <v>3.1270415977444552E-2</v>
      </c>
      <c r="K29" s="1018">
        <f>+'Projected Fin Stmts'!Q75/'Projected Fin Stmts'!Q68</f>
        <v>3.0021662538004288E-2</v>
      </c>
      <c r="L29" s="1019">
        <f>+'Projected Fin Stmts'!R75/'Projected Fin Stmts'!R68</f>
        <v>2.5976689015468121E-2</v>
      </c>
    </row>
    <row r="30" spans="1:12" ht="15.75" customHeight="1" x14ac:dyDescent="0.2">
      <c r="A30" s="289"/>
      <c r="B30" s="140"/>
      <c r="C30" s="127"/>
      <c r="D30" s="127"/>
      <c r="E30" s="127"/>
      <c r="F30" s="127"/>
      <c r="G30" s="1156" t="s">
        <v>446</v>
      </c>
      <c r="H30" s="1062"/>
      <c r="I30" s="1017">
        <v>0.316</v>
      </c>
      <c r="J30" s="1018">
        <f>+'Projected Fin Stmts'!P76/'Projected Fin Stmts'!P68</f>
        <v>0.65695818468887512</v>
      </c>
      <c r="K30" s="1018">
        <f>+'Projected Fin Stmts'!Q76/'Projected Fin Stmts'!Q68</f>
        <v>0.49544517423873158</v>
      </c>
      <c r="L30" s="1019">
        <f>+'Projected Fin Stmts'!R76/'Projected Fin Stmts'!R68</f>
        <v>0.37172541688201116</v>
      </c>
    </row>
    <row r="31" spans="1:12" ht="15.75" customHeight="1" x14ac:dyDescent="0.2">
      <c r="A31" s="289"/>
      <c r="B31" s="140"/>
      <c r="C31" s="127"/>
      <c r="D31" s="127"/>
      <c r="E31" s="127"/>
      <c r="F31" s="127"/>
      <c r="G31" s="1156" t="s">
        <v>447</v>
      </c>
      <c r="H31" s="1062"/>
      <c r="I31" s="1017">
        <v>0.65700000000000003</v>
      </c>
      <c r="J31" s="1018">
        <f>+'Projected Fin Stmts'!P78/'Projected Fin Stmts'!P68</f>
        <v>0.68822860066631975</v>
      </c>
      <c r="K31" s="1018">
        <f>+'Projected Fin Stmts'!Q78/'Projected Fin Stmts'!Q68</f>
        <v>0.52546683677673589</v>
      </c>
      <c r="L31" s="1019">
        <f>+'Projected Fin Stmts'!R78/'Projected Fin Stmts'!R68</f>
        <v>0.39770210589747929</v>
      </c>
    </row>
    <row r="32" spans="1:12" ht="15.75" customHeight="1" x14ac:dyDescent="0.2">
      <c r="A32" s="289"/>
      <c r="B32" s="140"/>
      <c r="C32" s="127"/>
      <c r="D32" s="127"/>
      <c r="E32" s="127"/>
      <c r="F32" s="127"/>
      <c r="G32" s="1156" t="s">
        <v>448</v>
      </c>
      <c r="H32" s="1062"/>
      <c r="I32" s="1017">
        <v>0.34300000000000003</v>
      </c>
      <c r="J32" s="1018">
        <f>+'Projected Fin Stmts'!P83/'Projected Fin Stmts'!P68</f>
        <v>0.31177235158091277</v>
      </c>
      <c r="K32" s="1018">
        <f>+'Projected Fin Stmts'!Q83/'Projected Fin Stmts'!Q68</f>
        <v>0.47453297103793202</v>
      </c>
      <c r="L32" s="1019">
        <f>+'Projected Fin Stmts'!R83/'Projected Fin Stmts'!R68</f>
        <v>0.60229788794967742</v>
      </c>
    </row>
  </sheetData>
  <mergeCells count="25">
    <mergeCell ref="G32:H32"/>
    <mergeCell ref="G25:H25"/>
    <mergeCell ref="G31:H31"/>
    <mergeCell ref="G22:H22"/>
    <mergeCell ref="G9:H9"/>
    <mergeCell ref="G30:H30"/>
    <mergeCell ref="G24:H24"/>
    <mergeCell ref="C4:F4"/>
    <mergeCell ref="G15:H15"/>
    <mergeCell ref="G14:H14"/>
    <mergeCell ref="G26:H26"/>
    <mergeCell ref="G29:H29"/>
    <mergeCell ref="G20:H20"/>
    <mergeCell ref="G16:H16"/>
    <mergeCell ref="G8:H8"/>
    <mergeCell ref="G10:H10"/>
    <mergeCell ref="G19:H19"/>
    <mergeCell ref="G28:H28"/>
    <mergeCell ref="G13:H13"/>
    <mergeCell ref="G21:H21"/>
    <mergeCell ref="G12:H12"/>
    <mergeCell ref="G11:H11"/>
    <mergeCell ref="G27:H27"/>
    <mergeCell ref="G18:I18"/>
    <mergeCell ref="G23:H23"/>
  </mergeCells>
  <pageMargins left="0.7" right="0.7" top="0.75" bottom="0.75" header="0" footer="0"/>
  <pageSetup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E2E8F0"/>
  </sheetPr>
  <dimension ref="A1:P60"/>
  <sheetViews>
    <sheetView showGridLines="0" workbookViewId="0"/>
  </sheetViews>
  <sheetFormatPr baseColWidth="10" defaultColWidth="14.5" defaultRowHeight="15" customHeight="1" x14ac:dyDescent="0.2"/>
  <cols>
    <col min="1" max="1" width="24" customWidth="1"/>
    <col min="2" max="13" width="8.5" customWidth="1"/>
    <col min="14" max="16" width="10.83203125" customWidth="1"/>
    <col min="17" max="26" width="9.1640625" customWidth="1"/>
  </cols>
  <sheetData>
    <row r="1" spans="1:16" ht="12.75" customHeight="1" x14ac:dyDescent="0.2">
      <c r="A1" s="1074" t="str">
        <f>+'3yr Sum Proj Fin Stmts'!A1</f>
        <v>Draper Yoga</v>
      </c>
      <c r="B1" s="1062"/>
      <c r="C1" s="1062"/>
      <c r="D1" s="1062"/>
      <c r="E1" s="1062"/>
      <c r="F1" s="1062"/>
      <c r="G1" s="1062"/>
      <c r="H1" s="1062"/>
      <c r="I1" s="1062"/>
      <c r="J1" s="1062"/>
      <c r="K1" s="1062"/>
      <c r="L1" s="1062"/>
      <c r="M1" s="1062"/>
      <c r="N1" s="1062"/>
      <c r="O1" s="127"/>
      <c r="P1" s="127"/>
    </row>
    <row r="2" spans="1:16" ht="12.75" customHeight="1" x14ac:dyDescent="0.2">
      <c r="A2" s="1063" t="s">
        <v>449</v>
      </c>
      <c r="B2" s="1062"/>
      <c r="C2" s="1062"/>
      <c r="D2" s="1062"/>
      <c r="E2" s="1062"/>
      <c r="F2" s="1062"/>
      <c r="G2" s="1062"/>
      <c r="H2" s="1062"/>
      <c r="I2" s="1062"/>
      <c r="J2" s="1062"/>
      <c r="K2" s="1062"/>
      <c r="L2" s="1062"/>
      <c r="M2" s="1062"/>
      <c r="N2" s="1062"/>
      <c r="O2" s="127"/>
      <c r="P2" s="127"/>
    </row>
    <row r="3" spans="1:16" ht="12.75" customHeight="1" x14ac:dyDescent="0.2">
      <c r="A3" s="127"/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</row>
    <row r="4" spans="1:16" ht="27" customHeight="1" x14ac:dyDescent="0.2">
      <c r="A4" s="1026" t="s">
        <v>450</v>
      </c>
      <c r="B4" s="166"/>
      <c r="C4" s="166"/>
      <c r="D4" s="166"/>
      <c r="E4" s="166"/>
      <c r="F4" s="166"/>
      <c r="G4" s="166"/>
      <c r="H4" s="166"/>
      <c r="I4" s="166"/>
      <c r="J4" s="166"/>
      <c r="K4" s="166"/>
      <c r="L4" s="166"/>
      <c r="M4" s="166"/>
      <c r="N4" s="1027" t="s">
        <v>126</v>
      </c>
      <c r="O4" s="1027" t="s">
        <v>451</v>
      </c>
      <c r="P4" s="1027" t="s">
        <v>452</v>
      </c>
    </row>
    <row r="5" spans="1:16" ht="12.75" customHeight="1" x14ac:dyDescent="0.2">
      <c r="A5" s="1028"/>
      <c r="B5" s="1029">
        <f>+'Projected Fin Stmts'!D5</f>
        <v>44771</v>
      </c>
      <c r="C5" s="1029">
        <f>+'Projected Fin Stmts'!E5</f>
        <v>44799</v>
      </c>
      <c r="D5" s="1029">
        <f>+'Projected Fin Stmts'!F5</f>
        <v>44827</v>
      </c>
      <c r="E5" s="1029">
        <f>+'Projected Fin Stmts'!G5</f>
        <v>44855</v>
      </c>
      <c r="F5" s="1029">
        <f>+'Projected Fin Stmts'!H5</f>
        <v>44883</v>
      </c>
      <c r="G5" s="1029">
        <f>+'Projected Fin Stmts'!I5</f>
        <v>44911</v>
      </c>
      <c r="H5" s="1029">
        <f>+'Projected Fin Stmts'!J5</f>
        <v>44939</v>
      </c>
      <c r="I5" s="1029">
        <f>+'Projected Fin Stmts'!K5</f>
        <v>44967</v>
      </c>
      <c r="J5" s="1029">
        <f>+'Projected Fin Stmts'!L5</f>
        <v>44995</v>
      </c>
      <c r="K5" s="1029">
        <f>+'Projected Fin Stmts'!M5</f>
        <v>45023</v>
      </c>
      <c r="L5" s="1029">
        <f>+'Projected Fin Stmts'!N5</f>
        <v>45051</v>
      </c>
      <c r="M5" s="1029">
        <f>+'Projected Fin Stmts'!O5</f>
        <v>45079</v>
      </c>
      <c r="N5" s="1003">
        <f>+M5</f>
        <v>45079</v>
      </c>
      <c r="O5" s="1003">
        <f>+N5</f>
        <v>45079</v>
      </c>
      <c r="P5" s="1003">
        <f>+O5</f>
        <v>45079</v>
      </c>
    </row>
    <row r="6" spans="1:16" ht="25.5" customHeight="1" x14ac:dyDescent="0.2">
      <c r="A6" s="345" t="s">
        <v>8</v>
      </c>
      <c r="B6" s="150"/>
      <c r="C6" s="150"/>
      <c r="D6" s="150"/>
      <c r="E6" s="150"/>
      <c r="F6" s="150"/>
      <c r="G6" s="150"/>
      <c r="H6" s="150"/>
      <c r="I6" s="150"/>
      <c r="J6" s="150"/>
      <c r="K6" s="150"/>
      <c r="L6" s="150"/>
      <c r="M6" s="150"/>
      <c r="N6" s="150"/>
      <c r="O6" s="150"/>
      <c r="P6" s="150"/>
    </row>
    <row r="7" spans="1:16" ht="12.75" customHeight="1" x14ac:dyDescent="0.2">
      <c r="A7" s="315" t="s">
        <v>100</v>
      </c>
      <c r="B7" s="316">
        <f>+'Projected Fin Stmts'!D12</f>
        <v>4452</v>
      </c>
      <c r="C7" s="316">
        <f>+'Projected Fin Stmts'!E12</f>
        <v>8478</v>
      </c>
      <c r="D7" s="316">
        <f>+'Projected Fin Stmts'!F12</f>
        <v>13404</v>
      </c>
      <c r="E7" s="316">
        <f>+'Projected Fin Stmts'!G12</f>
        <v>19230</v>
      </c>
      <c r="F7" s="316">
        <f>+'Projected Fin Stmts'!H12</f>
        <v>25956</v>
      </c>
      <c r="G7" s="316">
        <f>+'Projected Fin Stmts'!I12</f>
        <v>33582</v>
      </c>
      <c r="H7" s="316">
        <f>+'Projected Fin Stmts'!J12</f>
        <v>46560</v>
      </c>
      <c r="I7" s="316">
        <f>+'Projected Fin Stmts'!K12</f>
        <v>53334</v>
      </c>
      <c r="J7" s="316">
        <f>+'Projected Fin Stmts'!L12</f>
        <v>59208</v>
      </c>
      <c r="K7" s="316">
        <f>+'Projected Fin Stmts'!M12</f>
        <v>64182</v>
      </c>
      <c r="L7" s="316">
        <f>+'Projected Fin Stmts'!N12</f>
        <v>70482</v>
      </c>
      <c r="M7" s="316">
        <f>+'Projected Fin Stmts'!O12</f>
        <v>76782</v>
      </c>
      <c r="N7" s="316">
        <f>+'Projected Fin Stmts'!P12</f>
        <v>475650</v>
      </c>
      <c r="O7" s="316">
        <f>+'Projected Fin Stmts'!Q12</f>
        <v>587903.4</v>
      </c>
      <c r="P7" s="316">
        <f>+'Projected Fin Stmts'!R12</f>
        <v>656397</v>
      </c>
    </row>
    <row r="8" spans="1:16" ht="12.75" customHeight="1" x14ac:dyDescent="0.2">
      <c r="A8" s="315" t="s">
        <v>109</v>
      </c>
      <c r="B8" s="316">
        <f>+'Projected Fin Stmts'!D17</f>
        <v>-1008</v>
      </c>
      <c r="C8" s="316">
        <f>+'Projected Fin Stmts'!E17</f>
        <v>-1704.6</v>
      </c>
      <c r="D8" s="316">
        <f>+'Projected Fin Stmts'!F17</f>
        <v>-2497.5</v>
      </c>
      <c r="E8" s="316">
        <f>+'Projected Fin Stmts'!G17</f>
        <v>-3386.7</v>
      </c>
      <c r="F8" s="316">
        <f>+'Projected Fin Stmts'!H17</f>
        <v>-4372.2000000000007</v>
      </c>
      <c r="G8" s="316">
        <f>+'Projected Fin Stmts'!I17</f>
        <v>-5454</v>
      </c>
      <c r="H8" s="316">
        <f>+'Projected Fin Stmts'!J17</f>
        <v>-7640.1</v>
      </c>
      <c r="I8" s="316">
        <f>+'Projected Fin Stmts'!K17</f>
        <v>-8099.1</v>
      </c>
      <c r="J8" s="316">
        <f>+'Projected Fin Stmts'!L17</f>
        <v>-8461.7999999999993</v>
      </c>
      <c r="K8" s="316">
        <f>+'Projected Fin Stmts'!M17</f>
        <v>-8728.2000000000007</v>
      </c>
      <c r="L8" s="316">
        <f>+'Projected Fin Stmts'!N17</f>
        <v>-9402.2999999999993</v>
      </c>
      <c r="M8" s="316">
        <f>+'Projected Fin Stmts'!O17</f>
        <v>-10076.4</v>
      </c>
      <c r="N8" s="316">
        <f>+'Projected Fin Stmts'!P17</f>
        <v>-70830.899999999994</v>
      </c>
      <c r="O8" s="316">
        <f>+'Projected Fin Stmts'!Q17</f>
        <v>-93359.838599999988</v>
      </c>
      <c r="P8" s="316">
        <f>+'Projected Fin Stmts'!R17</f>
        <v>-104236.71299999996</v>
      </c>
    </row>
    <row r="9" spans="1:16" ht="12.75" customHeight="1" x14ac:dyDescent="0.2">
      <c r="A9" s="321" t="s">
        <v>110</v>
      </c>
      <c r="B9" s="318">
        <f>+'Projected Fin Stmts'!D19</f>
        <v>3444</v>
      </c>
      <c r="C9" s="318">
        <f>+'Projected Fin Stmts'!E19</f>
        <v>6773.4</v>
      </c>
      <c r="D9" s="318">
        <f>+'Projected Fin Stmts'!F19</f>
        <v>10906.5</v>
      </c>
      <c r="E9" s="318">
        <f>+'Projected Fin Stmts'!G19</f>
        <v>15843.3</v>
      </c>
      <c r="F9" s="318">
        <f>+'Projected Fin Stmts'!H19</f>
        <v>21583.8</v>
      </c>
      <c r="G9" s="318">
        <f>+'Projected Fin Stmts'!I19</f>
        <v>28128</v>
      </c>
      <c r="H9" s="318">
        <f>+'Projected Fin Stmts'!J19</f>
        <v>38919.9</v>
      </c>
      <c r="I9" s="318">
        <f>+'Projected Fin Stmts'!K19</f>
        <v>45234.9</v>
      </c>
      <c r="J9" s="318">
        <f>+'Projected Fin Stmts'!L19</f>
        <v>50746.2</v>
      </c>
      <c r="K9" s="318">
        <f>+'Projected Fin Stmts'!M19</f>
        <v>55453.8</v>
      </c>
      <c r="L9" s="318">
        <f>+'Projected Fin Stmts'!N19</f>
        <v>61079.7</v>
      </c>
      <c r="M9" s="318">
        <f>+'Projected Fin Stmts'!O19</f>
        <v>66705.600000000006</v>
      </c>
      <c r="N9" s="318">
        <f>+'Projected Fin Stmts'!P19</f>
        <v>404819.1</v>
      </c>
      <c r="O9" s="318">
        <f>+'Projected Fin Stmts'!Q19</f>
        <v>494543.56140000001</v>
      </c>
      <c r="P9" s="318">
        <f>+'Projected Fin Stmts'!R19</f>
        <v>552160.28700000001</v>
      </c>
    </row>
    <row r="10" spans="1:16" ht="18" customHeight="1" x14ac:dyDescent="0.2">
      <c r="A10" s="315" t="s">
        <v>111</v>
      </c>
      <c r="B10" s="316">
        <f>+'Projected Fin Stmts'!D39</f>
        <v>-23777.5</v>
      </c>
      <c r="C10" s="316">
        <f>+'Projected Fin Stmts'!E39</f>
        <v>-23777.5</v>
      </c>
      <c r="D10" s="316">
        <f>+'Projected Fin Stmts'!F39</f>
        <v>-23777.5</v>
      </c>
      <c r="E10" s="316">
        <f>+'Projected Fin Stmts'!G39</f>
        <v>-23777.5</v>
      </c>
      <c r="F10" s="316">
        <f>+'Projected Fin Stmts'!H39</f>
        <v>-23777.5</v>
      </c>
      <c r="G10" s="316">
        <f>+'Projected Fin Stmts'!I39</f>
        <v>-23777.5</v>
      </c>
      <c r="H10" s="316">
        <f>+'Projected Fin Stmts'!J39</f>
        <v>-23777.5</v>
      </c>
      <c r="I10" s="316">
        <f>+'Projected Fin Stmts'!K39</f>
        <v>-23777.5</v>
      </c>
      <c r="J10" s="316">
        <f>+'Projected Fin Stmts'!L39</f>
        <v>-23777.5</v>
      </c>
      <c r="K10" s="316">
        <f>+'Projected Fin Stmts'!M39</f>
        <v>-24927.5</v>
      </c>
      <c r="L10" s="316">
        <f>+'Projected Fin Stmts'!N39</f>
        <v>-23777.5</v>
      </c>
      <c r="M10" s="316">
        <f>+'Projected Fin Stmts'!O39</f>
        <v>-23777.5</v>
      </c>
      <c r="N10" s="316">
        <f>+'Projected Fin Stmts'!P39</f>
        <v>-286480</v>
      </c>
      <c r="O10" s="316">
        <f>+'Projected Fin Stmts'!Q39</f>
        <v>-332412.73660714284</v>
      </c>
      <c r="P10" s="316">
        <f>+'Projected Fin Stmts'!R39</f>
        <v>-345770.10629464278</v>
      </c>
    </row>
    <row r="11" spans="1:16" ht="12.75" customHeight="1" x14ac:dyDescent="0.2">
      <c r="A11" s="375" t="s">
        <v>112</v>
      </c>
      <c r="B11" s="376">
        <f>+'Projected Fin Stmts'!D40</f>
        <v>-20333.5</v>
      </c>
      <c r="C11" s="376">
        <f>+'Projected Fin Stmts'!E40</f>
        <v>-17004.099999999999</v>
      </c>
      <c r="D11" s="376">
        <f>+'Projected Fin Stmts'!F40</f>
        <v>-12871</v>
      </c>
      <c r="E11" s="376">
        <f>+'Projected Fin Stmts'!G40</f>
        <v>-7934.2000000000007</v>
      </c>
      <c r="F11" s="376">
        <f>+'Projected Fin Stmts'!H40</f>
        <v>-2193.7000000000007</v>
      </c>
      <c r="G11" s="376">
        <f>+'Projected Fin Stmts'!I40</f>
        <v>4350.5</v>
      </c>
      <c r="H11" s="376">
        <f>+'Projected Fin Stmts'!J40</f>
        <v>15142.400000000001</v>
      </c>
      <c r="I11" s="376">
        <f>+'Projected Fin Stmts'!K40</f>
        <v>21457.4</v>
      </c>
      <c r="J11" s="376">
        <f>+'Projected Fin Stmts'!L40</f>
        <v>26968.699999999997</v>
      </c>
      <c r="K11" s="376">
        <f>+'Projected Fin Stmts'!M40</f>
        <v>30526.300000000003</v>
      </c>
      <c r="L11" s="376">
        <f>+'Projected Fin Stmts'!N40</f>
        <v>37302.199999999997</v>
      </c>
      <c r="M11" s="376">
        <f>+'Projected Fin Stmts'!O40</f>
        <v>42928.100000000006</v>
      </c>
      <c r="N11" s="376">
        <f>+'Projected Fin Stmts'!P40</f>
        <v>118339.09999999998</v>
      </c>
      <c r="O11" s="376">
        <f>+'Projected Fin Stmts'!Q40</f>
        <v>162130.82479285717</v>
      </c>
      <c r="P11" s="376">
        <f>+'Projected Fin Stmts'!R40</f>
        <v>206390.18070535723</v>
      </c>
    </row>
    <row r="12" spans="1:16" ht="12.75" customHeight="1" x14ac:dyDescent="0.2">
      <c r="A12" s="362" t="s">
        <v>113</v>
      </c>
      <c r="B12" s="363">
        <f>+'Projected Fin Stmts'!D44</f>
        <v>-21583.5</v>
      </c>
      <c r="C12" s="363">
        <f>+'Projected Fin Stmts'!E44</f>
        <v>-18251.394611769021</v>
      </c>
      <c r="D12" s="363">
        <f>+'Projected Fin Stmts'!F44</f>
        <v>-14129.57569659689</v>
      </c>
      <c r="E12" s="363">
        <f>+'Projected Fin Stmts'!G44</f>
        <v>-9281.4698535155658</v>
      </c>
      <c r="F12" s="363">
        <f>+'Projected Fin Stmts'!H44</f>
        <v>-3599.593192329944</v>
      </c>
      <c r="G12" s="363">
        <f>+'Projected Fin Stmts'!I44</f>
        <v>2922.2547363097542</v>
      </c>
      <c r="H12" s="363">
        <f>+'Projected Fin Stmts'!J44</f>
        <v>13733.20238463512</v>
      </c>
      <c r="I12" s="363">
        <f>+'Projected Fin Stmts'!K44</f>
        <v>20134.59906111153</v>
      </c>
      <c r="J12" s="363">
        <f>+'Projected Fin Stmts'!L44</f>
        <v>25740.725671510747</v>
      </c>
      <c r="K12" s="363">
        <f>+'Projected Fin Stmts'!M44</f>
        <v>29301.141188099282</v>
      </c>
      <c r="L12" s="363">
        <f>+'Projected Fin Stmts'!N44</f>
        <v>36079.870782270751</v>
      </c>
      <c r="M12" s="363">
        <f>+'Projected Fin Stmts'!O44</f>
        <v>41708.614524413089</v>
      </c>
      <c r="N12" s="363">
        <f>+'Projected Fin Stmts'!P44</f>
        <v>77081.156245604114</v>
      </c>
      <c r="O12" s="363">
        <f>+'Projected Fin Stmts'!Q44</f>
        <v>110793.05643067296</v>
      </c>
      <c r="P12" s="363">
        <f>+'Projected Fin Stmts'!R44</f>
        <v>144315.36875510975</v>
      </c>
    </row>
    <row r="13" spans="1:16" ht="12.75" customHeight="1" x14ac:dyDescent="0.2">
      <c r="A13" s="127"/>
      <c r="B13" s="127"/>
      <c r="C13" s="127"/>
      <c r="D13" s="127"/>
      <c r="E13" s="127"/>
      <c r="F13" s="127"/>
      <c r="G13" s="127"/>
      <c r="H13" s="127"/>
      <c r="I13" s="127"/>
      <c r="J13" s="127"/>
      <c r="K13" s="127"/>
      <c r="L13" s="127"/>
      <c r="M13" s="127"/>
      <c r="N13" s="127"/>
      <c r="O13" s="127"/>
      <c r="P13" s="127"/>
    </row>
    <row r="14" spans="1:16" ht="12.75" customHeight="1" x14ac:dyDescent="0.2">
      <c r="A14" s="345" t="s">
        <v>96</v>
      </c>
      <c r="B14" s="150"/>
      <c r="C14" s="150"/>
      <c r="D14" s="150"/>
      <c r="E14" s="150"/>
      <c r="F14" s="150"/>
      <c r="G14" s="150"/>
      <c r="H14" s="150"/>
      <c r="I14" s="150"/>
      <c r="J14" s="150"/>
      <c r="K14" s="150"/>
      <c r="L14" s="150"/>
      <c r="M14" s="150"/>
      <c r="N14" s="150"/>
      <c r="O14" s="150"/>
      <c r="P14" s="150"/>
    </row>
    <row r="15" spans="1:16" ht="12.75" customHeight="1" x14ac:dyDescent="0.2">
      <c r="A15" s="315" t="s">
        <v>17</v>
      </c>
      <c r="B15" s="316">
        <f>+'Projected Fin Stmts'!D54</f>
        <v>103529.56902047124</v>
      </c>
      <c r="C15" s="316">
        <f>+'Projected Fin Stmts'!E54</f>
        <v>87593.682040942498</v>
      </c>
      <c r="D15" s="316">
        <f>+'Projected Fin Stmts'!F54</f>
        <v>87151.741061413748</v>
      </c>
      <c r="E15" s="316">
        <f>+'Projected Fin Stmts'!G54</f>
        <v>86763.14808188501</v>
      </c>
      <c r="F15" s="316">
        <f>+'Projected Fin Stmts'!H54</f>
        <v>86287.305102356273</v>
      </c>
      <c r="G15" s="316">
        <f>+'Projected Fin Stmts'!I54</f>
        <v>85750.614122827523</v>
      </c>
      <c r="H15" s="316">
        <f>+'Projected Fin Stmts'!J54</f>
        <v>85292.957143298787</v>
      </c>
      <c r="I15" s="316">
        <f>+'Projected Fin Stmts'!K54</f>
        <v>89634.580163770035</v>
      </c>
      <c r="J15" s="316">
        <f>+'Projected Fin Stmts'!L54</f>
        <v>113091.08118424131</v>
      </c>
      <c r="K15" s="316">
        <f>+'Projected Fin Stmts'!M54</f>
        <v>139857.05820471258</v>
      </c>
      <c r="L15" s="316">
        <f>+'Projected Fin Stmts'!N54</f>
        <v>173088.84922518383</v>
      </c>
      <c r="M15" s="316">
        <f>+'Projected Fin Stmts'!O54</f>
        <v>211636.4542456551</v>
      </c>
      <c r="N15" s="316">
        <f>+'Projected Fin Stmts'!P54</f>
        <v>211636.45424565504</v>
      </c>
      <c r="O15" s="316">
        <f>+'Projected Fin Stmts'!Q54</f>
        <v>324733.83482708584</v>
      </c>
      <c r="P15" s="316">
        <f>+'Projected Fin Stmts'!R54</f>
        <v>473047.52890087105</v>
      </c>
    </row>
    <row r="16" spans="1:16" ht="12.75" customHeight="1" x14ac:dyDescent="0.2">
      <c r="A16" s="315" t="s">
        <v>114</v>
      </c>
      <c r="B16" s="316">
        <f>+'Projected Fin Stmts'!D58</f>
        <v>103848.34902047124</v>
      </c>
      <c r="C16" s="316">
        <f>+'Projected Fin Stmts'!E58</f>
        <v>88523.526040942495</v>
      </c>
      <c r="D16" s="316">
        <f>+'Projected Fin Stmts'!F58</f>
        <v>89051.380061413758</v>
      </c>
      <c r="E16" s="316">
        <f>+'Projected Fin Stmts'!G58</f>
        <v>90057.760081885004</v>
      </c>
      <c r="F16" s="316">
        <f>+'Projected Fin Stmts'!H58</f>
        <v>91468.515102356279</v>
      </c>
      <c r="G16" s="316">
        <f>+'Projected Fin Stmts'!I58</f>
        <v>93376.494122827527</v>
      </c>
      <c r="H16" s="316">
        <f>+'Projected Fin Stmts'!J58</f>
        <v>96306.806143298774</v>
      </c>
      <c r="I16" s="316">
        <f>+'Projected Fin Stmts'!K58</f>
        <v>104541.47816377002</v>
      </c>
      <c r="J16" s="316">
        <f>+'Projected Fin Stmts'!L58</f>
        <v>132329.6611842413</v>
      </c>
      <c r="K16" s="316">
        <f>+'Projected Fin Stmts'!M58</f>
        <v>163799.50620471255</v>
      </c>
      <c r="L16" s="316">
        <f>+'Projected Fin Stmts'!N58</f>
        <v>202200.29422518384</v>
      </c>
      <c r="M16" s="316">
        <f>+'Projected Fin Stmts'!O58</f>
        <v>246382.02524565507</v>
      </c>
      <c r="N16" s="316">
        <f>+'Projected Fin Stmts'!P58</f>
        <v>246382.02524565501</v>
      </c>
      <c r="O16" s="316">
        <f>+'Projected Fin Stmts'!Q58</f>
        <v>367679.3605830858</v>
      </c>
      <c r="P16" s="316">
        <f>+'Projected Fin Stmts'!R58</f>
        <v>520996.41688087105</v>
      </c>
    </row>
    <row r="17" spans="1:16" ht="12.75" customHeight="1" x14ac:dyDescent="0.2">
      <c r="A17" s="315" t="s">
        <v>115</v>
      </c>
      <c r="B17" s="316">
        <f>+'Projected Fin Stmts'!D66</f>
        <v>130833</v>
      </c>
      <c r="C17" s="316">
        <f>+'Projected Fin Stmts'!E66</f>
        <v>129667</v>
      </c>
      <c r="D17" s="316">
        <f>+'Projected Fin Stmts'!F66</f>
        <v>128500</v>
      </c>
      <c r="E17" s="316">
        <f>+'Projected Fin Stmts'!G66</f>
        <v>127333</v>
      </c>
      <c r="F17" s="316">
        <f>+'Projected Fin Stmts'!H66</f>
        <v>126167</v>
      </c>
      <c r="G17" s="316">
        <f>+'Projected Fin Stmts'!I66</f>
        <v>125000</v>
      </c>
      <c r="H17" s="316">
        <f>+'Projected Fin Stmts'!J66</f>
        <v>123833</v>
      </c>
      <c r="I17" s="316">
        <f>+'Projected Fin Stmts'!K66</f>
        <v>122667</v>
      </c>
      <c r="J17" s="316">
        <f>+'Projected Fin Stmts'!L66</f>
        <v>121500</v>
      </c>
      <c r="K17" s="316">
        <f>+'Projected Fin Stmts'!M66</f>
        <v>120333</v>
      </c>
      <c r="L17" s="316">
        <f>+'Projected Fin Stmts'!N66</f>
        <v>119167</v>
      </c>
      <c r="M17" s="316">
        <f>+'Projected Fin Stmts'!O66</f>
        <v>118000</v>
      </c>
      <c r="N17" s="316">
        <f>+'Projected Fin Stmts'!P66</f>
        <v>118000</v>
      </c>
      <c r="O17" s="316">
        <f>+'Projected Fin Stmts'!Q66</f>
        <v>103143</v>
      </c>
      <c r="P17" s="316">
        <f>+'Projected Fin Stmts'!R66</f>
        <v>88286</v>
      </c>
    </row>
    <row r="18" spans="1:16" ht="12.75" customHeight="1" x14ac:dyDescent="0.2">
      <c r="A18" s="315" t="s">
        <v>128</v>
      </c>
      <c r="B18" s="316">
        <f>+'Projected Fin Stmts'!D67</f>
        <v>6000</v>
      </c>
      <c r="C18" s="316">
        <f>+'Projected Fin Stmts'!E67</f>
        <v>6000</v>
      </c>
      <c r="D18" s="316">
        <f>+'Projected Fin Stmts'!F67</f>
        <v>6000</v>
      </c>
      <c r="E18" s="316">
        <f>+'Projected Fin Stmts'!G67</f>
        <v>6000</v>
      </c>
      <c r="F18" s="316">
        <f>+'Projected Fin Stmts'!H67</f>
        <v>6000</v>
      </c>
      <c r="G18" s="316">
        <f>+'Projected Fin Stmts'!I67</f>
        <v>6000</v>
      </c>
      <c r="H18" s="316">
        <f>+'Projected Fin Stmts'!J67</f>
        <v>6000</v>
      </c>
      <c r="I18" s="316">
        <f>+'Projected Fin Stmts'!K67</f>
        <v>6000</v>
      </c>
      <c r="J18" s="316">
        <f>+'Projected Fin Stmts'!L67</f>
        <v>6000</v>
      </c>
      <c r="K18" s="316">
        <f>+'Projected Fin Stmts'!M67</f>
        <v>6000</v>
      </c>
      <c r="L18" s="316">
        <f>+'Projected Fin Stmts'!N67</f>
        <v>6000</v>
      </c>
      <c r="M18" s="316">
        <f>+'Projected Fin Stmts'!O67</f>
        <v>6000</v>
      </c>
      <c r="N18" s="316">
        <f>+'Projected Fin Stmts'!P67</f>
        <v>6000</v>
      </c>
      <c r="O18" s="316">
        <f>+'Projected Fin Stmts'!Q67</f>
        <v>6000</v>
      </c>
      <c r="P18" s="316">
        <f>+'Projected Fin Stmts'!R67</f>
        <v>6000</v>
      </c>
    </row>
    <row r="19" spans="1:16" ht="12.75" customHeight="1" x14ac:dyDescent="0.2">
      <c r="A19" s="364" t="s">
        <v>117</v>
      </c>
      <c r="B19" s="327">
        <f>+'Projected Fin Stmts'!D68</f>
        <v>240681.34902047124</v>
      </c>
      <c r="C19" s="327">
        <f>+'Projected Fin Stmts'!E68</f>
        <v>224190.5260409425</v>
      </c>
      <c r="D19" s="327">
        <f>+'Projected Fin Stmts'!F68</f>
        <v>223551.38006141374</v>
      </c>
      <c r="E19" s="327">
        <f>+'Projected Fin Stmts'!G68</f>
        <v>223390.760081885</v>
      </c>
      <c r="F19" s="327">
        <f>+'Projected Fin Stmts'!H68</f>
        <v>223635.51510235626</v>
      </c>
      <c r="G19" s="327">
        <f>+'Projected Fin Stmts'!I68</f>
        <v>224376.49412282754</v>
      </c>
      <c r="H19" s="327">
        <f>+'Projected Fin Stmts'!J68</f>
        <v>226139.80614329877</v>
      </c>
      <c r="I19" s="327">
        <f>+'Projected Fin Stmts'!K68</f>
        <v>233208.47816377002</v>
      </c>
      <c r="J19" s="327">
        <f>+'Projected Fin Stmts'!L68</f>
        <v>259829.6611842413</v>
      </c>
      <c r="K19" s="327">
        <f>+'Projected Fin Stmts'!M68</f>
        <v>290132.50620471255</v>
      </c>
      <c r="L19" s="327">
        <f>+'Projected Fin Stmts'!N68</f>
        <v>327367.29422518384</v>
      </c>
      <c r="M19" s="327">
        <f>+'Projected Fin Stmts'!O68</f>
        <v>370382.0252456551</v>
      </c>
      <c r="N19" s="327">
        <f>+'Projected Fin Stmts'!P68</f>
        <v>370382.02524565498</v>
      </c>
      <c r="O19" s="327">
        <f>+'Projected Fin Stmts'!Q68</f>
        <v>476822.3605830858</v>
      </c>
      <c r="P19" s="327">
        <f>+'Projected Fin Stmts'!R68</f>
        <v>615282.41688087105</v>
      </c>
    </row>
    <row r="20" spans="1:16" ht="21" customHeight="1" x14ac:dyDescent="0.2">
      <c r="A20" s="315" t="s">
        <v>118</v>
      </c>
      <c r="B20" s="316">
        <f>+'Projected Fin Stmts'!D75</f>
        <v>106</v>
      </c>
      <c r="C20" s="316">
        <f>+'Projected Fin Stmts'!E75</f>
        <v>2410</v>
      </c>
      <c r="D20" s="316">
        <f>+'Projected Fin Stmts'!F75</f>
        <v>16447</v>
      </c>
      <c r="E20" s="316">
        <f>+'Projected Fin Stmts'!G75</f>
        <v>26118</v>
      </c>
      <c r="F20" s="316">
        <f>+'Projected Fin Stmts'!H75</f>
        <v>30513</v>
      </c>
      <c r="G20" s="316">
        <f>+'Projected Fin Stmts'!I75</f>
        <v>28887</v>
      </c>
      <c r="H20" s="316">
        <f>+'Projected Fin Stmts'!J75</f>
        <v>17475</v>
      </c>
      <c r="I20" s="316">
        <f>+'Projected Fin Stmts'!K75</f>
        <v>4969</v>
      </c>
      <c r="J20" s="316">
        <f>+'Projected Fin Stmts'!L75</f>
        <v>6413</v>
      </c>
      <c r="K20" s="316">
        <f>+'Projected Fin Stmts'!M75</f>
        <v>7981</v>
      </c>
      <c r="L20" s="316">
        <f>+'Projected Fin Stmts'!N75</f>
        <v>9704</v>
      </c>
      <c r="M20" s="316">
        <f>+'Projected Fin Stmts'!O75</f>
        <v>11582</v>
      </c>
      <c r="N20" s="316">
        <f>+'Projected Fin Stmts'!P75</f>
        <v>11582</v>
      </c>
      <c r="O20" s="316">
        <f>+'Projected Fin Stmts'!Q75</f>
        <v>14315</v>
      </c>
      <c r="P20" s="316">
        <f>+'Projected Fin Stmts'!R75</f>
        <v>15983</v>
      </c>
    </row>
    <row r="21" spans="1:16" ht="12.75" customHeight="1" x14ac:dyDescent="0.2">
      <c r="A21" s="365" t="s">
        <v>83</v>
      </c>
      <c r="B21" s="366">
        <f>+'Projected Fin Stmts'!D78</f>
        <v>249564.92235380458</v>
      </c>
      <c r="C21" s="366">
        <f>+'Projected Fin Stmts'!E78</f>
        <v>251325.13931937818</v>
      </c>
      <c r="D21" s="366">
        <f>+'Projected Fin Stmts'!F78</f>
        <v>264815.63736977964</v>
      </c>
      <c r="E21" s="366">
        <f>+'Projected Fin Stmts'!G78</f>
        <v>273937.40291043313</v>
      </c>
      <c r="F21" s="366">
        <f>+'Projected Fin Stmts'!H78</f>
        <v>277780.42227878992</v>
      </c>
      <c r="G21" s="366">
        <f>+'Projected Fin Stmts'!I78</f>
        <v>275599.68174398842</v>
      </c>
      <c r="H21" s="366">
        <f>+'Projected Fin Stmts'!J78</f>
        <v>263630.16750651295</v>
      </c>
      <c r="I21" s="366">
        <f>+'Projected Fin Stmts'!K78</f>
        <v>250563.86569785012</v>
      </c>
      <c r="J21" s="366">
        <f>+'Projected Fin Stmts'!L78</f>
        <v>251444.76238014398</v>
      </c>
      <c r="K21" s="366">
        <f>+'Projected Fin Stmts'!M78</f>
        <v>252446.84354584929</v>
      </c>
      <c r="L21" s="366">
        <f>+'Projected Fin Stmts'!N78</f>
        <v>253601.09511738311</v>
      </c>
      <c r="M21" s="366">
        <f>+'Projected Fin Stmts'!O78</f>
        <v>254907.50294677462</v>
      </c>
      <c r="N21" s="366">
        <f>+'Projected Fin Stmts'!P78</f>
        <v>254907.50294677462</v>
      </c>
      <c r="O21" s="366">
        <f>+'Projected Fin Stmts'!Q78</f>
        <v>250554.33752001025</v>
      </c>
      <c r="P21" s="366">
        <f>+'Projected Fin Stmts'!R78</f>
        <v>244699.11291521316</v>
      </c>
    </row>
    <row r="22" spans="1:16" ht="12.75" customHeight="1" x14ac:dyDescent="0.2">
      <c r="A22" s="164"/>
      <c r="B22" s="165"/>
      <c r="C22" s="165"/>
      <c r="D22" s="165"/>
      <c r="E22" s="165"/>
      <c r="F22" s="165"/>
      <c r="G22" s="165"/>
      <c r="H22" s="165"/>
      <c r="I22" s="165"/>
      <c r="J22" s="165"/>
      <c r="K22" s="165"/>
      <c r="L22" s="165"/>
      <c r="M22" s="165"/>
      <c r="N22" s="165"/>
      <c r="O22" s="165"/>
      <c r="P22" s="165"/>
    </row>
    <row r="23" spans="1:16" ht="12.75" customHeight="1" x14ac:dyDescent="0.2">
      <c r="A23" s="365" t="s">
        <v>129</v>
      </c>
      <c r="B23" s="366">
        <f>+'Projected Fin Stmts'!D83</f>
        <v>-8883.5</v>
      </c>
      <c r="C23" s="366">
        <f>+'Projected Fin Stmts'!E83</f>
        <v>-27134.894611769021</v>
      </c>
      <c r="D23" s="366">
        <f>+'Projected Fin Stmts'!F83</f>
        <v>-41264.470308365911</v>
      </c>
      <c r="E23" s="366">
        <f>+'Projected Fin Stmts'!G83</f>
        <v>-50545.940161881474</v>
      </c>
      <c r="F23" s="366">
        <f>+'Projected Fin Stmts'!H83</f>
        <v>-54145.533354211424</v>
      </c>
      <c r="G23" s="366">
        <f>+'Projected Fin Stmts'!I83</f>
        <v>-51223.278617901669</v>
      </c>
      <c r="H23" s="366">
        <f>+'Projected Fin Stmts'!J83</f>
        <v>-37490.076233266547</v>
      </c>
      <c r="I23" s="366">
        <f>+'Projected Fin Stmts'!K83</f>
        <v>-17355.477172155021</v>
      </c>
      <c r="J23" s="366">
        <f>+'Projected Fin Stmts'!L83</f>
        <v>8385.2484993557264</v>
      </c>
      <c r="K23" s="366">
        <f>+'Projected Fin Stmts'!M83</f>
        <v>37686.389687455012</v>
      </c>
      <c r="L23" s="366">
        <f>+'Projected Fin Stmts'!N83</f>
        <v>73766.260469725763</v>
      </c>
      <c r="M23" s="366">
        <f>+'Projected Fin Stmts'!O83</f>
        <v>115474.87499413885</v>
      </c>
      <c r="N23" s="366">
        <f>+'Projected Fin Stmts'!P83</f>
        <v>115474.87499413885</v>
      </c>
      <c r="O23" s="366">
        <f>+'Projected Fin Stmts'!Q83</f>
        <v>226267.93142481183</v>
      </c>
      <c r="P23" s="366">
        <f>+'Projected Fin Stmts'!R83</f>
        <v>370583.30017992156</v>
      </c>
    </row>
    <row r="24" spans="1:16" ht="12.75" customHeight="1" x14ac:dyDescent="0.2">
      <c r="A24" s="127"/>
      <c r="B24" s="127"/>
      <c r="C24" s="127"/>
      <c r="D24" s="127"/>
      <c r="E24" s="127"/>
      <c r="F24" s="127"/>
      <c r="G24" s="127"/>
      <c r="H24" s="127"/>
      <c r="I24" s="127"/>
      <c r="J24" s="127"/>
      <c r="K24" s="127"/>
      <c r="L24" s="127"/>
      <c r="M24" s="127"/>
      <c r="N24" s="127"/>
      <c r="O24" s="127"/>
      <c r="P24" s="127"/>
    </row>
    <row r="25" spans="1:16" ht="12.75" customHeight="1" x14ac:dyDescent="0.2">
      <c r="A25" s="345" t="s">
        <v>9</v>
      </c>
      <c r="B25" s="150"/>
      <c r="C25" s="150"/>
      <c r="D25" s="150"/>
      <c r="E25" s="150"/>
      <c r="F25" s="150"/>
      <c r="G25" s="150"/>
      <c r="H25" s="150"/>
      <c r="I25" s="150"/>
      <c r="J25" s="150"/>
      <c r="K25" s="150"/>
      <c r="L25" s="150"/>
      <c r="M25" s="150"/>
      <c r="N25" s="150"/>
      <c r="O25" s="150"/>
      <c r="P25" s="150"/>
    </row>
    <row r="26" spans="1:16" ht="12.75" customHeight="1" x14ac:dyDescent="0.2">
      <c r="A26" s="315" t="s">
        <v>120</v>
      </c>
      <c r="B26" s="316">
        <f>+'Projected Fin Stmts'!D98</f>
        <v>-20629.353333333333</v>
      </c>
      <c r="C26" s="316">
        <f>+'Projected Fin Stmts'!E98</f>
        <v>-15392.103945102352</v>
      </c>
      <c r="D26" s="316">
        <f>+'Projected Fin Stmts'!F98</f>
        <v>104.56097006977507</v>
      </c>
      <c r="E26" s="316">
        <f>+'Projected Fin Stmts'!G98</f>
        <v>160.64147981776659</v>
      </c>
      <c r="F26" s="316">
        <f>+'Projected Fin Stmts'!H98</f>
        <v>76.137652114501179</v>
      </c>
      <c r="G26" s="316">
        <f>+'Projected Fin Stmts'!I98</f>
        <v>18.049555272716589</v>
      </c>
      <c r="H26" s="316">
        <f>+'Projected Fin Stmts'!J98</f>
        <v>99.857257946723621</v>
      </c>
      <c r="I26" s="316">
        <f>+'Projected Fin Stmts'!K98</f>
        <v>4901.9248291341028</v>
      </c>
      <c r="J26" s="316">
        <f>+'Projected Fin Stmts'!L98</f>
        <v>24019.604338177414</v>
      </c>
      <c r="K26" s="316">
        <f>+'Projected Fin Stmts'!M98</f>
        <v>27331.895854765949</v>
      </c>
      <c r="L26" s="316">
        <f>+'Projected Fin Stmts'!N98</f>
        <v>33800.539448937416</v>
      </c>
      <c r="M26" s="316">
        <f>+'Projected Fin Stmts'!O98</f>
        <v>39119.197191079758</v>
      </c>
      <c r="N26" s="316">
        <f>+'Projected Fin Stmts'!P98</f>
        <v>93610.95129888042</v>
      </c>
      <c r="O26" s="316">
        <f>+'Projected Fin Stmts'!Q98</f>
        <v>120183.54600819515</v>
      </c>
      <c r="P26" s="316">
        <f>+'Projected Fin Stmts'!R98</f>
        <v>155836.91867858233</v>
      </c>
    </row>
    <row r="27" spans="1:16" ht="12.75" customHeight="1" x14ac:dyDescent="0.2">
      <c r="A27" s="315" t="s">
        <v>121</v>
      </c>
      <c r="B27" s="316">
        <f>+'Projected Fin Stmts'!D102</f>
        <v>0</v>
      </c>
      <c r="C27" s="316">
        <f>+'Projected Fin Stmts'!E102</f>
        <v>0</v>
      </c>
      <c r="D27" s="316">
        <f>+'Projected Fin Stmts'!F102</f>
        <v>0</v>
      </c>
      <c r="E27" s="316">
        <f>+'Projected Fin Stmts'!G102</f>
        <v>0</v>
      </c>
      <c r="F27" s="316">
        <f>+'Projected Fin Stmts'!H102</f>
        <v>0</v>
      </c>
      <c r="G27" s="316">
        <f>+'Projected Fin Stmts'!I102</f>
        <v>0</v>
      </c>
      <c r="H27" s="316">
        <f>+'Projected Fin Stmts'!J102</f>
        <v>0</v>
      </c>
      <c r="I27" s="316">
        <f>+'Projected Fin Stmts'!K102</f>
        <v>0</v>
      </c>
      <c r="J27" s="316">
        <f>+'Projected Fin Stmts'!L102</f>
        <v>0</v>
      </c>
      <c r="K27" s="316">
        <f>+'Projected Fin Stmts'!M102</f>
        <v>0</v>
      </c>
      <c r="L27" s="316">
        <f>+'Projected Fin Stmts'!N102</f>
        <v>0</v>
      </c>
      <c r="M27" s="316">
        <f>+'Projected Fin Stmts'!O102</f>
        <v>0</v>
      </c>
      <c r="N27" s="316">
        <f>+'Projected Fin Stmts'!P102</f>
        <v>0</v>
      </c>
      <c r="O27" s="316">
        <f>+'Projected Fin Stmts'!Q102</f>
        <v>0</v>
      </c>
      <c r="P27" s="316">
        <f>+'Projected Fin Stmts'!R102</f>
        <v>0</v>
      </c>
    </row>
    <row r="28" spans="1:16" ht="12.75" customHeight="1" x14ac:dyDescent="0.2">
      <c r="A28" s="315" t="s">
        <v>122</v>
      </c>
      <c r="B28" s="316">
        <f>+'Projected Fin Stmts'!D108</f>
        <v>-541.07764619542286</v>
      </c>
      <c r="C28" s="316">
        <f>+'Projected Fin Stmts'!E108</f>
        <v>-543.78303442639299</v>
      </c>
      <c r="D28" s="316">
        <f>+'Projected Fin Stmts'!F108</f>
        <v>-546.50194959851797</v>
      </c>
      <c r="E28" s="316">
        <f>+'Projected Fin Stmts'!G108</f>
        <v>-549.23445934650954</v>
      </c>
      <c r="F28" s="316">
        <f>+'Projected Fin Stmts'!H108</f>
        <v>-551.98063164323685</v>
      </c>
      <c r="G28" s="316">
        <f>+'Projected Fin Stmts'!I108</f>
        <v>-554.74053480147268</v>
      </c>
      <c r="H28" s="316">
        <f>+'Projected Fin Stmts'!J108</f>
        <v>-557.51423747546505</v>
      </c>
      <c r="I28" s="316">
        <f>+'Projected Fin Stmts'!K108</f>
        <v>-560.30180866285809</v>
      </c>
      <c r="J28" s="316">
        <f>+'Projected Fin Stmts'!L108</f>
        <v>-563.10331770614721</v>
      </c>
      <c r="K28" s="316">
        <f>+'Projected Fin Stmts'!M108</f>
        <v>-565.91883429468726</v>
      </c>
      <c r="L28" s="316">
        <f>+'Projected Fin Stmts'!N108</f>
        <v>-568.74842846617685</v>
      </c>
      <c r="M28" s="316">
        <f>+'Projected Fin Stmts'!O108</f>
        <v>-571.59217060849187</v>
      </c>
      <c r="N28" s="316">
        <f>+'Projected Fin Stmts'!P108</f>
        <v>-6674.4970532253792</v>
      </c>
      <c r="O28" s="316">
        <f>+'Projected Fin Stmts'!Q108</f>
        <v>-7086.1654267643753</v>
      </c>
      <c r="P28" s="316">
        <f>+'Projected Fin Stmts'!R108</f>
        <v>-7523.2246047970839</v>
      </c>
    </row>
    <row r="29" spans="1:16" ht="12.75" customHeight="1" x14ac:dyDescent="0.2">
      <c r="A29" s="375" t="s">
        <v>123</v>
      </c>
      <c r="B29" s="376">
        <f>+'Projected Fin Stmts'!D110</f>
        <v>-21170.430979528755</v>
      </c>
      <c r="C29" s="376">
        <f>+'Projected Fin Stmts'!E110</f>
        <v>-15935.886979528745</v>
      </c>
      <c r="D29" s="376">
        <f>+'Projected Fin Stmts'!F110</f>
        <v>-441.9409795287429</v>
      </c>
      <c r="E29" s="376">
        <f>+'Projected Fin Stmts'!G110</f>
        <v>-388.59297952874294</v>
      </c>
      <c r="F29" s="376">
        <f>+'Projected Fin Stmts'!H110</f>
        <v>-475.84297952873567</v>
      </c>
      <c r="G29" s="376">
        <f>+'Projected Fin Stmts'!I110</f>
        <v>-536.69097952875609</v>
      </c>
      <c r="H29" s="376">
        <f>+'Projected Fin Stmts'!J110</f>
        <v>-457.65697952874143</v>
      </c>
      <c r="I29" s="376">
        <f>+'Projected Fin Stmts'!K110</f>
        <v>4341.6230204712447</v>
      </c>
      <c r="J29" s="376">
        <f>+'Projected Fin Stmts'!L110</f>
        <v>23456.501020471267</v>
      </c>
      <c r="K29" s="376">
        <f>+'Projected Fin Stmts'!M110</f>
        <v>26765.977020471262</v>
      </c>
      <c r="L29" s="376">
        <f>+'Projected Fin Stmts'!N110</f>
        <v>33231.791020471239</v>
      </c>
      <c r="M29" s="376">
        <f>+'Projected Fin Stmts'!O110</f>
        <v>38547.605020471266</v>
      </c>
      <c r="N29" s="376">
        <f>+'Projected Fin Stmts'!P110</f>
        <v>86936.454245655041</v>
      </c>
      <c r="O29" s="376">
        <f>+'Projected Fin Stmts'!Q110</f>
        <v>113097.38058143077</v>
      </c>
      <c r="P29" s="376">
        <f>+'Projected Fin Stmts'!R110</f>
        <v>148313.69407378524</v>
      </c>
    </row>
    <row r="30" spans="1:16" ht="12.75" customHeight="1" x14ac:dyDescent="0.2">
      <c r="A30" s="362" t="s">
        <v>124</v>
      </c>
      <c r="B30" s="363">
        <f>+'Projected Fin Stmts'!D112</f>
        <v>103529.56902047124</v>
      </c>
      <c r="C30" s="363">
        <f>+'Projected Fin Stmts'!E112</f>
        <v>87593.682040942498</v>
      </c>
      <c r="D30" s="363">
        <f>+'Projected Fin Stmts'!F112</f>
        <v>87151.741061413748</v>
      </c>
      <c r="E30" s="363">
        <f>+'Projected Fin Stmts'!G112</f>
        <v>86763.14808188501</v>
      </c>
      <c r="F30" s="363">
        <f>+'Projected Fin Stmts'!H112</f>
        <v>86287.305102356273</v>
      </c>
      <c r="G30" s="363">
        <f>+'Projected Fin Stmts'!I112</f>
        <v>85750.614122827523</v>
      </c>
      <c r="H30" s="363">
        <f>+'Projected Fin Stmts'!J112</f>
        <v>85292.957143298787</v>
      </c>
      <c r="I30" s="363">
        <f>+'Projected Fin Stmts'!K112</f>
        <v>89634.580163770035</v>
      </c>
      <c r="J30" s="363">
        <f>+'Projected Fin Stmts'!L112</f>
        <v>113091.08118424131</v>
      </c>
      <c r="K30" s="363">
        <f>+'Projected Fin Stmts'!M112</f>
        <v>139857.05820471258</v>
      </c>
      <c r="L30" s="363">
        <f>+'Projected Fin Stmts'!N112</f>
        <v>173088.84922518383</v>
      </c>
      <c r="M30" s="363">
        <f>+'Projected Fin Stmts'!O112</f>
        <v>211636.4542456551</v>
      </c>
      <c r="N30" s="363">
        <f>+'Projected Fin Stmts'!P112</f>
        <v>211636.45424565504</v>
      </c>
      <c r="O30" s="363">
        <f>+'Projected Fin Stmts'!Q112</f>
        <v>324733.83482708584</v>
      </c>
      <c r="P30" s="363">
        <f>+'Projected Fin Stmts'!R112</f>
        <v>473047.52890087105</v>
      </c>
    </row>
    <row r="31" spans="1:16" x14ac:dyDescent="0.2"/>
    <row r="32" spans="1:16" x14ac:dyDescent="0.2"/>
    <row r="33" spans="1:16" x14ac:dyDescent="0.2"/>
    <row r="34" spans="1:16" ht="12.75" customHeight="1" x14ac:dyDescent="0.2">
      <c r="A34" s="1026" t="s">
        <v>453</v>
      </c>
      <c r="B34" s="166"/>
      <c r="C34" s="166"/>
      <c r="D34" s="166"/>
      <c r="E34" s="166"/>
      <c r="F34" s="166"/>
      <c r="G34" s="166"/>
      <c r="H34" s="166"/>
      <c r="I34" s="166"/>
      <c r="J34" s="166"/>
      <c r="K34" s="166"/>
      <c r="L34" s="166"/>
      <c r="M34" s="166"/>
      <c r="N34" s="1027" t="s">
        <v>126</v>
      </c>
      <c r="O34" s="1027" t="s">
        <v>451</v>
      </c>
      <c r="P34" s="1027" t="s">
        <v>452</v>
      </c>
    </row>
    <row r="35" spans="1:16" ht="12.75" customHeight="1" x14ac:dyDescent="0.2">
      <c r="A35" s="1028"/>
      <c r="B35" s="1029">
        <f t="shared" ref="B35:P35" si="0">+B5</f>
        <v>44771</v>
      </c>
      <c r="C35" s="1029">
        <f t="shared" si="0"/>
        <v>44799</v>
      </c>
      <c r="D35" s="1029">
        <f t="shared" si="0"/>
        <v>44827</v>
      </c>
      <c r="E35" s="1029">
        <f t="shared" si="0"/>
        <v>44855</v>
      </c>
      <c r="F35" s="1029">
        <f t="shared" si="0"/>
        <v>44883</v>
      </c>
      <c r="G35" s="1029">
        <f t="shared" si="0"/>
        <v>44911</v>
      </c>
      <c r="H35" s="1029">
        <f t="shared" si="0"/>
        <v>44939</v>
      </c>
      <c r="I35" s="1029">
        <f t="shared" si="0"/>
        <v>44967</v>
      </c>
      <c r="J35" s="1029">
        <f t="shared" si="0"/>
        <v>44995</v>
      </c>
      <c r="K35" s="1029">
        <f t="shared" si="0"/>
        <v>45023</v>
      </c>
      <c r="L35" s="1029">
        <f t="shared" si="0"/>
        <v>45051</v>
      </c>
      <c r="M35" s="1029">
        <f t="shared" si="0"/>
        <v>45079</v>
      </c>
      <c r="N35" s="1029">
        <f t="shared" si="0"/>
        <v>45079</v>
      </c>
      <c r="O35" s="1029">
        <f t="shared" si="0"/>
        <v>45079</v>
      </c>
      <c r="P35" s="1029">
        <f t="shared" si="0"/>
        <v>45079</v>
      </c>
    </row>
    <row r="36" spans="1:16" ht="12.75" customHeight="1" x14ac:dyDescent="0.2">
      <c r="A36" s="345" t="s">
        <v>8</v>
      </c>
      <c r="B36" s="150"/>
      <c r="C36" s="150"/>
      <c r="D36" s="150"/>
      <c r="E36" s="150"/>
      <c r="F36" s="150"/>
      <c r="G36" s="150"/>
      <c r="H36" s="150"/>
      <c r="I36" s="150"/>
      <c r="J36" s="150"/>
      <c r="K36" s="150"/>
      <c r="L36" s="150"/>
      <c r="M36" s="150"/>
      <c r="N36" s="150"/>
      <c r="O36" s="150"/>
      <c r="P36" s="150"/>
    </row>
    <row r="37" spans="1:16" ht="12.75" customHeight="1" x14ac:dyDescent="0.2">
      <c r="A37" s="315" t="s">
        <v>100</v>
      </c>
      <c r="B37" s="137"/>
      <c r="C37" s="137"/>
      <c r="D37" s="137"/>
      <c r="E37" s="137"/>
      <c r="F37" s="137"/>
      <c r="G37" s="137"/>
      <c r="H37" s="137"/>
      <c r="I37" s="137"/>
      <c r="J37" s="137"/>
      <c r="K37" s="137"/>
      <c r="L37" s="137"/>
      <c r="M37" s="137"/>
      <c r="N37" s="137"/>
      <c r="O37" s="137"/>
      <c r="P37" s="137"/>
    </row>
    <row r="38" spans="1:16" ht="12.75" customHeight="1" x14ac:dyDescent="0.2">
      <c r="A38" s="315" t="s">
        <v>109</v>
      </c>
      <c r="B38" s="137"/>
      <c r="C38" s="137"/>
      <c r="D38" s="137"/>
      <c r="E38" s="137"/>
      <c r="F38" s="137"/>
      <c r="G38" s="137"/>
      <c r="H38" s="137"/>
      <c r="I38" s="137"/>
      <c r="J38" s="137"/>
      <c r="K38" s="137"/>
      <c r="L38" s="137"/>
      <c r="M38" s="137"/>
      <c r="N38" s="137"/>
      <c r="O38" s="137"/>
      <c r="P38" s="137"/>
    </row>
    <row r="39" spans="1:16" ht="12.75" customHeight="1" x14ac:dyDescent="0.2">
      <c r="A39" s="321" t="s">
        <v>110</v>
      </c>
      <c r="B39" s="139"/>
      <c r="C39" s="139"/>
      <c r="D39" s="139"/>
      <c r="E39" s="139"/>
      <c r="F39" s="139"/>
      <c r="G39" s="139"/>
      <c r="H39" s="139"/>
      <c r="I39" s="139"/>
      <c r="J39" s="139"/>
      <c r="K39" s="139"/>
      <c r="L39" s="139"/>
      <c r="M39" s="139"/>
      <c r="N39" s="139"/>
      <c r="O39" s="139"/>
      <c r="P39" s="139"/>
    </row>
    <row r="40" spans="1:16" ht="12.75" customHeight="1" x14ac:dyDescent="0.2">
      <c r="A40" s="315" t="s">
        <v>111</v>
      </c>
      <c r="B40" s="137"/>
      <c r="C40" s="137"/>
      <c r="D40" s="137"/>
      <c r="E40" s="137"/>
      <c r="F40" s="137"/>
      <c r="G40" s="137"/>
      <c r="H40" s="137"/>
      <c r="I40" s="137"/>
      <c r="J40" s="137"/>
      <c r="K40" s="137"/>
      <c r="L40" s="137"/>
      <c r="M40" s="137"/>
      <c r="N40" s="137"/>
      <c r="O40" s="137"/>
      <c r="P40" s="137"/>
    </row>
    <row r="41" spans="1:16" ht="12.75" customHeight="1" x14ac:dyDescent="0.2">
      <c r="A41" s="375" t="s">
        <v>112</v>
      </c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</row>
    <row r="42" spans="1:16" ht="12.75" customHeight="1" x14ac:dyDescent="0.2">
      <c r="A42" s="362" t="s">
        <v>113</v>
      </c>
      <c r="B42" s="1030"/>
      <c r="C42" s="1030"/>
      <c r="D42" s="1030"/>
      <c r="E42" s="1030"/>
      <c r="F42" s="1030"/>
      <c r="G42" s="1030"/>
      <c r="H42" s="1030"/>
      <c r="I42" s="1030"/>
      <c r="J42" s="1030"/>
      <c r="K42" s="1030"/>
      <c r="L42" s="1030"/>
      <c r="M42" s="1030"/>
      <c r="N42" s="1030"/>
      <c r="O42" s="1030"/>
      <c r="P42" s="1030"/>
    </row>
    <row r="43" spans="1:16" ht="12.75" customHeight="1" x14ac:dyDescent="0.2">
      <c r="A43" s="127"/>
      <c r="B43" s="127"/>
      <c r="C43" s="127"/>
      <c r="D43" s="127"/>
      <c r="E43" s="127"/>
      <c r="F43" s="127"/>
      <c r="G43" s="127"/>
      <c r="H43" s="127"/>
      <c r="I43" s="127"/>
      <c r="J43" s="127"/>
      <c r="K43" s="127"/>
      <c r="L43" s="127"/>
      <c r="M43" s="127"/>
      <c r="N43" s="127"/>
      <c r="O43" s="127"/>
      <c r="P43" s="127"/>
    </row>
    <row r="44" spans="1:16" ht="12.75" customHeight="1" x14ac:dyDescent="0.2">
      <c r="A44" s="345" t="s">
        <v>96</v>
      </c>
      <c r="B44" s="150"/>
      <c r="C44" s="150"/>
      <c r="D44" s="150"/>
      <c r="E44" s="150"/>
      <c r="F44" s="150"/>
      <c r="G44" s="150"/>
      <c r="H44" s="150"/>
      <c r="I44" s="150"/>
      <c r="J44" s="150"/>
      <c r="K44" s="150"/>
      <c r="L44" s="150"/>
      <c r="M44" s="150"/>
      <c r="N44" s="150"/>
      <c r="O44" s="150"/>
      <c r="P44" s="150"/>
    </row>
    <row r="45" spans="1:16" ht="12.75" customHeight="1" x14ac:dyDescent="0.2">
      <c r="A45" s="315" t="s">
        <v>17</v>
      </c>
      <c r="B45" s="137"/>
      <c r="C45" s="137"/>
      <c r="D45" s="137"/>
      <c r="E45" s="137"/>
      <c r="F45" s="137"/>
      <c r="G45" s="137"/>
      <c r="H45" s="137"/>
      <c r="I45" s="137"/>
      <c r="J45" s="137"/>
      <c r="K45" s="137"/>
      <c r="L45" s="137"/>
      <c r="M45" s="137"/>
      <c r="N45" s="137"/>
      <c r="O45" s="137"/>
      <c r="P45" s="137"/>
    </row>
    <row r="46" spans="1:16" ht="12.75" customHeight="1" x14ac:dyDescent="0.2">
      <c r="A46" s="315" t="s">
        <v>114</v>
      </c>
      <c r="B46" s="137"/>
      <c r="C46" s="137"/>
      <c r="D46" s="137"/>
      <c r="E46" s="137"/>
      <c r="F46" s="137"/>
      <c r="G46" s="137"/>
      <c r="H46" s="137"/>
      <c r="I46" s="137"/>
      <c r="J46" s="137"/>
      <c r="K46" s="137"/>
      <c r="L46" s="137"/>
      <c r="M46" s="137"/>
      <c r="N46" s="137"/>
      <c r="O46" s="137"/>
      <c r="P46" s="137"/>
    </row>
    <row r="47" spans="1:16" ht="12.75" customHeight="1" x14ac:dyDescent="0.2">
      <c r="A47" s="315" t="s">
        <v>115</v>
      </c>
      <c r="B47" s="137"/>
      <c r="C47" s="137"/>
      <c r="D47" s="137"/>
      <c r="E47" s="137"/>
      <c r="F47" s="137"/>
      <c r="G47" s="137"/>
      <c r="H47" s="137"/>
      <c r="I47" s="137"/>
      <c r="J47" s="137"/>
      <c r="K47" s="137"/>
      <c r="L47" s="137"/>
      <c r="M47" s="137"/>
      <c r="N47" s="137"/>
      <c r="O47" s="137"/>
      <c r="P47" s="137"/>
    </row>
    <row r="48" spans="1:16" ht="12.75" customHeight="1" x14ac:dyDescent="0.2">
      <c r="A48" s="315" t="s">
        <v>128</v>
      </c>
      <c r="B48" s="137"/>
      <c r="C48" s="137"/>
      <c r="D48" s="137"/>
      <c r="E48" s="137"/>
      <c r="F48" s="137"/>
      <c r="G48" s="137"/>
      <c r="H48" s="137"/>
      <c r="I48" s="137"/>
      <c r="J48" s="137"/>
      <c r="K48" s="137"/>
      <c r="L48" s="137"/>
      <c r="M48" s="137"/>
      <c r="N48" s="137"/>
      <c r="O48" s="137"/>
      <c r="P48" s="137"/>
    </row>
    <row r="49" spans="1:1" ht="12.75" customHeight="1" x14ac:dyDescent="0.2">
      <c r="A49" s="364" t="s">
        <v>117</v>
      </c>
    </row>
    <row r="50" spans="1:1" ht="12.75" customHeight="1" x14ac:dyDescent="0.2">
      <c r="A50" s="315" t="s">
        <v>118</v>
      </c>
    </row>
    <row r="51" spans="1:1" ht="12.75" customHeight="1" x14ac:dyDescent="0.2">
      <c r="A51" s="365" t="s">
        <v>83</v>
      </c>
    </row>
    <row r="52" spans="1:1" ht="12.75" customHeight="1" x14ac:dyDescent="0.2">
      <c r="A52" s="164"/>
    </row>
    <row r="53" spans="1:1" ht="12.75" customHeight="1" x14ac:dyDescent="0.2">
      <c r="A53" s="365" t="s">
        <v>129</v>
      </c>
    </row>
    <row r="54" spans="1:1" ht="12.75" customHeight="1" x14ac:dyDescent="0.2">
      <c r="A54" s="127"/>
    </row>
    <row r="55" spans="1:1" ht="12.75" customHeight="1" x14ac:dyDescent="0.2">
      <c r="A55" s="345" t="s">
        <v>9</v>
      </c>
    </row>
    <row r="56" spans="1:1" ht="12.75" customHeight="1" x14ac:dyDescent="0.2">
      <c r="A56" s="315" t="s">
        <v>120</v>
      </c>
    </row>
    <row r="57" spans="1:1" ht="12.75" customHeight="1" x14ac:dyDescent="0.2">
      <c r="A57" s="315" t="s">
        <v>121</v>
      </c>
    </row>
    <row r="58" spans="1:1" ht="12.75" customHeight="1" x14ac:dyDescent="0.2">
      <c r="A58" s="315" t="s">
        <v>122</v>
      </c>
    </row>
    <row r="59" spans="1:1" ht="12.75" customHeight="1" x14ac:dyDescent="0.2">
      <c r="A59" s="375" t="s">
        <v>123</v>
      </c>
    </row>
    <row r="60" spans="1:1" ht="12.75" customHeight="1" x14ac:dyDescent="0.2">
      <c r="A60" s="362" t="s">
        <v>124</v>
      </c>
    </row>
  </sheetData>
  <mergeCells count="2">
    <mergeCell ref="A2:N2"/>
    <mergeCell ref="A1:N1"/>
  </mergeCells>
  <pageMargins left="0.7" right="0.7" top="0.75" bottom="0.75" header="0" footer="0"/>
  <pageSetup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E2E8F0"/>
    <pageSetUpPr fitToPage="1"/>
  </sheetPr>
  <dimension ref="A1:N71"/>
  <sheetViews>
    <sheetView showGridLines="0" workbookViewId="0"/>
  </sheetViews>
  <sheetFormatPr baseColWidth="10" defaultColWidth="14.5" defaultRowHeight="15" customHeight="1" x14ac:dyDescent="0.2"/>
  <cols>
    <col min="1" max="1" width="24" customWidth="1"/>
    <col min="2" max="13" width="9.1640625" customWidth="1"/>
    <col min="14" max="14" width="9.5" customWidth="1"/>
    <col min="15" max="15" width="4.5" customWidth="1"/>
    <col min="16" max="16" width="3.83203125" customWidth="1"/>
    <col min="17" max="26" width="9.1640625" customWidth="1"/>
  </cols>
  <sheetData>
    <row r="1" spans="1:14" ht="12.75" customHeight="1" x14ac:dyDescent="0.2">
      <c r="A1" s="1073" t="str">
        <f>+'3yr Sum Proj Fin Stmts'!A1</f>
        <v>Draper Yoga</v>
      </c>
      <c r="B1" s="1062"/>
      <c r="C1" s="1062"/>
      <c r="D1" s="1062"/>
      <c r="E1" s="1062"/>
      <c r="F1" s="1062"/>
      <c r="G1" s="1062"/>
      <c r="H1" s="1062"/>
      <c r="I1" s="1062"/>
      <c r="J1" s="1062"/>
      <c r="K1" s="1062"/>
      <c r="L1" s="1062"/>
      <c r="M1" s="1062"/>
      <c r="N1" s="1062"/>
    </row>
    <row r="2" spans="1:14" ht="12.75" customHeight="1" x14ac:dyDescent="0.2">
      <c r="A2" s="163"/>
    </row>
    <row r="3" spans="1:14" ht="12.75" customHeight="1" x14ac:dyDescent="0.2">
      <c r="A3" s="1073" t="s">
        <v>454</v>
      </c>
      <c r="B3" s="1062"/>
      <c r="C3" s="1062"/>
      <c r="D3" s="1062"/>
      <c r="E3" s="1062"/>
      <c r="F3" s="1062"/>
      <c r="G3" s="1062"/>
      <c r="H3" s="1062"/>
      <c r="I3" s="1062"/>
      <c r="J3" s="1062"/>
      <c r="K3" s="1062"/>
      <c r="L3" s="1062"/>
      <c r="M3" s="1062"/>
      <c r="N3" s="1062"/>
    </row>
    <row r="4" spans="1:14" ht="12.75" customHeight="1" x14ac:dyDescent="0.2">
      <c r="A4" s="1161" t="s">
        <v>453</v>
      </c>
      <c r="B4" s="1062"/>
      <c r="C4" s="1062"/>
      <c r="D4" s="1062"/>
      <c r="E4" s="1062"/>
      <c r="F4" s="1062"/>
      <c r="G4" s="1062"/>
      <c r="H4" s="1062"/>
      <c r="I4" s="1062"/>
      <c r="J4" s="1062"/>
      <c r="K4" s="1062"/>
      <c r="L4" s="1062"/>
      <c r="M4" s="1062"/>
      <c r="N4" s="1062"/>
    </row>
    <row r="5" spans="1:14" ht="12.75" customHeight="1" x14ac:dyDescent="0.2">
      <c r="A5" s="127"/>
      <c r="B5" s="166"/>
      <c r="C5" s="166"/>
      <c r="D5" s="166"/>
      <c r="E5" s="166"/>
      <c r="F5" s="166"/>
      <c r="G5" s="166"/>
      <c r="H5" s="166"/>
      <c r="I5" s="166"/>
      <c r="J5" s="166"/>
      <c r="K5" s="166"/>
      <c r="L5" s="166"/>
      <c r="M5" s="166"/>
      <c r="N5" s="1031" t="s">
        <v>126</v>
      </c>
    </row>
    <row r="6" spans="1:14" ht="12.75" customHeight="1" x14ac:dyDescent="0.2">
      <c r="A6" s="127"/>
      <c r="B6" s="1032">
        <f>+'Projected Fin Stmts'!D6</f>
        <v>0</v>
      </c>
      <c r="C6" s="1033">
        <f>+'Projected Fin Stmts'!E6</f>
        <v>0</v>
      </c>
      <c r="D6" s="1033">
        <f>+'Projected Fin Stmts'!F6</f>
        <v>0</v>
      </c>
      <c r="E6" s="1033">
        <f>+'Projected Fin Stmts'!G6</f>
        <v>0</v>
      </c>
      <c r="F6" s="1033">
        <f>+'Projected Fin Stmts'!H6</f>
        <v>0</v>
      </c>
      <c r="G6" s="1033">
        <f>+'Projected Fin Stmts'!I6</f>
        <v>0</v>
      </c>
      <c r="H6" s="1033">
        <f>+'Projected Fin Stmts'!J6</f>
        <v>0</v>
      </c>
      <c r="I6" s="1033">
        <f>+'Projected Fin Stmts'!K6</f>
        <v>0</v>
      </c>
      <c r="J6" s="1033">
        <f>+'Projected Fin Stmts'!L6</f>
        <v>0</v>
      </c>
      <c r="K6" s="1033">
        <f>+'Projected Fin Stmts'!M6</f>
        <v>0</v>
      </c>
      <c r="L6" s="1033">
        <f>+'Projected Fin Stmts'!N6</f>
        <v>0</v>
      </c>
      <c r="M6" s="1034">
        <f>+'Projected Fin Stmts'!O6</f>
        <v>0</v>
      </c>
      <c r="N6" s="1035">
        <f>+M6</f>
        <v>0</v>
      </c>
    </row>
    <row r="7" spans="1:14" ht="12.75" customHeight="1" x14ac:dyDescent="0.2">
      <c r="A7" s="1036" t="s">
        <v>8</v>
      </c>
      <c r="B7" s="290"/>
      <c r="C7" s="129"/>
      <c r="D7" s="129"/>
      <c r="E7" s="129"/>
      <c r="F7" s="129"/>
      <c r="G7" s="129"/>
      <c r="H7" s="129"/>
      <c r="I7" s="129"/>
      <c r="J7" s="129"/>
      <c r="K7" s="129"/>
      <c r="L7" s="129"/>
      <c r="M7" s="291"/>
      <c r="N7" s="291"/>
    </row>
    <row r="8" spans="1:14" ht="12.75" customHeight="1" x14ac:dyDescent="0.2">
      <c r="A8" s="1014" t="s">
        <v>100</v>
      </c>
      <c r="B8" s="1037"/>
      <c r="C8" s="1037"/>
      <c r="D8" s="1037"/>
      <c r="E8" s="1037"/>
      <c r="F8" s="1037"/>
      <c r="G8" s="1037"/>
      <c r="H8" s="1037"/>
      <c r="I8" s="1037"/>
      <c r="J8" s="1037"/>
      <c r="K8" s="1037"/>
      <c r="L8" s="1037"/>
      <c r="M8" s="1037"/>
      <c r="N8" s="409">
        <f>+SUM(B8:M8)</f>
        <v>0</v>
      </c>
    </row>
    <row r="9" spans="1:14" ht="12.75" customHeight="1" x14ac:dyDescent="0.2">
      <c r="A9" s="1014" t="s">
        <v>109</v>
      </c>
      <c r="B9" s="1037"/>
      <c r="C9" s="1037"/>
      <c r="D9" s="1037"/>
      <c r="E9" s="1037"/>
      <c r="F9" s="1037"/>
      <c r="G9" s="1037"/>
      <c r="H9" s="1037"/>
      <c r="I9" s="1037"/>
      <c r="J9" s="1037"/>
      <c r="K9" s="1037"/>
      <c r="L9" s="1037"/>
      <c r="M9" s="1037"/>
      <c r="N9" s="409">
        <f>+SUM(B9:M9)</f>
        <v>0</v>
      </c>
    </row>
    <row r="10" spans="1:14" ht="12.75" customHeight="1" x14ac:dyDescent="0.2">
      <c r="A10" s="1038" t="s">
        <v>110</v>
      </c>
      <c r="B10" s="1039">
        <f t="shared" ref="B10:N10" si="0">+B8+B9</f>
        <v>0</v>
      </c>
      <c r="C10" s="1040">
        <f t="shared" si="0"/>
        <v>0</v>
      </c>
      <c r="D10" s="1040">
        <f t="shared" si="0"/>
        <v>0</v>
      </c>
      <c r="E10" s="1040">
        <f t="shared" si="0"/>
        <v>0</v>
      </c>
      <c r="F10" s="1040">
        <f t="shared" si="0"/>
        <v>0</v>
      </c>
      <c r="G10" s="1040">
        <f t="shared" si="0"/>
        <v>0</v>
      </c>
      <c r="H10" s="1040">
        <f t="shared" si="0"/>
        <v>0</v>
      </c>
      <c r="I10" s="1040">
        <f t="shared" si="0"/>
        <v>0</v>
      </c>
      <c r="J10" s="1040">
        <f t="shared" si="0"/>
        <v>0</v>
      </c>
      <c r="K10" s="1040">
        <f t="shared" si="0"/>
        <v>0</v>
      </c>
      <c r="L10" s="1040">
        <f t="shared" si="0"/>
        <v>0</v>
      </c>
      <c r="M10" s="1041">
        <f t="shared" si="0"/>
        <v>0</v>
      </c>
      <c r="N10" s="1041">
        <f t="shared" si="0"/>
        <v>0</v>
      </c>
    </row>
    <row r="11" spans="1:14" ht="12.75" customHeight="1" x14ac:dyDescent="0.2">
      <c r="A11" s="1014" t="s">
        <v>111</v>
      </c>
      <c r="B11" s="1037"/>
      <c r="C11" s="1037"/>
      <c r="D11" s="1037"/>
      <c r="E11" s="1037"/>
      <c r="F11" s="1037"/>
      <c r="G11" s="1037"/>
      <c r="H11" s="1037"/>
      <c r="I11" s="1037"/>
      <c r="J11" s="1037"/>
      <c r="K11" s="1037"/>
      <c r="L11" s="1037"/>
      <c r="M11" s="1037"/>
      <c r="N11" s="409">
        <f>+SUM(B11:M11)</f>
        <v>0</v>
      </c>
    </row>
    <row r="12" spans="1:14" ht="12.75" customHeight="1" x14ac:dyDescent="0.2">
      <c r="A12" s="1042" t="s">
        <v>112</v>
      </c>
      <c r="B12" s="1043">
        <f t="shared" ref="B12:N12" si="1">+B10+B11</f>
        <v>0</v>
      </c>
      <c r="C12" s="1044">
        <f t="shared" si="1"/>
        <v>0</v>
      </c>
      <c r="D12" s="1044">
        <f t="shared" si="1"/>
        <v>0</v>
      </c>
      <c r="E12" s="1044">
        <f t="shared" si="1"/>
        <v>0</v>
      </c>
      <c r="F12" s="1044">
        <f t="shared" si="1"/>
        <v>0</v>
      </c>
      <c r="G12" s="1044">
        <f t="shared" si="1"/>
        <v>0</v>
      </c>
      <c r="H12" s="1044">
        <f t="shared" si="1"/>
        <v>0</v>
      </c>
      <c r="I12" s="1044">
        <f t="shared" si="1"/>
        <v>0</v>
      </c>
      <c r="J12" s="1044">
        <f t="shared" si="1"/>
        <v>0</v>
      </c>
      <c r="K12" s="1044">
        <f t="shared" si="1"/>
        <v>0</v>
      </c>
      <c r="L12" s="1044">
        <f t="shared" si="1"/>
        <v>0</v>
      </c>
      <c r="M12" s="1045">
        <f t="shared" si="1"/>
        <v>0</v>
      </c>
      <c r="N12" s="1045">
        <f t="shared" si="1"/>
        <v>0</v>
      </c>
    </row>
    <row r="13" spans="1:14" ht="12.75" customHeight="1" x14ac:dyDescent="0.2">
      <c r="A13" s="1014" t="s">
        <v>91</v>
      </c>
      <c r="B13" s="1037"/>
      <c r="C13" s="1037"/>
      <c r="D13" s="1037"/>
      <c r="E13" s="1037"/>
      <c r="F13" s="1037"/>
      <c r="G13" s="1037"/>
      <c r="H13" s="1037"/>
      <c r="I13" s="1037"/>
      <c r="J13" s="1037"/>
      <c r="K13" s="1037"/>
      <c r="L13" s="1037"/>
      <c r="M13" s="1037"/>
      <c r="N13" s="409">
        <f>+SUM(B13:M13)</f>
        <v>0</v>
      </c>
    </row>
    <row r="14" spans="1:14" ht="12.75" customHeight="1" x14ac:dyDescent="0.2">
      <c r="A14" s="1038" t="s">
        <v>113</v>
      </c>
      <c r="B14" s="1039">
        <f t="shared" ref="B14:N14" si="2">+B12+B13</f>
        <v>0</v>
      </c>
      <c r="C14" s="1040">
        <f t="shared" si="2"/>
        <v>0</v>
      </c>
      <c r="D14" s="1040">
        <f t="shared" si="2"/>
        <v>0</v>
      </c>
      <c r="E14" s="1040">
        <f t="shared" si="2"/>
        <v>0</v>
      </c>
      <c r="F14" s="1040">
        <f t="shared" si="2"/>
        <v>0</v>
      </c>
      <c r="G14" s="1040">
        <f t="shared" si="2"/>
        <v>0</v>
      </c>
      <c r="H14" s="1040">
        <f t="shared" si="2"/>
        <v>0</v>
      </c>
      <c r="I14" s="1040">
        <f t="shared" si="2"/>
        <v>0</v>
      </c>
      <c r="J14" s="1040">
        <f t="shared" si="2"/>
        <v>0</v>
      </c>
      <c r="K14" s="1040">
        <f t="shared" si="2"/>
        <v>0</v>
      </c>
      <c r="L14" s="1040">
        <f t="shared" si="2"/>
        <v>0</v>
      </c>
      <c r="M14" s="1041">
        <f t="shared" si="2"/>
        <v>0</v>
      </c>
      <c r="N14" s="1041">
        <f t="shared" si="2"/>
        <v>0</v>
      </c>
    </row>
    <row r="15" spans="1:14" ht="12.75" customHeight="1" x14ac:dyDescent="0.2">
      <c r="A15" s="289"/>
      <c r="B15" s="289"/>
      <c r="C15" s="127"/>
      <c r="D15" s="127"/>
      <c r="E15" s="127"/>
      <c r="F15" s="127"/>
      <c r="G15" s="127"/>
      <c r="H15" s="127"/>
      <c r="I15" s="127"/>
      <c r="J15" s="127"/>
      <c r="K15" s="127"/>
      <c r="L15" s="127"/>
      <c r="M15" s="197"/>
      <c r="N15" s="197"/>
    </row>
    <row r="16" spans="1:14" ht="12.75" customHeight="1" x14ac:dyDescent="0.2">
      <c r="A16" s="1046" t="s">
        <v>96</v>
      </c>
      <c r="B16" s="292"/>
      <c r="C16" s="130"/>
      <c r="D16" s="130"/>
      <c r="E16" s="130"/>
      <c r="F16" s="130"/>
      <c r="G16" s="130"/>
      <c r="H16" s="130"/>
      <c r="I16" s="130"/>
      <c r="J16" s="130"/>
      <c r="K16" s="130"/>
      <c r="L16" s="130"/>
      <c r="M16" s="195"/>
      <c r="N16" s="195"/>
    </row>
    <row r="17" spans="1:14" ht="12.75" customHeight="1" x14ac:dyDescent="0.2">
      <c r="A17" s="1014" t="s">
        <v>17</v>
      </c>
      <c r="B17" s="1037"/>
      <c r="C17" s="1037"/>
      <c r="D17" s="1037"/>
      <c r="E17" s="1037"/>
      <c r="F17" s="1037"/>
      <c r="G17" s="1037"/>
      <c r="H17" s="1037"/>
      <c r="I17" s="1037"/>
      <c r="J17" s="1037"/>
      <c r="K17" s="1037"/>
      <c r="L17" s="1037"/>
      <c r="M17" s="1037"/>
      <c r="N17" s="409">
        <f t="shared" ref="N17:N22" si="3">+M17</f>
        <v>0</v>
      </c>
    </row>
    <row r="18" spans="1:14" ht="12.75" customHeight="1" x14ac:dyDescent="0.2">
      <c r="A18" s="1014" t="s">
        <v>455</v>
      </c>
      <c r="B18" s="1037"/>
      <c r="C18" s="1037"/>
      <c r="D18" s="1037"/>
      <c r="E18" s="1037"/>
      <c r="F18" s="1037"/>
      <c r="G18" s="1037"/>
      <c r="H18" s="1037"/>
      <c r="I18" s="1037"/>
      <c r="J18" s="1037"/>
      <c r="K18" s="1037"/>
      <c r="L18" s="1037"/>
      <c r="M18" s="1037"/>
      <c r="N18" s="409">
        <f t="shared" si="3"/>
        <v>0</v>
      </c>
    </row>
    <row r="19" spans="1:14" ht="12.75" customHeight="1" x14ac:dyDescent="0.2">
      <c r="A19" s="1014" t="s">
        <v>23</v>
      </c>
      <c r="B19" s="1037"/>
      <c r="C19" s="1037"/>
      <c r="D19" s="1037"/>
      <c r="E19" s="1037"/>
      <c r="F19" s="1037"/>
      <c r="G19" s="1037"/>
      <c r="H19" s="1037"/>
      <c r="I19" s="1037"/>
      <c r="J19" s="1037"/>
      <c r="K19" s="1037"/>
      <c r="L19" s="1037"/>
      <c r="M19" s="1037"/>
      <c r="N19" s="409">
        <f t="shared" si="3"/>
        <v>0</v>
      </c>
    </row>
    <row r="20" spans="1:14" ht="12.75" customHeight="1" x14ac:dyDescent="0.2">
      <c r="A20" s="1014" t="s">
        <v>114</v>
      </c>
      <c r="B20" s="1037"/>
      <c r="C20" s="1037"/>
      <c r="D20" s="1037"/>
      <c r="E20" s="1037"/>
      <c r="F20" s="1037"/>
      <c r="G20" s="1037"/>
      <c r="H20" s="1037"/>
      <c r="I20" s="1037"/>
      <c r="J20" s="1037"/>
      <c r="K20" s="1037"/>
      <c r="L20" s="1037"/>
      <c r="M20" s="1037"/>
      <c r="N20" s="409">
        <f t="shared" si="3"/>
        <v>0</v>
      </c>
    </row>
    <row r="21" spans="1:14" ht="12.75" customHeight="1" x14ac:dyDescent="0.2">
      <c r="A21" s="1014" t="s">
        <v>115</v>
      </c>
      <c r="B21" s="1037"/>
      <c r="C21" s="1037"/>
      <c r="D21" s="1037"/>
      <c r="E21" s="1037"/>
      <c r="F21" s="1037"/>
      <c r="G21" s="1037"/>
      <c r="H21" s="1037"/>
      <c r="I21" s="1037"/>
      <c r="J21" s="1037"/>
      <c r="K21" s="1037"/>
      <c r="L21" s="1037"/>
      <c r="M21" s="1037"/>
      <c r="N21" s="409">
        <f t="shared" si="3"/>
        <v>0</v>
      </c>
    </row>
    <row r="22" spans="1:14" ht="12.75" customHeight="1" x14ac:dyDescent="0.2">
      <c r="A22" s="1014" t="s">
        <v>128</v>
      </c>
      <c r="B22" s="1037"/>
      <c r="C22" s="1037"/>
      <c r="D22" s="1037"/>
      <c r="E22" s="1037"/>
      <c r="F22" s="1037"/>
      <c r="G22" s="1037"/>
      <c r="H22" s="1037"/>
      <c r="I22" s="1037"/>
      <c r="J22" s="1037"/>
      <c r="K22" s="1037"/>
      <c r="L22" s="1037"/>
      <c r="M22" s="1037"/>
      <c r="N22" s="409">
        <f t="shared" si="3"/>
        <v>0</v>
      </c>
    </row>
    <row r="23" spans="1:14" ht="12.75" customHeight="1" x14ac:dyDescent="0.2">
      <c r="A23" s="1038" t="s">
        <v>117</v>
      </c>
      <c r="B23" s="1039">
        <f t="shared" ref="B23:N23" si="4">+B17+B20+B21</f>
        <v>0</v>
      </c>
      <c r="C23" s="1040">
        <f t="shared" si="4"/>
        <v>0</v>
      </c>
      <c r="D23" s="1040">
        <f t="shared" si="4"/>
        <v>0</v>
      </c>
      <c r="E23" s="1040">
        <f t="shared" si="4"/>
        <v>0</v>
      </c>
      <c r="F23" s="1040">
        <f t="shared" si="4"/>
        <v>0</v>
      </c>
      <c r="G23" s="1040">
        <f t="shared" si="4"/>
        <v>0</v>
      </c>
      <c r="H23" s="1040">
        <f t="shared" si="4"/>
        <v>0</v>
      </c>
      <c r="I23" s="1040">
        <f t="shared" si="4"/>
        <v>0</v>
      </c>
      <c r="J23" s="1040">
        <f t="shared" si="4"/>
        <v>0</v>
      </c>
      <c r="K23" s="1040">
        <f t="shared" si="4"/>
        <v>0</v>
      </c>
      <c r="L23" s="1040">
        <f t="shared" si="4"/>
        <v>0</v>
      </c>
      <c r="M23" s="1041">
        <f t="shared" si="4"/>
        <v>0</v>
      </c>
      <c r="N23" s="1041">
        <f t="shared" si="4"/>
        <v>0</v>
      </c>
    </row>
    <row r="24" spans="1:14" ht="12.75" customHeight="1" x14ac:dyDescent="0.2">
      <c r="A24" s="1014" t="s">
        <v>456</v>
      </c>
      <c r="B24" s="1037"/>
      <c r="C24" s="1037"/>
      <c r="D24" s="1037"/>
      <c r="E24" s="1037"/>
      <c r="F24" s="1037"/>
      <c r="G24" s="1037"/>
      <c r="H24" s="1037"/>
      <c r="I24" s="1037"/>
      <c r="J24" s="1037"/>
      <c r="K24" s="1037"/>
      <c r="L24" s="1037"/>
      <c r="M24" s="1037"/>
      <c r="N24" s="409">
        <f>+M24</f>
        <v>0</v>
      </c>
    </row>
    <row r="25" spans="1:14" ht="12.75" customHeight="1" x14ac:dyDescent="0.2">
      <c r="A25" s="1014" t="s">
        <v>457</v>
      </c>
      <c r="B25" s="1037"/>
      <c r="C25" s="1037"/>
      <c r="D25" s="1037"/>
      <c r="E25" s="1037"/>
      <c r="F25" s="1037"/>
      <c r="G25" s="1037"/>
      <c r="H25" s="1037"/>
      <c r="I25" s="1037"/>
      <c r="J25" s="1037"/>
      <c r="K25" s="1037"/>
      <c r="L25" s="1037"/>
      <c r="M25" s="1037"/>
      <c r="N25" s="409">
        <f>+M25</f>
        <v>0</v>
      </c>
    </row>
    <row r="26" spans="1:14" ht="12.75" customHeight="1" x14ac:dyDescent="0.2">
      <c r="A26" s="1014" t="s">
        <v>118</v>
      </c>
      <c r="B26" s="1037"/>
      <c r="C26" s="1037"/>
      <c r="D26" s="1037"/>
      <c r="E26" s="1037"/>
      <c r="F26" s="1037"/>
      <c r="G26" s="1037"/>
      <c r="H26" s="1037"/>
      <c r="I26" s="1037"/>
      <c r="J26" s="1037"/>
      <c r="K26" s="1037"/>
      <c r="L26" s="1037"/>
      <c r="M26" s="1037"/>
      <c r="N26" s="409">
        <f>+M26</f>
        <v>0</v>
      </c>
    </row>
    <row r="27" spans="1:14" ht="12.75" customHeight="1" x14ac:dyDescent="0.2">
      <c r="A27" s="1014" t="s">
        <v>458</v>
      </c>
      <c r="B27" s="1037"/>
      <c r="C27" s="1037"/>
      <c r="D27" s="1037"/>
      <c r="E27" s="1037"/>
      <c r="F27" s="1037"/>
      <c r="G27" s="1037"/>
      <c r="H27" s="1037"/>
      <c r="I27" s="1037"/>
      <c r="J27" s="1037"/>
      <c r="K27" s="1037"/>
      <c r="L27" s="1037"/>
      <c r="M27" s="1037"/>
      <c r="N27" s="409">
        <f>+M27</f>
        <v>0</v>
      </c>
    </row>
    <row r="28" spans="1:14" ht="12.75" customHeight="1" x14ac:dyDescent="0.2">
      <c r="A28" s="1038" t="s">
        <v>83</v>
      </c>
      <c r="B28" s="1047"/>
      <c r="C28" s="1048"/>
      <c r="D28" s="1048"/>
      <c r="E28" s="1048"/>
      <c r="F28" s="1048"/>
      <c r="G28" s="1048"/>
      <c r="H28" s="1048"/>
      <c r="I28" s="1048"/>
      <c r="J28" s="1048"/>
      <c r="K28" s="1048"/>
      <c r="L28" s="1048"/>
      <c r="M28" s="1049"/>
      <c r="N28" s="1049"/>
    </row>
    <row r="29" spans="1:14" ht="12.75" customHeight="1" x14ac:dyDescent="0.2">
      <c r="A29" s="1038" t="s">
        <v>129</v>
      </c>
      <c r="B29" s="1039">
        <f t="shared" ref="B29:N29" si="5">+B23-B28</f>
        <v>0</v>
      </c>
      <c r="C29" s="1040">
        <f t="shared" si="5"/>
        <v>0</v>
      </c>
      <c r="D29" s="1040">
        <f t="shared" si="5"/>
        <v>0</v>
      </c>
      <c r="E29" s="1040">
        <f t="shared" si="5"/>
        <v>0</v>
      </c>
      <c r="F29" s="1040">
        <f t="shared" si="5"/>
        <v>0</v>
      </c>
      <c r="G29" s="1040">
        <f t="shared" si="5"/>
        <v>0</v>
      </c>
      <c r="H29" s="1040">
        <f t="shared" si="5"/>
        <v>0</v>
      </c>
      <c r="I29" s="1040">
        <f t="shared" si="5"/>
        <v>0</v>
      </c>
      <c r="J29" s="1040">
        <f t="shared" si="5"/>
        <v>0</v>
      </c>
      <c r="K29" s="1040">
        <f t="shared" si="5"/>
        <v>0</v>
      </c>
      <c r="L29" s="1040">
        <f t="shared" si="5"/>
        <v>0</v>
      </c>
      <c r="M29" s="1041">
        <f t="shared" si="5"/>
        <v>0</v>
      </c>
      <c r="N29" s="1041">
        <f t="shared" si="5"/>
        <v>0</v>
      </c>
    </row>
    <row r="30" spans="1:14" ht="12.75" customHeight="1" x14ac:dyDescent="0.2">
      <c r="A30" s="289"/>
      <c r="B30" s="289"/>
      <c r="C30" s="127"/>
      <c r="D30" s="127"/>
      <c r="E30" s="127"/>
      <c r="F30" s="127"/>
      <c r="G30" s="127"/>
      <c r="H30" s="127"/>
      <c r="I30" s="127"/>
      <c r="J30" s="127"/>
      <c r="K30" s="127"/>
      <c r="L30" s="127"/>
      <c r="M30" s="197"/>
      <c r="N30" s="197"/>
    </row>
    <row r="31" spans="1:14" ht="12.75" customHeight="1" x14ac:dyDescent="0.2">
      <c r="A31" s="1046" t="s">
        <v>9</v>
      </c>
      <c r="B31" s="292"/>
      <c r="C31" s="130"/>
      <c r="D31" s="130"/>
      <c r="E31" s="130"/>
      <c r="F31" s="130"/>
      <c r="G31" s="130"/>
      <c r="H31" s="130"/>
      <c r="I31" s="130"/>
      <c r="J31" s="130"/>
      <c r="K31" s="130"/>
      <c r="L31" s="130"/>
      <c r="M31" s="195"/>
      <c r="N31" s="195"/>
    </row>
    <row r="32" spans="1:14" ht="12.75" customHeight="1" x14ac:dyDescent="0.2">
      <c r="A32" s="1014" t="s">
        <v>120</v>
      </c>
      <c r="B32" s="1037"/>
      <c r="C32" s="1037"/>
      <c r="D32" s="1037"/>
      <c r="E32" s="1037"/>
      <c r="F32" s="1037"/>
      <c r="G32" s="1037"/>
      <c r="H32" s="1037"/>
      <c r="I32" s="1037"/>
      <c r="J32" s="1037"/>
      <c r="K32" s="1037"/>
      <c r="L32" s="1037"/>
      <c r="M32" s="1037"/>
      <c r="N32" s="409">
        <f>+SUM(B32:M32)</f>
        <v>0</v>
      </c>
    </row>
    <row r="33" spans="1:14" ht="12.75" customHeight="1" x14ac:dyDescent="0.2">
      <c r="A33" s="1014" t="s">
        <v>121</v>
      </c>
      <c r="B33" s="1037"/>
      <c r="C33" s="1037"/>
      <c r="D33" s="1037"/>
      <c r="E33" s="1037"/>
      <c r="F33" s="1037"/>
      <c r="G33" s="1037"/>
      <c r="H33" s="1037"/>
      <c r="I33" s="1037"/>
      <c r="J33" s="1037"/>
      <c r="K33" s="1037"/>
      <c r="L33" s="1037"/>
      <c r="M33" s="1037"/>
      <c r="N33" s="409">
        <f>+SUM(B33:M33)</f>
        <v>0</v>
      </c>
    </row>
    <row r="34" spans="1:14" ht="12.75" customHeight="1" x14ac:dyDescent="0.2">
      <c r="A34" s="1014" t="s">
        <v>122</v>
      </c>
      <c r="B34" s="1037"/>
      <c r="C34" s="1037"/>
      <c r="D34" s="1037"/>
      <c r="E34" s="1037"/>
      <c r="F34" s="1037"/>
      <c r="G34" s="1037"/>
      <c r="H34" s="1037"/>
      <c r="I34" s="1037"/>
      <c r="J34" s="1037"/>
      <c r="K34" s="1037"/>
      <c r="L34" s="1037"/>
      <c r="M34" s="1037"/>
      <c r="N34" s="409">
        <f>+SUM(B34:M34)</f>
        <v>0</v>
      </c>
    </row>
    <row r="35" spans="1:14" ht="12.75" customHeight="1" x14ac:dyDescent="0.2">
      <c r="A35" s="1038" t="s">
        <v>123</v>
      </c>
      <c r="B35" s="1039">
        <f t="shared" ref="B35:N35" si="6">+B32+B33+B34</f>
        <v>0</v>
      </c>
      <c r="C35" s="1040">
        <f t="shared" si="6"/>
        <v>0</v>
      </c>
      <c r="D35" s="1040">
        <f t="shared" si="6"/>
        <v>0</v>
      </c>
      <c r="E35" s="1040">
        <f t="shared" si="6"/>
        <v>0</v>
      </c>
      <c r="F35" s="1040">
        <f t="shared" si="6"/>
        <v>0</v>
      </c>
      <c r="G35" s="1040">
        <f t="shared" si="6"/>
        <v>0</v>
      </c>
      <c r="H35" s="1040">
        <f t="shared" si="6"/>
        <v>0</v>
      </c>
      <c r="I35" s="1040">
        <f t="shared" si="6"/>
        <v>0</v>
      </c>
      <c r="J35" s="1040">
        <f t="shared" si="6"/>
        <v>0</v>
      </c>
      <c r="K35" s="1040">
        <f t="shared" si="6"/>
        <v>0</v>
      </c>
      <c r="L35" s="1040">
        <f t="shared" si="6"/>
        <v>0</v>
      </c>
      <c r="M35" s="1041">
        <f t="shared" si="6"/>
        <v>0</v>
      </c>
      <c r="N35" s="1041">
        <f t="shared" si="6"/>
        <v>0</v>
      </c>
    </row>
    <row r="36" spans="1:14" ht="12.75" customHeight="1" x14ac:dyDescent="0.2">
      <c r="A36" s="1050" t="s">
        <v>124</v>
      </c>
      <c r="B36" s="1051">
        <f>+'Projected Fin Stmts'!D111+'Act vs Proj'!B35</f>
        <v>124700</v>
      </c>
      <c r="C36" s="1052">
        <f t="shared" ref="C36:M36" si="7">+B36+C35</f>
        <v>124700</v>
      </c>
      <c r="D36" s="1052">
        <f t="shared" si="7"/>
        <v>124700</v>
      </c>
      <c r="E36" s="1052">
        <f t="shared" si="7"/>
        <v>124700</v>
      </c>
      <c r="F36" s="1052">
        <f t="shared" si="7"/>
        <v>124700</v>
      </c>
      <c r="G36" s="1052">
        <f t="shared" si="7"/>
        <v>124700</v>
      </c>
      <c r="H36" s="1052">
        <f t="shared" si="7"/>
        <v>124700</v>
      </c>
      <c r="I36" s="1052">
        <f t="shared" si="7"/>
        <v>124700</v>
      </c>
      <c r="J36" s="1052">
        <f t="shared" si="7"/>
        <v>124700</v>
      </c>
      <c r="K36" s="1052">
        <f t="shared" si="7"/>
        <v>124700</v>
      </c>
      <c r="L36" s="1052">
        <f t="shared" si="7"/>
        <v>124700</v>
      </c>
      <c r="M36" s="1053">
        <f t="shared" si="7"/>
        <v>124700</v>
      </c>
      <c r="N36" s="1053">
        <f>+M36</f>
        <v>124700</v>
      </c>
    </row>
    <row r="37" spans="1:14" ht="12.75" customHeight="1" x14ac:dyDescent="0.2">
      <c r="A37" s="127"/>
      <c r="B37" s="127"/>
      <c r="C37" s="127"/>
      <c r="D37" s="127"/>
      <c r="E37" s="127"/>
      <c r="F37" s="127"/>
      <c r="G37" s="127"/>
      <c r="H37" s="127"/>
      <c r="I37" s="127"/>
      <c r="J37" s="127"/>
      <c r="K37" s="127"/>
      <c r="L37" s="127"/>
      <c r="M37" s="127"/>
      <c r="N37" s="127"/>
    </row>
    <row r="38" spans="1:14" ht="12.75" customHeight="1" x14ac:dyDescent="0.2">
      <c r="A38" s="1073" t="s">
        <v>454</v>
      </c>
      <c r="B38" s="1062"/>
      <c r="C38" s="1062"/>
      <c r="D38" s="1062"/>
      <c r="E38" s="1062"/>
      <c r="F38" s="1062"/>
      <c r="G38" s="1062"/>
      <c r="H38" s="1062"/>
      <c r="I38" s="1062"/>
      <c r="J38" s="1062"/>
      <c r="K38" s="1062"/>
      <c r="L38" s="1062"/>
      <c r="M38" s="1062"/>
      <c r="N38" s="1062"/>
    </row>
    <row r="39" spans="1:14" ht="12.75" customHeight="1" x14ac:dyDescent="0.2">
      <c r="A39" s="1161" t="s">
        <v>459</v>
      </c>
      <c r="B39" s="1062"/>
      <c r="C39" s="1062"/>
      <c r="D39" s="1062"/>
      <c r="E39" s="1062"/>
      <c r="F39" s="1062"/>
      <c r="G39" s="1062"/>
      <c r="H39" s="1062"/>
      <c r="I39" s="1062"/>
      <c r="J39" s="1062"/>
      <c r="K39" s="1062"/>
      <c r="L39" s="1062"/>
      <c r="M39" s="1062"/>
      <c r="N39" s="1062"/>
    </row>
    <row r="40" spans="1:14" ht="12.75" customHeight="1" x14ac:dyDescent="0.2">
      <c r="A40" s="127"/>
      <c r="B40" s="166"/>
      <c r="C40" s="166"/>
      <c r="D40" s="166"/>
      <c r="E40" s="166"/>
      <c r="F40" s="166"/>
      <c r="G40" s="166"/>
      <c r="H40" s="166"/>
      <c r="I40" s="166"/>
      <c r="J40" s="166"/>
      <c r="K40" s="166"/>
      <c r="L40" s="166"/>
      <c r="M40" s="166"/>
      <c r="N40" s="1031" t="s">
        <v>126</v>
      </c>
    </row>
    <row r="41" spans="1:14" ht="12.75" customHeight="1" x14ac:dyDescent="0.2">
      <c r="A41" s="127"/>
      <c r="B41" s="1054">
        <f>+'Projected Fin Stmts'!D38</f>
        <v>400</v>
      </c>
      <c r="C41" s="1055">
        <f>+'Projected Fin Stmts'!E38</f>
        <v>400</v>
      </c>
      <c r="D41" s="1055">
        <f>+'Projected Fin Stmts'!F38</f>
        <v>400</v>
      </c>
      <c r="E41" s="1055">
        <f>+'Projected Fin Stmts'!G38</f>
        <v>400</v>
      </c>
      <c r="F41" s="1055">
        <f>+'Projected Fin Stmts'!H38</f>
        <v>400</v>
      </c>
      <c r="G41" s="1055">
        <f>+'Projected Fin Stmts'!I38</f>
        <v>400</v>
      </c>
      <c r="H41" s="1055">
        <f>+'Projected Fin Stmts'!J38</f>
        <v>400</v>
      </c>
      <c r="I41" s="1055">
        <f>+'Projected Fin Stmts'!K38</f>
        <v>400</v>
      </c>
      <c r="J41" s="1055">
        <f>+'Projected Fin Stmts'!L38</f>
        <v>400</v>
      </c>
      <c r="K41" s="1055">
        <f>+'Projected Fin Stmts'!M38</f>
        <v>400</v>
      </c>
      <c r="L41" s="1055">
        <f>+'Projected Fin Stmts'!N38</f>
        <v>400</v>
      </c>
      <c r="M41" s="1056">
        <f>+'Projected Fin Stmts'!O38</f>
        <v>400</v>
      </c>
      <c r="N41" s="1057">
        <f>+M41</f>
        <v>400</v>
      </c>
    </row>
    <row r="42" spans="1:14" ht="12.75" customHeight="1" x14ac:dyDescent="0.2">
      <c r="A42" s="1036" t="s">
        <v>8</v>
      </c>
      <c r="B42" s="290"/>
      <c r="C42" s="129"/>
      <c r="D42" s="129"/>
      <c r="E42" s="129"/>
      <c r="F42" s="129"/>
      <c r="G42" s="129"/>
      <c r="H42" s="129"/>
      <c r="I42" s="129"/>
      <c r="J42" s="129"/>
      <c r="K42" s="129"/>
      <c r="L42" s="129"/>
      <c r="M42" s="291"/>
      <c r="N42" s="291"/>
    </row>
    <row r="43" spans="1:14" ht="12.75" customHeight="1" x14ac:dyDescent="0.2">
      <c r="A43" s="1014" t="s">
        <v>100</v>
      </c>
      <c r="B43" s="373">
        <f>+B8-'Projected Fin Stmts'!D12</f>
        <v>-4452</v>
      </c>
      <c r="C43" s="316">
        <f>+C8-'Projected Fin Stmts'!E12</f>
        <v>-8478</v>
      </c>
      <c r="D43" s="316">
        <f>+D8-'Projected Fin Stmts'!F12</f>
        <v>-13404</v>
      </c>
      <c r="E43" s="316">
        <f>+E8-'Projected Fin Stmts'!G12</f>
        <v>-19230</v>
      </c>
      <c r="F43" s="316">
        <f>+F8-'Projected Fin Stmts'!H12</f>
        <v>-25956</v>
      </c>
      <c r="G43" s="316">
        <f>+G8-'Projected Fin Stmts'!I12</f>
        <v>-33582</v>
      </c>
      <c r="H43" s="316">
        <f>+H8-'Projected Fin Stmts'!J12</f>
        <v>-46560</v>
      </c>
      <c r="I43" s="316">
        <f>+I8-'Projected Fin Stmts'!K12</f>
        <v>-53334</v>
      </c>
      <c r="J43" s="316">
        <f>+J8-'Projected Fin Stmts'!L12</f>
        <v>-59208</v>
      </c>
      <c r="K43" s="316">
        <f>+K8-'Projected Fin Stmts'!M12</f>
        <v>-64182</v>
      </c>
      <c r="L43" s="316">
        <f>+L8-'Projected Fin Stmts'!N12</f>
        <v>-70482</v>
      </c>
      <c r="M43" s="409">
        <f>+M8-'Projected Fin Stmts'!O12</f>
        <v>-76782</v>
      </c>
      <c r="N43" s="409">
        <f>+N8-'Projected Fin Stmts'!P12</f>
        <v>-475650</v>
      </c>
    </row>
    <row r="44" spans="1:14" ht="12.75" customHeight="1" x14ac:dyDescent="0.2">
      <c r="A44" s="1014" t="s">
        <v>109</v>
      </c>
      <c r="B44" s="373">
        <f>+B9-'Projected Fin Stmts'!D17</f>
        <v>1008</v>
      </c>
      <c r="C44" s="316">
        <f>+C9-'Projected Fin Stmts'!E17</f>
        <v>1704.6</v>
      </c>
      <c r="D44" s="316">
        <f>+D9-'Projected Fin Stmts'!F17</f>
        <v>2497.5</v>
      </c>
      <c r="E44" s="316">
        <f>+E9-'Projected Fin Stmts'!G17</f>
        <v>3386.7</v>
      </c>
      <c r="F44" s="316">
        <f>+F9-'Projected Fin Stmts'!H17</f>
        <v>4372.2000000000007</v>
      </c>
      <c r="G44" s="316">
        <f>+G9-'Projected Fin Stmts'!I17</f>
        <v>5454</v>
      </c>
      <c r="H44" s="316">
        <f>+H9-'Projected Fin Stmts'!J17</f>
        <v>7640.1</v>
      </c>
      <c r="I44" s="316">
        <f>+I9-'Projected Fin Stmts'!K17</f>
        <v>8099.1</v>
      </c>
      <c r="J44" s="316">
        <f>+J9-'Projected Fin Stmts'!L17</f>
        <v>8461.7999999999993</v>
      </c>
      <c r="K44" s="316">
        <f>+K9-'Projected Fin Stmts'!M17</f>
        <v>8728.2000000000007</v>
      </c>
      <c r="L44" s="316">
        <f>+L9-'Projected Fin Stmts'!N17</f>
        <v>9402.2999999999993</v>
      </c>
      <c r="M44" s="409">
        <f>+M9-'Projected Fin Stmts'!O17</f>
        <v>10076.4</v>
      </c>
      <c r="N44" s="409">
        <f>+N9-'Projected Fin Stmts'!P17</f>
        <v>70830.899999999994</v>
      </c>
    </row>
    <row r="45" spans="1:14" ht="12.75" customHeight="1" x14ac:dyDescent="0.2">
      <c r="A45" s="1038" t="s">
        <v>110</v>
      </c>
      <c r="B45" s="1039">
        <f t="shared" ref="B45:N45" si="8">+B43+B44</f>
        <v>-3444</v>
      </c>
      <c r="C45" s="1040">
        <f t="shared" si="8"/>
        <v>-6773.4</v>
      </c>
      <c r="D45" s="1040">
        <f t="shared" si="8"/>
        <v>-10906.5</v>
      </c>
      <c r="E45" s="1040">
        <f t="shared" si="8"/>
        <v>-15843.3</v>
      </c>
      <c r="F45" s="1040">
        <f t="shared" si="8"/>
        <v>-21583.8</v>
      </c>
      <c r="G45" s="1040">
        <f t="shared" si="8"/>
        <v>-28128</v>
      </c>
      <c r="H45" s="1040">
        <f t="shared" si="8"/>
        <v>-38919.9</v>
      </c>
      <c r="I45" s="1040">
        <f t="shared" si="8"/>
        <v>-45234.9</v>
      </c>
      <c r="J45" s="1040">
        <f t="shared" si="8"/>
        <v>-50746.2</v>
      </c>
      <c r="K45" s="1040">
        <f t="shared" si="8"/>
        <v>-55453.8</v>
      </c>
      <c r="L45" s="1040">
        <f t="shared" si="8"/>
        <v>-61079.7</v>
      </c>
      <c r="M45" s="1041">
        <f t="shared" si="8"/>
        <v>-66705.600000000006</v>
      </c>
      <c r="N45" s="1041">
        <f t="shared" si="8"/>
        <v>-404819.1</v>
      </c>
    </row>
    <row r="46" spans="1:14" ht="12.75" customHeight="1" x14ac:dyDescent="0.2">
      <c r="A46" s="1014" t="s">
        <v>111</v>
      </c>
      <c r="B46" s="373">
        <f>+B11-'Projected Fin Stmts'!D39</f>
        <v>23777.5</v>
      </c>
      <c r="C46" s="316">
        <f>+C11-'Projected Fin Stmts'!E39</f>
        <v>23777.5</v>
      </c>
      <c r="D46" s="316">
        <f>+D11-'Projected Fin Stmts'!F39</f>
        <v>23777.5</v>
      </c>
      <c r="E46" s="316">
        <f>+E11-'Projected Fin Stmts'!G39</f>
        <v>23777.5</v>
      </c>
      <c r="F46" s="316">
        <f>+F11-'Projected Fin Stmts'!H39</f>
        <v>23777.5</v>
      </c>
      <c r="G46" s="316">
        <f>+G11-'Projected Fin Stmts'!I39</f>
        <v>23777.5</v>
      </c>
      <c r="H46" s="316">
        <f>+H11-'Projected Fin Stmts'!J39</f>
        <v>23777.5</v>
      </c>
      <c r="I46" s="316">
        <f>+I11-'Projected Fin Stmts'!K39</f>
        <v>23777.5</v>
      </c>
      <c r="J46" s="316">
        <f>+J11-'Projected Fin Stmts'!L39</f>
        <v>23777.5</v>
      </c>
      <c r="K46" s="316">
        <f>+K11-'Projected Fin Stmts'!M39</f>
        <v>24927.5</v>
      </c>
      <c r="L46" s="316">
        <f>+L11-'Projected Fin Stmts'!N39</f>
        <v>23777.5</v>
      </c>
      <c r="M46" s="409">
        <f>+M11-'Projected Fin Stmts'!O39</f>
        <v>23777.5</v>
      </c>
      <c r="N46" s="409">
        <f>+N11-'Projected Fin Stmts'!P39</f>
        <v>286480</v>
      </c>
    </row>
    <row r="47" spans="1:14" ht="12.75" customHeight="1" x14ac:dyDescent="0.2">
      <c r="A47" s="1038" t="s">
        <v>112</v>
      </c>
      <c r="B47" s="1039">
        <f t="shared" ref="B47:N47" si="9">+B45+B46</f>
        <v>20333.5</v>
      </c>
      <c r="C47" s="1040">
        <f t="shared" si="9"/>
        <v>17004.099999999999</v>
      </c>
      <c r="D47" s="1040">
        <f t="shared" si="9"/>
        <v>12871</v>
      </c>
      <c r="E47" s="1040">
        <f t="shared" si="9"/>
        <v>7934.2000000000007</v>
      </c>
      <c r="F47" s="1040">
        <f t="shared" si="9"/>
        <v>2193.7000000000007</v>
      </c>
      <c r="G47" s="1040">
        <f t="shared" si="9"/>
        <v>-4350.5</v>
      </c>
      <c r="H47" s="1040">
        <f t="shared" si="9"/>
        <v>-15142.400000000001</v>
      </c>
      <c r="I47" s="1040">
        <f t="shared" si="9"/>
        <v>-21457.4</v>
      </c>
      <c r="J47" s="1040">
        <f t="shared" si="9"/>
        <v>-26968.699999999997</v>
      </c>
      <c r="K47" s="1040">
        <f t="shared" si="9"/>
        <v>-30526.300000000003</v>
      </c>
      <c r="L47" s="1040">
        <f t="shared" si="9"/>
        <v>-37302.199999999997</v>
      </c>
      <c r="M47" s="1041">
        <f t="shared" si="9"/>
        <v>-42928.100000000006</v>
      </c>
      <c r="N47" s="1041">
        <f t="shared" si="9"/>
        <v>-118339.09999999998</v>
      </c>
    </row>
    <row r="48" spans="1:14" ht="12.75" customHeight="1" x14ac:dyDescent="0.2">
      <c r="A48" s="1014" t="s">
        <v>91</v>
      </c>
      <c r="B48" s="373">
        <f>+B13-'Projected Fin Stmts'!D41</f>
        <v>1250</v>
      </c>
      <c r="C48" s="316">
        <f>+C13-'Projected Fin Stmts'!E41</f>
        <v>1247.2946117690228</v>
      </c>
      <c r="D48" s="316">
        <f>+D13-'Projected Fin Stmts'!F41</f>
        <v>1258.575696596891</v>
      </c>
      <c r="E48" s="316">
        <f>+E13-'Projected Fin Stmts'!G41</f>
        <v>1347.269853515565</v>
      </c>
      <c r="F48" s="316">
        <f>+F13-'Projected Fin Stmts'!H41</f>
        <v>1405.8931923299435</v>
      </c>
      <c r="G48" s="316">
        <f>+G13-'Projected Fin Stmts'!I41</f>
        <v>1428.2452636902458</v>
      </c>
      <c r="H48" s="316">
        <f>+H13-'Projected Fin Stmts'!J41</f>
        <v>1409.1976153648804</v>
      </c>
      <c r="I48" s="316">
        <f>+I13-'Projected Fin Stmts'!K41</f>
        <v>1322.8009388884695</v>
      </c>
      <c r="J48" s="316">
        <f>+J13-'Projected Fin Stmts'!L41</f>
        <v>1227.9743284892506</v>
      </c>
      <c r="K48" s="316">
        <f>+K13-'Projected Fin Stmts'!M41</f>
        <v>1225.1588119007199</v>
      </c>
      <c r="L48" s="316">
        <f>+L13-'Projected Fin Stmts'!N41</f>
        <v>1222.3292177292465</v>
      </c>
      <c r="M48" s="409">
        <f>+M13-'Projected Fin Stmts'!O41</f>
        <v>1219.4854755869155</v>
      </c>
      <c r="N48" s="409">
        <f>+N13-'Projected Fin Stmts'!P41</f>
        <v>15564.22500586115</v>
      </c>
    </row>
    <row r="49" spans="1:14" ht="12.75" customHeight="1" x14ac:dyDescent="0.2">
      <c r="A49" s="1038" t="s">
        <v>113</v>
      </c>
      <c r="B49" s="1039">
        <f t="shared" ref="B49:N49" si="10">+B47+B48</f>
        <v>21583.5</v>
      </c>
      <c r="C49" s="1040">
        <f t="shared" si="10"/>
        <v>18251.394611769021</v>
      </c>
      <c r="D49" s="1040">
        <f t="shared" si="10"/>
        <v>14129.57569659689</v>
      </c>
      <c r="E49" s="1040">
        <f t="shared" si="10"/>
        <v>9281.4698535155658</v>
      </c>
      <c r="F49" s="1040">
        <f t="shared" si="10"/>
        <v>3599.593192329944</v>
      </c>
      <c r="G49" s="1040">
        <f t="shared" si="10"/>
        <v>-2922.2547363097542</v>
      </c>
      <c r="H49" s="1040">
        <f t="shared" si="10"/>
        <v>-13733.20238463512</v>
      </c>
      <c r="I49" s="1040">
        <f t="shared" si="10"/>
        <v>-20134.59906111153</v>
      </c>
      <c r="J49" s="1040">
        <f t="shared" si="10"/>
        <v>-25740.725671510747</v>
      </c>
      <c r="K49" s="1040">
        <f t="shared" si="10"/>
        <v>-29301.141188099282</v>
      </c>
      <c r="L49" s="1040">
        <f t="shared" si="10"/>
        <v>-36079.870782270751</v>
      </c>
      <c r="M49" s="1041">
        <f t="shared" si="10"/>
        <v>-41708.614524413089</v>
      </c>
      <c r="N49" s="1041">
        <f t="shared" si="10"/>
        <v>-102774.87499413882</v>
      </c>
    </row>
    <row r="50" spans="1:14" ht="12.75" customHeight="1" x14ac:dyDescent="0.2">
      <c r="A50" s="289"/>
      <c r="B50" s="289"/>
      <c r="C50" s="127"/>
      <c r="D50" s="127"/>
      <c r="E50" s="127"/>
      <c r="F50" s="127"/>
      <c r="G50" s="127"/>
      <c r="H50" s="127"/>
      <c r="I50" s="127"/>
      <c r="J50" s="127"/>
      <c r="K50" s="127"/>
      <c r="L50" s="127"/>
      <c r="M50" s="197"/>
      <c r="N50" s="197"/>
    </row>
    <row r="51" spans="1:14" ht="12.75" customHeight="1" x14ac:dyDescent="0.2">
      <c r="A51" s="1046" t="s">
        <v>96</v>
      </c>
      <c r="B51" s="292"/>
      <c r="C51" s="130"/>
      <c r="D51" s="130"/>
      <c r="E51" s="130"/>
      <c r="F51" s="130"/>
      <c r="G51" s="130"/>
      <c r="H51" s="130"/>
      <c r="I51" s="130"/>
      <c r="J51" s="130"/>
      <c r="K51" s="130"/>
      <c r="L51" s="130"/>
      <c r="M51" s="195"/>
      <c r="N51" s="195"/>
    </row>
    <row r="52" spans="1:14" ht="12.75" customHeight="1" x14ac:dyDescent="0.2">
      <c r="A52" s="1014" t="s">
        <v>17</v>
      </c>
      <c r="B52" s="373">
        <f>+B17-'Projected Fin Stmts'!D55</f>
        <v>-184.8</v>
      </c>
      <c r="C52" s="316">
        <f>+C17-'Projected Fin Stmts'!E55</f>
        <v>-539.04</v>
      </c>
      <c r="D52" s="316">
        <f>+D17-'Projected Fin Stmts'!F55</f>
        <v>-1101.24</v>
      </c>
      <c r="E52" s="316">
        <f>+E17-'Projected Fin Stmts'!G55</f>
        <v>-1909.92</v>
      </c>
      <c r="F52" s="316">
        <f>+F17-'Projected Fin Stmts'!H55</f>
        <v>-3003.6000000000004</v>
      </c>
      <c r="G52" s="316">
        <f>+G17-'Projected Fin Stmts'!I55</f>
        <v>-4420.8</v>
      </c>
      <c r="H52" s="316">
        <f>+H17-'Projected Fin Stmts'!J55</f>
        <v>-6384.84</v>
      </c>
      <c r="I52" s="316">
        <f>+I17-'Projected Fin Stmts'!K55</f>
        <v>-8641.68</v>
      </c>
      <c r="J52" s="316">
        <f>+J17-'Projected Fin Stmts'!L55</f>
        <v>-11152.8</v>
      </c>
      <c r="K52" s="316">
        <f>+K17-'Projected Fin Stmts'!M55</f>
        <v>-13879.68</v>
      </c>
      <c r="L52" s="316">
        <f>+L17-'Projected Fin Stmts'!N55</f>
        <v>-16876.2</v>
      </c>
      <c r="M52" s="409">
        <f>+M17-'Projected Fin Stmts'!O55</f>
        <v>-20142.36</v>
      </c>
      <c r="N52" s="409">
        <f>+N17-'Projected Fin Stmts'!P55</f>
        <v>-20142.36</v>
      </c>
    </row>
    <row r="53" spans="1:14" ht="12.75" customHeight="1" x14ac:dyDescent="0.2">
      <c r="A53" s="1014" t="s">
        <v>455</v>
      </c>
      <c r="B53" s="373">
        <f>+B18-'Projected Fin Stmts'!D56</f>
        <v>-27.72</v>
      </c>
      <c r="C53" s="316">
        <f>+C18-'Projected Fin Stmts'!E56</f>
        <v>-80.855999999999995</v>
      </c>
      <c r="D53" s="316">
        <f>+D18-'Projected Fin Stmts'!F56</f>
        <v>-165.18599999999998</v>
      </c>
      <c r="E53" s="316">
        <f>+E18-'Projected Fin Stmts'!G56</f>
        <v>-286.488</v>
      </c>
      <c r="F53" s="316">
        <f>+F18-'Projected Fin Stmts'!H56</f>
        <v>-450.53999999999996</v>
      </c>
      <c r="G53" s="316">
        <f>+G18-'Projected Fin Stmts'!I56</f>
        <v>-663.12</v>
      </c>
      <c r="H53" s="316">
        <f>+H18-'Projected Fin Stmts'!J56</f>
        <v>-957.726</v>
      </c>
      <c r="I53" s="316">
        <f>+I18-'Projected Fin Stmts'!K56</f>
        <v>-1296.252</v>
      </c>
      <c r="J53" s="316">
        <f>+J18-'Projected Fin Stmts'!L56</f>
        <v>-1672.92</v>
      </c>
      <c r="K53" s="316">
        <f>+K18-'Projected Fin Stmts'!M56</f>
        <v>-2081.9520000000002</v>
      </c>
      <c r="L53" s="316">
        <f>+L18-'Projected Fin Stmts'!N56</f>
        <v>-2531.4300000000003</v>
      </c>
      <c r="M53" s="409">
        <f>+M18-'Projected Fin Stmts'!O56</f>
        <v>-3021.3540000000003</v>
      </c>
      <c r="N53" s="409">
        <f>+N18-'Projected Fin Stmts'!P56</f>
        <v>-3021.3540000000003</v>
      </c>
    </row>
    <row r="54" spans="1:14" ht="12.75" customHeight="1" x14ac:dyDescent="0.2">
      <c r="A54" s="1014" t="s">
        <v>23</v>
      </c>
      <c r="B54" s="373">
        <f>+B19-'Projected Fin Stmts'!D57</f>
        <v>-106.26</v>
      </c>
      <c r="C54" s="316">
        <f>+C19-'Projected Fin Stmts'!E57</f>
        <v>-309.94799999999998</v>
      </c>
      <c r="D54" s="316">
        <f>+D19-'Projected Fin Stmts'!F57</f>
        <v>-633.21299999999997</v>
      </c>
      <c r="E54" s="316">
        <f>+E19-'Projected Fin Stmts'!G57</f>
        <v>-1098.204</v>
      </c>
      <c r="F54" s="316">
        <f>+F19-'Projected Fin Stmts'!H57</f>
        <v>-1727.07</v>
      </c>
      <c r="G54" s="316">
        <f>+G19-'Projected Fin Stmts'!I57</f>
        <v>-2541.96</v>
      </c>
      <c r="H54" s="316">
        <f>+H19-'Projected Fin Stmts'!J57</f>
        <v>-3671.2830000000004</v>
      </c>
      <c r="I54" s="316">
        <f>+I19-'Projected Fin Stmts'!K57</f>
        <v>-4968.9660000000003</v>
      </c>
      <c r="J54" s="316">
        <f>+J19-'Projected Fin Stmts'!L57</f>
        <v>-6412.8600000000006</v>
      </c>
      <c r="K54" s="316">
        <f>+K19-'Projected Fin Stmts'!M57</f>
        <v>-7980.8160000000007</v>
      </c>
      <c r="L54" s="316">
        <f>+L19-'Projected Fin Stmts'!N57</f>
        <v>-9703.8150000000005</v>
      </c>
      <c r="M54" s="409">
        <f>+M19-'Projected Fin Stmts'!O57</f>
        <v>-11581.857</v>
      </c>
      <c r="N54" s="409">
        <f>+N19-'Projected Fin Stmts'!P57</f>
        <v>-11581.857</v>
      </c>
    </row>
    <row r="55" spans="1:14" ht="12.75" customHeight="1" x14ac:dyDescent="0.2">
      <c r="A55" s="1014" t="s">
        <v>114</v>
      </c>
      <c r="B55" s="373">
        <f>+B20-'Projected Fin Stmts'!D58</f>
        <v>-103848.34902047124</v>
      </c>
      <c r="C55" s="316">
        <f>+C20-'Projected Fin Stmts'!E58</f>
        <v>-88523.526040942495</v>
      </c>
      <c r="D55" s="316">
        <f>+D20-'Projected Fin Stmts'!F58</f>
        <v>-89051.380061413758</v>
      </c>
      <c r="E55" s="316">
        <f>+E20-'Projected Fin Stmts'!G58</f>
        <v>-90057.760081885004</v>
      </c>
      <c r="F55" s="316">
        <f>+F20-'Projected Fin Stmts'!H58</f>
        <v>-91468.515102356279</v>
      </c>
      <c r="G55" s="316">
        <f>+G20-'Projected Fin Stmts'!I58</f>
        <v>-93376.494122827527</v>
      </c>
      <c r="H55" s="316">
        <f>+H20-'Projected Fin Stmts'!J58</f>
        <v>-96306.806143298774</v>
      </c>
      <c r="I55" s="316">
        <f>+I20-'Projected Fin Stmts'!K58</f>
        <v>-104541.47816377002</v>
      </c>
      <c r="J55" s="316">
        <f>+J20-'Projected Fin Stmts'!L58</f>
        <v>-132329.6611842413</v>
      </c>
      <c r="K55" s="316">
        <f>+K20-'Projected Fin Stmts'!M58</f>
        <v>-163799.50620471255</v>
      </c>
      <c r="L55" s="316">
        <f>+L20-'Projected Fin Stmts'!N58</f>
        <v>-202200.29422518384</v>
      </c>
      <c r="M55" s="409">
        <f>+M20-'Projected Fin Stmts'!O58</f>
        <v>-246382.02524565507</v>
      </c>
      <c r="N55" s="409">
        <f>+N20-'Projected Fin Stmts'!P58</f>
        <v>-246382.02524565501</v>
      </c>
    </row>
    <row r="56" spans="1:14" ht="12.75" customHeight="1" x14ac:dyDescent="0.2">
      <c r="A56" s="1014" t="s">
        <v>115</v>
      </c>
      <c r="B56" s="373">
        <f>+B21-'Projected Fin Stmts'!D64</f>
        <v>-120000</v>
      </c>
      <c r="C56" s="316">
        <f>+C21-'Projected Fin Stmts'!E64</f>
        <v>-120000</v>
      </c>
      <c r="D56" s="316">
        <f>+D21-'Projected Fin Stmts'!F64</f>
        <v>-120000</v>
      </c>
      <c r="E56" s="316">
        <f>+E21-'Projected Fin Stmts'!G64</f>
        <v>-120000</v>
      </c>
      <c r="F56" s="316">
        <f>+F21-'Projected Fin Stmts'!H64</f>
        <v>-120000</v>
      </c>
      <c r="G56" s="316">
        <f>+G21-'Projected Fin Stmts'!I64</f>
        <v>-120000</v>
      </c>
      <c r="H56" s="316">
        <f>+H21-'Projected Fin Stmts'!J64</f>
        <v>-120000</v>
      </c>
      <c r="I56" s="316">
        <f>+I21-'Projected Fin Stmts'!K64</f>
        <v>-120000</v>
      </c>
      <c r="J56" s="316">
        <f>+J21-'Projected Fin Stmts'!L64</f>
        <v>-120000</v>
      </c>
      <c r="K56" s="316">
        <f>+K21-'Projected Fin Stmts'!M64</f>
        <v>-120000</v>
      </c>
      <c r="L56" s="316">
        <f>+L21-'Projected Fin Stmts'!N64</f>
        <v>-120000</v>
      </c>
      <c r="M56" s="409">
        <f>+M21-'Projected Fin Stmts'!O64</f>
        <v>-120000</v>
      </c>
      <c r="N56" s="409">
        <f>+N21-'Projected Fin Stmts'!P64</f>
        <v>-120000</v>
      </c>
    </row>
    <row r="57" spans="1:14" ht="12.75" customHeight="1" x14ac:dyDescent="0.2">
      <c r="A57" s="1014" t="s">
        <v>128</v>
      </c>
      <c r="B57" s="373">
        <f>+B22-'Projected Fin Stmts'!D65</f>
        <v>1166.6666666666667</v>
      </c>
      <c r="C57" s="316">
        <f>+C22-'Projected Fin Stmts'!E65</f>
        <v>2333.3333333333335</v>
      </c>
      <c r="D57" s="316">
        <f>+D22-'Projected Fin Stmts'!F65</f>
        <v>3500</v>
      </c>
      <c r="E57" s="316">
        <f>+E22-'Projected Fin Stmts'!G65</f>
        <v>4666.666666666667</v>
      </c>
      <c r="F57" s="316">
        <f>+F22-'Projected Fin Stmts'!H65</f>
        <v>5833.3333333333339</v>
      </c>
      <c r="G57" s="316">
        <f>+G22-'Projected Fin Stmts'!I65</f>
        <v>7000.0000000000009</v>
      </c>
      <c r="H57" s="316">
        <f>+H22-'Projected Fin Stmts'!J65</f>
        <v>8166.6666666666679</v>
      </c>
      <c r="I57" s="316">
        <f>+I22-'Projected Fin Stmts'!K65</f>
        <v>9333.3333333333339</v>
      </c>
      <c r="J57" s="316">
        <f>+J22-'Projected Fin Stmts'!L65</f>
        <v>10500</v>
      </c>
      <c r="K57" s="316">
        <f>+K22-'Projected Fin Stmts'!M65</f>
        <v>11666.666666666666</v>
      </c>
      <c r="L57" s="316">
        <f>+L22-'Projected Fin Stmts'!N65</f>
        <v>12833.333333333332</v>
      </c>
      <c r="M57" s="409">
        <f>+M22-'Projected Fin Stmts'!O65</f>
        <v>13999.999999999998</v>
      </c>
      <c r="N57" s="409">
        <f>+N22-'Projected Fin Stmts'!P65</f>
        <v>13999.999999999998</v>
      </c>
    </row>
    <row r="58" spans="1:14" ht="12.75" customHeight="1" x14ac:dyDescent="0.2">
      <c r="A58" s="1038" t="s">
        <v>117</v>
      </c>
      <c r="B58" s="1039">
        <f>+B23-'Projected Fin Stmts'!D68</f>
        <v>-240681.34902047124</v>
      </c>
      <c r="C58" s="1040">
        <f>+C23-'Projected Fin Stmts'!E68</f>
        <v>-224190.5260409425</v>
      </c>
      <c r="D58" s="1040">
        <f>+D23-'Projected Fin Stmts'!F68</f>
        <v>-223551.38006141374</v>
      </c>
      <c r="E58" s="1040">
        <f>+E23-'Projected Fin Stmts'!G68</f>
        <v>-223390.760081885</v>
      </c>
      <c r="F58" s="1040">
        <f>+F23-'Projected Fin Stmts'!H68</f>
        <v>-223635.51510235626</v>
      </c>
      <c r="G58" s="1040">
        <f>+G23-'Projected Fin Stmts'!I68</f>
        <v>-224376.49412282754</v>
      </c>
      <c r="H58" s="1040">
        <f>+H23-'Projected Fin Stmts'!J68</f>
        <v>-226139.80614329877</v>
      </c>
      <c r="I58" s="1040">
        <f>+I23-'Projected Fin Stmts'!K68</f>
        <v>-233208.47816377002</v>
      </c>
      <c r="J58" s="1040">
        <f>+J23-'Projected Fin Stmts'!L68</f>
        <v>-259829.6611842413</v>
      </c>
      <c r="K58" s="1040">
        <f>+K23-'Projected Fin Stmts'!M68</f>
        <v>-290132.50620471255</v>
      </c>
      <c r="L58" s="1040">
        <f>+L23-'Projected Fin Stmts'!N68</f>
        <v>-327367.29422518384</v>
      </c>
      <c r="M58" s="1041">
        <f>+M23-'Projected Fin Stmts'!O68</f>
        <v>-370382.0252456551</v>
      </c>
      <c r="N58" s="1041">
        <f>+N23-'Projected Fin Stmts'!P68</f>
        <v>-370382.02524565498</v>
      </c>
    </row>
    <row r="59" spans="1:14" ht="12.75" customHeight="1" x14ac:dyDescent="0.2">
      <c r="A59" s="1014" t="s">
        <v>456</v>
      </c>
      <c r="B59" s="373">
        <f>+B24-'Projected Fin Stmts'!D71</f>
        <v>-106.26</v>
      </c>
      <c r="C59" s="316">
        <f>+C24-'Projected Fin Stmts'!E71</f>
        <v>-309.94799999999998</v>
      </c>
      <c r="D59" s="316">
        <f>+D24-'Projected Fin Stmts'!F71</f>
        <v>-633.21299999999997</v>
      </c>
      <c r="E59" s="316">
        <f>+E24-'Projected Fin Stmts'!G71</f>
        <v>-1098.204</v>
      </c>
      <c r="F59" s="316">
        <f>+F24-'Projected Fin Stmts'!H71</f>
        <v>-1727.07</v>
      </c>
      <c r="G59" s="316">
        <f>+G24-'Projected Fin Stmts'!I71</f>
        <v>-2541.96</v>
      </c>
      <c r="H59" s="316">
        <f>+H24-'Projected Fin Stmts'!J71</f>
        <v>-3671.2830000000004</v>
      </c>
      <c r="I59" s="316">
        <f>+I24-'Projected Fin Stmts'!K71</f>
        <v>-4968.9660000000003</v>
      </c>
      <c r="J59" s="316">
        <f>+J24-'Projected Fin Stmts'!L71</f>
        <v>-6412.8600000000006</v>
      </c>
      <c r="K59" s="316">
        <f>+K24-'Projected Fin Stmts'!M71</f>
        <v>-7980.8160000000007</v>
      </c>
      <c r="L59" s="316">
        <f>+L24-'Projected Fin Stmts'!N71</f>
        <v>-9703.8150000000005</v>
      </c>
      <c r="M59" s="409">
        <f>+M24-'Projected Fin Stmts'!O71</f>
        <v>-11581.857</v>
      </c>
      <c r="N59" s="409">
        <f>+N24-'Projected Fin Stmts'!P71</f>
        <v>-11581.857</v>
      </c>
    </row>
    <row r="60" spans="1:14" ht="12.75" customHeight="1" x14ac:dyDescent="0.2">
      <c r="A60" s="1014" t="s">
        <v>457</v>
      </c>
      <c r="B60" s="373">
        <f>+B25-(SUM('Projected Fin Stmts'!D73:D74))</f>
        <v>0</v>
      </c>
      <c r="C60" s="316">
        <f>+C25-(SUM('Projected Fin Stmts'!E73:E74))</f>
        <v>0</v>
      </c>
      <c r="D60" s="316">
        <f>+D25-(SUM('Projected Fin Stmts'!F73:F74))</f>
        <v>0</v>
      </c>
      <c r="E60" s="316">
        <f>+E25-(SUM('Projected Fin Stmts'!G73:G74))</f>
        <v>0</v>
      </c>
      <c r="F60" s="316">
        <f>+F25-(SUM('Projected Fin Stmts'!H73:H74))</f>
        <v>0</v>
      </c>
      <c r="G60" s="316">
        <f>+G25-(SUM('Projected Fin Stmts'!I73:I74))</f>
        <v>0</v>
      </c>
      <c r="H60" s="316">
        <f>+H25-(SUM('Projected Fin Stmts'!J73:J74))</f>
        <v>0</v>
      </c>
      <c r="I60" s="316">
        <f>+I25-(SUM('Projected Fin Stmts'!K73:K74))</f>
        <v>0</v>
      </c>
      <c r="J60" s="316">
        <f>+J25-(SUM('Projected Fin Stmts'!L73:L74))</f>
        <v>0</v>
      </c>
      <c r="K60" s="316">
        <f>+K25-(SUM('Projected Fin Stmts'!M73:M74))</f>
        <v>0</v>
      </c>
      <c r="L60" s="316">
        <f>+L25-(SUM('Projected Fin Stmts'!N73:N74))</f>
        <v>0</v>
      </c>
      <c r="M60" s="409">
        <f>+M25-(SUM('Projected Fin Stmts'!O73:O74))</f>
        <v>0</v>
      </c>
      <c r="N60" s="409">
        <f>+N25-(SUM('Projected Fin Stmts'!P73:P74))</f>
        <v>0</v>
      </c>
    </row>
    <row r="61" spans="1:14" ht="12.75" customHeight="1" x14ac:dyDescent="0.2">
      <c r="A61" s="1014" t="s">
        <v>118</v>
      </c>
      <c r="B61" s="373">
        <f>+B26-'Projected Fin Stmts'!D75</f>
        <v>-106</v>
      </c>
      <c r="C61" s="316">
        <f>+C26-'Projected Fin Stmts'!E75</f>
        <v>-2410</v>
      </c>
      <c r="D61" s="316">
        <f>+D26-'Projected Fin Stmts'!F75</f>
        <v>-16447</v>
      </c>
      <c r="E61" s="316">
        <f>+E26-'Projected Fin Stmts'!G75</f>
        <v>-26118</v>
      </c>
      <c r="F61" s="316">
        <f>+F26-'Projected Fin Stmts'!H75</f>
        <v>-30513</v>
      </c>
      <c r="G61" s="316">
        <f>+G26-'Projected Fin Stmts'!I75</f>
        <v>-28887</v>
      </c>
      <c r="H61" s="316">
        <f>+H26-'Projected Fin Stmts'!J75</f>
        <v>-17475</v>
      </c>
      <c r="I61" s="316">
        <f>+I26-'Projected Fin Stmts'!K75</f>
        <v>-4969</v>
      </c>
      <c r="J61" s="316">
        <f>+J26-'Projected Fin Stmts'!L75</f>
        <v>-6413</v>
      </c>
      <c r="K61" s="316">
        <f>+K26-'Projected Fin Stmts'!M75</f>
        <v>-7981</v>
      </c>
      <c r="L61" s="316">
        <f>+L26-'Projected Fin Stmts'!N75</f>
        <v>-9704</v>
      </c>
      <c r="M61" s="409">
        <f>+M26-'Projected Fin Stmts'!O75</f>
        <v>-11582</v>
      </c>
      <c r="N61" s="409">
        <f>+N26-'Projected Fin Stmts'!P75</f>
        <v>-11582</v>
      </c>
    </row>
    <row r="62" spans="1:14" ht="12.75" customHeight="1" x14ac:dyDescent="0.2">
      <c r="A62" s="1014" t="s">
        <v>458</v>
      </c>
      <c r="B62" s="373">
        <f>+B27-'Projected Fin Stmts'!D76-'Projected Fin Stmts'!D77</f>
        <v>-249458.92235380458</v>
      </c>
      <c r="C62" s="316">
        <f>+C27-'Projected Fin Stmts'!E76-'Projected Fin Stmts'!E77</f>
        <v>-248915.13931937818</v>
      </c>
      <c r="D62" s="316">
        <f>+D27-'Projected Fin Stmts'!F76-'Projected Fin Stmts'!F77</f>
        <v>-248368.63736977967</v>
      </c>
      <c r="E62" s="316">
        <f>+E27-'Projected Fin Stmts'!G76-'Projected Fin Stmts'!G77</f>
        <v>-247819.40291043316</v>
      </c>
      <c r="F62" s="316">
        <f>+F27-'Projected Fin Stmts'!H76-'Projected Fin Stmts'!H77</f>
        <v>-247267.42227878992</v>
      </c>
      <c r="G62" s="316">
        <f>+G27-'Projected Fin Stmts'!I76-'Projected Fin Stmts'!I77</f>
        <v>-246712.68174398845</v>
      </c>
      <c r="H62" s="316">
        <f>+H27-'Projected Fin Stmts'!J76-'Projected Fin Stmts'!J77</f>
        <v>-246155.16750651298</v>
      </c>
      <c r="I62" s="316">
        <f>+I27-'Projected Fin Stmts'!K76-'Projected Fin Stmts'!K77</f>
        <v>-245594.86569785012</v>
      </c>
      <c r="J62" s="316">
        <f>+J27-'Projected Fin Stmts'!L76-'Projected Fin Stmts'!L77</f>
        <v>-245031.76238014398</v>
      </c>
      <c r="K62" s="316">
        <f>+K27-'Projected Fin Stmts'!M76-'Projected Fin Stmts'!M77</f>
        <v>-244465.84354584929</v>
      </c>
      <c r="L62" s="316">
        <f>+L27-'Projected Fin Stmts'!N76-'Projected Fin Stmts'!N77</f>
        <v>-243897.09511738311</v>
      </c>
      <c r="M62" s="409">
        <f>+M27-'Projected Fin Stmts'!O76-'Projected Fin Stmts'!O77</f>
        <v>-243325.50294677462</v>
      </c>
      <c r="N62" s="409">
        <f>+N27-'Projected Fin Stmts'!P76-'Projected Fin Stmts'!P77</f>
        <v>-243325.50294677462</v>
      </c>
    </row>
    <row r="63" spans="1:14" ht="12.75" customHeight="1" x14ac:dyDescent="0.2">
      <c r="A63" s="1038" t="s">
        <v>83</v>
      </c>
      <c r="B63" s="1039">
        <f>+B28-'Projected Fin Stmts'!D78</f>
        <v>-249564.92235380458</v>
      </c>
      <c r="C63" s="1040">
        <f>+C28-'Projected Fin Stmts'!E78</f>
        <v>-251325.13931937818</v>
      </c>
      <c r="D63" s="1040">
        <f>+D28-'Projected Fin Stmts'!F78</f>
        <v>-264815.63736977964</v>
      </c>
      <c r="E63" s="1040">
        <f>+E28-'Projected Fin Stmts'!G78</f>
        <v>-273937.40291043313</v>
      </c>
      <c r="F63" s="1040">
        <f>+F28-'Projected Fin Stmts'!H78</f>
        <v>-277780.42227878992</v>
      </c>
      <c r="G63" s="1040">
        <f>+G28-'Projected Fin Stmts'!I78</f>
        <v>-275599.68174398842</v>
      </c>
      <c r="H63" s="1040">
        <f>+H28-'Projected Fin Stmts'!J78</f>
        <v>-263630.16750651295</v>
      </c>
      <c r="I63" s="1040">
        <f>+I28-'Projected Fin Stmts'!K78</f>
        <v>-250563.86569785012</v>
      </c>
      <c r="J63" s="1040">
        <f>+J28-'Projected Fin Stmts'!L78</f>
        <v>-251444.76238014398</v>
      </c>
      <c r="K63" s="1040">
        <f>+K28-'Projected Fin Stmts'!M78</f>
        <v>-252446.84354584929</v>
      </c>
      <c r="L63" s="1040">
        <f>+L28-'Projected Fin Stmts'!N78</f>
        <v>-253601.09511738311</v>
      </c>
      <c r="M63" s="1041">
        <f>+M28-'Projected Fin Stmts'!O78</f>
        <v>-254907.50294677462</v>
      </c>
      <c r="N63" s="1041">
        <f>+N28-'Projected Fin Stmts'!P78</f>
        <v>-254907.50294677462</v>
      </c>
    </row>
    <row r="64" spans="1:14" ht="12.75" customHeight="1" x14ac:dyDescent="0.2">
      <c r="A64" s="1038" t="s">
        <v>129</v>
      </c>
      <c r="B64" s="1039">
        <f>+'Act vs Proj'!B29-'Projected Fin Stmts'!D83</f>
        <v>8883.5</v>
      </c>
      <c r="C64" s="1040">
        <f>+'Act vs Proj'!C29-'Projected Fin Stmts'!E83</f>
        <v>27134.894611769021</v>
      </c>
      <c r="D64" s="1040">
        <f>+'Act vs Proj'!D29-'Projected Fin Stmts'!F83</f>
        <v>41264.470308365911</v>
      </c>
      <c r="E64" s="1040">
        <f>+'Act vs Proj'!E29-'Projected Fin Stmts'!G83</f>
        <v>50545.940161881474</v>
      </c>
      <c r="F64" s="1040">
        <f>+'Act vs Proj'!F29-'Projected Fin Stmts'!H83</f>
        <v>54145.533354211424</v>
      </c>
      <c r="G64" s="1040">
        <f>+'Act vs Proj'!G29-'Projected Fin Stmts'!I83</f>
        <v>51223.278617901669</v>
      </c>
      <c r="H64" s="1040">
        <f>+'Act vs Proj'!H29-'Projected Fin Stmts'!J83</f>
        <v>37490.076233266547</v>
      </c>
      <c r="I64" s="1040">
        <f>+'Act vs Proj'!I29-'Projected Fin Stmts'!K83</f>
        <v>17355.477172155021</v>
      </c>
      <c r="J64" s="1040">
        <f>+'Act vs Proj'!J29-'Projected Fin Stmts'!L83</f>
        <v>-8385.2484993557264</v>
      </c>
      <c r="K64" s="1040">
        <f>+'Act vs Proj'!K29-'Projected Fin Stmts'!M83</f>
        <v>-37686.389687455012</v>
      </c>
      <c r="L64" s="1040">
        <f>+'Act vs Proj'!L29-'Projected Fin Stmts'!N83</f>
        <v>-73766.260469725763</v>
      </c>
      <c r="M64" s="1041">
        <f>+'Act vs Proj'!M29-'Projected Fin Stmts'!O83</f>
        <v>-115474.87499413885</v>
      </c>
      <c r="N64" s="1041">
        <f>+'Act vs Proj'!N29-'Projected Fin Stmts'!P83</f>
        <v>-115474.87499413885</v>
      </c>
    </row>
    <row r="65" spans="1:14" x14ac:dyDescent="0.2"/>
    <row r="66" spans="1:14" ht="12.75" customHeight="1" x14ac:dyDescent="0.2">
      <c r="A66" s="1046" t="s">
        <v>9</v>
      </c>
      <c r="B66" s="292"/>
      <c r="C66" s="130"/>
      <c r="D66" s="130"/>
      <c r="E66" s="130"/>
      <c r="F66" s="130"/>
      <c r="G66" s="130"/>
      <c r="H66" s="130"/>
      <c r="I66" s="130"/>
      <c r="J66" s="130"/>
      <c r="K66" s="130"/>
      <c r="L66" s="130"/>
      <c r="M66" s="195"/>
      <c r="N66" s="195"/>
    </row>
    <row r="67" spans="1:14" ht="12.75" customHeight="1" x14ac:dyDescent="0.2">
      <c r="A67" s="1014" t="s">
        <v>120</v>
      </c>
      <c r="B67" s="373">
        <f>+B32-'Projected Fin Stmts'!D98</f>
        <v>20629.353333333333</v>
      </c>
      <c r="C67" s="316">
        <f>+C32-'Projected Fin Stmts'!E98</f>
        <v>15392.103945102352</v>
      </c>
      <c r="D67" s="316">
        <f>+D32-'Projected Fin Stmts'!F98</f>
        <v>-104.56097006977507</v>
      </c>
      <c r="E67" s="316">
        <f>+E32-'Projected Fin Stmts'!G98</f>
        <v>-160.64147981776659</v>
      </c>
      <c r="F67" s="316">
        <f>+F32-'Projected Fin Stmts'!H98</f>
        <v>-76.137652114501179</v>
      </c>
      <c r="G67" s="316">
        <f>+G32-'Projected Fin Stmts'!I98</f>
        <v>-18.049555272716589</v>
      </c>
      <c r="H67" s="316">
        <f>+H32-'Projected Fin Stmts'!J98</f>
        <v>-99.857257946723621</v>
      </c>
      <c r="I67" s="316">
        <f>+I32-'Projected Fin Stmts'!K98</f>
        <v>-4901.9248291341028</v>
      </c>
      <c r="J67" s="316">
        <f>+J32-'Projected Fin Stmts'!L98</f>
        <v>-24019.604338177414</v>
      </c>
      <c r="K67" s="316">
        <f>+K32-'Projected Fin Stmts'!M98</f>
        <v>-27331.895854765949</v>
      </c>
      <c r="L67" s="316">
        <f>+L32-'Projected Fin Stmts'!N98</f>
        <v>-33800.539448937416</v>
      </c>
      <c r="M67" s="409">
        <f>+M32-'Projected Fin Stmts'!O98</f>
        <v>-39119.197191079758</v>
      </c>
      <c r="N67" s="409">
        <f>+N32-'Projected Fin Stmts'!P98</f>
        <v>-93610.95129888042</v>
      </c>
    </row>
    <row r="68" spans="1:14" ht="12.75" customHeight="1" x14ac:dyDescent="0.2">
      <c r="A68" s="1014" t="s">
        <v>121</v>
      </c>
      <c r="B68" s="373">
        <f>+B33-'Projected Fin Stmts'!D102</f>
        <v>0</v>
      </c>
      <c r="C68" s="316">
        <f>+C33-'Projected Fin Stmts'!E102</f>
        <v>0</v>
      </c>
      <c r="D68" s="316">
        <f>+D33-'Projected Fin Stmts'!F102</f>
        <v>0</v>
      </c>
      <c r="E68" s="316">
        <f>+E33-'Projected Fin Stmts'!G102</f>
        <v>0</v>
      </c>
      <c r="F68" s="316">
        <f>+F33-'Projected Fin Stmts'!H102</f>
        <v>0</v>
      </c>
      <c r="G68" s="316">
        <f>+G33-'Projected Fin Stmts'!I102</f>
        <v>0</v>
      </c>
      <c r="H68" s="316">
        <f>+H33-'Projected Fin Stmts'!J102</f>
        <v>0</v>
      </c>
      <c r="I68" s="316">
        <f>+I33-'Projected Fin Stmts'!K102</f>
        <v>0</v>
      </c>
      <c r="J68" s="316">
        <f>+J33-'Projected Fin Stmts'!L102</f>
        <v>0</v>
      </c>
      <c r="K68" s="316">
        <f>+K33-'Projected Fin Stmts'!M102</f>
        <v>0</v>
      </c>
      <c r="L68" s="316">
        <f>+L33-'Projected Fin Stmts'!N102</f>
        <v>0</v>
      </c>
      <c r="M68" s="409">
        <f>+M33-'Projected Fin Stmts'!O102</f>
        <v>0</v>
      </c>
      <c r="N68" s="409">
        <f>+N33-'Projected Fin Stmts'!P102</f>
        <v>0</v>
      </c>
    </row>
    <row r="69" spans="1:14" ht="12.75" customHeight="1" x14ac:dyDescent="0.2">
      <c r="A69" s="1014" t="s">
        <v>122</v>
      </c>
      <c r="B69" s="373">
        <f>+B34-'Projected Fin Stmts'!D108</f>
        <v>541.07764619542286</v>
      </c>
      <c r="C69" s="316">
        <f>+C34-'Projected Fin Stmts'!E108</f>
        <v>543.78303442639299</v>
      </c>
      <c r="D69" s="316">
        <f>+D34-'Projected Fin Stmts'!F108</f>
        <v>546.50194959851797</v>
      </c>
      <c r="E69" s="316">
        <f>+E34-'Projected Fin Stmts'!G108</f>
        <v>549.23445934650954</v>
      </c>
      <c r="F69" s="316">
        <f>+F34-'Projected Fin Stmts'!H108</f>
        <v>551.98063164323685</v>
      </c>
      <c r="G69" s="316">
        <f>+G34-'Projected Fin Stmts'!I108</f>
        <v>554.74053480147268</v>
      </c>
      <c r="H69" s="316">
        <f>+H34-'Projected Fin Stmts'!J108</f>
        <v>557.51423747546505</v>
      </c>
      <c r="I69" s="316">
        <f>+I34-'Projected Fin Stmts'!K108</f>
        <v>560.30180866285809</v>
      </c>
      <c r="J69" s="316">
        <f>+J34-'Projected Fin Stmts'!L108</f>
        <v>563.10331770614721</v>
      </c>
      <c r="K69" s="316">
        <f>+K34-'Projected Fin Stmts'!M108</f>
        <v>565.91883429468726</v>
      </c>
      <c r="L69" s="316">
        <f>+L34-'Projected Fin Stmts'!N108</f>
        <v>568.74842846617685</v>
      </c>
      <c r="M69" s="409">
        <f>+M34-'Projected Fin Stmts'!O108</f>
        <v>571.59217060849187</v>
      </c>
      <c r="N69" s="409">
        <f>+N34-'Projected Fin Stmts'!P108</f>
        <v>6674.4970532253792</v>
      </c>
    </row>
    <row r="70" spans="1:14" ht="12.75" customHeight="1" x14ac:dyDescent="0.2">
      <c r="A70" s="1038" t="s">
        <v>123</v>
      </c>
      <c r="B70" s="1039">
        <f>+B35-'Projected Fin Stmts'!D110</f>
        <v>21170.430979528755</v>
      </c>
      <c r="C70" s="1040">
        <f>+C35-'Projected Fin Stmts'!E110</f>
        <v>15935.886979528745</v>
      </c>
      <c r="D70" s="1040">
        <f>+D35-'Projected Fin Stmts'!F110</f>
        <v>441.9409795287429</v>
      </c>
      <c r="E70" s="1040">
        <f>+E35-'Projected Fin Stmts'!G110</f>
        <v>388.59297952874294</v>
      </c>
      <c r="F70" s="1040">
        <f>+F35-'Projected Fin Stmts'!H110</f>
        <v>475.84297952873567</v>
      </c>
      <c r="G70" s="1040">
        <f>+G35-'Projected Fin Stmts'!I110</f>
        <v>536.69097952875609</v>
      </c>
      <c r="H70" s="1040">
        <f>+H35-'Projected Fin Stmts'!J110</f>
        <v>457.65697952874143</v>
      </c>
      <c r="I70" s="1040">
        <f>+I35-'Projected Fin Stmts'!K110</f>
        <v>-4341.6230204712447</v>
      </c>
      <c r="J70" s="1040">
        <f>+J35-'Projected Fin Stmts'!L110</f>
        <v>-23456.501020471267</v>
      </c>
      <c r="K70" s="1040">
        <f>+K35-'Projected Fin Stmts'!M110</f>
        <v>-26765.977020471262</v>
      </c>
      <c r="L70" s="1040">
        <f>+L35-'Projected Fin Stmts'!N110</f>
        <v>-33231.791020471239</v>
      </c>
      <c r="M70" s="1041">
        <f>+M35-'Projected Fin Stmts'!O110</f>
        <v>-38547.605020471266</v>
      </c>
      <c r="N70" s="1041">
        <f>+N35-'Projected Fin Stmts'!P110</f>
        <v>-86936.454245655041</v>
      </c>
    </row>
    <row r="71" spans="1:14" ht="12.75" customHeight="1" x14ac:dyDescent="0.2">
      <c r="A71" s="1050" t="s">
        <v>124</v>
      </c>
      <c r="B71" s="1051">
        <f>+B36-'Projected Fin Stmts'!D112</f>
        <v>21170.430979528755</v>
      </c>
      <c r="C71" s="1052">
        <f>+C36-'Projected Fin Stmts'!E112</f>
        <v>37106.317959057502</v>
      </c>
      <c r="D71" s="1052">
        <f>+D36-'Projected Fin Stmts'!F112</f>
        <v>37548.258938586252</v>
      </c>
      <c r="E71" s="1052">
        <f>+E36-'Projected Fin Stmts'!G112</f>
        <v>37936.85191811499</v>
      </c>
      <c r="F71" s="1052">
        <f>+F36-'Projected Fin Stmts'!H112</f>
        <v>38412.694897643727</v>
      </c>
      <c r="G71" s="1052">
        <f>+G36-'Projected Fin Stmts'!I112</f>
        <v>38949.385877172477</v>
      </c>
      <c r="H71" s="1052">
        <f>+H36-'Projected Fin Stmts'!J112</f>
        <v>39407.042856701213</v>
      </c>
      <c r="I71" s="1052">
        <f>+I36-'Projected Fin Stmts'!K112</f>
        <v>35065.419836229965</v>
      </c>
      <c r="J71" s="1052">
        <f>+J36-'Projected Fin Stmts'!L112</f>
        <v>11608.91881575869</v>
      </c>
      <c r="K71" s="1052">
        <f>+K36-'Projected Fin Stmts'!M112</f>
        <v>-15157.058204712579</v>
      </c>
      <c r="L71" s="1052">
        <f>+L36-'Projected Fin Stmts'!N112</f>
        <v>-48388.849225183832</v>
      </c>
      <c r="M71" s="1053">
        <f>+M36-'Projected Fin Stmts'!O112</f>
        <v>-86936.454245655099</v>
      </c>
      <c r="N71" s="1053">
        <f>+N36-'Projected Fin Stmts'!P112</f>
        <v>-86936.454245655041</v>
      </c>
    </row>
  </sheetData>
  <mergeCells count="5">
    <mergeCell ref="A3:N3"/>
    <mergeCell ref="A39:N39"/>
    <mergeCell ref="A4:N4"/>
    <mergeCell ref="A38:N38"/>
    <mergeCell ref="A1:N1"/>
  </mergeCells>
  <pageMargins left="0.7" right="0.46" top="0.3" bottom="0.28000000000000003" header="0" footer="0"/>
  <pageSetup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E2E8F0"/>
    <pageSetUpPr fitToPage="1"/>
  </sheetPr>
  <dimension ref="A1:P43"/>
  <sheetViews>
    <sheetView showGridLines="0" workbookViewId="0"/>
  </sheetViews>
  <sheetFormatPr baseColWidth="10" defaultColWidth="14.5" defaultRowHeight="15" customHeight="1" x14ac:dyDescent="0.2"/>
  <cols>
    <col min="1" max="1" width="23" customWidth="1"/>
    <col min="2" max="4" width="10.5" customWidth="1"/>
    <col min="5" max="5" width="5.83203125" customWidth="1"/>
    <col min="6" max="6" width="31.6640625" customWidth="1"/>
    <col min="7" max="9" width="10.6640625" customWidth="1"/>
    <col min="10" max="10" width="6.1640625" customWidth="1"/>
    <col min="11" max="11" width="26.5" customWidth="1"/>
    <col min="12" max="12" width="10.6640625" customWidth="1"/>
    <col min="13" max="13" width="13.6640625" customWidth="1"/>
    <col min="14" max="26" width="9.1640625" customWidth="1"/>
  </cols>
  <sheetData>
    <row r="1" spans="1:13" ht="12.75" customHeight="1" x14ac:dyDescent="0.2">
      <c r="A1" s="1066" t="str">
        <f>+'Info &amp; Instructions'!B5</f>
        <v>Draper Yoga</v>
      </c>
      <c r="B1" s="1062"/>
      <c r="C1" s="1062"/>
      <c r="D1" s="1062"/>
      <c r="E1" s="1062"/>
      <c r="F1" s="1062"/>
      <c r="G1" s="1062"/>
      <c r="H1" s="1062"/>
      <c r="I1" s="1062"/>
      <c r="J1" s="1062"/>
      <c r="K1" s="1062"/>
      <c r="L1" s="1062"/>
      <c r="M1" s="126"/>
    </row>
    <row r="2" spans="1:13" ht="18.75" customHeight="1" x14ac:dyDescent="0.2">
      <c r="A2" s="1063" t="s">
        <v>6</v>
      </c>
      <c r="B2" s="1062"/>
      <c r="C2" s="1062"/>
      <c r="D2" s="1062"/>
      <c r="E2" s="1062"/>
      <c r="F2" s="1062"/>
      <c r="G2" s="1062"/>
      <c r="H2" s="1062"/>
      <c r="I2" s="1062"/>
      <c r="J2" s="1062"/>
      <c r="K2" s="1062"/>
      <c r="L2" s="1062"/>
      <c r="M2" s="126"/>
    </row>
    <row r="3" spans="1:13" ht="12.75" customHeight="1" x14ac:dyDescent="0.2">
      <c r="A3" s="127"/>
      <c r="B3" s="127"/>
      <c r="C3" s="127"/>
      <c r="D3" s="127"/>
      <c r="E3" s="127"/>
      <c r="F3" s="127"/>
      <c r="G3" s="127"/>
      <c r="H3" s="128"/>
      <c r="I3" s="128"/>
      <c r="J3" s="127"/>
      <c r="K3" s="127"/>
      <c r="L3" s="127"/>
      <c r="M3" s="127"/>
    </row>
    <row r="4" spans="1:13" ht="12.75" customHeight="1" x14ac:dyDescent="0.2">
      <c r="A4" s="127"/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7"/>
    </row>
    <row r="5" spans="1:13" ht="12.75" customHeight="1" x14ac:dyDescent="0.2">
      <c r="A5" s="1063" t="s">
        <v>7</v>
      </c>
      <c r="B5" s="1062"/>
      <c r="C5" s="1062"/>
      <c r="D5" s="1062"/>
      <c r="E5" s="127"/>
      <c r="F5" s="1067" t="s">
        <v>8</v>
      </c>
      <c r="G5" s="1065"/>
      <c r="H5" s="1065"/>
      <c r="I5" s="1065"/>
      <c r="J5" s="127"/>
      <c r="K5" s="1064" t="s">
        <v>9</v>
      </c>
      <c r="L5" s="1065"/>
      <c r="M5" s="1065"/>
    </row>
    <row r="6" spans="1:13" ht="12.75" customHeight="1" x14ac:dyDescent="0.2">
      <c r="A6" s="129"/>
      <c r="B6" s="306">
        <f>+C6-366</f>
        <v>43830</v>
      </c>
      <c r="C6" s="306">
        <f>+H6</f>
        <v>44196</v>
      </c>
      <c r="D6" s="307" t="s">
        <v>10</v>
      </c>
      <c r="E6" s="130"/>
      <c r="F6" s="130"/>
      <c r="G6" s="308">
        <f>+H6-366</f>
        <v>43830</v>
      </c>
      <c r="H6" s="309">
        <v>44196</v>
      </c>
      <c r="I6" s="307" t="s">
        <v>10</v>
      </c>
      <c r="J6" s="130"/>
      <c r="K6" s="130"/>
      <c r="L6" s="309">
        <f>+H6</f>
        <v>44196</v>
      </c>
      <c r="M6" s="307" t="s">
        <v>10</v>
      </c>
    </row>
    <row r="7" spans="1:13" ht="15.75" customHeight="1" x14ac:dyDescent="0.2">
      <c r="A7" s="310" t="s">
        <v>11</v>
      </c>
      <c r="B7" s="131"/>
      <c r="C7" s="132"/>
      <c r="D7" s="132"/>
      <c r="E7" s="127"/>
      <c r="F7" s="310" t="s">
        <v>12</v>
      </c>
      <c r="G7" s="133"/>
      <c r="H7" s="11"/>
      <c r="I7" s="134"/>
      <c r="J7" s="127"/>
      <c r="K7" s="310" t="s">
        <v>13</v>
      </c>
      <c r="L7" s="11"/>
      <c r="M7" s="127"/>
    </row>
    <row r="8" spans="1:13" ht="15.75" customHeight="1" x14ac:dyDescent="0.2">
      <c r="A8" s="311" t="s">
        <v>14</v>
      </c>
      <c r="B8" s="127"/>
      <c r="C8" s="127"/>
      <c r="D8" s="127"/>
      <c r="E8" s="127"/>
      <c r="F8" s="312" t="s">
        <v>15</v>
      </c>
      <c r="G8" s="313"/>
      <c r="H8" s="314"/>
      <c r="I8" s="314"/>
      <c r="J8" s="136"/>
      <c r="K8" s="315" t="s">
        <v>16</v>
      </c>
      <c r="L8" s="316">
        <f>+H39</f>
        <v>0</v>
      </c>
      <c r="M8" s="316">
        <f>+I39</f>
        <v>0</v>
      </c>
    </row>
    <row r="9" spans="1:13" ht="15.75" customHeight="1" x14ac:dyDescent="0.2">
      <c r="A9" s="315" t="s">
        <v>17</v>
      </c>
      <c r="B9" s="138"/>
      <c r="C9" s="316">
        <f>+L25</f>
        <v>0</v>
      </c>
      <c r="D9" s="316">
        <f>+M25</f>
        <v>0</v>
      </c>
      <c r="E9" s="127"/>
      <c r="F9" s="312" t="s">
        <v>18</v>
      </c>
      <c r="G9" s="313"/>
      <c r="H9" s="314"/>
      <c r="I9" s="314"/>
      <c r="J9" s="136"/>
      <c r="K9" s="315" t="s">
        <v>19</v>
      </c>
      <c r="L9" s="316">
        <f>+B20-C20</f>
        <v>0</v>
      </c>
      <c r="M9" s="316">
        <f>+C20-D20</f>
        <v>0</v>
      </c>
    </row>
    <row r="10" spans="1:13" ht="15.75" customHeight="1" x14ac:dyDescent="0.2">
      <c r="A10" s="315" t="s">
        <v>20</v>
      </c>
      <c r="B10" s="314"/>
      <c r="C10" s="314"/>
      <c r="D10" s="314"/>
      <c r="E10" s="127"/>
      <c r="F10" s="317" t="s">
        <v>21</v>
      </c>
      <c r="G10" s="318">
        <f>SUM(G8:G9)</f>
        <v>0</v>
      </c>
      <c r="H10" s="318">
        <f>SUM(H8:H9)</f>
        <v>0</v>
      </c>
      <c r="I10" s="318">
        <f>SUM(I8:I9)</f>
        <v>0</v>
      </c>
      <c r="J10" s="136"/>
      <c r="K10" s="315" t="s">
        <v>22</v>
      </c>
      <c r="L10" s="316">
        <f>+SUM(B10:B12)-SUM(C10:C12)</f>
        <v>0</v>
      </c>
      <c r="M10" s="316">
        <f>+SUM(C10:C12)-SUM(D10:D12)</f>
        <v>0</v>
      </c>
    </row>
    <row r="11" spans="1:13" ht="15.75" customHeight="1" x14ac:dyDescent="0.2">
      <c r="A11" s="315" t="s">
        <v>23</v>
      </c>
      <c r="B11" s="314"/>
      <c r="C11" s="314"/>
      <c r="D11" s="314"/>
      <c r="E11" s="127"/>
      <c r="F11" s="1061" t="s">
        <v>24</v>
      </c>
      <c r="G11" s="1062"/>
      <c r="H11" s="1062"/>
      <c r="I11" s="135"/>
      <c r="J11" s="130"/>
      <c r="K11" s="315" t="s">
        <v>25</v>
      </c>
      <c r="L11" s="316">
        <f>+C31-B31</f>
        <v>0</v>
      </c>
      <c r="M11" s="316">
        <f>+D31-C31</f>
        <v>0</v>
      </c>
    </row>
    <row r="12" spans="1:13" ht="15.75" customHeight="1" x14ac:dyDescent="0.2">
      <c r="A12" s="319" t="s">
        <v>26</v>
      </c>
      <c r="B12" s="314"/>
      <c r="C12" s="314"/>
      <c r="D12" s="314"/>
      <c r="E12" s="127"/>
      <c r="F12" s="319" t="s">
        <v>27</v>
      </c>
      <c r="G12" s="320"/>
      <c r="H12" s="314"/>
      <c r="I12" s="314"/>
      <c r="J12" s="130"/>
      <c r="K12" s="317" t="s">
        <v>28</v>
      </c>
      <c r="L12" s="318">
        <f>SUM(L8:L11)</f>
        <v>0</v>
      </c>
      <c r="M12" s="318">
        <f>SUM(M8:M11)</f>
        <v>0</v>
      </c>
    </row>
    <row r="13" spans="1:13" ht="15.75" customHeight="1" x14ac:dyDescent="0.2">
      <c r="A13" s="321" t="s">
        <v>29</v>
      </c>
      <c r="B13" s="318">
        <f>SUM(B9:B12)</f>
        <v>0</v>
      </c>
      <c r="C13" s="318">
        <f>SUM(C9:C12)</f>
        <v>0</v>
      </c>
      <c r="D13" s="318">
        <f>SUM(D9:D12)</f>
        <v>0</v>
      </c>
      <c r="E13" s="130"/>
      <c r="F13" s="319" t="s">
        <v>30</v>
      </c>
      <c r="G13" s="320"/>
      <c r="H13" s="314"/>
      <c r="I13" s="314"/>
      <c r="J13" s="140"/>
      <c r="K13" s="310" t="s">
        <v>31</v>
      </c>
      <c r="L13" s="137"/>
      <c r="M13" s="137"/>
    </row>
    <row r="14" spans="1:13" ht="15.75" customHeight="1" x14ac:dyDescent="0.2">
      <c r="A14" s="1061" t="s">
        <v>32</v>
      </c>
      <c r="B14" s="1062"/>
      <c r="C14" s="1062"/>
      <c r="D14" s="135"/>
      <c r="E14" s="130"/>
      <c r="F14" s="319" t="s">
        <v>33</v>
      </c>
      <c r="G14" s="320"/>
      <c r="H14" s="314"/>
      <c r="I14" s="314"/>
      <c r="J14" s="140"/>
      <c r="K14" s="315" t="s">
        <v>34</v>
      </c>
      <c r="L14" s="316">
        <f>+SUM(B15:B19)-SUM(C15:C19)</f>
        <v>0</v>
      </c>
      <c r="M14" s="316">
        <f>+SUM(C15:C19)-SUM(D15:D19)</f>
        <v>0</v>
      </c>
    </row>
    <row r="15" spans="1:13" ht="15.75" customHeight="1" x14ac:dyDescent="0.2">
      <c r="A15" s="319" t="s">
        <v>35</v>
      </c>
      <c r="B15" s="314"/>
      <c r="C15" s="314"/>
      <c r="D15" s="314"/>
      <c r="E15" s="140"/>
      <c r="F15" s="317" t="s">
        <v>36</v>
      </c>
      <c r="G15" s="318">
        <f>-SUM(G12:G14)</f>
        <v>0</v>
      </c>
      <c r="H15" s="318">
        <f>-SUM(H12:H14)</f>
        <v>0</v>
      </c>
      <c r="I15" s="318">
        <f>-SUM(I12:I14)</f>
        <v>0</v>
      </c>
      <c r="J15" s="140"/>
      <c r="K15" s="315" t="s">
        <v>37</v>
      </c>
      <c r="L15" s="316">
        <f>+B22-C22</f>
        <v>0</v>
      </c>
      <c r="M15" s="316">
        <f>+C22-D22</f>
        <v>0</v>
      </c>
    </row>
    <row r="16" spans="1:13" ht="15.75" customHeight="1" x14ac:dyDescent="0.2">
      <c r="A16" s="319" t="s">
        <v>38</v>
      </c>
      <c r="B16" s="314"/>
      <c r="C16" s="314"/>
      <c r="D16" s="314"/>
      <c r="E16" s="140"/>
      <c r="F16" s="322" t="s">
        <v>39</v>
      </c>
      <c r="G16" s="323">
        <f>+G10+G15</f>
        <v>0</v>
      </c>
      <c r="H16" s="323">
        <f>+H10+H15</f>
        <v>0</v>
      </c>
      <c r="I16" s="323">
        <f>+I10+I15</f>
        <v>0</v>
      </c>
      <c r="J16" s="140"/>
      <c r="K16" s="317" t="s">
        <v>40</v>
      </c>
      <c r="L16" s="318">
        <f>SUM(L14:L15)</f>
        <v>0</v>
      </c>
      <c r="M16" s="318">
        <f>SUM(M14:M15)</f>
        <v>0</v>
      </c>
    </row>
    <row r="17" spans="1:16" ht="15.75" customHeight="1" x14ac:dyDescent="0.2">
      <c r="A17" s="319" t="s">
        <v>41</v>
      </c>
      <c r="B17" s="314"/>
      <c r="C17" s="314"/>
      <c r="D17" s="314"/>
      <c r="E17" s="140"/>
      <c r="F17" s="1061" t="s">
        <v>42</v>
      </c>
      <c r="G17" s="1062"/>
      <c r="H17" s="1062"/>
      <c r="I17" s="135"/>
      <c r="J17" s="141"/>
      <c r="K17" s="310" t="s">
        <v>43</v>
      </c>
      <c r="L17" s="142"/>
      <c r="M17" s="142"/>
      <c r="N17" s="10"/>
      <c r="O17" s="10"/>
      <c r="P17" s="10"/>
    </row>
    <row r="18" spans="1:16" ht="15.75" customHeight="1" x14ac:dyDescent="0.2">
      <c r="A18" s="319" t="s">
        <v>44</v>
      </c>
      <c r="B18" s="314"/>
      <c r="C18" s="314"/>
      <c r="D18" s="314"/>
      <c r="E18" s="140"/>
      <c r="F18" s="324" t="s">
        <v>45</v>
      </c>
      <c r="G18" s="313"/>
      <c r="H18" s="314"/>
      <c r="I18" s="314"/>
      <c r="J18" s="130"/>
      <c r="K18" s="315" t="s">
        <v>46</v>
      </c>
      <c r="L18" s="316">
        <f>+C32-B32</f>
        <v>0</v>
      </c>
      <c r="M18" s="316">
        <f>+D32-C32</f>
        <v>0</v>
      </c>
      <c r="N18" s="10"/>
      <c r="O18" s="10"/>
      <c r="P18" s="10"/>
    </row>
    <row r="19" spans="1:16" ht="15.75" customHeight="1" x14ac:dyDescent="0.2">
      <c r="A19" s="319" t="s">
        <v>47</v>
      </c>
      <c r="B19" s="314"/>
      <c r="C19" s="314"/>
      <c r="D19" s="314"/>
      <c r="E19" s="141"/>
      <c r="F19" s="324" t="s">
        <v>48</v>
      </c>
      <c r="G19" s="313"/>
      <c r="H19" s="314"/>
      <c r="I19" s="314"/>
      <c r="J19" s="136"/>
      <c r="K19" s="315" t="s">
        <v>49</v>
      </c>
      <c r="L19" s="316">
        <f>+C33-B33</f>
        <v>0</v>
      </c>
      <c r="M19" s="316">
        <f>+D33-C33</f>
        <v>0</v>
      </c>
      <c r="N19" s="9"/>
      <c r="O19" s="9"/>
      <c r="P19" s="325">
        <f>+H20*1.5</f>
        <v>0</v>
      </c>
    </row>
    <row r="20" spans="1:16" ht="15.75" customHeight="1" x14ac:dyDescent="0.2">
      <c r="A20" s="315" t="s">
        <v>50</v>
      </c>
      <c r="B20" s="314"/>
      <c r="C20" s="314"/>
      <c r="D20" s="314"/>
      <c r="E20" s="130"/>
      <c r="F20" s="324" t="s">
        <v>51</v>
      </c>
      <c r="G20" s="313"/>
      <c r="H20" s="314"/>
      <c r="I20" s="314"/>
      <c r="J20" s="136"/>
      <c r="K20" s="315" t="s">
        <v>52</v>
      </c>
      <c r="L20" s="316">
        <f>+C37-B37</f>
        <v>0</v>
      </c>
      <c r="M20" s="316">
        <f>+D37-C37</f>
        <v>0</v>
      </c>
      <c r="N20" s="9"/>
      <c r="O20" s="9"/>
      <c r="P20" s="9"/>
    </row>
    <row r="21" spans="1:16" ht="15.75" customHeight="1" x14ac:dyDescent="0.2">
      <c r="A21" s="321" t="s">
        <v>53</v>
      </c>
      <c r="B21" s="318">
        <f>SUM(B15:B20)</f>
        <v>0</v>
      </c>
      <c r="C21" s="318">
        <f>SUM(C15:C20)</f>
        <v>0</v>
      </c>
      <c r="D21" s="318">
        <f>SUM(D15:D20)</f>
        <v>0</v>
      </c>
      <c r="E21" s="136"/>
      <c r="F21" s="324" t="s">
        <v>54</v>
      </c>
      <c r="G21" s="313"/>
      <c r="H21" s="314"/>
      <c r="I21" s="314"/>
      <c r="J21" s="136"/>
      <c r="K21" s="315" t="s">
        <v>55</v>
      </c>
      <c r="L21" s="316">
        <f>+C38-B38</f>
        <v>0</v>
      </c>
      <c r="M21" s="316">
        <f>+D38-C38</f>
        <v>0</v>
      </c>
      <c r="N21" s="9"/>
      <c r="O21" s="9"/>
      <c r="P21" s="9"/>
    </row>
    <row r="22" spans="1:16" ht="15.75" customHeight="1" x14ac:dyDescent="0.2">
      <c r="A22" s="315" t="s">
        <v>56</v>
      </c>
      <c r="B22" s="314"/>
      <c r="C22" s="314"/>
      <c r="D22" s="314"/>
      <c r="E22" s="136"/>
      <c r="F22" s="324" t="s">
        <v>57</v>
      </c>
      <c r="G22" s="313"/>
      <c r="H22" s="314"/>
      <c r="I22" s="314"/>
      <c r="J22" s="136"/>
      <c r="K22" s="317" t="s">
        <v>58</v>
      </c>
      <c r="L22" s="318">
        <f>SUM(L18:L21)</f>
        <v>0</v>
      </c>
      <c r="M22" s="318">
        <f>SUM(M18:M21)</f>
        <v>0</v>
      </c>
      <c r="N22" s="9"/>
      <c r="O22" s="9"/>
      <c r="P22" s="9"/>
    </row>
    <row r="23" spans="1:16" ht="15.75" customHeight="1" x14ac:dyDescent="0.2">
      <c r="A23" s="326" t="s">
        <v>59</v>
      </c>
      <c r="B23" s="327">
        <f>+B13+B21+B22</f>
        <v>0</v>
      </c>
      <c r="C23" s="327">
        <f>+C13+C21+C22</f>
        <v>0</v>
      </c>
      <c r="D23" s="327">
        <f>+D13+D21+D22</f>
        <v>0</v>
      </c>
      <c r="E23" s="136"/>
      <c r="F23" s="324" t="s">
        <v>60</v>
      </c>
      <c r="G23" s="313"/>
      <c r="H23" s="314"/>
      <c r="I23" s="314"/>
      <c r="J23" s="136"/>
      <c r="K23" s="322" t="s">
        <v>61</v>
      </c>
      <c r="L23" s="323">
        <f>+L12+L16+L22</f>
        <v>0</v>
      </c>
      <c r="M23" s="323">
        <f>+M12+M16+M22</f>
        <v>0</v>
      </c>
      <c r="N23" s="9"/>
      <c r="O23" s="9"/>
      <c r="P23" s="9"/>
    </row>
    <row r="24" spans="1:16" ht="15.75" customHeight="1" x14ac:dyDescent="0.2">
      <c r="A24" s="143"/>
      <c r="B24" s="144"/>
      <c r="C24" s="144"/>
      <c r="D24" s="144"/>
      <c r="E24" s="136"/>
      <c r="F24" s="324" t="s">
        <v>62</v>
      </c>
      <c r="G24" s="313"/>
      <c r="H24" s="314"/>
      <c r="I24" s="314"/>
      <c r="J24" s="136"/>
      <c r="K24" s="315" t="s">
        <v>63</v>
      </c>
      <c r="L24" s="316">
        <f>+B9</f>
        <v>0</v>
      </c>
      <c r="M24" s="316">
        <f>+C9</f>
        <v>0</v>
      </c>
      <c r="N24" s="9"/>
      <c r="O24" s="9"/>
      <c r="P24" s="9"/>
    </row>
    <row r="25" spans="1:16" ht="15.75" customHeight="1" x14ac:dyDescent="0.2">
      <c r="A25" s="1061" t="s">
        <v>64</v>
      </c>
      <c r="B25" s="1062"/>
      <c r="C25" s="1062"/>
      <c r="D25" s="135"/>
      <c r="E25" s="136"/>
      <c r="F25" s="324" t="s">
        <v>65</v>
      </c>
      <c r="G25" s="313"/>
      <c r="H25" s="314"/>
      <c r="I25" s="314"/>
      <c r="J25" s="136"/>
      <c r="K25" s="328" t="s">
        <v>66</v>
      </c>
      <c r="L25" s="329">
        <f>SUM(L23:L24)</f>
        <v>0</v>
      </c>
      <c r="M25" s="329">
        <f>SUM(M23:M24)</f>
        <v>0</v>
      </c>
      <c r="N25" s="9"/>
      <c r="O25" s="9"/>
      <c r="P25" s="9"/>
    </row>
    <row r="26" spans="1:16" ht="15.75" customHeight="1" x14ac:dyDescent="0.2">
      <c r="A26" s="1061" t="s">
        <v>67</v>
      </c>
      <c r="B26" s="1062"/>
      <c r="C26" s="1062"/>
      <c r="D26" s="135"/>
      <c r="E26" s="136"/>
      <c r="F26" s="324" t="s">
        <v>68</v>
      </c>
      <c r="G26" s="313"/>
      <c r="H26" s="314"/>
      <c r="I26" s="314"/>
      <c r="J26" s="136"/>
      <c r="K26" s="127"/>
      <c r="L26" s="127"/>
      <c r="M26" s="136"/>
      <c r="N26" s="9"/>
      <c r="O26" s="9"/>
      <c r="P26" s="9"/>
    </row>
    <row r="27" spans="1:16" ht="15.75" customHeight="1" x14ac:dyDescent="0.2">
      <c r="A27" s="315" t="s">
        <v>69</v>
      </c>
      <c r="B27" s="314"/>
      <c r="C27" s="314"/>
      <c r="D27" s="314"/>
      <c r="E27" s="136"/>
      <c r="F27" s="324" t="s">
        <v>70</v>
      </c>
      <c r="G27" s="313"/>
      <c r="H27" s="314"/>
      <c r="I27" s="314"/>
      <c r="J27" s="130"/>
      <c r="K27" s="137"/>
      <c r="L27" s="137"/>
      <c r="M27" s="136"/>
      <c r="N27" s="9"/>
      <c r="O27" s="9"/>
      <c r="P27" s="9"/>
    </row>
    <row r="28" spans="1:16" ht="15.75" customHeight="1" x14ac:dyDescent="0.2">
      <c r="A28" s="319" t="s">
        <v>71</v>
      </c>
      <c r="B28" s="314"/>
      <c r="C28" s="314"/>
      <c r="D28" s="314"/>
      <c r="E28" s="137"/>
      <c r="F28" s="324" t="s">
        <v>72</v>
      </c>
      <c r="G28" s="313"/>
      <c r="H28" s="314"/>
      <c r="I28" s="314"/>
      <c r="J28" s="127"/>
      <c r="K28" s="137"/>
      <c r="L28" s="137"/>
      <c r="M28" s="136"/>
      <c r="N28" s="9"/>
      <c r="O28" s="9"/>
      <c r="P28" s="9"/>
    </row>
    <row r="29" spans="1:16" ht="15.75" customHeight="1" x14ac:dyDescent="0.2">
      <c r="A29" s="319" t="s">
        <v>73</v>
      </c>
      <c r="B29" s="314"/>
      <c r="C29" s="314"/>
      <c r="D29" s="314"/>
      <c r="E29" s="137"/>
      <c r="F29" s="324" t="s">
        <v>74</v>
      </c>
      <c r="G29" s="313"/>
      <c r="H29" s="314"/>
      <c r="I29" s="314"/>
      <c r="J29" s="130"/>
      <c r="K29" s="137"/>
      <c r="L29" s="127"/>
      <c r="M29" s="136"/>
      <c r="N29" s="9"/>
      <c r="O29" s="9"/>
      <c r="P29" s="9"/>
    </row>
    <row r="30" spans="1:16" ht="15.75" customHeight="1" x14ac:dyDescent="0.2">
      <c r="A30" s="319" t="s">
        <v>75</v>
      </c>
      <c r="B30" s="314"/>
      <c r="C30" s="314"/>
      <c r="D30" s="314"/>
      <c r="E30" s="136"/>
      <c r="F30" s="324" t="s">
        <v>76</v>
      </c>
      <c r="G30" s="313"/>
      <c r="H30" s="314"/>
      <c r="I30" s="314"/>
      <c r="J30" s="140"/>
      <c r="K30" s="127"/>
      <c r="L30" s="137"/>
      <c r="M30" s="136"/>
      <c r="N30" s="9"/>
      <c r="O30" s="9"/>
      <c r="P30" s="9"/>
    </row>
    <row r="31" spans="1:16" ht="15.75" customHeight="1" x14ac:dyDescent="0.2">
      <c r="A31" s="321" t="s">
        <v>77</v>
      </c>
      <c r="B31" s="318">
        <f>SUM(B27:B30)</f>
        <v>0</v>
      </c>
      <c r="C31" s="318">
        <f>SUM(C27:C30)</f>
        <v>0</v>
      </c>
      <c r="D31" s="318">
        <f>SUM(D27:D30)</f>
        <v>0</v>
      </c>
      <c r="E31" s="137"/>
      <c r="F31" s="324" t="s">
        <v>78</v>
      </c>
      <c r="G31" s="313"/>
      <c r="H31" s="314"/>
      <c r="I31" s="314"/>
      <c r="J31" s="140"/>
      <c r="K31" s="137"/>
      <c r="L31" s="127"/>
      <c r="M31" s="145"/>
      <c r="N31" s="9"/>
      <c r="O31" s="9"/>
      <c r="P31" s="9"/>
    </row>
    <row r="32" spans="1:16" ht="15.75" customHeight="1" x14ac:dyDescent="0.2">
      <c r="A32" s="315" t="s">
        <v>79</v>
      </c>
      <c r="B32" s="314"/>
      <c r="C32" s="314"/>
      <c r="D32" s="314"/>
      <c r="E32" s="136"/>
      <c r="F32" s="324" t="s">
        <v>80</v>
      </c>
      <c r="G32" s="313"/>
      <c r="H32" s="314"/>
      <c r="I32" s="314"/>
      <c r="J32" s="130"/>
      <c r="K32" s="142"/>
      <c r="L32" s="130"/>
      <c r="M32" s="137"/>
      <c r="N32" s="9"/>
      <c r="O32" s="9"/>
      <c r="P32" s="9"/>
    </row>
    <row r="33" spans="1:9" ht="15.75" customHeight="1" x14ac:dyDescent="0.2">
      <c r="A33" s="315" t="s">
        <v>81</v>
      </c>
      <c r="B33" s="314"/>
      <c r="C33" s="314"/>
      <c r="D33" s="314"/>
      <c r="E33" s="136"/>
      <c r="F33" s="330" t="s">
        <v>82</v>
      </c>
      <c r="G33" s="320"/>
      <c r="H33" s="331"/>
      <c r="I33" s="331"/>
    </row>
    <row r="34" spans="1:9" ht="15.75" customHeight="1" x14ac:dyDescent="0.2">
      <c r="A34" s="322" t="s">
        <v>83</v>
      </c>
      <c r="B34" s="323">
        <f>SUM(B31:B33)</f>
        <v>0</v>
      </c>
      <c r="C34" s="323">
        <f>SUM(C31:C33)</f>
        <v>0</v>
      </c>
      <c r="D34" s="332"/>
      <c r="E34" s="136"/>
      <c r="F34" s="333" t="s">
        <v>84</v>
      </c>
      <c r="G34" s="320"/>
      <c r="H34" s="331"/>
      <c r="I34" s="331"/>
    </row>
    <row r="35" spans="1:9" ht="15.75" customHeight="1" x14ac:dyDescent="0.2">
      <c r="A35" s="130"/>
      <c r="B35" s="142"/>
      <c r="C35" s="142"/>
      <c r="D35" s="142"/>
      <c r="E35" s="136"/>
      <c r="F35" s="330" t="s">
        <v>85</v>
      </c>
      <c r="G35" s="320"/>
      <c r="H35" s="334"/>
      <c r="I35" s="335"/>
    </row>
    <row r="36" spans="1:9" ht="15.75" customHeight="1" x14ac:dyDescent="0.2">
      <c r="A36" s="1061" t="s">
        <v>86</v>
      </c>
      <c r="B36" s="1062"/>
      <c r="C36" s="1062"/>
      <c r="D36" s="135"/>
      <c r="E36" s="136"/>
      <c r="F36" s="336" t="s">
        <v>87</v>
      </c>
      <c r="G36" s="318">
        <f>-SUM(G18:G35)</f>
        <v>0</v>
      </c>
      <c r="H36" s="318">
        <f>-SUM(H18:H35)</f>
        <v>0</v>
      </c>
      <c r="I36" s="318">
        <f>-SUM(I18:I35)</f>
        <v>0</v>
      </c>
    </row>
    <row r="37" spans="1:9" ht="12.75" customHeight="1" x14ac:dyDescent="0.2">
      <c r="A37" s="315" t="s">
        <v>88</v>
      </c>
      <c r="B37" s="314"/>
      <c r="C37" s="314"/>
      <c r="D37" s="314"/>
      <c r="E37" s="130"/>
      <c r="F37" s="337" t="s">
        <v>89</v>
      </c>
      <c r="G37" s="323">
        <f>+G16+G36</f>
        <v>0</v>
      </c>
      <c r="H37" s="323">
        <f>+H16+H36</f>
        <v>0</v>
      </c>
      <c r="I37" s="323">
        <f>+I16+I36</f>
        <v>0</v>
      </c>
    </row>
    <row r="38" spans="1:9" ht="12.75" customHeight="1" x14ac:dyDescent="0.2">
      <c r="A38" s="315" t="s">
        <v>90</v>
      </c>
      <c r="B38" s="138"/>
      <c r="C38" s="314"/>
      <c r="D38" s="314"/>
      <c r="E38" s="127"/>
      <c r="F38" s="338" t="s">
        <v>91</v>
      </c>
      <c r="G38" s="314"/>
      <c r="H38" s="314"/>
      <c r="I38" s="314"/>
    </row>
    <row r="39" spans="1:9" ht="12.75" customHeight="1" x14ac:dyDescent="0.2">
      <c r="A39" s="315" t="s">
        <v>92</v>
      </c>
      <c r="B39" s="314"/>
      <c r="C39" s="339">
        <f>+H39+B39</f>
        <v>0</v>
      </c>
      <c r="D39" s="339">
        <f>+I39+C39</f>
        <v>0</v>
      </c>
      <c r="E39" s="127"/>
      <c r="F39" s="340" t="s">
        <v>93</v>
      </c>
      <c r="G39" s="323">
        <f>SUM(G37:G38)</f>
        <v>0</v>
      </c>
      <c r="H39" s="323">
        <f>SUM(H37:H38)</f>
        <v>0</v>
      </c>
      <c r="I39" s="323">
        <f>SUM(I37:I38)</f>
        <v>0</v>
      </c>
    </row>
    <row r="40" spans="1:9" ht="12.75" customHeight="1" x14ac:dyDescent="0.2">
      <c r="A40" s="322" t="s">
        <v>94</v>
      </c>
      <c r="B40" s="323">
        <f>SUM(B37:B39)</f>
        <v>0</v>
      </c>
      <c r="C40" s="323">
        <f>SUM(C37:C39)</f>
        <v>0</v>
      </c>
      <c r="D40" s="323">
        <f>SUM(D37:D39)</f>
        <v>0</v>
      </c>
      <c r="E40" s="127"/>
      <c r="F40" s="127"/>
      <c r="G40" s="127"/>
      <c r="H40" s="127"/>
      <c r="I40" s="127"/>
    </row>
    <row r="41" spans="1:9" ht="12.75" customHeight="1" x14ac:dyDescent="0.2">
      <c r="A41" s="326" t="s">
        <v>95</v>
      </c>
      <c r="B41" s="327">
        <f>+B34+B40</f>
        <v>0</v>
      </c>
      <c r="C41" s="327">
        <f>+C34+C40</f>
        <v>0</v>
      </c>
      <c r="D41" s="327">
        <f>+D34+D40</f>
        <v>0</v>
      </c>
      <c r="E41" s="9"/>
      <c r="F41" s="127"/>
      <c r="G41" s="127"/>
      <c r="H41" s="127"/>
      <c r="I41" s="127"/>
    </row>
    <row r="42" spans="1:9" ht="12.75" customHeight="1" x14ac:dyDescent="0.2">
      <c r="A42" s="145"/>
      <c r="B42" s="127"/>
      <c r="C42" s="127"/>
      <c r="D42" s="127"/>
      <c r="E42" s="9"/>
      <c r="F42" s="127"/>
      <c r="G42" s="127"/>
      <c r="H42" s="127"/>
      <c r="I42" s="127"/>
    </row>
    <row r="43" spans="1:9" ht="12.75" customHeight="1" x14ac:dyDescent="0.2">
      <c r="A43" s="12"/>
      <c r="B43" s="341">
        <f>+B41-B23</f>
        <v>0</v>
      </c>
      <c r="C43" s="341">
        <f>+C41-C23</f>
        <v>0</v>
      </c>
      <c r="D43" s="341">
        <f>+D41-D23</f>
        <v>0</v>
      </c>
      <c r="E43" s="9"/>
      <c r="F43" s="9"/>
      <c r="G43" s="9"/>
      <c r="H43" s="9"/>
      <c r="I43" s="9"/>
    </row>
  </sheetData>
  <mergeCells count="11">
    <mergeCell ref="A1:L1"/>
    <mergeCell ref="F17:H17"/>
    <mergeCell ref="F5:I5"/>
    <mergeCell ref="A26:C26"/>
    <mergeCell ref="F11:H11"/>
    <mergeCell ref="A25:C25"/>
    <mergeCell ref="A2:L2"/>
    <mergeCell ref="A5:D5"/>
    <mergeCell ref="A36:C36"/>
    <mergeCell ref="K5:M5"/>
    <mergeCell ref="A14:C14"/>
  </mergeCells>
  <pageMargins left="0.38" right="0.28000000000000003" top="0.57999999999999996" bottom="0.75" header="0" footer="0"/>
  <pageSetup orientation="landscape"/>
  <headerFooter>
    <oddHeader>&amp;RConfidential Information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E2E8F0"/>
    <pageSetUpPr fitToPage="1"/>
  </sheetPr>
  <dimension ref="A1:G33"/>
  <sheetViews>
    <sheetView showGridLines="0" workbookViewId="0"/>
  </sheetViews>
  <sheetFormatPr baseColWidth="10" defaultColWidth="14.5" defaultRowHeight="15" customHeight="1" x14ac:dyDescent="0.2"/>
  <cols>
    <col min="1" max="1" width="27.6640625" customWidth="1"/>
    <col min="2" max="3" width="18.6640625" customWidth="1"/>
    <col min="4" max="4" width="8.83203125" customWidth="1"/>
    <col min="5" max="5" width="27.6640625" customWidth="1"/>
    <col min="6" max="7" width="18.6640625" customWidth="1"/>
    <col min="8" max="26" width="8.83203125" customWidth="1"/>
  </cols>
  <sheetData>
    <row r="1" spans="1:7" ht="16" customHeight="1" x14ac:dyDescent="0.2">
      <c r="A1" s="1063" t="str">
        <f>+Historical!A1</f>
        <v>Draper Yoga</v>
      </c>
      <c r="B1" s="1062"/>
      <c r="C1" s="1062"/>
      <c r="D1" s="1062"/>
      <c r="E1" s="1062"/>
      <c r="F1" s="1062"/>
      <c r="G1" s="1062"/>
    </row>
    <row r="2" spans="1:7" ht="16" customHeight="1" x14ac:dyDescent="0.2">
      <c r="A2" s="1063" t="str">
        <f>+Historical!A2</f>
        <v>Historical Financial Statements</v>
      </c>
      <c r="B2" s="1062"/>
      <c r="C2" s="1062"/>
      <c r="D2" s="1062"/>
      <c r="E2" s="1062"/>
      <c r="F2" s="1062"/>
      <c r="G2" s="1062"/>
    </row>
    <row r="3" spans="1:7" ht="24.75" customHeight="1" x14ac:dyDescent="0.2">
      <c r="A3" s="147"/>
      <c r="B3" s="147"/>
      <c r="C3" s="147"/>
      <c r="D3" s="147"/>
      <c r="E3" s="147"/>
      <c r="F3" s="147"/>
      <c r="G3" s="147"/>
    </row>
    <row r="4" spans="1:7" ht="16" customHeight="1" x14ac:dyDescent="0.2">
      <c r="A4" s="1070" t="s">
        <v>96</v>
      </c>
      <c r="B4" s="1065"/>
      <c r="C4" s="1065"/>
      <c r="D4" s="147"/>
      <c r="E4" s="1070" t="s">
        <v>8</v>
      </c>
      <c r="F4" s="1065"/>
      <c r="G4" s="1065"/>
    </row>
    <row r="5" spans="1:7" x14ac:dyDescent="0.2">
      <c r="A5" s="148"/>
      <c r="B5" s="1069" t="s">
        <v>97</v>
      </c>
      <c r="C5" s="1059"/>
      <c r="D5" s="149"/>
      <c r="E5" s="148"/>
      <c r="F5" s="1069" t="s">
        <v>98</v>
      </c>
      <c r="G5" s="1059"/>
    </row>
    <row r="6" spans="1:7" ht="16" customHeight="1" x14ac:dyDescent="0.2">
      <c r="A6" s="150"/>
      <c r="B6" s="342">
        <v>43830</v>
      </c>
      <c r="C6" s="343" t="s">
        <v>99</v>
      </c>
      <c r="D6" s="150"/>
      <c r="E6" s="150"/>
      <c r="F6" s="344">
        <v>43830</v>
      </c>
      <c r="G6" s="343" t="s">
        <v>99</v>
      </c>
    </row>
    <row r="7" spans="1:7" x14ac:dyDescent="0.2">
      <c r="A7" s="345" t="s">
        <v>11</v>
      </c>
      <c r="B7" s="151"/>
      <c r="C7" s="152"/>
      <c r="D7" s="149"/>
      <c r="E7" s="345" t="s">
        <v>100</v>
      </c>
      <c r="F7" s="149"/>
      <c r="G7" s="153"/>
    </row>
    <row r="8" spans="1:7" x14ac:dyDescent="0.2">
      <c r="A8" s="346" t="s">
        <v>14</v>
      </c>
      <c r="B8" s="149"/>
      <c r="C8" s="149"/>
      <c r="D8" s="149"/>
      <c r="E8" s="347" t="s">
        <v>15</v>
      </c>
      <c r="F8" s="156"/>
      <c r="G8" s="157"/>
    </row>
    <row r="9" spans="1:7" x14ac:dyDescent="0.2">
      <c r="A9" s="348" t="s">
        <v>17</v>
      </c>
      <c r="B9" s="157"/>
      <c r="C9" s="157"/>
      <c r="D9" s="149"/>
      <c r="E9" s="347" t="s">
        <v>18</v>
      </c>
      <c r="F9" s="156"/>
      <c r="G9" s="157"/>
    </row>
    <row r="10" spans="1:7" x14ac:dyDescent="0.2">
      <c r="A10" s="348" t="s">
        <v>20</v>
      </c>
      <c r="B10" s="157"/>
      <c r="C10" s="157"/>
      <c r="D10" s="149"/>
      <c r="E10" s="349" t="s">
        <v>21</v>
      </c>
      <c r="F10" s="350">
        <f>SUM(F8:F9)</f>
        <v>0</v>
      </c>
      <c r="G10" s="350">
        <f>SUM(G8:G9)</f>
        <v>0</v>
      </c>
    </row>
    <row r="11" spans="1:7" x14ac:dyDescent="0.2">
      <c r="A11" s="351" t="s">
        <v>29</v>
      </c>
      <c r="B11" s="350">
        <f>SUM(B9:B10)</f>
        <v>0</v>
      </c>
      <c r="C11" s="350">
        <f>SUM(C9:C10)</f>
        <v>0</v>
      </c>
      <c r="D11" s="149"/>
      <c r="E11" s="1068" t="s">
        <v>24</v>
      </c>
      <c r="F11" s="1062"/>
      <c r="G11" s="1062"/>
    </row>
    <row r="12" spans="1:7" x14ac:dyDescent="0.2">
      <c r="A12" s="1068" t="s">
        <v>32</v>
      </c>
      <c r="B12" s="1062"/>
      <c r="C12" s="1062"/>
      <c r="D12" s="149"/>
      <c r="E12" s="348" t="s">
        <v>27</v>
      </c>
      <c r="F12" s="155"/>
      <c r="G12" s="157"/>
    </row>
    <row r="13" spans="1:7" x14ac:dyDescent="0.2">
      <c r="A13" s="348" t="s">
        <v>38</v>
      </c>
      <c r="B13" s="157"/>
      <c r="C13" s="157"/>
      <c r="D13" s="150"/>
      <c r="E13" s="348" t="s">
        <v>30</v>
      </c>
      <c r="F13" s="155"/>
      <c r="G13" s="157"/>
    </row>
    <row r="14" spans="1:7" x14ac:dyDescent="0.2">
      <c r="A14" s="348" t="s">
        <v>47</v>
      </c>
      <c r="B14" s="157"/>
      <c r="C14" s="157"/>
      <c r="D14" s="150"/>
      <c r="E14" s="348" t="s">
        <v>33</v>
      </c>
      <c r="F14" s="155"/>
      <c r="G14" s="157"/>
    </row>
    <row r="15" spans="1:7" x14ac:dyDescent="0.2">
      <c r="A15" s="351" t="s">
        <v>53</v>
      </c>
      <c r="B15" s="350">
        <f>SUM(B13:B14)</f>
        <v>0</v>
      </c>
      <c r="C15" s="350">
        <f>SUM(C13:C14)</f>
        <v>0</v>
      </c>
      <c r="D15" s="158"/>
      <c r="E15" s="349" t="s">
        <v>36</v>
      </c>
      <c r="F15" s="350">
        <f>-SUM(F12:F14)</f>
        <v>0</v>
      </c>
      <c r="G15" s="350">
        <f>-SUM(G12:G14)</f>
        <v>0</v>
      </c>
    </row>
    <row r="16" spans="1:7" x14ac:dyDescent="0.2">
      <c r="A16" s="348" t="s">
        <v>56</v>
      </c>
      <c r="B16" s="157"/>
      <c r="C16" s="157"/>
      <c r="D16" s="158"/>
      <c r="E16" s="352" t="s">
        <v>39</v>
      </c>
      <c r="F16" s="353">
        <f>+F10+F15</f>
        <v>0</v>
      </c>
      <c r="G16" s="353">
        <f>+G10+G15</f>
        <v>0</v>
      </c>
    </row>
    <row r="17" spans="1:7" x14ac:dyDescent="0.2">
      <c r="A17" s="354" t="s">
        <v>59</v>
      </c>
      <c r="B17" s="355">
        <f>+B11+B15+B16</f>
        <v>0</v>
      </c>
      <c r="C17" s="355">
        <f>+ROUND(C11+C15+C16,0)</f>
        <v>0</v>
      </c>
      <c r="D17" s="158"/>
      <c r="E17" s="1068" t="s">
        <v>42</v>
      </c>
      <c r="F17" s="1062"/>
      <c r="G17" s="1062"/>
    </row>
    <row r="18" spans="1:7" x14ac:dyDescent="0.2">
      <c r="A18" s="150"/>
      <c r="B18" s="159"/>
      <c r="C18" s="159"/>
      <c r="D18" s="158"/>
      <c r="E18" s="347" t="s">
        <v>51</v>
      </c>
      <c r="F18" s="156"/>
      <c r="G18" s="157"/>
    </row>
    <row r="19" spans="1:7" x14ac:dyDescent="0.2">
      <c r="A19" s="1068" t="s">
        <v>64</v>
      </c>
      <c r="B19" s="1062"/>
      <c r="C19" s="1062"/>
      <c r="D19" s="160"/>
      <c r="E19" s="347" t="s">
        <v>68</v>
      </c>
      <c r="F19" s="156"/>
      <c r="G19" s="157"/>
    </row>
    <row r="20" spans="1:7" x14ac:dyDescent="0.2">
      <c r="A20" s="1068" t="s">
        <v>67</v>
      </c>
      <c r="B20" s="1062"/>
      <c r="C20" s="1062"/>
      <c r="D20" s="150"/>
      <c r="E20" s="347" t="s">
        <v>101</v>
      </c>
      <c r="F20" s="156"/>
      <c r="G20" s="157"/>
    </row>
    <row r="21" spans="1:7" ht="15.75" customHeight="1" x14ac:dyDescent="0.2">
      <c r="A21" s="348" t="s">
        <v>69</v>
      </c>
      <c r="B21" s="157"/>
      <c r="C21" s="157"/>
      <c r="D21" s="161"/>
      <c r="E21" s="347" t="s">
        <v>102</v>
      </c>
      <c r="F21" s="156"/>
      <c r="G21" s="157"/>
    </row>
    <row r="22" spans="1:7" ht="15.75" customHeight="1" x14ac:dyDescent="0.2">
      <c r="A22" s="348" t="s">
        <v>73</v>
      </c>
      <c r="B22" s="157"/>
      <c r="C22" s="157"/>
      <c r="D22" s="161"/>
      <c r="E22" s="347" t="s">
        <v>70</v>
      </c>
      <c r="F22" s="156"/>
      <c r="G22" s="157"/>
    </row>
    <row r="23" spans="1:7" ht="15.75" customHeight="1" x14ac:dyDescent="0.2">
      <c r="A23" s="351" t="s">
        <v>77</v>
      </c>
      <c r="B23" s="350">
        <f>SUM(B21:B22)</f>
        <v>0</v>
      </c>
      <c r="C23" s="350">
        <f>SUM(C21:C22)</f>
        <v>0</v>
      </c>
      <c r="D23" s="161"/>
      <c r="E23" s="347" t="s">
        <v>103</v>
      </c>
      <c r="F23" s="156"/>
      <c r="G23" s="157"/>
    </row>
    <row r="24" spans="1:7" ht="15.75" customHeight="1" x14ac:dyDescent="0.2">
      <c r="A24" s="348" t="s">
        <v>104</v>
      </c>
      <c r="B24" s="157"/>
      <c r="C24" s="157"/>
      <c r="D24" s="161"/>
      <c r="E24" s="347" t="s">
        <v>105</v>
      </c>
      <c r="F24" s="156"/>
      <c r="G24" s="157"/>
    </row>
    <row r="25" spans="1:7" ht="15.75" customHeight="1" x14ac:dyDescent="0.2">
      <c r="A25" s="352" t="s">
        <v>83</v>
      </c>
      <c r="B25" s="353">
        <f>SUM(B23:B24)</f>
        <v>0</v>
      </c>
      <c r="C25" s="353">
        <f>SUM(C23:C24)</f>
        <v>0</v>
      </c>
      <c r="D25" s="161"/>
      <c r="E25" s="347" t="s">
        <v>106</v>
      </c>
      <c r="F25" s="156"/>
      <c r="G25" s="157"/>
    </row>
    <row r="26" spans="1:7" ht="15.75" customHeight="1" x14ac:dyDescent="0.2">
      <c r="A26" s="150"/>
      <c r="B26" s="159"/>
      <c r="C26" s="159"/>
      <c r="D26" s="161"/>
      <c r="E26" s="347" t="s">
        <v>82</v>
      </c>
      <c r="F26" s="155"/>
      <c r="G26" s="162"/>
    </row>
    <row r="27" spans="1:7" ht="15.75" customHeight="1" x14ac:dyDescent="0.2">
      <c r="A27" s="1068" t="s">
        <v>86</v>
      </c>
      <c r="B27" s="1062"/>
      <c r="C27" s="1062"/>
      <c r="D27" s="161"/>
      <c r="E27" s="347" t="s">
        <v>85</v>
      </c>
      <c r="F27" s="155"/>
      <c r="G27" s="149"/>
    </row>
    <row r="28" spans="1:7" ht="15.75" customHeight="1" x14ac:dyDescent="0.2">
      <c r="A28" s="348" t="s">
        <v>88</v>
      </c>
      <c r="B28" s="157"/>
      <c r="C28" s="157"/>
      <c r="D28" s="157"/>
      <c r="E28" s="356" t="s">
        <v>87</v>
      </c>
      <c r="F28" s="350">
        <f>-SUM(F18:F27)</f>
        <v>0</v>
      </c>
      <c r="G28" s="350">
        <f>-SUM(G18:G27)</f>
        <v>0</v>
      </c>
    </row>
    <row r="29" spans="1:7" ht="15.75" customHeight="1" x14ac:dyDescent="0.2">
      <c r="A29" s="348" t="s">
        <v>90</v>
      </c>
      <c r="B29" s="157"/>
      <c r="C29" s="157"/>
      <c r="D29" s="157"/>
      <c r="E29" s="357" t="s">
        <v>89</v>
      </c>
      <c r="F29" s="353">
        <f>+F16+F28</f>
        <v>0</v>
      </c>
      <c r="G29" s="353">
        <f>+G16+G28</f>
        <v>0</v>
      </c>
    </row>
    <row r="30" spans="1:7" ht="15.75" customHeight="1" x14ac:dyDescent="0.2">
      <c r="A30" s="348" t="s">
        <v>92</v>
      </c>
      <c r="B30" s="157"/>
      <c r="C30" s="157"/>
      <c r="D30" s="161"/>
      <c r="E30" s="347" t="s">
        <v>91</v>
      </c>
      <c r="F30" s="157"/>
      <c r="G30" s="157"/>
    </row>
    <row r="31" spans="1:7" ht="15.75" customHeight="1" x14ac:dyDescent="0.2">
      <c r="A31" s="352" t="s">
        <v>94</v>
      </c>
      <c r="B31" s="353">
        <f>SUM(B28:B30)</f>
        <v>0</v>
      </c>
      <c r="C31" s="353">
        <f>SUM(C28:C30)</f>
        <v>0</v>
      </c>
      <c r="D31" s="157"/>
      <c r="E31" s="358" t="s">
        <v>107</v>
      </c>
      <c r="F31" s="355">
        <f>SUM(F29:F30)</f>
        <v>0</v>
      </c>
      <c r="G31" s="355">
        <f>SUM(G29:G30)</f>
        <v>0</v>
      </c>
    </row>
    <row r="32" spans="1:7" x14ac:dyDescent="0.2"/>
    <row r="33" spans="1:3" ht="15.75" customHeight="1" x14ac:dyDescent="0.2">
      <c r="A33" s="354" t="s">
        <v>95</v>
      </c>
      <c r="B33" s="355">
        <f>+B25+B31</f>
        <v>0</v>
      </c>
      <c r="C33" s="355">
        <f>+ROUND(C25+C31,0)</f>
        <v>0</v>
      </c>
    </row>
  </sheetData>
  <mergeCells count="12">
    <mergeCell ref="A27:C27"/>
    <mergeCell ref="A2:G2"/>
    <mergeCell ref="E4:G4"/>
    <mergeCell ref="A12:C12"/>
    <mergeCell ref="A4:C4"/>
    <mergeCell ref="A20:C20"/>
    <mergeCell ref="A19:C19"/>
    <mergeCell ref="A1:G1"/>
    <mergeCell ref="E11:G11"/>
    <mergeCell ref="B5:C5"/>
    <mergeCell ref="F5:G5"/>
    <mergeCell ref="E17:G17"/>
  </mergeCells>
  <pageMargins left="0.7" right="0.7" top="0.75" bottom="0.75" header="0" footer="0"/>
  <pageSetup fitToHeight="0" orientation="landscape"/>
  <headerFooter>
    <oddHeader>&amp;RCONFIDENTIAL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1E3A8A"/>
  </sheetPr>
  <dimension ref="A1:D37"/>
  <sheetViews>
    <sheetView showGridLines="0" workbookViewId="0">
      <pane ySplit="3" topLeftCell="A4" activePane="bottomLeft" state="frozen"/>
      <selection pane="bottomLeft" activeCell="M30" sqref="M30"/>
    </sheetView>
  </sheetViews>
  <sheetFormatPr baseColWidth="10" defaultColWidth="14.5" defaultRowHeight="15" customHeight="1" x14ac:dyDescent="0.2"/>
  <cols>
    <col min="1" max="1" width="28.6640625" customWidth="1"/>
    <col min="2" max="4" width="13.33203125" customWidth="1"/>
    <col min="5" max="26" width="9.1640625" customWidth="1"/>
  </cols>
  <sheetData>
    <row r="1" spans="1:4" ht="12.75" customHeight="1" x14ac:dyDescent="0.2">
      <c r="A1" s="1071" t="str">
        <f>+'Detail CF Projections'!A1:Q1</f>
        <v>Draper Yoga</v>
      </c>
      <c r="B1" s="1062"/>
      <c r="C1" s="1062"/>
      <c r="D1" s="1062"/>
    </row>
    <row r="2" spans="1:4" ht="12.75" customHeight="1" x14ac:dyDescent="0.2">
      <c r="A2" s="1073" t="s">
        <v>108</v>
      </c>
      <c r="B2" s="1062"/>
      <c r="C2" s="1062"/>
      <c r="D2" s="1062"/>
    </row>
    <row r="3" spans="1:4" ht="12.75" customHeight="1" x14ac:dyDescent="0.2">
      <c r="A3" s="163"/>
    </row>
    <row r="4" spans="1:4" ht="12.75" customHeight="1" x14ac:dyDescent="0.2">
      <c r="A4" s="127"/>
      <c r="B4" s="127"/>
      <c r="C4" s="127"/>
      <c r="D4" s="127"/>
    </row>
    <row r="5" spans="1:4" ht="12.75" customHeight="1" x14ac:dyDescent="0.2">
      <c r="A5" s="127"/>
      <c r="B5" s="1072" t="s">
        <v>98</v>
      </c>
      <c r="C5" s="1065"/>
      <c r="D5" s="1065"/>
    </row>
    <row r="6" spans="1:4" ht="12.75" customHeight="1" x14ac:dyDescent="0.2">
      <c r="A6" s="359"/>
      <c r="B6" s="360">
        <f>+'Projected Fin Stmts'!P5</f>
        <v>45079</v>
      </c>
      <c r="C6" s="360">
        <f>+'Projected Fin Stmts'!Q5</f>
        <v>45444</v>
      </c>
      <c r="D6" s="360">
        <f>+'Projected Fin Stmts'!R5</f>
        <v>45809</v>
      </c>
    </row>
    <row r="7" spans="1:4" ht="12.75" customHeight="1" x14ac:dyDescent="0.2">
      <c r="A7" s="1061" t="s">
        <v>8</v>
      </c>
      <c r="B7" s="1062"/>
      <c r="C7" s="1062"/>
      <c r="D7" s="1062"/>
    </row>
    <row r="8" spans="1:4" ht="12.75" customHeight="1" x14ac:dyDescent="0.2">
      <c r="A8" s="315" t="s">
        <v>100</v>
      </c>
      <c r="B8" s="316">
        <f>+'Projected Fin Stmts'!P12</f>
        <v>475650</v>
      </c>
      <c r="C8" s="316">
        <f>+'Projected Fin Stmts'!Q12</f>
        <v>587903.4</v>
      </c>
      <c r="D8" s="316">
        <f>+'Projected Fin Stmts'!R12</f>
        <v>656397</v>
      </c>
    </row>
    <row r="9" spans="1:4" ht="12.75" customHeight="1" x14ac:dyDescent="0.2">
      <c r="A9" s="315" t="s">
        <v>109</v>
      </c>
      <c r="B9" s="316">
        <f>+'Projected Fin Stmts'!P17</f>
        <v>-70830.899999999994</v>
      </c>
      <c r="C9" s="316">
        <f>+'Projected Fin Stmts'!Q17</f>
        <v>-93359.838599999988</v>
      </c>
      <c r="D9" s="316">
        <f>+'Projected Fin Stmts'!R17</f>
        <v>-104236.71299999996</v>
      </c>
    </row>
    <row r="10" spans="1:4" ht="12.75" customHeight="1" x14ac:dyDescent="0.2">
      <c r="A10" s="361" t="s">
        <v>110</v>
      </c>
      <c r="B10" s="323">
        <f>+'Projected Fin Stmts'!P19</f>
        <v>404819.1</v>
      </c>
      <c r="C10" s="323">
        <f>+'Projected Fin Stmts'!Q19</f>
        <v>494543.56140000001</v>
      </c>
      <c r="D10" s="323">
        <f>+'Projected Fin Stmts'!R19</f>
        <v>552160.28700000001</v>
      </c>
    </row>
    <row r="11" spans="1:4" ht="12.75" customHeight="1" x14ac:dyDescent="0.2">
      <c r="A11" s="315" t="s">
        <v>111</v>
      </c>
      <c r="B11" s="316">
        <f>+'Projected Fin Stmts'!P39</f>
        <v>-286480</v>
      </c>
      <c r="C11" s="316">
        <f>+'Projected Fin Stmts'!Q39</f>
        <v>-332412.73660714284</v>
      </c>
      <c r="D11" s="316">
        <f>+'Projected Fin Stmts'!R39</f>
        <v>-345770.10629464278</v>
      </c>
    </row>
    <row r="12" spans="1:4" ht="12.75" customHeight="1" x14ac:dyDescent="0.2">
      <c r="A12" s="361" t="s">
        <v>112</v>
      </c>
      <c r="B12" s="323">
        <f>+'Projected Fin Stmts'!P40</f>
        <v>118339.09999999998</v>
      </c>
      <c r="C12" s="323">
        <f>+'Projected Fin Stmts'!Q40</f>
        <v>162130.82479285717</v>
      </c>
      <c r="D12" s="323">
        <f>+'Projected Fin Stmts'!R40</f>
        <v>206390.18070535723</v>
      </c>
    </row>
    <row r="13" spans="1:4" ht="12.75" customHeight="1" x14ac:dyDescent="0.2">
      <c r="A13" s="135"/>
      <c r="B13" s="142"/>
      <c r="C13" s="142"/>
      <c r="D13" s="142"/>
    </row>
    <row r="14" spans="1:4" ht="12.75" customHeight="1" x14ac:dyDescent="0.2">
      <c r="A14" s="362" t="s">
        <v>113</v>
      </c>
      <c r="B14" s="363">
        <f>+'Projected Fin Stmts'!P44</f>
        <v>77081.156245604114</v>
      </c>
      <c r="C14" s="363">
        <f>+'Projected Fin Stmts'!Q44</f>
        <v>110793.05643067296</v>
      </c>
      <c r="D14" s="363">
        <f>+'Projected Fin Stmts'!R44</f>
        <v>144315.36875510975</v>
      </c>
    </row>
    <row r="15" spans="1:4" ht="12.75" customHeight="1" x14ac:dyDescent="0.2">
      <c r="A15" s="133"/>
    </row>
    <row r="16" spans="1:4" ht="19.5" customHeight="1" x14ac:dyDescent="0.2">
      <c r="A16" s="1061" t="s">
        <v>96</v>
      </c>
      <c r="B16" s="1062"/>
      <c r="C16" s="1062"/>
      <c r="D16" s="1062"/>
    </row>
    <row r="17" spans="1:4" ht="12.75" customHeight="1" x14ac:dyDescent="0.2">
      <c r="A17" s="315" t="s">
        <v>17</v>
      </c>
      <c r="B17" s="316">
        <f>+'Projected Fin Stmts'!P54</f>
        <v>211636.45424565504</v>
      </c>
      <c r="C17" s="316">
        <f>+'Projected Fin Stmts'!Q54</f>
        <v>324733.83482708584</v>
      </c>
      <c r="D17" s="316">
        <f>+'Projected Fin Stmts'!R54</f>
        <v>473047.52890087105</v>
      </c>
    </row>
    <row r="18" spans="1:4" ht="12.75" customHeight="1" x14ac:dyDescent="0.2">
      <c r="A18" s="315" t="s">
        <v>114</v>
      </c>
      <c r="B18" s="316">
        <f>+'Projected Fin Stmts'!P58</f>
        <v>246382.02524565501</v>
      </c>
      <c r="C18" s="316">
        <f>+'Projected Fin Stmts'!Q58</f>
        <v>367679.3605830858</v>
      </c>
      <c r="D18" s="316">
        <f>+'Projected Fin Stmts'!R58</f>
        <v>520996.41688087105</v>
      </c>
    </row>
    <row r="19" spans="1:4" ht="12.75" customHeight="1" x14ac:dyDescent="0.2">
      <c r="A19" s="315" t="s">
        <v>115</v>
      </c>
      <c r="B19" s="316">
        <f>+'Projected Fin Stmts'!P66</f>
        <v>118000</v>
      </c>
      <c r="C19" s="316">
        <f>+'Projected Fin Stmts'!Q66</f>
        <v>103143</v>
      </c>
      <c r="D19" s="316">
        <f>+'Projected Fin Stmts'!R66</f>
        <v>88286</v>
      </c>
    </row>
    <row r="20" spans="1:4" ht="12.75" customHeight="1" x14ac:dyDescent="0.2">
      <c r="A20" s="315" t="s">
        <v>116</v>
      </c>
      <c r="B20" s="316">
        <f>+'Projected Fin Stmts'!P67</f>
        <v>6000</v>
      </c>
      <c r="C20" s="316">
        <f>+'Projected Fin Stmts'!Q67</f>
        <v>6000</v>
      </c>
      <c r="D20" s="316">
        <f>+'Projected Fin Stmts'!R67</f>
        <v>6000</v>
      </c>
    </row>
    <row r="21" spans="1:4" ht="12.75" customHeight="1" x14ac:dyDescent="0.2">
      <c r="A21" s="364" t="s">
        <v>117</v>
      </c>
      <c r="B21" s="327">
        <f>+'Projected Fin Stmts'!P68</f>
        <v>370382.02524565498</v>
      </c>
      <c r="C21" s="327">
        <f>+'Projected Fin Stmts'!Q68</f>
        <v>476822.3605830858</v>
      </c>
      <c r="D21" s="327">
        <f>+'Projected Fin Stmts'!R68</f>
        <v>615282.41688087105</v>
      </c>
    </row>
    <row r="22" spans="1:4" ht="12.75" customHeight="1" x14ac:dyDescent="0.2">
      <c r="A22" s="315" t="s">
        <v>118</v>
      </c>
      <c r="B22" s="316">
        <f>+'Projected Fin Stmts'!P75</f>
        <v>11582</v>
      </c>
      <c r="C22" s="316">
        <f>+'Projected Fin Stmts'!Q75</f>
        <v>14315</v>
      </c>
      <c r="D22" s="316">
        <f>+'Projected Fin Stmts'!R75</f>
        <v>15983</v>
      </c>
    </row>
    <row r="23" spans="1:4" ht="12.75" customHeight="1" x14ac:dyDescent="0.2">
      <c r="A23" s="365" t="s">
        <v>83</v>
      </c>
      <c r="B23" s="366">
        <f>+'Projected Fin Stmts'!P78</f>
        <v>254907.50294677462</v>
      </c>
      <c r="C23" s="366">
        <f>+'Projected Fin Stmts'!Q78</f>
        <v>250554.33752001025</v>
      </c>
      <c r="D23" s="366">
        <f>+'Projected Fin Stmts'!R78</f>
        <v>244699.11291521316</v>
      </c>
    </row>
    <row r="24" spans="1:4" ht="12.75" customHeight="1" x14ac:dyDescent="0.2">
      <c r="A24" s="135"/>
      <c r="B24" s="142"/>
      <c r="C24" s="142"/>
      <c r="D24" s="142"/>
    </row>
    <row r="25" spans="1:4" ht="12.75" customHeight="1" x14ac:dyDescent="0.2">
      <c r="A25" s="365" t="s">
        <v>119</v>
      </c>
      <c r="B25" s="366">
        <f>+'Projected Fin Stmts'!P83</f>
        <v>115474.87499413885</v>
      </c>
      <c r="C25" s="366">
        <f>+'Projected Fin Stmts'!Q83</f>
        <v>226267.93142481183</v>
      </c>
      <c r="D25" s="366">
        <f>+'Projected Fin Stmts'!R83</f>
        <v>370583.30017992156</v>
      </c>
    </row>
    <row r="26" spans="1:4" ht="12.75" customHeight="1" x14ac:dyDescent="0.2">
      <c r="A26" s="133"/>
    </row>
    <row r="27" spans="1:4" ht="18" customHeight="1" x14ac:dyDescent="0.2">
      <c r="A27" s="1061" t="s">
        <v>9</v>
      </c>
      <c r="B27" s="1062"/>
      <c r="C27" s="1062"/>
      <c r="D27" s="1062"/>
    </row>
    <row r="28" spans="1:4" ht="12.75" customHeight="1" x14ac:dyDescent="0.2">
      <c r="A28" s="315" t="s">
        <v>120</v>
      </c>
      <c r="B28" s="316">
        <f>+'Projected Fin Stmts'!P98</f>
        <v>93610.95129888042</v>
      </c>
      <c r="C28" s="316">
        <f>+'Projected Fin Stmts'!Q98</f>
        <v>120183.54600819515</v>
      </c>
      <c r="D28" s="316">
        <f>+'Projected Fin Stmts'!R98</f>
        <v>155836.91867858233</v>
      </c>
    </row>
    <row r="29" spans="1:4" ht="12.75" customHeight="1" x14ac:dyDescent="0.2">
      <c r="A29" s="315" t="s">
        <v>121</v>
      </c>
      <c r="B29" s="316">
        <f>+'Projected Fin Stmts'!P102</f>
        <v>0</v>
      </c>
      <c r="C29" s="316">
        <f>+'Projected Fin Stmts'!Q102</f>
        <v>0</v>
      </c>
      <c r="D29" s="316">
        <f>+'Projected Fin Stmts'!R102</f>
        <v>0</v>
      </c>
    </row>
    <row r="30" spans="1:4" ht="12.75" customHeight="1" x14ac:dyDescent="0.2">
      <c r="A30" s="315" t="s">
        <v>122</v>
      </c>
      <c r="B30" s="316">
        <f>+'Projected Fin Stmts'!P108</f>
        <v>-6674.4970532253792</v>
      </c>
      <c r="C30" s="316">
        <f>+'Projected Fin Stmts'!Q108</f>
        <v>-7086.1654267643753</v>
      </c>
      <c r="D30" s="316">
        <f>+'Projected Fin Stmts'!R108</f>
        <v>-7523.2246047970839</v>
      </c>
    </row>
    <row r="31" spans="1:4" ht="12.75" customHeight="1" x14ac:dyDescent="0.2">
      <c r="A31" s="361" t="s">
        <v>123</v>
      </c>
      <c r="B31" s="323">
        <f>+'Projected Fin Stmts'!P110</f>
        <v>86936.454245655041</v>
      </c>
      <c r="C31" s="323">
        <f>+'Projected Fin Stmts'!Q110</f>
        <v>113097.38058143077</v>
      </c>
      <c r="D31" s="323">
        <f>+'Projected Fin Stmts'!R110</f>
        <v>148313.69407378524</v>
      </c>
    </row>
    <row r="32" spans="1:4" ht="12.75" customHeight="1" x14ac:dyDescent="0.2">
      <c r="A32" s="367" t="s">
        <v>124</v>
      </c>
      <c r="B32" s="368">
        <f>+'Projected Fin Stmts'!P112</f>
        <v>211636.45424565504</v>
      </c>
      <c r="C32" s="368">
        <f>+'Projected Fin Stmts'!Q112</f>
        <v>324733.83482708584</v>
      </c>
      <c r="D32" s="368">
        <f>+'Projected Fin Stmts'!R112</f>
        <v>473047.52890087105</v>
      </c>
    </row>
    <row r="33" spans="1:4" ht="12.75" customHeight="1" x14ac:dyDescent="0.2">
      <c r="A33" s="362" t="s">
        <v>124</v>
      </c>
      <c r="B33" s="363">
        <f>+'Projected Fin Stmts'!P112</f>
        <v>211636.45424565504</v>
      </c>
      <c r="C33" s="363">
        <f>+'Projected Fin Stmts'!Q112</f>
        <v>324733.83482708584</v>
      </c>
      <c r="D33" s="363">
        <f>+'Projected Fin Stmts'!R112</f>
        <v>473047.52890087105</v>
      </c>
    </row>
    <row r="34" spans="1:4" ht="12.75" customHeight="1" x14ac:dyDescent="0.2">
      <c r="A34" s="127"/>
      <c r="B34" s="137"/>
      <c r="C34" s="137"/>
      <c r="D34" s="137"/>
    </row>
    <row r="35" spans="1:4" ht="12.75" customHeight="1" x14ac:dyDescent="0.2">
      <c r="A35" s="127"/>
      <c r="B35" s="137"/>
      <c r="C35" s="137"/>
      <c r="D35" s="137"/>
    </row>
    <row r="36" spans="1:4" ht="12.75" customHeight="1" x14ac:dyDescent="0.2">
      <c r="A36" s="9"/>
      <c r="B36" s="12"/>
      <c r="C36" s="12"/>
      <c r="D36" s="12"/>
    </row>
    <row r="37" spans="1:4" ht="12.75" customHeight="1" x14ac:dyDescent="0.2">
      <c r="A37" s="9"/>
      <c r="B37" s="369">
        <f>IF(B21-(B23+B25)&lt;1,0,B21-(B23+B25))</f>
        <v>0</v>
      </c>
      <c r="C37" s="369">
        <f>IF(C21-(C23+C25)&lt;1,0,C21-(C23+C25))</f>
        <v>0</v>
      </c>
      <c r="D37" s="369">
        <f>IF(D21-(D23+D25)&lt;1,0,D21-(D23+D25))</f>
        <v>0</v>
      </c>
    </row>
  </sheetData>
  <mergeCells count="6">
    <mergeCell ref="A1:D1"/>
    <mergeCell ref="B5:D5"/>
    <mergeCell ref="A27:D27"/>
    <mergeCell ref="A7:D7"/>
    <mergeCell ref="A2:D2"/>
    <mergeCell ref="A16:D16"/>
  </mergeCells>
  <pageMargins left="1.69" right="1" top="1" bottom="1" header="0" footer="0"/>
  <pageSetup orientation="portrait"/>
  <headerFooter>
    <oddHeader>&amp;RCONFIDENTIAL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1E3A8A"/>
    <pageSetUpPr fitToPage="1"/>
  </sheetPr>
  <dimension ref="A1:P35"/>
  <sheetViews>
    <sheetView showGridLines="0" workbookViewId="0">
      <pane ySplit="3" topLeftCell="A4" activePane="bottomLeft" state="frozen"/>
      <selection pane="bottomLeft" activeCell="M30" sqref="M30"/>
    </sheetView>
  </sheetViews>
  <sheetFormatPr baseColWidth="10" defaultColWidth="14.5" defaultRowHeight="15" customHeight="1" x14ac:dyDescent="0.2"/>
  <cols>
    <col min="1" max="1" width="24" customWidth="1"/>
    <col min="2" max="13" width="10" customWidth="1"/>
    <col min="14" max="14" width="13.6640625" customWidth="1"/>
    <col min="15" max="15" width="12.5" customWidth="1"/>
    <col min="16" max="16" width="10" customWidth="1"/>
    <col min="17" max="26" width="9.1640625" customWidth="1"/>
  </cols>
  <sheetData>
    <row r="1" spans="1:16" ht="12.75" customHeight="1" x14ac:dyDescent="0.2">
      <c r="A1" s="1074" t="str">
        <f>+'3yr Sum Proj Fin Stmts'!A1</f>
        <v>Draper Yoga</v>
      </c>
      <c r="B1" s="1062"/>
      <c r="C1" s="1062"/>
      <c r="D1" s="1062"/>
      <c r="E1" s="1062"/>
      <c r="F1" s="1062"/>
      <c r="G1" s="1062"/>
      <c r="H1" s="1062"/>
      <c r="I1" s="1062"/>
      <c r="J1" s="1062"/>
      <c r="K1" s="1062"/>
      <c r="L1" s="1062"/>
      <c r="M1" s="1062"/>
      <c r="N1" s="1062"/>
      <c r="O1" s="1062"/>
      <c r="P1" s="1062"/>
    </row>
    <row r="2" spans="1:16" ht="12.75" customHeight="1" x14ac:dyDescent="0.2">
      <c r="A2" s="1063" t="s">
        <v>125</v>
      </c>
      <c r="B2" s="1062"/>
      <c r="C2" s="1062"/>
      <c r="D2" s="1062"/>
      <c r="E2" s="1062"/>
      <c r="F2" s="1062"/>
      <c r="G2" s="1062"/>
      <c r="H2" s="1062"/>
      <c r="I2" s="1062"/>
      <c r="J2" s="1062"/>
      <c r="K2" s="1062"/>
      <c r="L2" s="1062"/>
      <c r="M2" s="1062"/>
      <c r="N2" s="1062"/>
      <c r="O2" s="1062"/>
      <c r="P2" s="1062"/>
    </row>
    <row r="3" spans="1:16" ht="12.75" customHeight="1" x14ac:dyDescent="0.2">
      <c r="A3" s="127"/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</row>
    <row r="4" spans="1:16" ht="12.75" customHeight="1" x14ac:dyDescent="0.2">
      <c r="A4" s="127"/>
      <c r="B4" s="166"/>
      <c r="C4" s="166"/>
      <c r="D4" s="166"/>
      <c r="E4" s="166"/>
      <c r="F4" s="166"/>
      <c r="G4" s="166"/>
      <c r="H4" s="166"/>
      <c r="I4" s="166"/>
      <c r="J4" s="166"/>
      <c r="K4" s="166"/>
      <c r="L4" s="166"/>
      <c r="M4" s="166"/>
      <c r="N4" s="1075" t="s">
        <v>126</v>
      </c>
      <c r="O4" s="1065"/>
      <c r="P4" s="1065"/>
    </row>
    <row r="5" spans="1:16" ht="12.75" customHeight="1" x14ac:dyDescent="0.2">
      <c r="A5" s="359"/>
      <c r="B5" s="370">
        <f>+'Projected Fin Stmts'!D5</f>
        <v>44771</v>
      </c>
      <c r="C5" s="370">
        <f>+'Projected Fin Stmts'!E5</f>
        <v>44799</v>
      </c>
      <c r="D5" s="370">
        <f>+'Projected Fin Stmts'!F5</f>
        <v>44827</v>
      </c>
      <c r="E5" s="370">
        <f>+'Projected Fin Stmts'!G5</f>
        <v>44855</v>
      </c>
      <c r="F5" s="370">
        <f>+'Projected Fin Stmts'!H5</f>
        <v>44883</v>
      </c>
      <c r="G5" s="370">
        <f>+'Projected Fin Stmts'!I5</f>
        <v>44911</v>
      </c>
      <c r="H5" s="370">
        <f>+'Projected Fin Stmts'!J5</f>
        <v>44939</v>
      </c>
      <c r="I5" s="370">
        <f>+'Projected Fin Stmts'!K5</f>
        <v>44967</v>
      </c>
      <c r="J5" s="370">
        <f>+'Projected Fin Stmts'!L5</f>
        <v>44995</v>
      </c>
      <c r="K5" s="370">
        <f>+'Projected Fin Stmts'!M5</f>
        <v>45023</v>
      </c>
      <c r="L5" s="370">
        <f>+'Projected Fin Stmts'!N5</f>
        <v>45051</v>
      </c>
      <c r="M5" s="370">
        <f>+'Projected Fin Stmts'!O5</f>
        <v>45079</v>
      </c>
      <c r="N5" s="371">
        <f>+M5</f>
        <v>45079</v>
      </c>
      <c r="O5" s="372">
        <f>+N5+365</f>
        <v>45444</v>
      </c>
      <c r="P5" s="372">
        <f>+O5+365</f>
        <v>45809</v>
      </c>
    </row>
    <row r="6" spans="1:16" ht="25.5" customHeight="1" x14ac:dyDescent="0.2">
      <c r="A6" s="345" t="s">
        <v>8</v>
      </c>
      <c r="B6" s="150"/>
      <c r="C6" s="150"/>
      <c r="D6" s="150"/>
      <c r="E6" s="150"/>
      <c r="F6" s="150"/>
      <c r="G6" s="150"/>
      <c r="H6" s="150"/>
      <c r="I6" s="150"/>
      <c r="J6" s="150"/>
      <c r="K6" s="150"/>
      <c r="L6" s="150"/>
      <c r="M6" s="150"/>
      <c r="N6" s="167"/>
      <c r="O6" s="150"/>
      <c r="P6" s="9"/>
    </row>
    <row r="7" spans="1:16" ht="12.75" customHeight="1" x14ac:dyDescent="0.2">
      <c r="A7" s="315" t="s">
        <v>100</v>
      </c>
      <c r="B7" s="316">
        <f>+'Projected Fin Stmts'!D12</f>
        <v>4452</v>
      </c>
      <c r="C7" s="316">
        <f>+'Projected Fin Stmts'!E12</f>
        <v>8478</v>
      </c>
      <c r="D7" s="316">
        <f>+'Projected Fin Stmts'!F12</f>
        <v>13404</v>
      </c>
      <c r="E7" s="316">
        <f>+'Projected Fin Stmts'!G12</f>
        <v>19230</v>
      </c>
      <c r="F7" s="316">
        <f>+'Projected Fin Stmts'!H12</f>
        <v>25956</v>
      </c>
      <c r="G7" s="316">
        <f>+'Projected Fin Stmts'!I12</f>
        <v>33582</v>
      </c>
      <c r="H7" s="316">
        <f>+'Projected Fin Stmts'!J12</f>
        <v>46560</v>
      </c>
      <c r="I7" s="316">
        <f>+'Projected Fin Stmts'!K12</f>
        <v>53334</v>
      </c>
      <c r="J7" s="316">
        <f>+'Projected Fin Stmts'!L12</f>
        <v>59208</v>
      </c>
      <c r="K7" s="316">
        <f>+'Projected Fin Stmts'!M12</f>
        <v>64182</v>
      </c>
      <c r="L7" s="316">
        <f>+'Projected Fin Stmts'!N12</f>
        <v>70482</v>
      </c>
      <c r="M7" s="316">
        <f>+'Projected Fin Stmts'!O12</f>
        <v>76782</v>
      </c>
      <c r="N7" s="373">
        <f>+'Projected Fin Stmts'!P12</f>
        <v>475650</v>
      </c>
      <c r="O7" s="316">
        <f>+'Projected Fin Stmts'!Q12</f>
        <v>587903.4</v>
      </c>
      <c r="P7" s="316">
        <f>+'Projected Fin Stmts'!R12</f>
        <v>656397</v>
      </c>
    </row>
    <row r="8" spans="1:16" ht="12.75" customHeight="1" x14ac:dyDescent="0.2">
      <c r="A8" s="315" t="s">
        <v>109</v>
      </c>
      <c r="B8" s="316">
        <f>+'Projected Fin Stmts'!D17</f>
        <v>-1008</v>
      </c>
      <c r="C8" s="316">
        <f>+'Projected Fin Stmts'!E17</f>
        <v>-1704.6</v>
      </c>
      <c r="D8" s="316">
        <f>+'Projected Fin Stmts'!F17</f>
        <v>-2497.5</v>
      </c>
      <c r="E8" s="316">
        <f>+'Projected Fin Stmts'!G17</f>
        <v>-3386.7</v>
      </c>
      <c r="F8" s="316">
        <f>+'Projected Fin Stmts'!H17</f>
        <v>-4372.2000000000007</v>
      </c>
      <c r="G8" s="316">
        <f>+'Projected Fin Stmts'!I17</f>
        <v>-5454</v>
      </c>
      <c r="H8" s="316">
        <f>+'Projected Fin Stmts'!J17</f>
        <v>-7640.1</v>
      </c>
      <c r="I8" s="316">
        <f>+'Projected Fin Stmts'!K17</f>
        <v>-8099.1</v>
      </c>
      <c r="J8" s="316">
        <f>+'Projected Fin Stmts'!L17</f>
        <v>-8461.7999999999993</v>
      </c>
      <c r="K8" s="316">
        <f>+'Projected Fin Stmts'!M17</f>
        <v>-8728.2000000000007</v>
      </c>
      <c r="L8" s="316">
        <f>+'Projected Fin Stmts'!N17</f>
        <v>-9402.2999999999993</v>
      </c>
      <c r="M8" s="316">
        <f>+'Projected Fin Stmts'!O17</f>
        <v>-10076.4</v>
      </c>
      <c r="N8" s="373">
        <f>+'Projected Fin Stmts'!P17</f>
        <v>-70830.899999999994</v>
      </c>
      <c r="O8" s="316">
        <f>+'Projected Fin Stmts'!Q17</f>
        <v>-93359.838599999988</v>
      </c>
      <c r="P8" s="316">
        <f>+'Projected Fin Stmts'!R17</f>
        <v>-104236.71299999996</v>
      </c>
    </row>
    <row r="9" spans="1:16" ht="12.75" customHeight="1" x14ac:dyDescent="0.2">
      <c r="A9" s="321" t="s">
        <v>110</v>
      </c>
      <c r="B9" s="318">
        <f>+'Projected Fin Stmts'!D19</f>
        <v>3444</v>
      </c>
      <c r="C9" s="318">
        <f>+'Projected Fin Stmts'!E19</f>
        <v>6773.4</v>
      </c>
      <c r="D9" s="318">
        <f>+'Projected Fin Stmts'!F19</f>
        <v>10906.5</v>
      </c>
      <c r="E9" s="318">
        <f>+'Projected Fin Stmts'!G19</f>
        <v>15843.3</v>
      </c>
      <c r="F9" s="318">
        <f>+'Projected Fin Stmts'!H19</f>
        <v>21583.8</v>
      </c>
      <c r="G9" s="318">
        <f>+'Projected Fin Stmts'!I19</f>
        <v>28128</v>
      </c>
      <c r="H9" s="318">
        <f>+'Projected Fin Stmts'!J19</f>
        <v>38919.9</v>
      </c>
      <c r="I9" s="318">
        <f>+'Projected Fin Stmts'!K19</f>
        <v>45234.9</v>
      </c>
      <c r="J9" s="318">
        <f>+'Projected Fin Stmts'!L19</f>
        <v>50746.2</v>
      </c>
      <c r="K9" s="318">
        <f>+'Projected Fin Stmts'!M19</f>
        <v>55453.8</v>
      </c>
      <c r="L9" s="318">
        <f>+'Projected Fin Stmts'!N19</f>
        <v>61079.7</v>
      </c>
      <c r="M9" s="318">
        <f>+'Projected Fin Stmts'!O19</f>
        <v>66705.600000000006</v>
      </c>
      <c r="N9" s="374">
        <f>+'Projected Fin Stmts'!P19</f>
        <v>404819.1</v>
      </c>
      <c r="O9" s="318">
        <f>+'Projected Fin Stmts'!Q19</f>
        <v>494543.56140000001</v>
      </c>
      <c r="P9" s="318">
        <f>+'Projected Fin Stmts'!R19</f>
        <v>552160.28700000001</v>
      </c>
    </row>
    <row r="10" spans="1:16" ht="12.75" customHeight="1" x14ac:dyDescent="0.2">
      <c r="A10" s="315" t="s">
        <v>111</v>
      </c>
      <c r="B10" s="316">
        <f>+'Projected Fin Stmts'!D39</f>
        <v>-23777.5</v>
      </c>
      <c r="C10" s="316">
        <f>+'Projected Fin Stmts'!E39</f>
        <v>-23777.5</v>
      </c>
      <c r="D10" s="316">
        <f>+'Projected Fin Stmts'!F39</f>
        <v>-23777.5</v>
      </c>
      <c r="E10" s="316">
        <f>+'Projected Fin Stmts'!G39</f>
        <v>-23777.5</v>
      </c>
      <c r="F10" s="316">
        <f>+'Projected Fin Stmts'!H39</f>
        <v>-23777.5</v>
      </c>
      <c r="G10" s="316">
        <f>+'Projected Fin Stmts'!I39</f>
        <v>-23777.5</v>
      </c>
      <c r="H10" s="316">
        <f>+'Projected Fin Stmts'!J39</f>
        <v>-23777.5</v>
      </c>
      <c r="I10" s="316">
        <f>+'Projected Fin Stmts'!K39</f>
        <v>-23777.5</v>
      </c>
      <c r="J10" s="316">
        <f>+'Projected Fin Stmts'!L39</f>
        <v>-23777.5</v>
      </c>
      <c r="K10" s="316">
        <f>+'Projected Fin Stmts'!M39</f>
        <v>-24927.5</v>
      </c>
      <c r="L10" s="316">
        <f>+'Projected Fin Stmts'!N39</f>
        <v>-23777.5</v>
      </c>
      <c r="M10" s="316">
        <f>+'Projected Fin Stmts'!O39</f>
        <v>-23777.5</v>
      </c>
      <c r="N10" s="373">
        <f>+'Projected Fin Stmts'!P39</f>
        <v>-286480</v>
      </c>
      <c r="O10" s="316">
        <f>+'Projected Fin Stmts'!Q39</f>
        <v>-332412.73660714284</v>
      </c>
      <c r="P10" s="316">
        <f>+'Projected Fin Stmts'!R39</f>
        <v>-345770.10629464278</v>
      </c>
    </row>
    <row r="11" spans="1:16" ht="12.75" customHeight="1" x14ac:dyDescent="0.2">
      <c r="A11" s="375" t="s">
        <v>112</v>
      </c>
      <c r="B11" s="376">
        <f>+'Projected Fin Stmts'!D40</f>
        <v>-20333.5</v>
      </c>
      <c r="C11" s="376">
        <f>+'Projected Fin Stmts'!E40</f>
        <v>-17004.099999999999</v>
      </c>
      <c r="D11" s="376">
        <f>+'Projected Fin Stmts'!F40</f>
        <v>-12871</v>
      </c>
      <c r="E11" s="376">
        <f>+'Projected Fin Stmts'!G40</f>
        <v>-7934.2000000000007</v>
      </c>
      <c r="F11" s="376">
        <f>+'Projected Fin Stmts'!H40</f>
        <v>-2193.7000000000007</v>
      </c>
      <c r="G11" s="376">
        <f>+'Projected Fin Stmts'!I40</f>
        <v>4350.5</v>
      </c>
      <c r="H11" s="376">
        <f>+'Projected Fin Stmts'!J40</f>
        <v>15142.400000000001</v>
      </c>
      <c r="I11" s="376">
        <f>+'Projected Fin Stmts'!K40</f>
        <v>21457.4</v>
      </c>
      <c r="J11" s="376">
        <f>+'Projected Fin Stmts'!L40</f>
        <v>26968.699999999997</v>
      </c>
      <c r="K11" s="376">
        <f>+'Projected Fin Stmts'!M40</f>
        <v>30526.300000000003</v>
      </c>
      <c r="L11" s="376">
        <f>+'Projected Fin Stmts'!N40</f>
        <v>37302.199999999997</v>
      </c>
      <c r="M11" s="376">
        <f>+'Projected Fin Stmts'!O40</f>
        <v>42928.100000000006</v>
      </c>
      <c r="N11" s="377">
        <f>+'Projected Fin Stmts'!P40</f>
        <v>118339.09999999998</v>
      </c>
      <c r="O11" s="376">
        <f>+'Projected Fin Stmts'!Q40</f>
        <v>162130.82479285717</v>
      </c>
      <c r="P11" s="376">
        <f>+'Projected Fin Stmts'!R40</f>
        <v>206390.18070535723</v>
      </c>
    </row>
    <row r="12" spans="1:16" ht="12.75" customHeight="1" x14ac:dyDescent="0.2">
      <c r="A12" s="378" t="s">
        <v>127</v>
      </c>
      <c r="B12" s="379">
        <f>+'Projected Fin Stmts'!D41</f>
        <v>-1250</v>
      </c>
      <c r="C12" s="379">
        <f>+'Projected Fin Stmts'!E41</f>
        <v>-1247.2946117690228</v>
      </c>
      <c r="D12" s="379">
        <f>+'Projected Fin Stmts'!F41</f>
        <v>-1258.575696596891</v>
      </c>
      <c r="E12" s="379">
        <f>+'Projected Fin Stmts'!G41</f>
        <v>-1347.269853515565</v>
      </c>
      <c r="F12" s="379">
        <f>+'Projected Fin Stmts'!H41</f>
        <v>-1405.8931923299435</v>
      </c>
      <c r="G12" s="379">
        <f>+'Projected Fin Stmts'!I41</f>
        <v>-1428.2452636902458</v>
      </c>
      <c r="H12" s="379">
        <f>+'Projected Fin Stmts'!J41</f>
        <v>-1409.1976153648804</v>
      </c>
      <c r="I12" s="379">
        <f>+'Projected Fin Stmts'!K41</f>
        <v>-1322.8009388884695</v>
      </c>
      <c r="J12" s="379">
        <f>+'Projected Fin Stmts'!L41</f>
        <v>-1227.9743284892506</v>
      </c>
      <c r="K12" s="379">
        <f>+'Projected Fin Stmts'!M41</f>
        <v>-1225.1588119007199</v>
      </c>
      <c r="L12" s="379">
        <f>+'Projected Fin Stmts'!N41</f>
        <v>-1222.3292177292465</v>
      </c>
      <c r="M12" s="379">
        <f>+'Projected Fin Stmts'!O41</f>
        <v>-1219.4854755869155</v>
      </c>
      <c r="N12" s="380">
        <f>+'Projected Fin Stmts'!P41</f>
        <v>-15564.22500586115</v>
      </c>
      <c r="O12" s="379">
        <f>+'Projected Fin Stmts'!Q41</f>
        <v>-14406.749551959902</v>
      </c>
      <c r="P12" s="379">
        <f>+'Projected Fin Stmts'!R41</f>
        <v>-13969.689031877553</v>
      </c>
    </row>
    <row r="13" spans="1:16" ht="12.75" customHeight="1" x14ac:dyDescent="0.2">
      <c r="A13" s="362" t="s">
        <v>113</v>
      </c>
      <c r="B13" s="363">
        <f>+'Projected Fin Stmts'!D44</f>
        <v>-21583.5</v>
      </c>
      <c r="C13" s="363">
        <f>+'Projected Fin Stmts'!E44</f>
        <v>-18251.394611769021</v>
      </c>
      <c r="D13" s="363">
        <f>+'Projected Fin Stmts'!F44</f>
        <v>-14129.57569659689</v>
      </c>
      <c r="E13" s="363">
        <f>+'Projected Fin Stmts'!G44</f>
        <v>-9281.4698535155658</v>
      </c>
      <c r="F13" s="363">
        <f>+'Projected Fin Stmts'!H44</f>
        <v>-3599.593192329944</v>
      </c>
      <c r="G13" s="363">
        <f>+'Projected Fin Stmts'!I44</f>
        <v>2922.2547363097542</v>
      </c>
      <c r="H13" s="363">
        <f>+'Projected Fin Stmts'!J44</f>
        <v>13733.20238463512</v>
      </c>
      <c r="I13" s="363">
        <f>+'Projected Fin Stmts'!K44</f>
        <v>20134.59906111153</v>
      </c>
      <c r="J13" s="363">
        <f>+'Projected Fin Stmts'!L44</f>
        <v>25740.725671510747</v>
      </c>
      <c r="K13" s="363">
        <f>+'Projected Fin Stmts'!M44</f>
        <v>29301.141188099282</v>
      </c>
      <c r="L13" s="363">
        <f>+'Projected Fin Stmts'!N44</f>
        <v>36079.870782270751</v>
      </c>
      <c r="M13" s="363">
        <f>+'Projected Fin Stmts'!O44</f>
        <v>41708.614524413089</v>
      </c>
      <c r="N13" s="381">
        <f>+'Projected Fin Stmts'!P44</f>
        <v>77081.156245604114</v>
      </c>
      <c r="O13" s="363">
        <f>+'Projected Fin Stmts'!Q44</f>
        <v>110793.05643067296</v>
      </c>
      <c r="P13" s="363">
        <f>+'Projected Fin Stmts'!R44</f>
        <v>144315.36875510975</v>
      </c>
    </row>
    <row r="14" spans="1:16" ht="12.75" customHeight="1" x14ac:dyDescent="0.2">
      <c r="A14" s="14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5"/>
      <c r="O14" s="14"/>
      <c r="P14" s="127"/>
    </row>
    <row r="15" spans="1:16" ht="12.75" customHeight="1" x14ac:dyDescent="0.2">
      <c r="A15" s="345" t="s">
        <v>96</v>
      </c>
      <c r="B15" s="150"/>
      <c r="C15" s="150"/>
      <c r="D15" s="150"/>
      <c r="E15" s="150"/>
      <c r="F15" s="150"/>
      <c r="G15" s="150"/>
      <c r="H15" s="150"/>
      <c r="I15" s="150"/>
      <c r="J15" s="150"/>
      <c r="K15" s="150"/>
      <c r="L15" s="150"/>
      <c r="M15" s="150"/>
      <c r="N15" s="167"/>
      <c r="O15" s="150"/>
      <c r="P15" s="127"/>
    </row>
    <row r="16" spans="1:16" ht="12.75" customHeight="1" x14ac:dyDescent="0.2">
      <c r="A16" s="315" t="s">
        <v>17</v>
      </c>
      <c r="B16" s="316">
        <f>+'Projected Fin Stmts'!D54</f>
        <v>103529.56902047124</v>
      </c>
      <c r="C16" s="316">
        <f>+'Projected Fin Stmts'!E54</f>
        <v>87593.682040942498</v>
      </c>
      <c r="D16" s="316">
        <f>+'Projected Fin Stmts'!F54</f>
        <v>87151.741061413748</v>
      </c>
      <c r="E16" s="316">
        <f>+'Projected Fin Stmts'!G54</f>
        <v>86763.14808188501</v>
      </c>
      <c r="F16" s="316">
        <f>+'Projected Fin Stmts'!H54</f>
        <v>86287.305102356273</v>
      </c>
      <c r="G16" s="316">
        <f>+'Projected Fin Stmts'!I54</f>
        <v>85750.614122827523</v>
      </c>
      <c r="H16" s="316">
        <f>+'Projected Fin Stmts'!J54</f>
        <v>85292.957143298787</v>
      </c>
      <c r="I16" s="316">
        <f>+'Projected Fin Stmts'!K54</f>
        <v>89634.580163770035</v>
      </c>
      <c r="J16" s="316">
        <f>+'Projected Fin Stmts'!L54</f>
        <v>113091.08118424131</v>
      </c>
      <c r="K16" s="316">
        <f>+'Projected Fin Stmts'!M54</f>
        <v>139857.05820471258</v>
      </c>
      <c r="L16" s="316">
        <f>+'Projected Fin Stmts'!N54</f>
        <v>173088.84922518383</v>
      </c>
      <c r="M16" s="316">
        <f>+'Projected Fin Stmts'!O54</f>
        <v>211636.4542456551</v>
      </c>
      <c r="N16" s="373">
        <f>+'Projected Fin Stmts'!P54</f>
        <v>211636.45424565504</v>
      </c>
      <c r="O16" s="316">
        <f>+'Projected Fin Stmts'!Q54</f>
        <v>324733.83482708584</v>
      </c>
      <c r="P16" s="316">
        <f>+'Projected Fin Stmts'!R54</f>
        <v>473047.52890087105</v>
      </c>
    </row>
    <row r="17" spans="1:16" ht="12.75" customHeight="1" x14ac:dyDescent="0.2">
      <c r="A17" s="315" t="s">
        <v>114</v>
      </c>
      <c r="B17" s="316">
        <f>+'Projected Fin Stmts'!D58</f>
        <v>103848.34902047124</v>
      </c>
      <c r="C17" s="316">
        <f>+'Projected Fin Stmts'!E58</f>
        <v>88523.526040942495</v>
      </c>
      <c r="D17" s="316">
        <f>+'Projected Fin Stmts'!F58</f>
        <v>89051.380061413758</v>
      </c>
      <c r="E17" s="316">
        <f>+'Projected Fin Stmts'!G58</f>
        <v>90057.760081885004</v>
      </c>
      <c r="F17" s="316">
        <f>+'Projected Fin Stmts'!H58</f>
        <v>91468.515102356279</v>
      </c>
      <c r="G17" s="316">
        <f>+'Projected Fin Stmts'!I58</f>
        <v>93376.494122827527</v>
      </c>
      <c r="H17" s="316">
        <f>+'Projected Fin Stmts'!J58</f>
        <v>96306.806143298774</v>
      </c>
      <c r="I17" s="316">
        <f>+'Projected Fin Stmts'!K58</f>
        <v>104541.47816377002</v>
      </c>
      <c r="J17" s="316">
        <f>+'Projected Fin Stmts'!L58</f>
        <v>132329.6611842413</v>
      </c>
      <c r="K17" s="316">
        <f>+'Projected Fin Stmts'!M58</f>
        <v>163799.50620471255</v>
      </c>
      <c r="L17" s="316">
        <f>+'Projected Fin Stmts'!N58</f>
        <v>202200.29422518384</v>
      </c>
      <c r="M17" s="316">
        <f>+'Projected Fin Stmts'!O58</f>
        <v>246382.02524565507</v>
      </c>
      <c r="N17" s="373">
        <f>+'Projected Fin Stmts'!P58</f>
        <v>246382.02524565501</v>
      </c>
      <c r="O17" s="316">
        <f>+'Projected Fin Stmts'!Q58</f>
        <v>367679.3605830858</v>
      </c>
      <c r="P17" s="316">
        <f>+'Projected Fin Stmts'!R58</f>
        <v>520996.41688087105</v>
      </c>
    </row>
    <row r="18" spans="1:16" ht="12.75" customHeight="1" x14ac:dyDescent="0.2">
      <c r="A18" s="315" t="s">
        <v>115</v>
      </c>
      <c r="B18" s="316">
        <f>+'Projected Fin Stmts'!D66</f>
        <v>130833</v>
      </c>
      <c r="C18" s="316">
        <f>+'Projected Fin Stmts'!E66</f>
        <v>129667</v>
      </c>
      <c r="D18" s="316">
        <f>+'Projected Fin Stmts'!F66</f>
        <v>128500</v>
      </c>
      <c r="E18" s="316">
        <f>+'Projected Fin Stmts'!G66</f>
        <v>127333</v>
      </c>
      <c r="F18" s="316">
        <f>+'Projected Fin Stmts'!H66</f>
        <v>126167</v>
      </c>
      <c r="G18" s="316">
        <f>+'Projected Fin Stmts'!I66</f>
        <v>125000</v>
      </c>
      <c r="H18" s="316">
        <f>+'Projected Fin Stmts'!J66</f>
        <v>123833</v>
      </c>
      <c r="I18" s="316">
        <f>+'Projected Fin Stmts'!K66</f>
        <v>122667</v>
      </c>
      <c r="J18" s="316">
        <f>+'Projected Fin Stmts'!L66</f>
        <v>121500</v>
      </c>
      <c r="K18" s="316">
        <f>+'Projected Fin Stmts'!M66</f>
        <v>120333</v>
      </c>
      <c r="L18" s="316">
        <f>+'Projected Fin Stmts'!N66</f>
        <v>119167</v>
      </c>
      <c r="M18" s="316">
        <f>+'Projected Fin Stmts'!O66</f>
        <v>118000</v>
      </c>
      <c r="N18" s="373">
        <f>+'Projected Fin Stmts'!P66</f>
        <v>118000</v>
      </c>
      <c r="O18" s="316">
        <f>+'Projected Fin Stmts'!Q66</f>
        <v>103143</v>
      </c>
      <c r="P18" s="316">
        <f>+'Projected Fin Stmts'!R66</f>
        <v>88286</v>
      </c>
    </row>
    <row r="19" spans="1:16" ht="12.75" customHeight="1" x14ac:dyDescent="0.2">
      <c r="A19" s="315" t="s">
        <v>128</v>
      </c>
      <c r="B19" s="316">
        <f>+'Projected Fin Stmts'!D67</f>
        <v>6000</v>
      </c>
      <c r="C19" s="316">
        <f>+'Projected Fin Stmts'!E67</f>
        <v>6000</v>
      </c>
      <c r="D19" s="316">
        <f>+'Projected Fin Stmts'!F67</f>
        <v>6000</v>
      </c>
      <c r="E19" s="316">
        <f>+'Projected Fin Stmts'!G67</f>
        <v>6000</v>
      </c>
      <c r="F19" s="316">
        <f>+'Projected Fin Stmts'!H67</f>
        <v>6000</v>
      </c>
      <c r="G19" s="316">
        <f>+'Projected Fin Stmts'!I67</f>
        <v>6000</v>
      </c>
      <c r="H19" s="316">
        <f>+'Projected Fin Stmts'!J67</f>
        <v>6000</v>
      </c>
      <c r="I19" s="316">
        <f>+'Projected Fin Stmts'!K67</f>
        <v>6000</v>
      </c>
      <c r="J19" s="316">
        <f>+'Projected Fin Stmts'!L67</f>
        <v>6000</v>
      </c>
      <c r="K19" s="316">
        <f>+'Projected Fin Stmts'!M67</f>
        <v>6000</v>
      </c>
      <c r="L19" s="316">
        <f>+'Projected Fin Stmts'!N67</f>
        <v>6000</v>
      </c>
      <c r="M19" s="316">
        <f>+'Projected Fin Stmts'!O67</f>
        <v>6000</v>
      </c>
      <c r="N19" s="373">
        <f>+'Projected Fin Stmts'!P67</f>
        <v>6000</v>
      </c>
      <c r="O19" s="316">
        <f>+'Projected Fin Stmts'!Q67</f>
        <v>6000</v>
      </c>
      <c r="P19" s="316">
        <f>+'Projected Fin Stmts'!R67</f>
        <v>6000</v>
      </c>
    </row>
    <row r="20" spans="1:16" ht="12.75" customHeight="1" x14ac:dyDescent="0.2">
      <c r="A20" s="364" t="s">
        <v>117</v>
      </c>
      <c r="B20" s="327">
        <f>+'Projected Fin Stmts'!D68</f>
        <v>240681.34902047124</v>
      </c>
      <c r="C20" s="327">
        <f>+'Projected Fin Stmts'!E68</f>
        <v>224190.5260409425</v>
      </c>
      <c r="D20" s="327">
        <f>+'Projected Fin Stmts'!F68</f>
        <v>223551.38006141374</v>
      </c>
      <c r="E20" s="327">
        <f>+'Projected Fin Stmts'!G68</f>
        <v>223390.760081885</v>
      </c>
      <c r="F20" s="327">
        <f>+'Projected Fin Stmts'!H68</f>
        <v>223635.51510235626</v>
      </c>
      <c r="G20" s="327">
        <f>+'Projected Fin Stmts'!I68</f>
        <v>224376.49412282754</v>
      </c>
      <c r="H20" s="327">
        <f>+'Projected Fin Stmts'!J68</f>
        <v>226139.80614329877</v>
      </c>
      <c r="I20" s="327">
        <f>+'Projected Fin Stmts'!K68</f>
        <v>233208.47816377002</v>
      </c>
      <c r="J20" s="327">
        <f>+'Projected Fin Stmts'!L68</f>
        <v>259829.6611842413</v>
      </c>
      <c r="K20" s="327">
        <f>+'Projected Fin Stmts'!M68</f>
        <v>290132.50620471255</v>
      </c>
      <c r="L20" s="327">
        <f>+'Projected Fin Stmts'!N68</f>
        <v>327367.29422518384</v>
      </c>
      <c r="M20" s="327">
        <f>+'Projected Fin Stmts'!O68</f>
        <v>370382.0252456551</v>
      </c>
      <c r="N20" s="382">
        <f>+'Projected Fin Stmts'!P68</f>
        <v>370382.02524565498</v>
      </c>
      <c r="O20" s="327">
        <f>+'Projected Fin Stmts'!Q68</f>
        <v>476822.3605830858</v>
      </c>
      <c r="P20" s="327">
        <f>+'Projected Fin Stmts'!R68</f>
        <v>615282.41688087105</v>
      </c>
    </row>
    <row r="21" spans="1:16" ht="21" customHeight="1" x14ac:dyDescent="0.2">
      <c r="A21" s="315" t="s">
        <v>118</v>
      </c>
      <c r="B21" s="316">
        <f>+'Projected Fin Stmts'!D75</f>
        <v>106</v>
      </c>
      <c r="C21" s="316">
        <f>+'Projected Fin Stmts'!E75</f>
        <v>2410</v>
      </c>
      <c r="D21" s="316">
        <f>+'Projected Fin Stmts'!F75</f>
        <v>16447</v>
      </c>
      <c r="E21" s="316">
        <f>+'Projected Fin Stmts'!G75</f>
        <v>26118</v>
      </c>
      <c r="F21" s="316">
        <f>+'Projected Fin Stmts'!H75</f>
        <v>30513</v>
      </c>
      <c r="G21" s="316">
        <f>+'Projected Fin Stmts'!I75</f>
        <v>28887</v>
      </c>
      <c r="H21" s="316">
        <f>+'Projected Fin Stmts'!J75</f>
        <v>17475</v>
      </c>
      <c r="I21" s="316">
        <f>+'Projected Fin Stmts'!K75</f>
        <v>4969</v>
      </c>
      <c r="J21" s="316">
        <f>+'Projected Fin Stmts'!L75</f>
        <v>6413</v>
      </c>
      <c r="K21" s="316">
        <f>+'Projected Fin Stmts'!M75</f>
        <v>7981</v>
      </c>
      <c r="L21" s="316">
        <f>+'Projected Fin Stmts'!N75</f>
        <v>9704</v>
      </c>
      <c r="M21" s="316">
        <f>+'Projected Fin Stmts'!O75</f>
        <v>11582</v>
      </c>
      <c r="N21" s="373">
        <f>+'Projected Fin Stmts'!P75</f>
        <v>11582</v>
      </c>
      <c r="O21" s="316">
        <f>+'Projected Fin Stmts'!Q75</f>
        <v>14315</v>
      </c>
      <c r="P21" s="316">
        <f>+'Projected Fin Stmts'!R75</f>
        <v>15983</v>
      </c>
    </row>
    <row r="22" spans="1:16" ht="12.75" customHeight="1" x14ac:dyDescent="0.2">
      <c r="A22" s="365" t="s">
        <v>83</v>
      </c>
      <c r="B22" s="366">
        <f>+'Projected Fin Stmts'!D78</f>
        <v>249564.92235380458</v>
      </c>
      <c r="C22" s="366">
        <f>+'Projected Fin Stmts'!E78</f>
        <v>251325.13931937818</v>
      </c>
      <c r="D22" s="366">
        <f>+'Projected Fin Stmts'!F78</f>
        <v>264815.63736977964</v>
      </c>
      <c r="E22" s="366">
        <f>+'Projected Fin Stmts'!G78</f>
        <v>273937.40291043313</v>
      </c>
      <c r="F22" s="366">
        <f>+'Projected Fin Stmts'!H78</f>
        <v>277780.42227878992</v>
      </c>
      <c r="G22" s="366">
        <f>+'Projected Fin Stmts'!I78</f>
        <v>275599.68174398842</v>
      </c>
      <c r="H22" s="366">
        <f>+'Projected Fin Stmts'!J78</f>
        <v>263630.16750651295</v>
      </c>
      <c r="I22" s="366">
        <f>+'Projected Fin Stmts'!K78</f>
        <v>250563.86569785012</v>
      </c>
      <c r="J22" s="366">
        <f>+'Projected Fin Stmts'!L78</f>
        <v>251444.76238014398</v>
      </c>
      <c r="K22" s="366">
        <f>+'Projected Fin Stmts'!M78</f>
        <v>252446.84354584929</v>
      </c>
      <c r="L22" s="366">
        <f>+'Projected Fin Stmts'!N78</f>
        <v>253601.09511738311</v>
      </c>
      <c r="M22" s="366">
        <f>+'Projected Fin Stmts'!O78</f>
        <v>254907.50294677462</v>
      </c>
      <c r="N22" s="383">
        <f>+'Projected Fin Stmts'!P78</f>
        <v>254907.50294677462</v>
      </c>
      <c r="O22" s="366">
        <f>+'Projected Fin Stmts'!Q78</f>
        <v>250554.33752001025</v>
      </c>
      <c r="P22" s="366">
        <f>+'Projected Fin Stmts'!R78</f>
        <v>244699.11291521316</v>
      </c>
    </row>
    <row r="23" spans="1:16" ht="12.75" customHeight="1" x14ac:dyDescent="0.2">
      <c r="A23" s="164"/>
      <c r="B23" s="165"/>
      <c r="C23" s="165"/>
      <c r="D23" s="165"/>
      <c r="E23" s="165"/>
      <c r="F23" s="165"/>
      <c r="G23" s="165"/>
      <c r="H23" s="165"/>
      <c r="I23" s="165"/>
      <c r="J23" s="165"/>
      <c r="K23" s="165"/>
      <c r="L23" s="165"/>
      <c r="M23" s="165"/>
      <c r="N23" s="169"/>
      <c r="O23" s="165"/>
      <c r="P23" s="165"/>
    </row>
    <row r="24" spans="1:16" ht="12.75" customHeight="1" x14ac:dyDescent="0.2">
      <c r="A24" s="365" t="s">
        <v>129</v>
      </c>
      <c r="B24" s="366">
        <f>+'Projected Fin Stmts'!D83</f>
        <v>-8883.5</v>
      </c>
      <c r="C24" s="366">
        <f>+'Projected Fin Stmts'!E83</f>
        <v>-27134.894611769021</v>
      </c>
      <c r="D24" s="366">
        <f>+'Projected Fin Stmts'!F83</f>
        <v>-41264.470308365911</v>
      </c>
      <c r="E24" s="366">
        <f>+'Projected Fin Stmts'!G83</f>
        <v>-50545.940161881474</v>
      </c>
      <c r="F24" s="366">
        <f>+'Projected Fin Stmts'!H83</f>
        <v>-54145.533354211424</v>
      </c>
      <c r="G24" s="366">
        <f>+'Projected Fin Stmts'!I83</f>
        <v>-51223.278617901669</v>
      </c>
      <c r="H24" s="366">
        <f>+'Projected Fin Stmts'!J83</f>
        <v>-37490.076233266547</v>
      </c>
      <c r="I24" s="366">
        <f>+'Projected Fin Stmts'!K83</f>
        <v>-17355.477172155021</v>
      </c>
      <c r="J24" s="366">
        <f>+'Projected Fin Stmts'!L83</f>
        <v>8385.2484993557264</v>
      </c>
      <c r="K24" s="366">
        <f>+'Projected Fin Stmts'!M83</f>
        <v>37686.389687455012</v>
      </c>
      <c r="L24" s="366">
        <f>+'Projected Fin Stmts'!N83</f>
        <v>73766.260469725763</v>
      </c>
      <c r="M24" s="366">
        <f>+'Projected Fin Stmts'!O83</f>
        <v>115474.87499413885</v>
      </c>
      <c r="N24" s="383">
        <f>+'Projected Fin Stmts'!P83</f>
        <v>115474.87499413885</v>
      </c>
      <c r="O24" s="366">
        <f>+'Projected Fin Stmts'!Q83</f>
        <v>226267.93142481183</v>
      </c>
      <c r="P24" s="366">
        <f>+'Projected Fin Stmts'!R83</f>
        <v>370583.30017992156</v>
      </c>
    </row>
    <row r="25" spans="1:16" ht="12.75" customHeight="1" x14ac:dyDescent="0.2">
      <c r="A25" s="170"/>
      <c r="B25" s="170"/>
      <c r="C25" s="170"/>
      <c r="D25" s="170"/>
      <c r="E25" s="170"/>
      <c r="F25" s="170"/>
      <c r="G25" s="170"/>
      <c r="H25" s="170"/>
      <c r="I25" s="170"/>
      <c r="J25" s="170"/>
      <c r="K25" s="170"/>
      <c r="L25" s="170"/>
      <c r="M25" s="170"/>
      <c r="N25" s="171"/>
      <c r="O25" s="170"/>
      <c r="P25" s="127"/>
    </row>
    <row r="26" spans="1:16" ht="12.75" customHeight="1" x14ac:dyDescent="0.2">
      <c r="A26" s="345" t="s">
        <v>9</v>
      </c>
      <c r="B26" s="150"/>
      <c r="C26" s="150"/>
      <c r="D26" s="150"/>
      <c r="E26" s="150"/>
      <c r="F26" s="150"/>
      <c r="G26" s="150"/>
      <c r="H26" s="150"/>
      <c r="I26" s="150"/>
      <c r="J26" s="150"/>
      <c r="K26" s="150"/>
      <c r="L26" s="150"/>
      <c r="M26" s="150"/>
      <c r="N26" s="167"/>
      <c r="O26" s="150"/>
      <c r="P26" s="127"/>
    </row>
    <row r="27" spans="1:16" ht="12.75" customHeight="1" x14ac:dyDescent="0.2">
      <c r="A27" s="315" t="s">
        <v>120</v>
      </c>
      <c r="B27" s="316">
        <f>+'Projected Fin Stmts'!D98</f>
        <v>-20629.353333333333</v>
      </c>
      <c r="C27" s="316">
        <f>+'Projected Fin Stmts'!E98</f>
        <v>-15392.103945102352</v>
      </c>
      <c r="D27" s="316">
        <f>+'Projected Fin Stmts'!F98</f>
        <v>104.56097006977507</v>
      </c>
      <c r="E27" s="316">
        <f>+'Projected Fin Stmts'!G98</f>
        <v>160.64147981776659</v>
      </c>
      <c r="F27" s="316">
        <f>+'Projected Fin Stmts'!H98</f>
        <v>76.137652114501179</v>
      </c>
      <c r="G27" s="316">
        <f>+'Projected Fin Stmts'!I98</f>
        <v>18.049555272716589</v>
      </c>
      <c r="H27" s="316">
        <f>+'Projected Fin Stmts'!J98</f>
        <v>99.857257946723621</v>
      </c>
      <c r="I27" s="316">
        <f>+'Projected Fin Stmts'!K98</f>
        <v>4901.9248291341028</v>
      </c>
      <c r="J27" s="316">
        <f>+'Projected Fin Stmts'!L98</f>
        <v>24019.604338177414</v>
      </c>
      <c r="K27" s="316">
        <f>+'Projected Fin Stmts'!M98</f>
        <v>27331.895854765949</v>
      </c>
      <c r="L27" s="316">
        <f>+'Projected Fin Stmts'!N98</f>
        <v>33800.539448937416</v>
      </c>
      <c r="M27" s="316">
        <f>+'Projected Fin Stmts'!O98</f>
        <v>39119.197191079758</v>
      </c>
      <c r="N27" s="373">
        <f>+'Projected Fin Stmts'!P98</f>
        <v>93610.95129888042</v>
      </c>
      <c r="O27" s="316">
        <f>+'Projected Fin Stmts'!Q98</f>
        <v>120183.54600819515</v>
      </c>
      <c r="P27" s="316">
        <f>+'Projected Fin Stmts'!R98</f>
        <v>155836.91867858233</v>
      </c>
    </row>
    <row r="28" spans="1:16" ht="12.75" customHeight="1" x14ac:dyDescent="0.2">
      <c r="A28" s="315" t="s">
        <v>121</v>
      </c>
      <c r="B28" s="316">
        <f>+'Projected Fin Stmts'!D102</f>
        <v>0</v>
      </c>
      <c r="C28" s="316">
        <f>+'Projected Fin Stmts'!E102</f>
        <v>0</v>
      </c>
      <c r="D28" s="316">
        <f>+'Projected Fin Stmts'!F102</f>
        <v>0</v>
      </c>
      <c r="E28" s="316">
        <f>+'Projected Fin Stmts'!G102</f>
        <v>0</v>
      </c>
      <c r="F28" s="316">
        <f>+'Projected Fin Stmts'!H102</f>
        <v>0</v>
      </c>
      <c r="G28" s="316">
        <f>+'Projected Fin Stmts'!I102</f>
        <v>0</v>
      </c>
      <c r="H28" s="316">
        <f>+'Projected Fin Stmts'!J102</f>
        <v>0</v>
      </c>
      <c r="I28" s="316">
        <f>+'Projected Fin Stmts'!K102</f>
        <v>0</v>
      </c>
      <c r="J28" s="316">
        <f>+'Projected Fin Stmts'!L102</f>
        <v>0</v>
      </c>
      <c r="K28" s="316">
        <f>+'Projected Fin Stmts'!M102</f>
        <v>0</v>
      </c>
      <c r="L28" s="316">
        <f>+'Projected Fin Stmts'!N102</f>
        <v>0</v>
      </c>
      <c r="M28" s="316">
        <f>+'Projected Fin Stmts'!O102</f>
        <v>0</v>
      </c>
      <c r="N28" s="373">
        <f>+'Projected Fin Stmts'!P102</f>
        <v>0</v>
      </c>
      <c r="O28" s="316">
        <f>+'Projected Fin Stmts'!Q102</f>
        <v>0</v>
      </c>
      <c r="P28" s="316">
        <f>+'Projected Fin Stmts'!R102</f>
        <v>0</v>
      </c>
    </row>
    <row r="29" spans="1:16" ht="12.75" customHeight="1" x14ac:dyDescent="0.2">
      <c r="A29" s="315" t="s">
        <v>122</v>
      </c>
      <c r="B29" s="316">
        <f>+'Projected Fin Stmts'!D108</f>
        <v>-541.07764619542286</v>
      </c>
      <c r="C29" s="316">
        <f>+'Projected Fin Stmts'!E108</f>
        <v>-543.78303442639299</v>
      </c>
      <c r="D29" s="316">
        <f>+'Projected Fin Stmts'!F108</f>
        <v>-546.50194959851797</v>
      </c>
      <c r="E29" s="316">
        <f>+'Projected Fin Stmts'!G108</f>
        <v>-549.23445934650954</v>
      </c>
      <c r="F29" s="316">
        <f>+'Projected Fin Stmts'!H108</f>
        <v>-551.98063164323685</v>
      </c>
      <c r="G29" s="316">
        <f>+'Projected Fin Stmts'!I108</f>
        <v>-554.74053480147268</v>
      </c>
      <c r="H29" s="316">
        <f>+'Projected Fin Stmts'!J108</f>
        <v>-557.51423747546505</v>
      </c>
      <c r="I29" s="316">
        <f>+'Projected Fin Stmts'!K108</f>
        <v>-560.30180866285809</v>
      </c>
      <c r="J29" s="316">
        <f>+'Projected Fin Stmts'!L108</f>
        <v>-563.10331770614721</v>
      </c>
      <c r="K29" s="316">
        <f>+'Projected Fin Stmts'!M108</f>
        <v>-565.91883429468726</v>
      </c>
      <c r="L29" s="316">
        <f>+'Projected Fin Stmts'!N108</f>
        <v>-568.74842846617685</v>
      </c>
      <c r="M29" s="316">
        <f>+'Projected Fin Stmts'!O108</f>
        <v>-571.59217060849187</v>
      </c>
      <c r="N29" s="373">
        <f>+'Projected Fin Stmts'!P108</f>
        <v>-6674.4970532253792</v>
      </c>
      <c r="O29" s="316">
        <f>+'Projected Fin Stmts'!Q108</f>
        <v>-7086.1654267643753</v>
      </c>
      <c r="P29" s="316">
        <f>+'Projected Fin Stmts'!R108</f>
        <v>-7523.2246047970839</v>
      </c>
    </row>
    <row r="30" spans="1:16" ht="12.75" customHeight="1" x14ac:dyDescent="0.2">
      <c r="A30" s="375" t="s">
        <v>123</v>
      </c>
      <c r="B30" s="376">
        <f>+'Projected Fin Stmts'!D110</f>
        <v>-21170.430979528755</v>
      </c>
      <c r="C30" s="376">
        <f>+'Projected Fin Stmts'!E110</f>
        <v>-15935.886979528745</v>
      </c>
      <c r="D30" s="376">
        <f>+'Projected Fin Stmts'!F110</f>
        <v>-441.9409795287429</v>
      </c>
      <c r="E30" s="376">
        <f>+'Projected Fin Stmts'!G110</f>
        <v>-388.59297952874294</v>
      </c>
      <c r="F30" s="376">
        <f>+'Projected Fin Stmts'!H110</f>
        <v>-475.84297952873567</v>
      </c>
      <c r="G30" s="376">
        <f>+'Projected Fin Stmts'!I110</f>
        <v>-536.69097952875609</v>
      </c>
      <c r="H30" s="376">
        <f>+'Projected Fin Stmts'!J110</f>
        <v>-457.65697952874143</v>
      </c>
      <c r="I30" s="376">
        <f>+'Projected Fin Stmts'!K110</f>
        <v>4341.6230204712447</v>
      </c>
      <c r="J30" s="376">
        <f>+'Projected Fin Stmts'!L110</f>
        <v>23456.501020471267</v>
      </c>
      <c r="K30" s="376">
        <f>+'Projected Fin Stmts'!M110</f>
        <v>26765.977020471262</v>
      </c>
      <c r="L30" s="376">
        <f>+'Projected Fin Stmts'!N110</f>
        <v>33231.791020471239</v>
      </c>
      <c r="M30" s="376">
        <f>+'Projected Fin Stmts'!O110</f>
        <v>38547.605020471266</v>
      </c>
      <c r="N30" s="377">
        <f>+'Projected Fin Stmts'!P110</f>
        <v>86936.454245655041</v>
      </c>
      <c r="O30" s="376">
        <f>+'Projected Fin Stmts'!Q110</f>
        <v>113097.38058143077</v>
      </c>
      <c r="P30" s="376">
        <f>+'Projected Fin Stmts'!R110</f>
        <v>148313.69407378524</v>
      </c>
    </row>
    <row r="31" spans="1:16" ht="12.75" customHeight="1" x14ac:dyDescent="0.2">
      <c r="A31" s="362" t="s">
        <v>124</v>
      </c>
      <c r="B31" s="363">
        <f>+'Projected Fin Stmts'!D112</f>
        <v>103529.56902047124</v>
      </c>
      <c r="C31" s="363">
        <f>+'Projected Fin Stmts'!E112</f>
        <v>87593.682040942498</v>
      </c>
      <c r="D31" s="363">
        <f>+'Projected Fin Stmts'!F112</f>
        <v>87151.741061413748</v>
      </c>
      <c r="E31" s="363">
        <f>+'Projected Fin Stmts'!G112</f>
        <v>86763.14808188501</v>
      </c>
      <c r="F31" s="363">
        <f>+'Projected Fin Stmts'!H112</f>
        <v>86287.305102356273</v>
      </c>
      <c r="G31" s="363">
        <f>+'Projected Fin Stmts'!I112</f>
        <v>85750.614122827523</v>
      </c>
      <c r="H31" s="363">
        <f>+'Projected Fin Stmts'!J112</f>
        <v>85292.957143298787</v>
      </c>
      <c r="I31" s="363">
        <f>+'Projected Fin Stmts'!K112</f>
        <v>89634.580163770035</v>
      </c>
      <c r="J31" s="363">
        <f>+'Projected Fin Stmts'!L112</f>
        <v>113091.08118424131</v>
      </c>
      <c r="K31" s="363">
        <f>+'Projected Fin Stmts'!M112</f>
        <v>139857.05820471258</v>
      </c>
      <c r="L31" s="363">
        <f>+'Projected Fin Stmts'!N112</f>
        <v>173088.84922518383</v>
      </c>
      <c r="M31" s="363">
        <f>+'Projected Fin Stmts'!O112</f>
        <v>211636.4542456551</v>
      </c>
      <c r="N31" s="381">
        <f>+'Projected Fin Stmts'!P112</f>
        <v>211636.45424565504</v>
      </c>
      <c r="O31" s="363">
        <f>+'Projected Fin Stmts'!Q112</f>
        <v>324733.83482708584</v>
      </c>
      <c r="P31" s="363">
        <f>+'Projected Fin Stmts'!R112</f>
        <v>473047.52890087105</v>
      </c>
    </row>
    <row r="32" spans="1:16" x14ac:dyDescent="0.2"/>
    <row r="33" spans="2:14" x14ac:dyDescent="0.2"/>
    <row r="34" spans="2:14" x14ac:dyDescent="0.2"/>
    <row r="35" spans="2:14" ht="12.75" customHeight="1" x14ac:dyDescent="0.2">
      <c r="B35" s="369">
        <f t="shared" ref="B35:N35" si="0">IF(B20-(B22+B24)&lt;1,IF(B20-(B22+B24)&gt;-1,0,B20-(B22+B24)))</f>
        <v>0</v>
      </c>
      <c r="C35" s="369">
        <f t="shared" si="0"/>
        <v>0</v>
      </c>
      <c r="D35" s="369">
        <f t="shared" si="0"/>
        <v>0</v>
      </c>
      <c r="E35" s="369">
        <f t="shared" si="0"/>
        <v>0</v>
      </c>
      <c r="F35" s="369">
        <f t="shared" si="0"/>
        <v>0</v>
      </c>
      <c r="G35" s="369">
        <f t="shared" si="0"/>
        <v>0</v>
      </c>
      <c r="H35" s="369">
        <f t="shared" si="0"/>
        <v>0</v>
      </c>
      <c r="I35" s="369">
        <f t="shared" si="0"/>
        <v>0</v>
      </c>
      <c r="J35" s="369">
        <f t="shared" si="0"/>
        <v>0</v>
      </c>
      <c r="K35" s="369">
        <f t="shared" si="0"/>
        <v>0</v>
      </c>
      <c r="L35" s="369">
        <f t="shared" si="0"/>
        <v>0</v>
      </c>
      <c r="M35" s="369">
        <f t="shared" si="0"/>
        <v>0</v>
      </c>
      <c r="N35" s="369">
        <f t="shared" si="0"/>
        <v>0</v>
      </c>
    </row>
  </sheetData>
  <mergeCells count="3">
    <mergeCell ref="A1:P1"/>
    <mergeCell ref="A2:P2"/>
    <mergeCell ref="N4:P4"/>
  </mergeCells>
  <pageMargins left="0.42" right="0.34" top="0.75" bottom="0.75" header="0" footer="0"/>
  <pageSetup orientation="landscape"/>
  <headerFooter>
    <oddHeader>&amp;RCONFIDENTIAL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1E3A8A"/>
  </sheetPr>
  <dimension ref="B1:V117"/>
  <sheetViews>
    <sheetView showGridLines="0" workbookViewId="0">
      <pane ySplit="3" topLeftCell="A4" activePane="bottomLeft" state="frozen"/>
      <selection pane="bottomLeft" activeCell="M30" sqref="M30"/>
    </sheetView>
  </sheetViews>
  <sheetFormatPr baseColWidth="10" defaultColWidth="14.5" defaultRowHeight="15" customHeight="1" outlineLevelRow="1" outlineLevelCol="1" x14ac:dyDescent="0.2"/>
  <cols>
    <col min="1" max="1" width="0.5" customWidth="1"/>
    <col min="2" max="2" width="39.6640625" customWidth="1"/>
    <col min="3" max="3" width="10.5" customWidth="1"/>
    <col min="4" max="15" width="8.5" customWidth="1" outlineLevel="1"/>
    <col min="16" max="16" width="10.5" customWidth="1"/>
    <col min="17" max="17" width="9" customWidth="1"/>
    <col min="18" max="18" width="10" customWidth="1"/>
    <col min="19" max="19" width="11" customWidth="1"/>
    <col min="20" max="26" width="9.1640625" customWidth="1"/>
  </cols>
  <sheetData>
    <row r="1" spans="2:22" ht="12.75" customHeight="1" x14ac:dyDescent="0.25">
      <c r="B1" s="1074" t="str">
        <f>+'Detail CF Projections'!A1</f>
        <v>Draper Yoga</v>
      </c>
      <c r="C1" s="1062"/>
      <c r="D1" s="1062"/>
      <c r="E1" s="1062"/>
      <c r="F1" s="1062"/>
      <c r="G1" s="1062"/>
      <c r="H1" s="1062"/>
      <c r="I1" s="1062"/>
      <c r="J1" s="1062"/>
      <c r="K1" s="1062"/>
      <c r="L1" s="1062"/>
      <c r="M1" s="1062"/>
      <c r="N1" s="1062"/>
      <c r="O1" s="1062"/>
      <c r="P1" s="1062"/>
      <c r="Q1" s="1062"/>
      <c r="R1" s="1062"/>
      <c r="S1" s="172"/>
      <c r="T1" s="172"/>
      <c r="U1" s="173"/>
      <c r="V1" s="173"/>
    </row>
    <row r="2" spans="2:22" ht="12.75" customHeight="1" x14ac:dyDescent="0.2">
      <c r="B2" s="1063" t="s">
        <v>130</v>
      </c>
      <c r="C2" s="1062"/>
      <c r="D2" s="1062"/>
      <c r="E2" s="1062"/>
      <c r="F2" s="1062"/>
      <c r="G2" s="1062"/>
      <c r="H2" s="1062"/>
      <c r="I2" s="1062"/>
      <c r="J2" s="1062"/>
      <c r="K2" s="1062"/>
      <c r="L2" s="1062"/>
      <c r="M2" s="1062"/>
      <c r="N2" s="1062"/>
      <c r="O2" s="1062"/>
      <c r="P2" s="1062"/>
      <c r="Q2" s="1062"/>
      <c r="R2" s="1062"/>
      <c r="S2" s="174"/>
      <c r="T2" s="174"/>
      <c r="U2" s="147"/>
      <c r="V2" s="147"/>
    </row>
    <row r="3" spans="2:22" ht="12.75" customHeight="1" x14ac:dyDescent="0.2">
      <c r="B3" s="163"/>
      <c r="C3" s="163"/>
      <c r="D3" s="163"/>
      <c r="E3" s="163"/>
      <c r="F3" s="163"/>
      <c r="G3" s="163"/>
      <c r="H3" s="163"/>
      <c r="I3" s="163"/>
      <c r="J3" s="163"/>
      <c r="K3" s="163"/>
      <c r="L3" s="163"/>
      <c r="M3" s="163"/>
      <c r="N3" s="163"/>
      <c r="O3" s="163"/>
      <c r="P3" s="163"/>
      <c r="Q3" s="163"/>
      <c r="R3" s="163"/>
      <c r="S3" s="140"/>
      <c r="T3" s="140"/>
      <c r="U3" s="127"/>
      <c r="V3" s="127"/>
    </row>
    <row r="4" spans="2:22" ht="12.75" customHeight="1" x14ac:dyDescent="0.2">
      <c r="B4" s="384" t="s">
        <v>8</v>
      </c>
      <c r="C4" s="175"/>
      <c r="D4" s="176"/>
      <c r="E4" s="176"/>
      <c r="F4" s="176"/>
      <c r="G4" s="176"/>
      <c r="H4" s="176"/>
      <c r="I4" s="176"/>
      <c r="J4" s="176"/>
      <c r="K4" s="176"/>
      <c r="L4" s="176"/>
      <c r="M4" s="176"/>
      <c r="N4" s="176"/>
      <c r="O4" s="176"/>
      <c r="P4" s="1076" t="s">
        <v>126</v>
      </c>
      <c r="Q4" s="1065"/>
      <c r="R4" s="1065"/>
      <c r="S4" s="177"/>
      <c r="T4" s="177"/>
      <c r="U4" s="178"/>
      <c r="V4" s="178"/>
    </row>
    <row r="5" spans="2:22" ht="12.75" customHeight="1" x14ac:dyDescent="0.2">
      <c r="B5" s="385"/>
      <c r="C5" s="386" t="s">
        <v>131</v>
      </c>
      <c r="D5" s="370">
        <f>+'Detail CF Projections'!C5</f>
        <v>44771</v>
      </c>
      <c r="E5" s="370">
        <f>+'Detail CF Projections'!D5</f>
        <v>44799</v>
      </c>
      <c r="F5" s="370">
        <f>+'Detail CF Projections'!E5</f>
        <v>44827</v>
      </c>
      <c r="G5" s="370">
        <f>+'Detail CF Projections'!F5</f>
        <v>44855</v>
      </c>
      <c r="H5" s="370">
        <f>+'Detail CF Projections'!G5</f>
        <v>44883</v>
      </c>
      <c r="I5" s="370">
        <f>+'Detail CF Projections'!H5</f>
        <v>44911</v>
      </c>
      <c r="J5" s="370">
        <f>+'Detail CF Projections'!I5</f>
        <v>44939</v>
      </c>
      <c r="K5" s="370">
        <f>+'Detail CF Projections'!J5</f>
        <v>44967</v>
      </c>
      <c r="L5" s="370">
        <f>+'Detail CF Projections'!K5</f>
        <v>44995</v>
      </c>
      <c r="M5" s="370">
        <f>+'Detail CF Projections'!L5</f>
        <v>45023</v>
      </c>
      <c r="N5" s="370">
        <f>+'Detail CF Projections'!M5</f>
        <v>45051</v>
      </c>
      <c r="O5" s="387">
        <f>+'Detail CF Projections'!N5</f>
        <v>45079</v>
      </c>
      <c r="P5" s="388">
        <f>+O5</f>
        <v>45079</v>
      </c>
      <c r="Q5" s="388">
        <f>+P5+365</f>
        <v>45444</v>
      </c>
      <c r="R5" s="388">
        <f>+Q5+365</f>
        <v>45809</v>
      </c>
      <c r="S5" s="179"/>
      <c r="T5" s="179"/>
      <c r="U5" s="166"/>
      <c r="V5" s="166"/>
    </row>
    <row r="6" spans="2:22" ht="12.75" customHeight="1" x14ac:dyDescent="0.2">
      <c r="B6" s="389" t="s">
        <v>100</v>
      </c>
      <c r="C6" s="180"/>
      <c r="D6" s="142"/>
      <c r="E6" s="142"/>
      <c r="F6" s="142"/>
      <c r="G6" s="142"/>
      <c r="H6" s="142"/>
      <c r="I6" s="142"/>
      <c r="J6" s="142"/>
      <c r="K6" s="142"/>
      <c r="L6" s="142"/>
      <c r="M6" s="142"/>
      <c r="N6" s="142"/>
      <c r="O6" s="180"/>
      <c r="P6" s="142"/>
      <c r="Q6" s="142"/>
      <c r="R6" s="142"/>
      <c r="S6" s="179"/>
      <c r="T6" s="179"/>
      <c r="U6" s="181"/>
      <c r="V6" s="181"/>
    </row>
    <row r="7" spans="2:22" ht="12.75" customHeight="1" outlineLevel="1" x14ac:dyDescent="0.2">
      <c r="B7" s="390" t="str">
        <f>+'P&amp;L-Revenues'!A5</f>
        <v>Drop-Ins</v>
      </c>
      <c r="C7" s="183"/>
      <c r="D7" s="391">
        <f>+'Detail CF Projections'!C8</f>
        <v>1872.0000000000002</v>
      </c>
      <c r="E7" s="391">
        <f>+'Detail CF Projections'!D8</f>
        <v>2808</v>
      </c>
      <c r="F7" s="391">
        <f>+'Detail CF Projections'!E8</f>
        <v>3744.0000000000005</v>
      </c>
      <c r="G7" s="391">
        <f>+'Detail CF Projections'!F8</f>
        <v>4680</v>
      </c>
      <c r="H7" s="391">
        <f>+'Detail CF Projections'!G8</f>
        <v>5616</v>
      </c>
      <c r="I7" s="391">
        <f>+'Detail CF Projections'!H8</f>
        <v>6551.9999999999991</v>
      </c>
      <c r="J7" s="391">
        <f>+'Detail CF Projections'!I8</f>
        <v>9360</v>
      </c>
      <c r="K7" s="391">
        <f>+'Detail CF Projections'!J8</f>
        <v>8424</v>
      </c>
      <c r="L7" s="391">
        <f>+'Detail CF Projections'!K8</f>
        <v>7488.0000000000009</v>
      </c>
      <c r="M7" s="391">
        <f>+'Detail CF Projections'!L8</f>
        <v>6551.9999999999991</v>
      </c>
      <c r="N7" s="391">
        <f>+'Detail CF Projections'!M8</f>
        <v>6551.9999999999991</v>
      </c>
      <c r="O7" s="392">
        <f>+'Detail CF Projections'!N8</f>
        <v>6551.9999999999991</v>
      </c>
      <c r="P7" s="391">
        <f>SUM(D7:O7)</f>
        <v>70200</v>
      </c>
      <c r="Q7" s="391">
        <f>+'Detail CF Projections'!P8</f>
        <v>86767.200000000026</v>
      </c>
      <c r="R7" s="391">
        <f>+'Detail CF Projections'!Q8</f>
        <v>96876.000000000015</v>
      </c>
      <c r="S7" s="179"/>
      <c r="T7" s="179"/>
      <c r="U7" s="181"/>
      <c r="V7" s="181"/>
    </row>
    <row r="8" spans="2:22" ht="12.75" customHeight="1" outlineLevel="1" x14ac:dyDescent="0.2">
      <c r="B8" s="390" t="str">
        <f>+'P&amp;L-Revenues'!A6</f>
        <v>Unlimited Class Memberships</v>
      </c>
      <c r="C8" s="183"/>
      <c r="D8" s="391">
        <f>+'Detail CF Projections'!C9</f>
        <v>2040</v>
      </c>
      <c r="E8" s="391">
        <f>+'Detail CF Projections'!D9</f>
        <v>4590</v>
      </c>
      <c r="F8" s="391">
        <f>+'Detail CF Projections'!E9</f>
        <v>7905</v>
      </c>
      <c r="G8" s="391">
        <f>+'Detail CF Projections'!F9</f>
        <v>11985</v>
      </c>
      <c r="H8" s="391">
        <f>+'Detail CF Projections'!G9</f>
        <v>16830</v>
      </c>
      <c r="I8" s="391">
        <f>+'Detail CF Projections'!H9</f>
        <v>22440</v>
      </c>
      <c r="J8" s="391">
        <f>+'Detail CF Projections'!I9</f>
        <v>30855</v>
      </c>
      <c r="K8" s="391">
        <f>+'Detail CF Projections'!J9</f>
        <v>37485</v>
      </c>
      <c r="L8" s="391">
        <f>+'Detail CF Projections'!K9</f>
        <v>43350</v>
      </c>
      <c r="M8" s="391">
        <f>+'Detail CF Projections'!L9</f>
        <v>48450</v>
      </c>
      <c r="N8" s="391">
        <f>+'Detail CF Projections'!M9</f>
        <v>53805</v>
      </c>
      <c r="O8" s="392">
        <f>+'Detail CF Projections'!N9</f>
        <v>59160</v>
      </c>
      <c r="P8" s="391">
        <f>SUM(D8:O8)</f>
        <v>338895</v>
      </c>
      <c r="Q8" s="391">
        <f>+'Detail CF Projections'!P9</f>
        <v>418874.22</v>
      </c>
      <c r="R8" s="391">
        <f>+'Detail CF Projections'!Q9</f>
        <v>467675.1</v>
      </c>
      <c r="S8" s="179"/>
      <c r="T8" s="179"/>
      <c r="U8" s="181"/>
      <c r="V8" s="181"/>
    </row>
    <row r="9" spans="2:22" ht="12.75" customHeight="1" outlineLevel="1" x14ac:dyDescent="0.2">
      <c r="B9" s="390" t="str">
        <f>+'P&amp;L-Revenues'!A7</f>
        <v>Nutritional Numbers</v>
      </c>
      <c r="C9" s="183"/>
      <c r="D9" s="391">
        <f>+'Detail CF Projections'!C10</f>
        <v>179.99999999999997</v>
      </c>
      <c r="E9" s="391">
        <f>+'Detail CF Projections'!D10</f>
        <v>270</v>
      </c>
      <c r="F9" s="391">
        <f>+'Detail CF Projections'!E10</f>
        <v>359.99999999999994</v>
      </c>
      <c r="G9" s="391">
        <f>+'Detail CF Projections'!F10</f>
        <v>450</v>
      </c>
      <c r="H9" s="391">
        <f>+'Detail CF Projections'!G10</f>
        <v>540</v>
      </c>
      <c r="I9" s="391">
        <f>+'Detail CF Projections'!H10</f>
        <v>630</v>
      </c>
      <c r="J9" s="391">
        <f>+'Detail CF Projections'!I10</f>
        <v>900</v>
      </c>
      <c r="K9" s="391">
        <f>+'Detail CF Projections'!J10</f>
        <v>810</v>
      </c>
      <c r="L9" s="391">
        <f>+'Detail CF Projections'!K10</f>
        <v>719.99999999999989</v>
      </c>
      <c r="M9" s="391">
        <f>+'Detail CF Projections'!L10</f>
        <v>630</v>
      </c>
      <c r="N9" s="391">
        <f>+'Detail CF Projections'!M10</f>
        <v>630</v>
      </c>
      <c r="O9" s="392">
        <f>+'Detail CF Projections'!N10</f>
        <v>630</v>
      </c>
      <c r="P9" s="391">
        <f>SUM(D9:O9)</f>
        <v>6750</v>
      </c>
      <c r="Q9" s="391">
        <f>+'Detail CF Projections'!P10</f>
        <v>8342.9999999999982</v>
      </c>
      <c r="R9" s="391">
        <f>+'Detail CF Projections'!Q10</f>
        <v>9314.9999999999982</v>
      </c>
      <c r="S9" s="179"/>
      <c r="T9" s="179"/>
      <c r="U9" s="181"/>
      <c r="V9" s="181"/>
    </row>
    <row r="10" spans="2:22" ht="12.75" customHeight="1" outlineLevel="1" x14ac:dyDescent="0.2">
      <c r="B10" s="390" t="str">
        <f>+'P&amp;L-Revenues'!A8</f>
        <v>Nutritional Coaching</v>
      </c>
      <c r="C10" s="183"/>
      <c r="D10" s="391">
        <f>+'Detail CF Projections'!C11</f>
        <v>359.99999999999994</v>
      </c>
      <c r="E10" s="391">
        <f>+'Detail CF Projections'!D11</f>
        <v>810</v>
      </c>
      <c r="F10" s="391">
        <f>+'Detail CF Projections'!E11</f>
        <v>1395</v>
      </c>
      <c r="G10" s="391">
        <f>+'Detail CF Projections'!F11</f>
        <v>2115</v>
      </c>
      <c r="H10" s="391">
        <f>+'Detail CF Projections'!G11</f>
        <v>2970</v>
      </c>
      <c r="I10" s="391">
        <f>+'Detail CF Projections'!H11</f>
        <v>3960</v>
      </c>
      <c r="J10" s="391">
        <f>+'Detail CF Projections'!I11</f>
        <v>5445</v>
      </c>
      <c r="K10" s="391">
        <f>+'Detail CF Projections'!J11</f>
        <v>6615</v>
      </c>
      <c r="L10" s="391">
        <f>+'Detail CF Projections'!K11</f>
        <v>7650</v>
      </c>
      <c r="M10" s="391">
        <f>+'Detail CF Projections'!L11</f>
        <v>8549.9999999999982</v>
      </c>
      <c r="N10" s="391">
        <f>+'Detail CF Projections'!M11</f>
        <v>9494.9999999999982</v>
      </c>
      <c r="O10" s="392">
        <f>+'Detail CF Projections'!N11</f>
        <v>10439.999999999998</v>
      </c>
      <c r="P10" s="391">
        <f>SUM(D10:O10)</f>
        <v>59805</v>
      </c>
      <c r="Q10" s="391">
        <f>+'Detail CF Projections'!P11</f>
        <v>73918.98</v>
      </c>
      <c r="R10" s="391">
        <f>+'Detail CF Projections'!Q11</f>
        <v>82530.899999999994</v>
      </c>
      <c r="S10" s="179"/>
      <c r="T10" s="179"/>
      <c r="U10" s="181"/>
      <c r="V10" s="181"/>
    </row>
    <row r="11" spans="2:22" ht="12.75" customHeight="1" outlineLevel="1" x14ac:dyDescent="0.2">
      <c r="B11" s="393">
        <f>+'P&amp;L-Revenues'!A10</f>
        <v>0</v>
      </c>
      <c r="C11" s="183"/>
      <c r="D11" s="391">
        <f>+'Detail CF Projections'!C12</f>
        <v>0</v>
      </c>
      <c r="E11" s="391">
        <f>+'Detail CF Projections'!D12</f>
        <v>0</v>
      </c>
      <c r="F11" s="391">
        <f>+'Detail CF Projections'!E12</f>
        <v>0</v>
      </c>
      <c r="G11" s="391">
        <f>+'Detail CF Projections'!F12</f>
        <v>0</v>
      </c>
      <c r="H11" s="391">
        <f>+'Detail CF Projections'!G12</f>
        <v>0</v>
      </c>
      <c r="I11" s="391">
        <f>+'Detail CF Projections'!H12</f>
        <v>0</v>
      </c>
      <c r="J11" s="391">
        <f>+'Detail CF Projections'!I12</f>
        <v>0</v>
      </c>
      <c r="K11" s="391">
        <f>+'Detail CF Projections'!J12</f>
        <v>0</v>
      </c>
      <c r="L11" s="391">
        <f>+'Detail CF Projections'!K12</f>
        <v>0</v>
      </c>
      <c r="M11" s="391">
        <f>+'Detail CF Projections'!L12</f>
        <v>0</v>
      </c>
      <c r="N11" s="391">
        <f>+'Detail CF Projections'!M12</f>
        <v>0</v>
      </c>
      <c r="O11" s="392">
        <f>+'Detail CF Projections'!N12</f>
        <v>0</v>
      </c>
      <c r="P11" s="391">
        <f>SUM(D11:O11)</f>
        <v>0</v>
      </c>
      <c r="Q11" s="391">
        <f>+'Detail CF Projections'!P12</f>
        <v>0</v>
      </c>
      <c r="R11" s="391">
        <f>+'Detail CF Projections'!Q12</f>
        <v>0</v>
      </c>
      <c r="S11" s="179"/>
      <c r="T11" s="179"/>
      <c r="U11" s="181"/>
      <c r="V11" s="181"/>
    </row>
    <row r="12" spans="2:22" ht="12.75" customHeight="1" x14ac:dyDescent="0.2">
      <c r="B12" s="336" t="s">
        <v>132</v>
      </c>
      <c r="C12" s="185"/>
      <c r="D12" s="394">
        <f t="shared" ref="D12:R12" si="0">SUM(D7:D11)</f>
        <v>4452</v>
      </c>
      <c r="E12" s="394">
        <f t="shared" si="0"/>
        <v>8478</v>
      </c>
      <c r="F12" s="394">
        <f t="shared" si="0"/>
        <v>13404</v>
      </c>
      <c r="G12" s="394">
        <f t="shared" si="0"/>
        <v>19230</v>
      </c>
      <c r="H12" s="394">
        <f t="shared" si="0"/>
        <v>25956</v>
      </c>
      <c r="I12" s="394">
        <f t="shared" si="0"/>
        <v>33582</v>
      </c>
      <c r="J12" s="394">
        <f t="shared" si="0"/>
        <v>46560</v>
      </c>
      <c r="K12" s="394">
        <f t="shared" si="0"/>
        <v>53334</v>
      </c>
      <c r="L12" s="394">
        <f t="shared" si="0"/>
        <v>59208</v>
      </c>
      <c r="M12" s="394">
        <f t="shared" si="0"/>
        <v>64182</v>
      </c>
      <c r="N12" s="394">
        <f t="shared" si="0"/>
        <v>70482</v>
      </c>
      <c r="O12" s="395">
        <f t="shared" si="0"/>
        <v>76782</v>
      </c>
      <c r="P12" s="394">
        <f t="shared" si="0"/>
        <v>475650</v>
      </c>
      <c r="Q12" s="394">
        <f t="shared" si="0"/>
        <v>587903.4</v>
      </c>
      <c r="R12" s="394">
        <f t="shared" si="0"/>
        <v>656397</v>
      </c>
      <c r="S12" s="186"/>
    </row>
    <row r="13" spans="2:22" ht="19.5" customHeight="1" x14ac:dyDescent="0.2">
      <c r="B13" s="389" t="s">
        <v>133</v>
      </c>
      <c r="C13" s="180"/>
      <c r="D13" s="142"/>
      <c r="E13" s="142"/>
      <c r="F13" s="142"/>
      <c r="G13" s="142"/>
      <c r="H13" s="142"/>
      <c r="I13" s="142"/>
      <c r="J13" s="142"/>
      <c r="K13" s="142"/>
      <c r="L13" s="142"/>
      <c r="M13" s="142"/>
      <c r="N13" s="142"/>
      <c r="O13" s="180"/>
      <c r="P13" s="142"/>
      <c r="Q13" s="142"/>
      <c r="R13" s="142"/>
      <c r="S13" s="187"/>
      <c r="T13" s="187"/>
      <c r="U13" s="187"/>
      <c r="V13" s="181"/>
    </row>
    <row r="14" spans="2:22" ht="12.75" customHeight="1" outlineLevel="1" x14ac:dyDescent="0.2">
      <c r="B14" s="338" t="str">
        <f>+'P&amp;L-COGS'!A6</f>
        <v>Direct Labor</v>
      </c>
      <c r="C14" s="188"/>
      <c r="D14" s="391">
        <f>+'Detail CF Projections'!C15</f>
        <v>546</v>
      </c>
      <c r="E14" s="391">
        <f>+'Detail CF Projections'!D15</f>
        <v>819</v>
      </c>
      <c r="F14" s="391">
        <f>+'Detail CF Projections'!E15</f>
        <v>1092</v>
      </c>
      <c r="G14" s="391">
        <f>+'Detail CF Projections'!F15</f>
        <v>1365</v>
      </c>
      <c r="H14" s="391">
        <f>+'Detail CF Projections'!G15</f>
        <v>1638</v>
      </c>
      <c r="I14" s="391">
        <f>+'Detail CF Projections'!H15</f>
        <v>1910.9999999999998</v>
      </c>
      <c r="J14" s="391">
        <f>+'Detail CF Projections'!I15</f>
        <v>2730</v>
      </c>
      <c r="K14" s="391">
        <f>+'Detail CF Projections'!J15</f>
        <v>2457</v>
      </c>
      <c r="L14" s="391">
        <f>+'Detail CF Projections'!K15</f>
        <v>2184</v>
      </c>
      <c r="M14" s="391">
        <f>+'Detail CF Projections'!L15</f>
        <v>1910.9999999999998</v>
      </c>
      <c r="N14" s="391">
        <f>+'Detail CF Projections'!M15</f>
        <v>1910.9999999999998</v>
      </c>
      <c r="O14" s="392">
        <f>+'Detail CF Projections'!N15</f>
        <v>1910.9999999999998</v>
      </c>
      <c r="P14" s="391">
        <f>+'Detail CF Projections'!O15</f>
        <v>20475</v>
      </c>
      <c r="Q14" s="391">
        <f>+'Detail CF Projections'!P15</f>
        <v>31119.946199999995</v>
      </c>
      <c r="R14" s="391">
        <f>+'Detail CF Projections'!Q15</f>
        <v>34745.570999999989</v>
      </c>
      <c r="S14" s="179"/>
      <c r="T14" s="179"/>
      <c r="U14" s="179"/>
      <c r="V14" s="179"/>
    </row>
    <row r="15" spans="2:22" ht="12.75" customHeight="1" outlineLevel="1" x14ac:dyDescent="0.2">
      <c r="B15" s="338" t="str">
        <f>+'P&amp;L-COGS'!A7</f>
        <v>Direct Materials</v>
      </c>
      <c r="C15" s="188"/>
      <c r="D15" s="391">
        <f>+'Detail CF Projections'!C16</f>
        <v>231</v>
      </c>
      <c r="E15" s="391">
        <f>+'Detail CF Projections'!D16</f>
        <v>442.8</v>
      </c>
      <c r="F15" s="391">
        <f>+'Detail CF Projections'!E16</f>
        <v>702.75</v>
      </c>
      <c r="G15" s="391">
        <f>+'Detail CF Projections'!F16</f>
        <v>1010.85</v>
      </c>
      <c r="H15" s="391">
        <f>+'Detail CF Projections'!G16</f>
        <v>1367.1000000000001</v>
      </c>
      <c r="I15" s="391">
        <f>+'Detail CF Projections'!H16</f>
        <v>1771.5</v>
      </c>
      <c r="J15" s="391">
        <f>+'Detail CF Projections'!I16</f>
        <v>2455.0500000000002</v>
      </c>
      <c r="K15" s="391">
        <f>+'Detail CF Projections'!J16</f>
        <v>2821.05</v>
      </c>
      <c r="L15" s="391">
        <f>+'Detail CF Projections'!K16</f>
        <v>3138.9</v>
      </c>
      <c r="M15" s="391">
        <f>+'Detail CF Projections'!L16</f>
        <v>3408.6000000000004</v>
      </c>
      <c r="N15" s="391">
        <f>+'Detail CF Projections'!M16</f>
        <v>3745.65</v>
      </c>
      <c r="O15" s="392">
        <f>+'Detail CF Projections'!N16</f>
        <v>4082.7000000000003</v>
      </c>
      <c r="P15" s="391">
        <f>+'Detail CF Projections'!O16</f>
        <v>25177.95</v>
      </c>
      <c r="Q15" s="391">
        <f>+'Detail CF Projections'!P16</f>
        <v>31119.946199999995</v>
      </c>
      <c r="R15" s="391">
        <f>+'Detail CF Projections'!Q16</f>
        <v>34745.570999999989</v>
      </c>
      <c r="S15" s="179"/>
      <c r="T15" s="179"/>
      <c r="U15" s="179"/>
      <c r="V15" s="179"/>
    </row>
    <row r="16" spans="2:22" ht="12.75" customHeight="1" outlineLevel="1" x14ac:dyDescent="0.2">
      <c r="B16" s="338" t="str">
        <f>+'P&amp;L-COGS'!A8</f>
        <v>Other Direct Costs</v>
      </c>
      <c r="C16" s="188"/>
      <c r="D16" s="391">
        <f>+'Detail CF Projections'!C17</f>
        <v>231</v>
      </c>
      <c r="E16" s="391">
        <f>+'Detail CF Projections'!D17</f>
        <v>442.8</v>
      </c>
      <c r="F16" s="391">
        <f>+'Detail CF Projections'!E17</f>
        <v>702.75</v>
      </c>
      <c r="G16" s="391">
        <f>+'Detail CF Projections'!F17</f>
        <v>1010.85</v>
      </c>
      <c r="H16" s="391">
        <f>+'Detail CF Projections'!G17</f>
        <v>1367.1000000000001</v>
      </c>
      <c r="I16" s="391">
        <f>+'Detail CF Projections'!H17</f>
        <v>1771.5</v>
      </c>
      <c r="J16" s="391">
        <f>+'Detail CF Projections'!I17</f>
        <v>2455.0500000000002</v>
      </c>
      <c r="K16" s="391">
        <f>+'Detail CF Projections'!J17</f>
        <v>2821.05</v>
      </c>
      <c r="L16" s="391">
        <f>+'Detail CF Projections'!K17</f>
        <v>3138.9</v>
      </c>
      <c r="M16" s="391">
        <f>+'Detail CF Projections'!L17</f>
        <v>3408.6000000000004</v>
      </c>
      <c r="N16" s="391">
        <f>+'Detail CF Projections'!M17</f>
        <v>3745.65</v>
      </c>
      <c r="O16" s="392">
        <f>+'Detail CF Projections'!N17</f>
        <v>4082.7000000000003</v>
      </c>
      <c r="P16" s="391">
        <f>+'Detail CF Projections'!O17</f>
        <v>25177.95</v>
      </c>
      <c r="Q16" s="391">
        <f>+'Detail CF Projections'!P17</f>
        <v>31119.946199999995</v>
      </c>
      <c r="R16" s="391">
        <f>+'Detail CF Projections'!Q17</f>
        <v>34745.570999999989</v>
      </c>
      <c r="S16" s="179"/>
      <c r="T16" s="179"/>
      <c r="U16" s="179"/>
      <c r="V16" s="179"/>
    </row>
    <row r="17" spans="2:18" ht="12.75" customHeight="1" x14ac:dyDescent="0.2">
      <c r="B17" s="336" t="s">
        <v>36</v>
      </c>
      <c r="C17" s="185"/>
      <c r="D17" s="394">
        <f t="shared" ref="D17:R17" si="1">-SUM(D14:D16)</f>
        <v>-1008</v>
      </c>
      <c r="E17" s="394">
        <f t="shared" si="1"/>
        <v>-1704.6</v>
      </c>
      <c r="F17" s="394">
        <f t="shared" si="1"/>
        <v>-2497.5</v>
      </c>
      <c r="G17" s="394">
        <f t="shared" si="1"/>
        <v>-3386.7</v>
      </c>
      <c r="H17" s="394">
        <f t="shared" si="1"/>
        <v>-4372.2000000000007</v>
      </c>
      <c r="I17" s="394">
        <f t="shared" si="1"/>
        <v>-5454</v>
      </c>
      <c r="J17" s="394">
        <f t="shared" si="1"/>
        <v>-7640.1</v>
      </c>
      <c r="K17" s="394">
        <f t="shared" si="1"/>
        <v>-8099.1</v>
      </c>
      <c r="L17" s="394">
        <f t="shared" si="1"/>
        <v>-8461.7999999999993</v>
      </c>
      <c r="M17" s="394">
        <f t="shared" si="1"/>
        <v>-8728.2000000000007</v>
      </c>
      <c r="N17" s="394">
        <f t="shared" si="1"/>
        <v>-9402.2999999999993</v>
      </c>
      <c r="O17" s="395">
        <f t="shared" si="1"/>
        <v>-10076.4</v>
      </c>
      <c r="P17" s="394">
        <f t="shared" si="1"/>
        <v>-70830.899999999994</v>
      </c>
      <c r="Q17" s="394">
        <f t="shared" si="1"/>
        <v>-93359.838599999988</v>
      </c>
      <c r="R17" s="394">
        <f t="shared" si="1"/>
        <v>-104236.71299999996</v>
      </c>
    </row>
    <row r="18" spans="2:18" ht="12.75" customHeight="1" x14ac:dyDescent="0.2">
      <c r="B18" s="189"/>
      <c r="C18" s="190"/>
      <c r="D18" s="191"/>
      <c r="E18" s="191"/>
      <c r="F18" s="191"/>
      <c r="G18" s="191"/>
      <c r="H18" s="191"/>
      <c r="I18" s="191"/>
      <c r="J18" s="191"/>
      <c r="K18" s="191"/>
      <c r="L18" s="191"/>
      <c r="M18" s="191"/>
      <c r="N18" s="191"/>
      <c r="O18" s="192"/>
      <c r="P18" s="191"/>
      <c r="Q18" s="191"/>
      <c r="R18" s="191"/>
    </row>
    <row r="19" spans="2:18" ht="12.75" customHeight="1" x14ac:dyDescent="0.2">
      <c r="B19" s="340" t="s">
        <v>110</v>
      </c>
      <c r="C19" s="396"/>
      <c r="D19" s="397">
        <f t="shared" ref="D19:R19" si="2">+D12+D17</f>
        <v>3444</v>
      </c>
      <c r="E19" s="397">
        <f t="shared" si="2"/>
        <v>6773.4</v>
      </c>
      <c r="F19" s="397">
        <f t="shared" si="2"/>
        <v>10906.5</v>
      </c>
      <c r="G19" s="397">
        <f t="shared" si="2"/>
        <v>15843.3</v>
      </c>
      <c r="H19" s="397">
        <f t="shared" si="2"/>
        <v>21583.8</v>
      </c>
      <c r="I19" s="397">
        <f t="shared" si="2"/>
        <v>28128</v>
      </c>
      <c r="J19" s="397">
        <f t="shared" si="2"/>
        <v>38919.9</v>
      </c>
      <c r="K19" s="397">
        <f t="shared" si="2"/>
        <v>45234.9</v>
      </c>
      <c r="L19" s="397">
        <f t="shared" si="2"/>
        <v>50746.2</v>
      </c>
      <c r="M19" s="397">
        <f t="shared" si="2"/>
        <v>55453.8</v>
      </c>
      <c r="N19" s="397">
        <f t="shared" si="2"/>
        <v>61079.7</v>
      </c>
      <c r="O19" s="398">
        <f t="shared" si="2"/>
        <v>66705.600000000006</v>
      </c>
      <c r="P19" s="397">
        <f t="shared" si="2"/>
        <v>404819.1</v>
      </c>
      <c r="Q19" s="397">
        <f t="shared" si="2"/>
        <v>494543.56140000001</v>
      </c>
      <c r="R19" s="397">
        <f t="shared" si="2"/>
        <v>552160.28700000001</v>
      </c>
    </row>
    <row r="20" spans="2:18" ht="20.25" customHeight="1" x14ac:dyDescent="0.2">
      <c r="B20" s="389" t="s">
        <v>42</v>
      </c>
      <c r="C20" s="180"/>
      <c r="D20" s="142"/>
      <c r="E20" s="142"/>
      <c r="F20" s="142"/>
      <c r="G20" s="142"/>
      <c r="H20" s="142"/>
      <c r="I20" s="142"/>
      <c r="J20" s="142"/>
      <c r="K20" s="142"/>
      <c r="L20" s="142"/>
      <c r="M20" s="142"/>
      <c r="N20" s="142"/>
      <c r="O20" s="180"/>
      <c r="P20" s="142"/>
      <c r="Q20" s="142"/>
      <c r="R20" s="142"/>
    </row>
    <row r="21" spans="2:18" ht="12.75" customHeight="1" outlineLevel="1" x14ac:dyDescent="0.2">
      <c r="B21" s="390" t="str">
        <f>+'Detail CF Projections'!A21</f>
        <v>Payroll: Salaries &amp; wages</v>
      </c>
      <c r="C21" s="392">
        <f>+'Detail CF Projections'!B21</f>
        <v>0</v>
      </c>
      <c r="D21" s="391">
        <f>+'Detail CF Projections'!C21</f>
        <v>11773.333333333334</v>
      </c>
      <c r="E21" s="391">
        <f>+'Detail CF Projections'!D21</f>
        <v>11773.333333333334</v>
      </c>
      <c r="F21" s="391">
        <f>+'Detail CF Projections'!E21</f>
        <v>11773.333333333334</v>
      </c>
      <c r="G21" s="391">
        <f>+'Detail CF Projections'!F21</f>
        <v>11773.333333333334</v>
      </c>
      <c r="H21" s="391">
        <f>+'Detail CF Projections'!G21</f>
        <v>11773.333333333334</v>
      </c>
      <c r="I21" s="391">
        <f>+'Detail CF Projections'!H21</f>
        <v>11773.333333333334</v>
      </c>
      <c r="J21" s="391">
        <f>+'Detail CF Projections'!I21</f>
        <v>11773.333333333334</v>
      </c>
      <c r="K21" s="391">
        <f>+'Detail CF Projections'!J21</f>
        <v>11773.333333333334</v>
      </c>
      <c r="L21" s="391">
        <f>+'Detail CF Projections'!K21</f>
        <v>11773.333333333334</v>
      </c>
      <c r="M21" s="391">
        <f>+'Detail CF Projections'!L21</f>
        <v>11773.333333333334</v>
      </c>
      <c r="N21" s="391">
        <f>+'Detail CF Projections'!M21</f>
        <v>11773.333333333334</v>
      </c>
      <c r="O21" s="392">
        <f>+'Detail CF Projections'!N21</f>
        <v>11773.333333333334</v>
      </c>
      <c r="P21" s="391">
        <f>+'Detail CF Projections'!O21</f>
        <v>141279.99999999997</v>
      </c>
      <c r="Q21" s="391">
        <f>+'Detail CF Projections'!P21</f>
        <v>168031.5</v>
      </c>
      <c r="R21" s="391">
        <f>+'Detail CF Projections'!Q21</f>
        <v>176433.07500000001</v>
      </c>
    </row>
    <row r="22" spans="2:18" ht="12.75" customHeight="1" outlineLevel="1" x14ac:dyDescent="0.2">
      <c r="B22" s="390" t="str">
        <f>+'Detail CF Projections'!A22</f>
        <v>Payroll: taxes &amp; benefits</v>
      </c>
      <c r="C22" s="392">
        <f>+'Detail CF Projections'!B22</f>
        <v>0</v>
      </c>
      <c r="D22" s="391">
        <f>+'Detail CF Projections'!C22</f>
        <v>737.5</v>
      </c>
      <c r="E22" s="391">
        <f>+'Detail CF Projections'!D22</f>
        <v>737.5</v>
      </c>
      <c r="F22" s="391">
        <f>+'Detail CF Projections'!E22</f>
        <v>737.5</v>
      </c>
      <c r="G22" s="391">
        <f>+'Detail CF Projections'!F22</f>
        <v>737.5</v>
      </c>
      <c r="H22" s="391">
        <f>+'Detail CF Projections'!G22</f>
        <v>737.5</v>
      </c>
      <c r="I22" s="391">
        <f>+'Detail CF Projections'!H22</f>
        <v>737.5</v>
      </c>
      <c r="J22" s="391">
        <f>+'Detail CF Projections'!I22</f>
        <v>737.5</v>
      </c>
      <c r="K22" s="391">
        <f>+'Detail CF Projections'!J22</f>
        <v>737.5</v>
      </c>
      <c r="L22" s="391">
        <f>+'Detail CF Projections'!K22</f>
        <v>737.5</v>
      </c>
      <c r="M22" s="391">
        <f>+'Detail CF Projections'!L22</f>
        <v>737.5</v>
      </c>
      <c r="N22" s="391">
        <f>+'Detail CF Projections'!M22</f>
        <v>737.5</v>
      </c>
      <c r="O22" s="392">
        <f>+'Detail CF Projections'!N22</f>
        <v>737.5</v>
      </c>
      <c r="P22" s="391">
        <f>+'Detail CF Projections'!O22</f>
        <v>8850</v>
      </c>
      <c r="Q22" s="391">
        <f>+'Detail CF Projections'!P22</f>
        <v>23503.59375</v>
      </c>
      <c r="R22" s="391">
        <f>+'Detail CF Projections'!Q22</f>
        <v>24678.7734375</v>
      </c>
    </row>
    <row r="23" spans="2:18" ht="12.75" customHeight="1" outlineLevel="1" x14ac:dyDescent="0.2">
      <c r="B23" s="390" t="str">
        <f>+'Detail CF Projections'!A23</f>
        <v>Advertising and Marketing</v>
      </c>
      <c r="C23" s="392">
        <f>+'Detail CF Projections'!B23</f>
        <v>5000</v>
      </c>
      <c r="D23" s="391">
        <f>+'Detail CF Projections'!C23</f>
        <v>1500</v>
      </c>
      <c r="E23" s="391">
        <f>+'Detail CF Projections'!D23</f>
        <v>1500</v>
      </c>
      <c r="F23" s="391">
        <f>+'Detail CF Projections'!E23</f>
        <v>1500</v>
      </c>
      <c r="G23" s="391">
        <f>+'Detail CF Projections'!F23</f>
        <v>1500</v>
      </c>
      <c r="H23" s="391">
        <f>+'Detail CF Projections'!G23</f>
        <v>1500</v>
      </c>
      <c r="I23" s="391">
        <f>+'Detail CF Projections'!H23</f>
        <v>1500</v>
      </c>
      <c r="J23" s="391">
        <f>+'Detail CF Projections'!I23</f>
        <v>1500</v>
      </c>
      <c r="K23" s="391">
        <f>+'Detail CF Projections'!J23</f>
        <v>1500</v>
      </c>
      <c r="L23" s="391">
        <f>+'Detail CF Projections'!K23</f>
        <v>1500</v>
      </c>
      <c r="M23" s="391">
        <f>+'Detail CF Projections'!L23</f>
        <v>1500</v>
      </c>
      <c r="N23" s="391">
        <f>+'Detail CF Projections'!M23</f>
        <v>1500</v>
      </c>
      <c r="O23" s="392">
        <f>+'Detail CF Projections'!N23</f>
        <v>1500</v>
      </c>
      <c r="P23" s="391">
        <f>+'Detail CF Projections'!O23</f>
        <v>18000</v>
      </c>
      <c r="Q23" s="391">
        <f>+'Detail CF Projections'!P23</f>
        <v>18540</v>
      </c>
      <c r="R23" s="391">
        <f>+'Detail CF Projections'!Q23</f>
        <v>19096.2</v>
      </c>
    </row>
    <row r="24" spans="2:18" ht="12.75" customHeight="1" outlineLevel="1" x14ac:dyDescent="0.2">
      <c r="B24" s="390" t="str">
        <f>+'Detail CF Projections'!A24</f>
        <v>Communications (IT, phone, postal)</v>
      </c>
      <c r="C24" s="392">
        <f>+'Detail CF Projections'!B24</f>
        <v>2500</v>
      </c>
      <c r="D24" s="391">
        <f>+'Detail CF Projections'!C24</f>
        <v>150</v>
      </c>
      <c r="E24" s="391">
        <f>+'Detail CF Projections'!D24</f>
        <v>150</v>
      </c>
      <c r="F24" s="391">
        <f>+'Detail CF Projections'!E24</f>
        <v>150</v>
      </c>
      <c r="G24" s="391">
        <f>+'Detail CF Projections'!F24</f>
        <v>150</v>
      </c>
      <c r="H24" s="391">
        <f>+'Detail CF Projections'!G24</f>
        <v>150</v>
      </c>
      <c r="I24" s="391">
        <f>+'Detail CF Projections'!H24</f>
        <v>150</v>
      </c>
      <c r="J24" s="391">
        <f>+'Detail CF Projections'!I24</f>
        <v>150</v>
      </c>
      <c r="K24" s="391">
        <f>+'Detail CF Projections'!J24</f>
        <v>150</v>
      </c>
      <c r="L24" s="391">
        <f>+'Detail CF Projections'!K24</f>
        <v>150</v>
      </c>
      <c r="M24" s="391">
        <f>+'Detail CF Projections'!L24</f>
        <v>150</v>
      </c>
      <c r="N24" s="391">
        <f>+'Detail CF Projections'!M24</f>
        <v>150</v>
      </c>
      <c r="O24" s="392">
        <f>+'Detail CF Projections'!N24</f>
        <v>150</v>
      </c>
      <c r="P24" s="391">
        <f>+'Detail CF Projections'!O24</f>
        <v>1800</v>
      </c>
      <c r="Q24" s="391">
        <f>+'Detail CF Projections'!P24</f>
        <v>1854</v>
      </c>
      <c r="R24" s="391">
        <f>+'Detail CF Projections'!Q24</f>
        <v>1909.6200000000001</v>
      </c>
    </row>
    <row r="25" spans="2:18" ht="12.75" customHeight="1" outlineLevel="1" x14ac:dyDescent="0.2">
      <c r="B25" s="390" t="str">
        <f>+'Detail CF Projections'!A25</f>
        <v>Depr/amort</v>
      </c>
      <c r="C25" s="392">
        <f>+'Detail CF Projections'!B25</f>
        <v>0</v>
      </c>
      <c r="D25" s="391">
        <f>+'Detail CF Projections'!C25</f>
        <v>1166.6666666666667</v>
      </c>
      <c r="E25" s="391">
        <f>+'Detail CF Projections'!D25</f>
        <v>1166.6666666666667</v>
      </c>
      <c r="F25" s="391">
        <f>+'Detail CF Projections'!E25</f>
        <v>1166.6666666666667</v>
      </c>
      <c r="G25" s="391">
        <f>+'Detail CF Projections'!F25</f>
        <v>1166.6666666666667</v>
      </c>
      <c r="H25" s="391">
        <f>+'Detail CF Projections'!G25</f>
        <v>1166.6666666666667</v>
      </c>
      <c r="I25" s="391">
        <f>+'Detail CF Projections'!H25</f>
        <v>1166.6666666666667</v>
      </c>
      <c r="J25" s="391">
        <f>+'Detail CF Projections'!I25</f>
        <v>1166.6666666666667</v>
      </c>
      <c r="K25" s="391">
        <f>+'Detail CF Projections'!J25</f>
        <v>1166.6666666666667</v>
      </c>
      <c r="L25" s="391">
        <f>+'Detail CF Projections'!K25</f>
        <v>1166.6666666666667</v>
      </c>
      <c r="M25" s="391">
        <f>+'Detail CF Projections'!L25</f>
        <v>1166.6666666666667</v>
      </c>
      <c r="N25" s="391">
        <f>+'Detail CF Projections'!M25</f>
        <v>1166.6666666666667</v>
      </c>
      <c r="O25" s="392">
        <f>+'Detail CF Projections'!N25</f>
        <v>1166.6666666666667</v>
      </c>
      <c r="P25" s="391">
        <f>+'Detail CF Projections'!O25</f>
        <v>14000</v>
      </c>
      <c r="Q25" s="391">
        <f>+'Detail CF Projections'!P25</f>
        <v>14857.142857142857</v>
      </c>
      <c r="R25" s="391">
        <f>+'Detail CF Projections'!Q25</f>
        <v>14857.142857142857</v>
      </c>
    </row>
    <row r="26" spans="2:18" ht="12.75" customHeight="1" outlineLevel="1" x14ac:dyDescent="0.2">
      <c r="B26" s="390" t="str">
        <f>+'Detail CF Projections'!A26</f>
        <v>Supplies</v>
      </c>
      <c r="C26" s="392">
        <f>+'Detail CF Projections'!B26</f>
        <v>1000</v>
      </c>
      <c r="D26" s="391">
        <f>+'Detail CF Projections'!C26</f>
        <v>100</v>
      </c>
      <c r="E26" s="391">
        <f>+'Detail CF Projections'!D26</f>
        <v>100</v>
      </c>
      <c r="F26" s="391">
        <f>+'Detail CF Projections'!E26</f>
        <v>100</v>
      </c>
      <c r="G26" s="391">
        <f>+'Detail CF Projections'!F26</f>
        <v>100</v>
      </c>
      <c r="H26" s="391">
        <f>+'Detail CF Projections'!G26</f>
        <v>100</v>
      </c>
      <c r="I26" s="391">
        <f>+'Detail CF Projections'!H26</f>
        <v>100</v>
      </c>
      <c r="J26" s="391">
        <f>+'Detail CF Projections'!I26</f>
        <v>100</v>
      </c>
      <c r="K26" s="391">
        <f>+'Detail CF Projections'!J26</f>
        <v>100</v>
      </c>
      <c r="L26" s="391">
        <f>+'Detail CF Projections'!K26</f>
        <v>100</v>
      </c>
      <c r="M26" s="391">
        <f>+'Detail CF Projections'!L26</f>
        <v>100</v>
      </c>
      <c r="N26" s="391">
        <f>+'Detail CF Projections'!M26</f>
        <v>100</v>
      </c>
      <c r="O26" s="392">
        <f>+'Detail CF Projections'!N26</f>
        <v>100</v>
      </c>
      <c r="P26" s="391">
        <f>+'Detail CF Projections'!O26</f>
        <v>1200</v>
      </c>
      <c r="Q26" s="391">
        <f>+'Detail CF Projections'!P26</f>
        <v>1236</v>
      </c>
      <c r="R26" s="391">
        <f>+'Detail CF Projections'!Q26</f>
        <v>1273.08</v>
      </c>
    </row>
    <row r="27" spans="2:18" ht="12.75" customHeight="1" outlineLevel="1" x14ac:dyDescent="0.2">
      <c r="B27" s="390" t="str">
        <f>+'Detail CF Projections'!A27</f>
        <v>Facility Lease</v>
      </c>
      <c r="C27" s="392">
        <f>+'Detail CF Projections'!B27</f>
        <v>0</v>
      </c>
      <c r="D27" s="391">
        <f>+'Detail CF Projections'!C27</f>
        <v>6000</v>
      </c>
      <c r="E27" s="391">
        <f>+'Detail CF Projections'!D27</f>
        <v>6000</v>
      </c>
      <c r="F27" s="391">
        <f>+'Detail CF Projections'!E27</f>
        <v>6000</v>
      </c>
      <c r="G27" s="391">
        <f>+'Detail CF Projections'!F27</f>
        <v>6000</v>
      </c>
      <c r="H27" s="391">
        <f>+'Detail CF Projections'!G27</f>
        <v>6000</v>
      </c>
      <c r="I27" s="391">
        <f>+'Detail CF Projections'!H27</f>
        <v>6000</v>
      </c>
      <c r="J27" s="391">
        <f>+'Detail CF Projections'!I27</f>
        <v>6000</v>
      </c>
      <c r="K27" s="391">
        <f>+'Detail CF Projections'!J27</f>
        <v>6000</v>
      </c>
      <c r="L27" s="391">
        <f>+'Detail CF Projections'!K27</f>
        <v>6000</v>
      </c>
      <c r="M27" s="391">
        <f>+'Detail CF Projections'!L27</f>
        <v>6000</v>
      </c>
      <c r="N27" s="391">
        <f>+'Detail CF Projections'!M27</f>
        <v>6000</v>
      </c>
      <c r="O27" s="392">
        <f>+'Detail CF Projections'!N27</f>
        <v>6000</v>
      </c>
      <c r="P27" s="391">
        <f>+'Detail CF Projections'!O27</f>
        <v>72000</v>
      </c>
      <c r="Q27" s="391">
        <f>+'Detail CF Projections'!P27</f>
        <v>74160</v>
      </c>
      <c r="R27" s="391">
        <f>+'Detail CF Projections'!Q27</f>
        <v>76384.800000000003</v>
      </c>
    </row>
    <row r="28" spans="2:18" ht="12.75" customHeight="1" outlineLevel="1" x14ac:dyDescent="0.2">
      <c r="B28" s="390" t="str">
        <f>+'Detail CF Projections'!A28</f>
        <v>Insurance (non-benefit)</v>
      </c>
      <c r="C28" s="392">
        <f>+'Detail CF Projections'!B28</f>
        <v>200</v>
      </c>
      <c r="D28" s="391">
        <f>+'Detail CF Projections'!C28</f>
        <v>300</v>
      </c>
      <c r="E28" s="391">
        <f>+'Detail CF Projections'!D28</f>
        <v>300</v>
      </c>
      <c r="F28" s="391">
        <f>+'Detail CF Projections'!E28</f>
        <v>300</v>
      </c>
      <c r="G28" s="391">
        <f>+'Detail CF Projections'!F28</f>
        <v>300</v>
      </c>
      <c r="H28" s="391">
        <f>+'Detail CF Projections'!G28</f>
        <v>300</v>
      </c>
      <c r="I28" s="391">
        <f>+'Detail CF Projections'!H28</f>
        <v>300</v>
      </c>
      <c r="J28" s="391">
        <f>+'Detail CF Projections'!I28</f>
        <v>300</v>
      </c>
      <c r="K28" s="391">
        <f>+'Detail CF Projections'!J28</f>
        <v>300</v>
      </c>
      <c r="L28" s="391">
        <f>+'Detail CF Projections'!K28</f>
        <v>300</v>
      </c>
      <c r="M28" s="391">
        <f>+'Detail CF Projections'!L28</f>
        <v>300</v>
      </c>
      <c r="N28" s="391">
        <f>+'Detail CF Projections'!M28</f>
        <v>300</v>
      </c>
      <c r="O28" s="392">
        <f>+'Detail CF Projections'!N28</f>
        <v>300</v>
      </c>
      <c r="P28" s="391">
        <f>+'Detail CF Projections'!O28</f>
        <v>3600</v>
      </c>
      <c r="Q28" s="391">
        <f>+'Detail CF Projections'!P28</f>
        <v>3708</v>
      </c>
      <c r="R28" s="391">
        <f>+'Detail CF Projections'!Q28</f>
        <v>3819.2400000000002</v>
      </c>
    </row>
    <row r="29" spans="2:18" ht="12.75" customHeight="1" outlineLevel="1" x14ac:dyDescent="0.2">
      <c r="B29" s="390" t="str">
        <f>+'Detail CF Projections'!A29</f>
        <v>Licenses/fees/taxes</v>
      </c>
      <c r="C29" s="392">
        <f>+'Detail CF Projections'!B29</f>
        <v>200</v>
      </c>
      <c r="D29" s="391">
        <f>+'Detail CF Projections'!C29</f>
        <v>150</v>
      </c>
      <c r="E29" s="391">
        <f>+'Detail CF Projections'!D29</f>
        <v>150</v>
      </c>
      <c r="F29" s="391">
        <f>+'Detail CF Projections'!E29</f>
        <v>150</v>
      </c>
      <c r="G29" s="391">
        <f>+'Detail CF Projections'!F29</f>
        <v>150</v>
      </c>
      <c r="H29" s="391">
        <f>+'Detail CF Projections'!G29</f>
        <v>150</v>
      </c>
      <c r="I29" s="391">
        <f>+'Detail CF Projections'!H29</f>
        <v>150</v>
      </c>
      <c r="J29" s="391">
        <f>+'Detail CF Projections'!I29</f>
        <v>150</v>
      </c>
      <c r="K29" s="391">
        <f>+'Detail CF Projections'!J29</f>
        <v>150</v>
      </c>
      <c r="L29" s="391">
        <f>+'Detail CF Projections'!K29</f>
        <v>150</v>
      </c>
      <c r="M29" s="391">
        <f>+'Detail CF Projections'!L29</f>
        <v>300</v>
      </c>
      <c r="N29" s="391">
        <f>+'Detail CF Projections'!M29</f>
        <v>150</v>
      </c>
      <c r="O29" s="392">
        <f>+'Detail CF Projections'!N29</f>
        <v>150</v>
      </c>
      <c r="P29" s="391">
        <f>+'Detail CF Projections'!O29</f>
        <v>1950</v>
      </c>
      <c r="Q29" s="391">
        <f>+'Detail CF Projections'!P29</f>
        <v>2008.5</v>
      </c>
      <c r="R29" s="391">
        <f>+'Detail CF Projections'!Q29</f>
        <v>2068.7550000000001</v>
      </c>
    </row>
    <row r="30" spans="2:18" ht="12.75" customHeight="1" outlineLevel="1" x14ac:dyDescent="0.2">
      <c r="B30" s="390" t="str">
        <f>+'Detail CF Projections'!A30</f>
        <v>Repairs/maintenance</v>
      </c>
      <c r="C30" s="392">
        <f>+'Detail CF Projections'!B30</f>
        <v>500</v>
      </c>
      <c r="D30" s="391">
        <f>+'Detail CF Projections'!C30</f>
        <v>750</v>
      </c>
      <c r="E30" s="391">
        <f>+'Detail CF Projections'!D30</f>
        <v>750</v>
      </c>
      <c r="F30" s="391">
        <f>+'Detail CF Projections'!E30</f>
        <v>750</v>
      </c>
      <c r="G30" s="391">
        <f>+'Detail CF Projections'!F30</f>
        <v>750</v>
      </c>
      <c r="H30" s="391">
        <f>+'Detail CF Projections'!G30</f>
        <v>750</v>
      </c>
      <c r="I30" s="391">
        <f>+'Detail CF Projections'!H30</f>
        <v>750</v>
      </c>
      <c r="J30" s="391">
        <f>+'Detail CF Projections'!I30</f>
        <v>750</v>
      </c>
      <c r="K30" s="391">
        <f>+'Detail CF Projections'!J30</f>
        <v>750</v>
      </c>
      <c r="L30" s="391">
        <f>+'Detail CF Projections'!K30</f>
        <v>750</v>
      </c>
      <c r="M30" s="391">
        <f>+'Detail CF Projections'!L30</f>
        <v>750</v>
      </c>
      <c r="N30" s="391">
        <f>+'Detail CF Projections'!M30</f>
        <v>750</v>
      </c>
      <c r="O30" s="392">
        <f>+'Detail CF Projections'!N30</f>
        <v>750</v>
      </c>
      <c r="P30" s="391">
        <f>+'Detail CF Projections'!O30</f>
        <v>9000</v>
      </c>
      <c r="Q30" s="391">
        <f>+'Detail CF Projections'!P30</f>
        <v>9270</v>
      </c>
      <c r="R30" s="391">
        <f>+'Detail CF Projections'!Q30</f>
        <v>9548.1</v>
      </c>
    </row>
    <row r="31" spans="2:18" ht="12.75" customHeight="1" outlineLevel="1" x14ac:dyDescent="0.2">
      <c r="B31" s="390" t="str">
        <f>+'Detail CF Projections'!A31</f>
        <v>Professional Services (legal, CPA)</v>
      </c>
      <c r="C31" s="392">
        <f>+'Detail CF Projections'!B31</f>
        <v>1500</v>
      </c>
      <c r="D31" s="391">
        <f>+'Detail CF Projections'!C31</f>
        <v>50</v>
      </c>
      <c r="E31" s="391">
        <f>+'Detail CF Projections'!D31</f>
        <v>50</v>
      </c>
      <c r="F31" s="391">
        <f>+'Detail CF Projections'!E31</f>
        <v>50</v>
      </c>
      <c r="G31" s="391">
        <f>+'Detail CF Projections'!F31</f>
        <v>50</v>
      </c>
      <c r="H31" s="391">
        <f>+'Detail CF Projections'!G31</f>
        <v>50</v>
      </c>
      <c r="I31" s="391">
        <f>+'Detail CF Projections'!H31</f>
        <v>50</v>
      </c>
      <c r="J31" s="391">
        <f>+'Detail CF Projections'!I31</f>
        <v>50</v>
      </c>
      <c r="K31" s="391">
        <f>+'Detail CF Projections'!J31</f>
        <v>50</v>
      </c>
      <c r="L31" s="391">
        <f>+'Detail CF Projections'!K31</f>
        <v>50</v>
      </c>
      <c r="M31" s="391">
        <f>+'Detail CF Projections'!L31</f>
        <v>1050</v>
      </c>
      <c r="N31" s="391">
        <f>+'Detail CF Projections'!M31</f>
        <v>50</v>
      </c>
      <c r="O31" s="392">
        <f>+'Detail CF Projections'!N31</f>
        <v>50</v>
      </c>
      <c r="P31" s="391">
        <f>+'Detail CF Projections'!O31</f>
        <v>1600</v>
      </c>
      <c r="Q31" s="391">
        <f>+'Detail CF Projections'!P31</f>
        <v>1648</v>
      </c>
      <c r="R31" s="391">
        <f>+'Detail CF Projections'!Q31</f>
        <v>1697.44</v>
      </c>
    </row>
    <row r="32" spans="2:18" ht="12.75" customHeight="1" outlineLevel="1" x14ac:dyDescent="0.2">
      <c r="B32" s="390" t="str">
        <f>+'Detail CF Projections'!A32</f>
        <v>Office expenses</v>
      </c>
      <c r="C32" s="392">
        <f>+'Detail CF Projections'!B32</f>
        <v>500</v>
      </c>
      <c r="D32" s="391">
        <f>+'Detail CF Projections'!C32</f>
        <v>50</v>
      </c>
      <c r="E32" s="391">
        <f>+'Detail CF Projections'!D32</f>
        <v>50</v>
      </c>
      <c r="F32" s="391">
        <f>+'Detail CF Projections'!E32</f>
        <v>50</v>
      </c>
      <c r="G32" s="391">
        <f>+'Detail CF Projections'!F32</f>
        <v>50</v>
      </c>
      <c r="H32" s="391">
        <f>+'Detail CF Projections'!G32</f>
        <v>50</v>
      </c>
      <c r="I32" s="391">
        <f>+'Detail CF Projections'!H32</f>
        <v>50</v>
      </c>
      <c r="J32" s="391">
        <f>+'Detail CF Projections'!I32</f>
        <v>50</v>
      </c>
      <c r="K32" s="391">
        <f>+'Detail CF Projections'!J32</f>
        <v>50</v>
      </c>
      <c r="L32" s="391">
        <f>+'Detail CF Projections'!K32</f>
        <v>50</v>
      </c>
      <c r="M32" s="391">
        <f>+'Detail CF Projections'!L32</f>
        <v>50</v>
      </c>
      <c r="N32" s="391">
        <f>+'Detail CF Projections'!M32</f>
        <v>50</v>
      </c>
      <c r="O32" s="392">
        <f>+'Detail CF Projections'!N32</f>
        <v>50</v>
      </c>
      <c r="P32" s="391">
        <f>+'Detail CF Projections'!O32</f>
        <v>600</v>
      </c>
      <c r="Q32" s="391">
        <f>+'Detail CF Projections'!P32</f>
        <v>618</v>
      </c>
      <c r="R32" s="391">
        <f>+'Detail CF Projections'!Q32</f>
        <v>636.54</v>
      </c>
    </row>
    <row r="33" spans="2:18" ht="12.75" customHeight="1" outlineLevel="1" x14ac:dyDescent="0.2">
      <c r="B33" s="390" t="str">
        <f>+'Detail CF Projections'!A33</f>
        <v>Contractors</v>
      </c>
      <c r="C33" s="392">
        <f>+'Detail CF Projections'!B33</f>
        <v>0</v>
      </c>
      <c r="D33" s="391">
        <f>+'Detail CF Projections'!C33</f>
        <v>0</v>
      </c>
      <c r="E33" s="391">
        <f>+'Detail CF Projections'!D33</f>
        <v>0</v>
      </c>
      <c r="F33" s="391">
        <f>+'Detail CF Projections'!E33</f>
        <v>0</v>
      </c>
      <c r="G33" s="391">
        <f>+'Detail CF Projections'!F33</f>
        <v>0</v>
      </c>
      <c r="H33" s="391">
        <f>+'Detail CF Projections'!G33</f>
        <v>0</v>
      </c>
      <c r="I33" s="391">
        <f>+'Detail CF Projections'!H33</f>
        <v>0</v>
      </c>
      <c r="J33" s="391">
        <f>+'Detail CF Projections'!I33</f>
        <v>0</v>
      </c>
      <c r="K33" s="391">
        <f>+'Detail CF Projections'!J33</f>
        <v>0</v>
      </c>
      <c r="L33" s="391">
        <f>+'Detail CF Projections'!K33</f>
        <v>0</v>
      </c>
      <c r="M33" s="391">
        <f>+'Detail CF Projections'!L33</f>
        <v>0</v>
      </c>
      <c r="N33" s="391">
        <f>+'Detail CF Projections'!M33</f>
        <v>0</v>
      </c>
      <c r="O33" s="392">
        <f>+'Detail CF Projections'!N33</f>
        <v>0</v>
      </c>
      <c r="P33" s="391">
        <f>+'Detail CF Projections'!O33</f>
        <v>0</v>
      </c>
      <c r="Q33" s="391">
        <f>+'Detail CF Projections'!P33</f>
        <v>0</v>
      </c>
      <c r="R33" s="391">
        <f>+'Detail CF Projections'!Q33</f>
        <v>0</v>
      </c>
    </row>
    <row r="34" spans="2:18" ht="12.75" customHeight="1" outlineLevel="1" x14ac:dyDescent="0.2">
      <c r="B34" s="390" t="str">
        <f>+'Detail CF Projections'!A34</f>
        <v xml:space="preserve">Travel &amp; Meals </v>
      </c>
      <c r="C34" s="392">
        <f>+'Detail CF Projections'!B34</f>
        <v>0</v>
      </c>
      <c r="D34" s="391">
        <f>+'Detail CF Projections'!C34</f>
        <v>50</v>
      </c>
      <c r="E34" s="391">
        <f>+'Detail CF Projections'!D34</f>
        <v>50</v>
      </c>
      <c r="F34" s="391">
        <f>+'Detail CF Projections'!E34</f>
        <v>50</v>
      </c>
      <c r="G34" s="391">
        <f>+'Detail CF Projections'!F34</f>
        <v>50</v>
      </c>
      <c r="H34" s="391">
        <f>+'Detail CF Projections'!G34</f>
        <v>50</v>
      </c>
      <c r="I34" s="391">
        <f>+'Detail CF Projections'!H34</f>
        <v>50</v>
      </c>
      <c r="J34" s="391">
        <f>+'Detail CF Projections'!I34</f>
        <v>50</v>
      </c>
      <c r="K34" s="391">
        <f>+'Detail CF Projections'!J34</f>
        <v>50</v>
      </c>
      <c r="L34" s="391">
        <f>+'Detail CF Projections'!K34</f>
        <v>50</v>
      </c>
      <c r="M34" s="391">
        <f>+'Detail CF Projections'!L34</f>
        <v>50</v>
      </c>
      <c r="N34" s="391">
        <f>+'Detail CF Projections'!M34</f>
        <v>50</v>
      </c>
      <c r="O34" s="392">
        <f>+'Detail CF Projections'!N34</f>
        <v>50</v>
      </c>
      <c r="P34" s="391">
        <f>+'Detail CF Projections'!O34</f>
        <v>600</v>
      </c>
      <c r="Q34" s="391">
        <f>+'Detail CF Projections'!P34</f>
        <v>618</v>
      </c>
      <c r="R34" s="391">
        <f>+'Detail CF Projections'!Q34</f>
        <v>636.54</v>
      </c>
    </row>
    <row r="35" spans="2:18" ht="12.75" customHeight="1" outlineLevel="1" x14ac:dyDescent="0.2">
      <c r="B35" s="390" t="str">
        <f>+'Detail CF Projections'!A35</f>
        <v>Utilities</v>
      </c>
      <c r="C35" s="392">
        <f>+'Detail CF Projections'!B35</f>
        <v>600</v>
      </c>
      <c r="D35" s="391">
        <f>+'Detail CF Projections'!C35</f>
        <v>300</v>
      </c>
      <c r="E35" s="391">
        <f>+'Detail CF Projections'!D35</f>
        <v>300</v>
      </c>
      <c r="F35" s="391">
        <f>+'Detail CF Projections'!E35</f>
        <v>300</v>
      </c>
      <c r="G35" s="391">
        <f>+'Detail CF Projections'!F35</f>
        <v>300</v>
      </c>
      <c r="H35" s="391">
        <f>+'Detail CF Projections'!G35</f>
        <v>300</v>
      </c>
      <c r="I35" s="391">
        <f>+'Detail CF Projections'!H35</f>
        <v>300</v>
      </c>
      <c r="J35" s="391">
        <f>+'Detail CF Projections'!I35</f>
        <v>300</v>
      </c>
      <c r="K35" s="391">
        <f>+'Detail CF Projections'!J35</f>
        <v>300</v>
      </c>
      <c r="L35" s="391">
        <f>+'Detail CF Projections'!K35</f>
        <v>300</v>
      </c>
      <c r="M35" s="391">
        <f>+'Detail CF Projections'!L35</f>
        <v>300</v>
      </c>
      <c r="N35" s="391">
        <f>+'Detail CF Projections'!M35</f>
        <v>300</v>
      </c>
      <c r="O35" s="392">
        <f>+'Detail CF Projections'!N35</f>
        <v>300</v>
      </c>
      <c r="P35" s="391">
        <f>+'Detail CF Projections'!O35</f>
        <v>3600</v>
      </c>
      <c r="Q35" s="391">
        <f>+'Detail CF Projections'!P35</f>
        <v>3708</v>
      </c>
      <c r="R35" s="391">
        <f>+'Detail CF Projections'!Q35</f>
        <v>3819.2400000000002</v>
      </c>
    </row>
    <row r="36" spans="2:18" ht="12.75" customHeight="1" outlineLevel="1" x14ac:dyDescent="0.2">
      <c r="B36" s="390" t="str">
        <f>+'Detail CF Projections'!A36</f>
        <v>Vehicle (gas, repairs, maintenance)</v>
      </c>
      <c r="C36" s="392">
        <f>+'Detail CF Projections'!B36</f>
        <v>300</v>
      </c>
      <c r="D36" s="391">
        <f>+'Detail CF Projections'!C36</f>
        <v>200</v>
      </c>
      <c r="E36" s="391">
        <f>+'Detail CF Projections'!D36</f>
        <v>200</v>
      </c>
      <c r="F36" s="391">
        <f>+'Detail CF Projections'!E36</f>
        <v>200</v>
      </c>
      <c r="G36" s="391">
        <f>+'Detail CF Projections'!F36</f>
        <v>200</v>
      </c>
      <c r="H36" s="391">
        <f>+'Detail CF Projections'!G36</f>
        <v>200</v>
      </c>
      <c r="I36" s="391">
        <f>+'Detail CF Projections'!H36</f>
        <v>200</v>
      </c>
      <c r="J36" s="391">
        <f>+'Detail CF Projections'!I36</f>
        <v>200</v>
      </c>
      <c r="K36" s="391">
        <f>+'Detail CF Projections'!J36</f>
        <v>200</v>
      </c>
      <c r="L36" s="391">
        <f>+'Detail CF Projections'!K36</f>
        <v>200</v>
      </c>
      <c r="M36" s="391">
        <f>+'Detail CF Projections'!L36</f>
        <v>200</v>
      </c>
      <c r="N36" s="391">
        <f>+'Detail CF Projections'!M36</f>
        <v>200</v>
      </c>
      <c r="O36" s="392">
        <f>+'Detail CF Projections'!N36</f>
        <v>200</v>
      </c>
      <c r="P36" s="391">
        <f>+'Detail CF Projections'!O36</f>
        <v>2400</v>
      </c>
      <c r="Q36" s="391">
        <f>+'Detail CF Projections'!P36</f>
        <v>2472</v>
      </c>
      <c r="R36" s="391">
        <f>+'Detail CF Projections'!Q36</f>
        <v>2546.16</v>
      </c>
    </row>
    <row r="37" spans="2:18" ht="12.75" customHeight="1" outlineLevel="1" x14ac:dyDescent="0.2">
      <c r="B37" s="390" t="str">
        <f>+'Detail CF Projections'!A37</f>
        <v>Training</v>
      </c>
      <c r="C37" s="392">
        <f>+'Detail CF Projections'!B37</f>
        <v>0</v>
      </c>
      <c r="D37" s="391">
        <f>+'Detail CF Projections'!C37</f>
        <v>100</v>
      </c>
      <c r="E37" s="391">
        <f>+'Detail CF Projections'!D37</f>
        <v>100</v>
      </c>
      <c r="F37" s="391">
        <f>+'Detail CF Projections'!E37</f>
        <v>100</v>
      </c>
      <c r="G37" s="391">
        <f>+'Detail CF Projections'!F37</f>
        <v>100</v>
      </c>
      <c r="H37" s="391">
        <f>+'Detail CF Projections'!G37</f>
        <v>100</v>
      </c>
      <c r="I37" s="391">
        <f>+'Detail CF Projections'!H37</f>
        <v>100</v>
      </c>
      <c r="J37" s="391">
        <f>+'Detail CF Projections'!I37</f>
        <v>100</v>
      </c>
      <c r="K37" s="391">
        <f>+'Detail CF Projections'!J37</f>
        <v>100</v>
      </c>
      <c r="L37" s="391">
        <f>+'Detail CF Projections'!K37</f>
        <v>100</v>
      </c>
      <c r="M37" s="391">
        <f>+'Detail CF Projections'!L37</f>
        <v>100</v>
      </c>
      <c r="N37" s="391">
        <f>+'Detail CF Projections'!M37</f>
        <v>100</v>
      </c>
      <c r="O37" s="392">
        <f>+'Detail CF Projections'!N37</f>
        <v>100</v>
      </c>
      <c r="P37" s="391">
        <f>+'Detail CF Projections'!O37</f>
        <v>1200</v>
      </c>
      <c r="Q37" s="391">
        <f>+'Detail CF Projections'!P37</f>
        <v>1236</v>
      </c>
      <c r="R37" s="391">
        <f>+'Detail CF Projections'!Q37</f>
        <v>1273.08</v>
      </c>
    </row>
    <row r="38" spans="2:18" ht="12.75" customHeight="1" outlineLevel="1" x14ac:dyDescent="0.2">
      <c r="B38" s="390" t="str">
        <f>+'Detail CF Projections'!A38</f>
        <v>Other</v>
      </c>
      <c r="C38" s="392">
        <f>+'Detail CF Projections'!B38</f>
        <v>5000</v>
      </c>
      <c r="D38" s="391">
        <f>+'Detail CF Projections'!C38</f>
        <v>400</v>
      </c>
      <c r="E38" s="391">
        <f>+'Detail CF Projections'!D38</f>
        <v>400</v>
      </c>
      <c r="F38" s="391">
        <f>+'Detail CF Projections'!E38</f>
        <v>400</v>
      </c>
      <c r="G38" s="391">
        <f>+'Detail CF Projections'!F38</f>
        <v>400</v>
      </c>
      <c r="H38" s="391">
        <f>+'Detail CF Projections'!G38</f>
        <v>400</v>
      </c>
      <c r="I38" s="391">
        <f>+'Detail CF Projections'!H38</f>
        <v>400</v>
      </c>
      <c r="J38" s="391">
        <f>+'Detail CF Projections'!I38</f>
        <v>400</v>
      </c>
      <c r="K38" s="391">
        <f>+'Detail CF Projections'!J38</f>
        <v>400</v>
      </c>
      <c r="L38" s="391">
        <f>+'Detail CF Projections'!K38</f>
        <v>400</v>
      </c>
      <c r="M38" s="391">
        <f>+'Detail CF Projections'!L38</f>
        <v>400</v>
      </c>
      <c r="N38" s="391">
        <f>+'Detail CF Projections'!M38</f>
        <v>400</v>
      </c>
      <c r="O38" s="392">
        <f>+'Detail CF Projections'!N38</f>
        <v>400</v>
      </c>
      <c r="P38" s="391">
        <f>+'Detail CF Projections'!O38</f>
        <v>4800</v>
      </c>
      <c r="Q38" s="391">
        <f>+'Detail CF Projections'!P38</f>
        <v>4944</v>
      </c>
      <c r="R38" s="391">
        <f>+'Detail CF Projections'!Q38</f>
        <v>5092.32</v>
      </c>
    </row>
    <row r="39" spans="2:18" ht="12.75" customHeight="1" x14ac:dyDescent="0.2">
      <c r="B39" s="399" t="s">
        <v>87</v>
      </c>
      <c r="C39" s="395">
        <f t="shared" ref="C39:R39" si="3">-SUM(C21:C38)</f>
        <v>-17300</v>
      </c>
      <c r="D39" s="394">
        <f t="shared" si="3"/>
        <v>-23777.5</v>
      </c>
      <c r="E39" s="394">
        <f t="shared" si="3"/>
        <v>-23777.5</v>
      </c>
      <c r="F39" s="394">
        <f t="shared" si="3"/>
        <v>-23777.5</v>
      </c>
      <c r="G39" s="394">
        <f t="shared" si="3"/>
        <v>-23777.5</v>
      </c>
      <c r="H39" s="394">
        <f t="shared" si="3"/>
        <v>-23777.5</v>
      </c>
      <c r="I39" s="394">
        <f t="shared" si="3"/>
        <v>-23777.5</v>
      </c>
      <c r="J39" s="394">
        <f t="shared" si="3"/>
        <v>-23777.5</v>
      </c>
      <c r="K39" s="394">
        <f t="shared" si="3"/>
        <v>-23777.5</v>
      </c>
      <c r="L39" s="394">
        <f t="shared" si="3"/>
        <v>-23777.5</v>
      </c>
      <c r="M39" s="394">
        <f t="shared" si="3"/>
        <v>-24927.5</v>
      </c>
      <c r="N39" s="394">
        <f t="shared" si="3"/>
        <v>-23777.5</v>
      </c>
      <c r="O39" s="395">
        <f t="shared" si="3"/>
        <v>-23777.5</v>
      </c>
      <c r="P39" s="394">
        <f t="shared" si="3"/>
        <v>-286480</v>
      </c>
      <c r="Q39" s="394">
        <f t="shared" si="3"/>
        <v>-332412.73660714284</v>
      </c>
      <c r="R39" s="394">
        <f t="shared" si="3"/>
        <v>-345770.10629464278</v>
      </c>
    </row>
    <row r="40" spans="2:18" ht="12.75" customHeight="1" x14ac:dyDescent="0.2">
      <c r="B40" s="340" t="s">
        <v>134</v>
      </c>
      <c r="C40" s="398">
        <f t="shared" ref="C40:R40" si="4">+C19+C39</f>
        <v>-17300</v>
      </c>
      <c r="D40" s="397">
        <f t="shared" si="4"/>
        <v>-20333.5</v>
      </c>
      <c r="E40" s="397">
        <f t="shared" si="4"/>
        <v>-17004.099999999999</v>
      </c>
      <c r="F40" s="397">
        <f t="shared" si="4"/>
        <v>-12871</v>
      </c>
      <c r="G40" s="397">
        <f t="shared" si="4"/>
        <v>-7934.2000000000007</v>
      </c>
      <c r="H40" s="397">
        <f t="shared" si="4"/>
        <v>-2193.7000000000007</v>
      </c>
      <c r="I40" s="397">
        <f t="shared" si="4"/>
        <v>4350.5</v>
      </c>
      <c r="J40" s="397">
        <f t="shared" si="4"/>
        <v>15142.400000000001</v>
      </c>
      <c r="K40" s="397">
        <f t="shared" si="4"/>
        <v>21457.4</v>
      </c>
      <c r="L40" s="397">
        <f t="shared" si="4"/>
        <v>26968.699999999997</v>
      </c>
      <c r="M40" s="397">
        <f t="shared" si="4"/>
        <v>30526.300000000003</v>
      </c>
      <c r="N40" s="397">
        <f t="shared" si="4"/>
        <v>37302.199999999997</v>
      </c>
      <c r="O40" s="398">
        <f t="shared" si="4"/>
        <v>42928.100000000006</v>
      </c>
      <c r="P40" s="397">
        <f t="shared" si="4"/>
        <v>118339.09999999998</v>
      </c>
      <c r="Q40" s="397">
        <f t="shared" si="4"/>
        <v>162130.82479285717</v>
      </c>
      <c r="R40" s="397">
        <f t="shared" si="4"/>
        <v>206390.18070535723</v>
      </c>
    </row>
    <row r="41" spans="2:18" ht="12.75" customHeight="1" x14ac:dyDescent="0.2">
      <c r="B41" s="338" t="str">
        <f>+'Detail CF Projections'!A41</f>
        <v xml:space="preserve">Other income (expense) </v>
      </c>
      <c r="C41" s="392">
        <f>+'Detail CF Projections'!B41</f>
        <v>0</v>
      </c>
      <c r="D41" s="391">
        <f>+'Detail CF Projections'!C41</f>
        <v>-1250</v>
      </c>
      <c r="E41" s="391">
        <f>+'Detail CF Projections'!D41</f>
        <v>-1247.2946117690228</v>
      </c>
      <c r="F41" s="391">
        <f>+'Detail CF Projections'!E41</f>
        <v>-1258.575696596891</v>
      </c>
      <c r="G41" s="391">
        <f>+'Detail CF Projections'!F41</f>
        <v>-1347.269853515565</v>
      </c>
      <c r="H41" s="391">
        <f>+'Detail CF Projections'!G41</f>
        <v>-1405.8931923299435</v>
      </c>
      <c r="I41" s="391">
        <f>+'Detail CF Projections'!H41</f>
        <v>-1428.2452636902458</v>
      </c>
      <c r="J41" s="391">
        <f>+'Detail CF Projections'!I41</f>
        <v>-1409.1976153648804</v>
      </c>
      <c r="K41" s="391">
        <f>+'Detail CF Projections'!J41</f>
        <v>-1322.8009388884695</v>
      </c>
      <c r="L41" s="391">
        <f>+'Detail CF Projections'!K41</f>
        <v>-1227.9743284892506</v>
      </c>
      <c r="M41" s="391">
        <f>+'Detail CF Projections'!L41</f>
        <v>-1225.1588119007199</v>
      </c>
      <c r="N41" s="391">
        <f>+'Detail CF Projections'!M41</f>
        <v>-1222.3292177292465</v>
      </c>
      <c r="O41" s="392">
        <f>+'Detail CF Projections'!N41</f>
        <v>-1219.4854755869155</v>
      </c>
      <c r="P41" s="391">
        <f>+'Detail CF Projections'!O41</f>
        <v>-15564.22500586115</v>
      </c>
      <c r="Q41" s="391">
        <f>+'Detail CF Projections'!P41</f>
        <v>-14406.749551959902</v>
      </c>
      <c r="R41" s="391">
        <f>+'Detail CF Projections'!Q41</f>
        <v>-13969.689031877553</v>
      </c>
    </row>
    <row r="42" spans="2:18" ht="12.75" customHeight="1" x14ac:dyDescent="0.2">
      <c r="B42" s="340" t="s">
        <v>135</v>
      </c>
      <c r="C42" s="398">
        <f t="shared" ref="C42:R42" si="5">+C40+C41</f>
        <v>-17300</v>
      </c>
      <c r="D42" s="397">
        <f t="shared" si="5"/>
        <v>-21583.5</v>
      </c>
      <c r="E42" s="397">
        <f t="shared" si="5"/>
        <v>-18251.394611769021</v>
      </c>
      <c r="F42" s="397">
        <f t="shared" si="5"/>
        <v>-14129.57569659689</v>
      </c>
      <c r="G42" s="397">
        <f t="shared" si="5"/>
        <v>-9281.4698535155658</v>
      </c>
      <c r="H42" s="397">
        <f t="shared" si="5"/>
        <v>-3599.593192329944</v>
      </c>
      <c r="I42" s="397">
        <f t="shared" si="5"/>
        <v>2922.2547363097542</v>
      </c>
      <c r="J42" s="397">
        <f t="shared" si="5"/>
        <v>13733.20238463512</v>
      </c>
      <c r="K42" s="397">
        <f t="shared" si="5"/>
        <v>20134.59906111153</v>
      </c>
      <c r="L42" s="397">
        <f t="shared" si="5"/>
        <v>25740.725671510747</v>
      </c>
      <c r="M42" s="397">
        <f t="shared" si="5"/>
        <v>29301.141188099282</v>
      </c>
      <c r="N42" s="397">
        <f t="shared" si="5"/>
        <v>36079.870782270751</v>
      </c>
      <c r="O42" s="398">
        <f t="shared" si="5"/>
        <v>41708.614524413089</v>
      </c>
      <c r="P42" s="397">
        <f t="shared" si="5"/>
        <v>102774.87499413882</v>
      </c>
      <c r="Q42" s="397">
        <f t="shared" si="5"/>
        <v>147724.07524089728</v>
      </c>
      <c r="R42" s="397">
        <f t="shared" si="5"/>
        <v>192420.49167347967</v>
      </c>
    </row>
    <row r="43" spans="2:18" ht="12.75" customHeight="1" x14ac:dyDescent="0.2">
      <c r="B43" s="338" t="str">
        <f>+'Detail CF Projections'!A43</f>
        <v>Provision for income tax (@25%)</v>
      </c>
      <c r="C43" s="392">
        <f>+'Detail CF Projections'!B43</f>
        <v>0</v>
      </c>
      <c r="D43" s="391">
        <f>+'Detail CF Projections'!C43</f>
        <v>0</v>
      </c>
      <c r="E43" s="391">
        <f>+'Detail CF Projections'!D43</f>
        <v>0</v>
      </c>
      <c r="F43" s="391">
        <f>+'Detail CF Projections'!E43</f>
        <v>0</v>
      </c>
      <c r="G43" s="391">
        <f>+'Detail CF Projections'!F43</f>
        <v>0</v>
      </c>
      <c r="H43" s="391">
        <f>+'Detail CF Projections'!G43</f>
        <v>0</v>
      </c>
      <c r="I43" s="391">
        <f>+'Detail CF Projections'!H43</f>
        <v>0</v>
      </c>
      <c r="J43" s="391">
        <f>+'Detail CF Projections'!I43</f>
        <v>0</v>
      </c>
      <c r="K43" s="391">
        <f>+'Detail CF Projections'!J43</f>
        <v>0</v>
      </c>
      <c r="L43" s="391">
        <f>+'Detail CF Projections'!K43</f>
        <v>0</v>
      </c>
      <c r="M43" s="391">
        <f>+'Detail CF Projections'!L43</f>
        <v>0</v>
      </c>
      <c r="N43" s="391">
        <f>+'Detail CF Projections'!M43</f>
        <v>0</v>
      </c>
      <c r="O43" s="392">
        <f>+'Detail CF Projections'!N43</f>
        <v>0</v>
      </c>
      <c r="P43" s="391">
        <f>+'Detail CF Projections'!O43</f>
        <v>-25693.718748534706</v>
      </c>
      <c r="Q43" s="391">
        <f>+'Detail CF Projections'!P43</f>
        <v>-36931.018810224319</v>
      </c>
      <c r="R43" s="391">
        <f>+'Detail CF Projections'!Q43</f>
        <v>-48105.122918369918</v>
      </c>
    </row>
    <row r="44" spans="2:18" ht="13.5" customHeight="1" x14ac:dyDescent="0.2">
      <c r="B44" s="400" t="s">
        <v>136</v>
      </c>
      <c r="C44" s="401">
        <f t="shared" ref="C44:R44" si="6">+C42+C43</f>
        <v>-17300</v>
      </c>
      <c r="D44" s="402">
        <f t="shared" si="6"/>
        <v>-21583.5</v>
      </c>
      <c r="E44" s="402">
        <f t="shared" si="6"/>
        <v>-18251.394611769021</v>
      </c>
      <c r="F44" s="402">
        <f t="shared" si="6"/>
        <v>-14129.57569659689</v>
      </c>
      <c r="G44" s="402">
        <f t="shared" si="6"/>
        <v>-9281.4698535155658</v>
      </c>
      <c r="H44" s="402">
        <f t="shared" si="6"/>
        <v>-3599.593192329944</v>
      </c>
      <c r="I44" s="402">
        <f t="shared" si="6"/>
        <v>2922.2547363097542</v>
      </c>
      <c r="J44" s="402">
        <f t="shared" si="6"/>
        <v>13733.20238463512</v>
      </c>
      <c r="K44" s="402">
        <f t="shared" si="6"/>
        <v>20134.59906111153</v>
      </c>
      <c r="L44" s="402">
        <f t="shared" si="6"/>
        <v>25740.725671510747</v>
      </c>
      <c r="M44" s="402">
        <f t="shared" si="6"/>
        <v>29301.141188099282</v>
      </c>
      <c r="N44" s="402">
        <f t="shared" si="6"/>
        <v>36079.870782270751</v>
      </c>
      <c r="O44" s="401">
        <f t="shared" si="6"/>
        <v>41708.614524413089</v>
      </c>
      <c r="P44" s="402">
        <f t="shared" si="6"/>
        <v>77081.156245604114</v>
      </c>
      <c r="Q44" s="402">
        <f t="shared" si="6"/>
        <v>110793.05643067296</v>
      </c>
      <c r="R44" s="402">
        <f t="shared" si="6"/>
        <v>144315.36875510975</v>
      </c>
    </row>
    <row r="45" spans="2:18" ht="12.75" customHeight="1" x14ac:dyDescent="0.2">
      <c r="B45" s="403" t="s">
        <v>137</v>
      </c>
      <c r="C45" s="193"/>
      <c r="D45" s="404">
        <f t="shared" ref="D45:R45" si="7">+D44/D12</f>
        <v>-4.8480458221024261</v>
      </c>
      <c r="E45" s="404">
        <f t="shared" si="7"/>
        <v>-2.1527948350753738</v>
      </c>
      <c r="F45" s="404">
        <f t="shared" si="7"/>
        <v>-1.0541312814530654</v>
      </c>
      <c r="G45" s="404">
        <f t="shared" si="7"/>
        <v>-0.48265573861235389</v>
      </c>
      <c r="H45" s="404">
        <f t="shared" si="7"/>
        <v>-0.13868058222876961</v>
      </c>
      <c r="I45" s="404">
        <f t="shared" si="7"/>
        <v>8.7018484197181653E-2</v>
      </c>
      <c r="J45" s="404">
        <f t="shared" si="7"/>
        <v>0.29495709588992958</v>
      </c>
      <c r="K45" s="404">
        <f t="shared" si="7"/>
        <v>0.37751901340817356</v>
      </c>
      <c r="L45" s="404">
        <f t="shared" si="7"/>
        <v>0.43475080515320136</v>
      </c>
      <c r="M45" s="404">
        <f t="shared" si="7"/>
        <v>0.45653206799568852</v>
      </c>
      <c r="N45" s="404">
        <f t="shared" si="7"/>
        <v>0.51190191513110794</v>
      </c>
      <c r="O45" s="404">
        <f t="shared" si="7"/>
        <v>0.54320823271617158</v>
      </c>
      <c r="P45" s="404">
        <f t="shared" si="7"/>
        <v>0.16205435981415769</v>
      </c>
      <c r="Q45" s="404">
        <f t="shared" si="7"/>
        <v>0.18845452574465968</v>
      </c>
      <c r="R45" s="404">
        <f t="shared" si="7"/>
        <v>0.21985988472694079</v>
      </c>
    </row>
    <row r="46" spans="2:18" ht="12.75" customHeight="1" x14ac:dyDescent="0.2">
      <c r="B46" s="127"/>
      <c r="C46" s="127"/>
      <c r="D46" s="127"/>
      <c r="E46" s="127"/>
      <c r="F46" s="127"/>
      <c r="G46" s="127"/>
      <c r="H46" s="127"/>
      <c r="I46" s="127"/>
      <c r="J46" s="127"/>
      <c r="K46" s="127"/>
      <c r="L46" s="127"/>
      <c r="M46" s="127"/>
      <c r="N46" s="127"/>
      <c r="O46" s="127"/>
      <c r="P46" s="127"/>
      <c r="Q46" s="127"/>
      <c r="R46" s="127"/>
    </row>
    <row r="47" spans="2:18" ht="12.75" customHeight="1" x14ac:dyDescent="0.2">
      <c r="B47" s="163"/>
    </row>
    <row r="48" spans="2:18" ht="12.75" customHeight="1" x14ac:dyDescent="0.2">
      <c r="B48" s="163"/>
    </row>
    <row r="49" spans="2:18" x14ac:dyDescent="0.2"/>
    <row r="50" spans="2:18" ht="12.75" customHeight="1" x14ac:dyDescent="0.2">
      <c r="B50" s="405" t="s">
        <v>96</v>
      </c>
      <c r="C50" s="194"/>
      <c r="D50" s="166"/>
      <c r="E50" s="166"/>
      <c r="F50" s="166"/>
      <c r="G50" s="166"/>
      <c r="H50" s="166"/>
      <c r="I50" s="166"/>
      <c r="J50" s="166"/>
      <c r="K50" s="166"/>
      <c r="L50" s="166"/>
      <c r="M50" s="166"/>
      <c r="N50" s="166"/>
      <c r="O50" s="166"/>
      <c r="P50" s="1076" t="s">
        <v>138</v>
      </c>
      <c r="Q50" s="1065"/>
      <c r="R50" s="1065"/>
    </row>
    <row r="51" spans="2:18" ht="12.75" customHeight="1" x14ac:dyDescent="0.2">
      <c r="B51" s="359"/>
      <c r="C51" s="406" t="str">
        <f t="shared" ref="C51:O51" si="8">+C5</f>
        <v>Pre-opening</v>
      </c>
      <c r="D51" s="407">
        <f t="shared" si="8"/>
        <v>44771</v>
      </c>
      <c r="E51" s="407">
        <f t="shared" si="8"/>
        <v>44799</v>
      </c>
      <c r="F51" s="407">
        <f t="shared" si="8"/>
        <v>44827</v>
      </c>
      <c r="G51" s="407">
        <f t="shared" si="8"/>
        <v>44855</v>
      </c>
      <c r="H51" s="407">
        <f t="shared" si="8"/>
        <v>44883</v>
      </c>
      <c r="I51" s="407">
        <f t="shared" si="8"/>
        <v>44911</v>
      </c>
      <c r="J51" s="407">
        <f t="shared" si="8"/>
        <v>44939</v>
      </c>
      <c r="K51" s="407">
        <f t="shared" si="8"/>
        <v>44967</v>
      </c>
      <c r="L51" s="407">
        <f t="shared" si="8"/>
        <v>44995</v>
      </c>
      <c r="M51" s="407">
        <f t="shared" si="8"/>
        <v>45023</v>
      </c>
      <c r="N51" s="407">
        <f t="shared" si="8"/>
        <v>45051</v>
      </c>
      <c r="O51" s="408">
        <f t="shared" si="8"/>
        <v>45079</v>
      </c>
      <c r="P51" s="372">
        <f>+O51</f>
        <v>45079</v>
      </c>
      <c r="Q51" s="372">
        <f>+P51+365</f>
        <v>45444</v>
      </c>
      <c r="R51" s="372">
        <f>+Q51+365</f>
        <v>45809</v>
      </c>
    </row>
    <row r="52" spans="2:18" ht="12.75" customHeight="1" x14ac:dyDescent="0.2">
      <c r="B52" s="310" t="s">
        <v>11</v>
      </c>
      <c r="C52" s="195"/>
      <c r="D52" s="130"/>
      <c r="E52" s="130"/>
      <c r="F52" s="130"/>
      <c r="G52" s="130"/>
      <c r="H52" s="130"/>
      <c r="I52" s="130"/>
      <c r="J52" s="130"/>
      <c r="K52" s="130"/>
      <c r="L52" s="130"/>
      <c r="M52" s="130"/>
      <c r="N52" s="130"/>
      <c r="O52" s="195"/>
      <c r="P52" s="130"/>
      <c r="Q52" s="130"/>
      <c r="R52" s="130"/>
    </row>
    <row r="53" spans="2:18" ht="12.75" customHeight="1" x14ac:dyDescent="0.2">
      <c r="B53" s="311" t="s">
        <v>14</v>
      </c>
      <c r="C53" s="196"/>
      <c r="D53" s="127"/>
      <c r="E53" s="127"/>
      <c r="F53" s="127"/>
      <c r="G53" s="127"/>
      <c r="H53" s="127"/>
      <c r="I53" s="127"/>
      <c r="J53" s="127"/>
      <c r="K53" s="127"/>
      <c r="L53" s="127"/>
      <c r="M53" s="127"/>
      <c r="N53" s="127"/>
      <c r="O53" s="197"/>
      <c r="P53" s="127"/>
      <c r="Q53" s="127"/>
      <c r="R53" s="127"/>
    </row>
    <row r="54" spans="2:18" ht="12.75" customHeight="1" x14ac:dyDescent="0.2">
      <c r="B54" s="315" t="str">
        <f>+'Detail CF Projections'!A79</f>
        <v>Cash</v>
      </c>
      <c r="C54" s="409">
        <f>+'Detail CF Projections'!B79</f>
        <v>124700</v>
      </c>
      <c r="D54" s="316">
        <f>+'Detail CF Projections'!C79</f>
        <v>103529.56902047124</v>
      </c>
      <c r="E54" s="316">
        <f>+'Detail CF Projections'!D79</f>
        <v>87593.682040942498</v>
      </c>
      <c r="F54" s="316">
        <f>+'Detail CF Projections'!E79</f>
        <v>87151.741061413748</v>
      </c>
      <c r="G54" s="316">
        <f>+'Detail CF Projections'!F79</f>
        <v>86763.14808188501</v>
      </c>
      <c r="H54" s="316">
        <f>+'Detail CF Projections'!G79</f>
        <v>86287.305102356273</v>
      </c>
      <c r="I54" s="316">
        <f>+'Detail CF Projections'!H79</f>
        <v>85750.614122827523</v>
      </c>
      <c r="J54" s="316">
        <f>+'Detail CF Projections'!I79</f>
        <v>85292.957143298787</v>
      </c>
      <c r="K54" s="316">
        <f>+'Detail CF Projections'!J79</f>
        <v>89634.580163770035</v>
      </c>
      <c r="L54" s="316">
        <f>+'Detail CF Projections'!K79</f>
        <v>113091.08118424131</v>
      </c>
      <c r="M54" s="316">
        <f>+'Detail CF Projections'!L79</f>
        <v>139857.05820471258</v>
      </c>
      <c r="N54" s="316">
        <f>+'Detail CF Projections'!M79</f>
        <v>173088.84922518383</v>
      </c>
      <c r="O54" s="409">
        <f>+'Detail CF Projections'!N79</f>
        <v>211636.4542456551</v>
      </c>
      <c r="P54" s="316">
        <f>+'Detail CF Projections'!O79</f>
        <v>211636.45424565504</v>
      </c>
      <c r="Q54" s="316">
        <f>+'Detail CF Projections'!P79</f>
        <v>324733.83482708584</v>
      </c>
      <c r="R54" s="316">
        <f>+'Detail CF Projections'!Q79</f>
        <v>473047.52890087105</v>
      </c>
    </row>
    <row r="55" spans="2:18" ht="12.75" customHeight="1" outlineLevel="1" x14ac:dyDescent="0.2">
      <c r="B55" s="315" t="str">
        <f>+'Detail CF Projections'!A80</f>
        <v>Accounts receivable</v>
      </c>
      <c r="C55" s="409">
        <f>+'Detail CF Projections'!B80</f>
        <v>0</v>
      </c>
      <c r="D55" s="316">
        <f>+'Detail CF Projections'!C80</f>
        <v>184.8</v>
      </c>
      <c r="E55" s="316">
        <f>+'Detail CF Projections'!D80</f>
        <v>539.04</v>
      </c>
      <c r="F55" s="316">
        <f>+'Detail CF Projections'!E80</f>
        <v>1101.24</v>
      </c>
      <c r="G55" s="316">
        <f>+'Detail CF Projections'!F80</f>
        <v>1909.92</v>
      </c>
      <c r="H55" s="316">
        <f>+'Detail CF Projections'!G80</f>
        <v>3003.6000000000004</v>
      </c>
      <c r="I55" s="316">
        <f>+'Detail CF Projections'!H80</f>
        <v>4420.8</v>
      </c>
      <c r="J55" s="316">
        <f>+'Detail CF Projections'!I80</f>
        <v>6384.84</v>
      </c>
      <c r="K55" s="316">
        <f>+'Detail CF Projections'!J80</f>
        <v>8641.68</v>
      </c>
      <c r="L55" s="316">
        <f>+'Detail CF Projections'!K80</f>
        <v>11152.8</v>
      </c>
      <c r="M55" s="316">
        <f>+'Detail CF Projections'!L80</f>
        <v>13879.68</v>
      </c>
      <c r="N55" s="316">
        <f>+'Detail CF Projections'!M80</f>
        <v>16876.2</v>
      </c>
      <c r="O55" s="409">
        <f>+'Detail CF Projections'!N80</f>
        <v>20142.36</v>
      </c>
      <c r="P55" s="316">
        <f>+'Detail CF Projections'!O80</f>
        <v>20142.36</v>
      </c>
      <c r="Q55" s="316">
        <f>+'Detail CF Projections'!P80</f>
        <v>24895.956959999996</v>
      </c>
      <c r="R55" s="316">
        <f>+'Detail CF Projections'!Q80</f>
        <v>27796.456799999993</v>
      </c>
    </row>
    <row r="56" spans="2:18" ht="12.75" customHeight="1" outlineLevel="1" x14ac:dyDescent="0.2">
      <c r="B56" s="315" t="str">
        <f>+'Detail CF Projections'!A81</f>
        <v>Inventory</v>
      </c>
      <c r="C56" s="409">
        <f>+'Detail CF Projections'!B81</f>
        <v>0</v>
      </c>
      <c r="D56" s="316">
        <f>+'Detail CF Projections'!C81</f>
        <v>27.72</v>
      </c>
      <c r="E56" s="316">
        <f>+'Detail CF Projections'!D81</f>
        <v>80.855999999999995</v>
      </c>
      <c r="F56" s="316">
        <f>+'Detail CF Projections'!E81</f>
        <v>165.18599999999998</v>
      </c>
      <c r="G56" s="316">
        <f>+'Detail CF Projections'!F81</f>
        <v>286.488</v>
      </c>
      <c r="H56" s="316">
        <f>+'Detail CF Projections'!G81</f>
        <v>450.53999999999996</v>
      </c>
      <c r="I56" s="316">
        <f>+'Detail CF Projections'!H81</f>
        <v>663.12</v>
      </c>
      <c r="J56" s="316">
        <f>+'Detail CF Projections'!I81</f>
        <v>957.726</v>
      </c>
      <c r="K56" s="316">
        <f>+'Detail CF Projections'!J81</f>
        <v>1296.252</v>
      </c>
      <c r="L56" s="316">
        <f>+'Detail CF Projections'!K81</f>
        <v>1672.92</v>
      </c>
      <c r="M56" s="316">
        <f>+'Detail CF Projections'!L81</f>
        <v>2081.9520000000002</v>
      </c>
      <c r="N56" s="316">
        <f>+'Detail CF Projections'!M81</f>
        <v>2531.4300000000003</v>
      </c>
      <c r="O56" s="409">
        <f>+'Detail CF Projections'!N81</f>
        <v>3021.3540000000003</v>
      </c>
      <c r="P56" s="316">
        <f>+'Detail CF Projections'!O81</f>
        <v>3021.3540000000003</v>
      </c>
      <c r="Q56" s="316">
        <f>+'Detail CF Projections'!P81</f>
        <v>3734.3935439999996</v>
      </c>
      <c r="R56" s="316">
        <f>+'Detail CF Projections'!Q81</f>
        <v>4169.4685199999985</v>
      </c>
    </row>
    <row r="57" spans="2:18" ht="12.75" customHeight="1" outlineLevel="1" x14ac:dyDescent="0.2">
      <c r="B57" s="315" t="str">
        <f>+'Detail CF Projections'!A82</f>
        <v>Other currents assets</v>
      </c>
      <c r="C57" s="409">
        <f>+'Detail CF Projections'!B82</f>
        <v>0</v>
      </c>
      <c r="D57" s="316">
        <f>+'Detail CF Projections'!C82</f>
        <v>106.26</v>
      </c>
      <c r="E57" s="316">
        <f>+'Detail CF Projections'!D82</f>
        <v>309.94799999999998</v>
      </c>
      <c r="F57" s="316">
        <f>+'Detail CF Projections'!E82</f>
        <v>633.21299999999997</v>
      </c>
      <c r="G57" s="316">
        <f>+'Detail CF Projections'!F82</f>
        <v>1098.204</v>
      </c>
      <c r="H57" s="316">
        <f>+'Detail CF Projections'!G82</f>
        <v>1727.07</v>
      </c>
      <c r="I57" s="316">
        <f>+'Detail CF Projections'!H82</f>
        <v>2541.96</v>
      </c>
      <c r="J57" s="316">
        <f>+'Detail CF Projections'!I82</f>
        <v>3671.2830000000004</v>
      </c>
      <c r="K57" s="316">
        <f>+'Detail CF Projections'!J82</f>
        <v>4968.9660000000003</v>
      </c>
      <c r="L57" s="316">
        <f>+'Detail CF Projections'!K82</f>
        <v>6412.8600000000006</v>
      </c>
      <c r="M57" s="316">
        <f>+'Detail CF Projections'!L82</f>
        <v>7980.8160000000007</v>
      </c>
      <c r="N57" s="316">
        <f>+'Detail CF Projections'!M82</f>
        <v>9703.8150000000005</v>
      </c>
      <c r="O57" s="409">
        <f>+'Detail CF Projections'!N82</f>
        <v>11581.857</v>
      </c>
      <c r="P57" s="316">
        <f>+'Detail CF Projections'!O82</f>
        <v>11581.857</v>
      </c>
      <c r="Q57" s="316">
        <f>+'Detail CF Projections'!P82</f>
        <v>14315.175251999997</v>
      </c>
      <c r="R57" s="316">
        <f>+'Detail CF Projections'!Q82</f>
        <v>15982.962659999996</v>
      </c>
    </row>
    <row r="58" spans="2:18" ht="12.75" customHeight="1" x14ac:dyDescent="0.2">
      <c r="B58" s="321" t="s">
        <v>29</v>
      </c>
      <c r="C58" s="410">
        <f t="shared" ref="C58:R58" si="9">SUM(C54:C57)</f>
        <v>124700</v>
      </c>
      <c r="D58" s="318">
        <f t="shared" si="9"/>
        <v>103848.34902047124</v>
      </c>
      <c r="E58" s="318">
        <f t="shared" si="9"/>
        <v>88523.526040942495</v>
      </c>
      <c r="F58" s="318">
        <f t="shared" si="9"/>
        <v>89051.380061413758</v>
      </c>
      <c r="G58" s="318">
        <f t="shared" si="9"/>
        <v>90057.760081885004</v>
      </c>
      <c r="H58" s="318">
        <f t="shared" si="9"/>
        <v>91468.515102356279</v>
      </c>
      <c r="I58" s="318">
        <f t="shared" si="9"/>
        <v>93376.494122827527</v>
      </c>
      <c r="J58" s="318">
        <f t="shared" si="9"/>
        <v>96306.806143298774</v>
      </c>
      <c r="K58" s="318">
        <f t="shared" si="9"/>
        <v>104541.47816377002</v>
      </c>
      <c r="L58" s="318">
        <f t="shared" si="9"/>
        <v>132329.6611842413</v>
      </c>
      <c r="M58" s="318">
        <f t="shared" si="9"/>
        <v>163799.50620471255</v>
      </c>
      <c r="N58" s="318">
        <f t="shared" si="9"/>
        <v>202200.29422518384</v>
      </c>
      <c r="O58" s="410">
        <f t="shared" si="9"/>
        <v>246382.02524565507</v>
      </c>
      <c r="P58" s="318">
        <f t="shared" si="9"/>
        <v>246382.02524565501</v>
      </c>
      <c r="Q58" s="318">
        <f t="shared" si="9"/>
        <v>367679.3605830858</v>
      </c>
      <c r="R58" s="318">
        <f t="shared" si="9"/>
        <v>520996.41688087105</v>
      </c>
    </row>
    <row r="59" spans="2:18" ht="12.75" customHeight="1" x14ac:dyDescent="0.2">
      <c r="B59" s="311" t="s">
        <v>139</v>
      </c>
      <c r="C59" s="197"/>
      <c r="D59" s="127"/>
      <c r="E59" s="127"/>
      <c r="F59" s="127"/>
      <c r="G59" s="127"/>
      <c r="H59" s="127"/>
      <c r="I59" s="127"/>
      <c r="J59" s="127"/>
      <c r="K59" s="127"/>
      <c r="L59" s="127"/>
      <c r="M59" s="127"/>
      <c r="N59" s="127"/>
      <c r="O59" s="197"/>
      <c r="P59" s="127"/>
      <c r="Q59" s="127"/>
      <c r="R59" s="127"/>
    </row>
    <row r="60" spans="2:18" ht="12.75" hidden="1" customHeight="1" outlineLevel="1" x14ac:dyDescent="0.2">
      <c r="B60" s="390" t="str">
        <f>+'Detail CF Projections'!A85</f>
        <v>Furniture/Fixtures</v>
      </c>
      <c r="C60" s="409">
        <f>+'Detail CF Projections'!B85</f>
        <v>6000</v>
      </c>
      <c r="D60" s="316">
        <f>+'Detail CF Projections'!C85</f>
        <v>6000</v>
      </c>
      <c r="E60" s="316">
        <f>+'Detail CF Projections'!D85</f>
        <v>6000</v>
      </c>
      <c r="F60" s="316">
        <f>+'Detail CF Projections'!E85</f>
        <v>6000</v>
      </c>
      <c r="G60" s="316">
        <f>+'Detail CF Projections'!F85</f>
        <v>6000</v>
      </c>
      <c r="H60" s="316">
        <f>+'Detail CF Projections'!G85</f>
        <v>6000</v>
      </c>
      <c r="I60" s="316">
        <f>+'Detail CF Projections'!H85</f>
        <v>6000</v>
      </c>
      <c r="J60" s="316">
        <f>+'Detail CF Projections'!I85</f>
        <v>6000</v>
      </c>
      <c r="K60" s="316">
        <f>+'Detail CF Projections'!J85</f>
        <v>6000</v>
      </c>
      <c r="L60" s="316">
        <f>+'Detail CF Projections'!K85</f>
        <v>6000</v>
      </c>
      <c r="M60" s="316">
        <f>+'Detail CF Projections'!L85</f>
        <v>6000</v>
      </c>
      <c r="N60" s="316">
        <f>+'Detail CF Projections'!M85</f>
        <v>6000</v>
      </c>
      <c r="O60" s="409">
        <f>+'Detail CF Projections'!N85</f>
        <v>6000</v>
      </c>
      <c r="P60" s="316">
        <f>+'Detail CF Projections'!O85</f>
        <v>6000</v>
      </c>
      <c r="Q60" s="316">
        <f>+'Detail CF Projections'!P85</f>
        <v>6000</v>
      </c>
      <c r="R60" s="316">
        <f>+'Detail CF Projections'!Q85</f>
        <v>6000</v>
      </c>
    </row>
    <row r="61" spans="2:18" ht="12.75" customHeight="1" outlineLevel="1" x14ac:dyDescent="0.2">
      <c r="B61" s="390" t="str">
        <f>+'Detail CF Projections'!A86</f>
        <v>Equipment</v>
      </c>
      <c r="C61" s="409">
        <f>+'Detail CF Projections'!B86</f>
        <v>6000</v>
      </c>
      <c r="D61" s="316">
        <f>+'Detail CF Projections'!C86</f>
        <v>6000</v>
      </c>
      <c r="E61" s="316">
        <f>+'Detail CF Projections'!D86</f>
        <v>6000</v>
      </c>
      <c r="F61" s="316">
        <f>+'Detail CF Projections'!E86</f>
        <v>6000</v>
      </c>
      <c r="G61" s="316">
        <f>+'Detail CF Projections'!F86</f>
        <v>6000</v>
      </c>
      <c r="H61" s="316">
        <f>+'Detail CF Projections'!G86</f>
        <v>6000</v>
      </c>
      <c r="I61" s="316">
        <f>+'Detail CF Projections'!H86</f>
        <v>6000</v>
      </c>
      <c r="J61" s="316">
        <f>+'Detail CF Projections'!I86</f>
        <v>6000</v>
      </c>
      <c r="K61" s="316">
        <f>+'Detail CF Projections'!J86</f>
        <v>6000</v>
      </c>
      <c r="L61" s="316">
        <f>+'Detail CF Projections'!K86</f>
        <v>6000</v>
      </c>
      <c r="M61" s="316">
        <f>+'Detail CF Projections'!L86</f>
        <v>6000</v>
      </c>
      <c r="N61" s="316">
        <f>+'Detail CF Projections'!M86</f>
        <v>6000</v>
      </c>
      <c r="O61" s="409">
        <f>+'Detail CF Projections'!N86</f>
        <v>6000</v>
      </c>
      <c r="P61" s="316">
        <f>+'Detail CF Projections'!O86</f>
        <v>6000</v>
      </c>
      <c r="Q61" s="316">
        <f>+'Detail CF Projections'!P86</f>
        <v>6000</v>
      </c>
      <c r="R61" s="316">
        <f>+'Detail CF Projections'!Q86</f>
        <v>6000</v>
      </c>
    </row>
    <row r="62" spans="2:18" ht="12.75" hidden="1" customHeight="1" outlineLevel="1" x14ac:dyDescent="0.2">
      <c r="B62" s="390" t="str">
        <f>+'Detail CF Projections'!A87</f>
        <v>Vehicles</v>
      </c>
      <c r="C62" s="409">
        <f>+'Detail CF Projections'!B87</f>
        <v>0</v>
      </c>
      <c r="D62" s="316">
        <f>+'Detail CF Projections'!C87</f>
        <v>0</v>
      </c>
      <c r="E62" s="316">
        <f>+'Detail CF Projections'!D87</f>
        <v>0</v>
      </c>
      <c r="F62" s="316">
        <f>+'Detail CF Projections'!E87</f>
        <v>0</v>
      </c>
      <c r="G62" s="316">
        <f>+'Detail CF Projections'!F87</f>
        <v>0</v>
      </c>
      <c r="H62" s="316">
        <f>+'Detail CF Projections'!G87</f>
        <v>0</v>
      </c>
      <c r="I62" s="316">
        <f>+'Detail CF Projections'!H87</f>
        <v>0</v>
      </c>
      <c r="J62" s="316">
        <f>+'Detail CF Projections'!I87</f>
        <v>0</v>
      </c>
      <c r="K62" s="316">
        <f>+'Detail CF Projections'!J87</f>
        <v>0</v>
      </c>
      <c r="L62" s="316">
        <f>+'Detail CF Projections'!K87</f>
        <v>0</v>
      </c>
      <c r="M62" s="316">
        <f>+'Detail CF Projections'!L87</f>
        <v>0</v>
      </c>
      <c r="N62" s="316">
        <f>+'Detail CF Projections'!M87</f>
        <v>0</v>
      </c>
      <c r="O62" s="409">
        <f>+'Detail CF Projections'!N87</f>
        <v>0</v>
      </c>
      <c r="P62" s="316">
        <f>+'Detail CF Projections'!O87</f>
        <v>0</v>
      </c>
      <c r="Q62" s="316">
        <f>+'Detail CF Projections'!P87</f>
        <v>0</v>
      </c>
      <c r="R62" s="316">
        <f>+'Detail CF Projections'!Q87</f>
        <v>0</v>
      </c>
    </row>
    <row r="63" spans="2:18" ht="12.75" hidden="1" customHeight="1" outlineLevel="1" x14ac:dyDescent="0.2">
      <c r="B63" s="390" t="str">
        <f>+'Detail CF Projections'!A88</f>
        <v xml:space="preserve">Facility buildout </v>
      </c>
      <c r="C63" s="409">
        <f>+'Detail CF Projections'!B88</f>
        <v>120000</v>
      </c>
      <c r="D63" s="316">
        <f>+'Detail CF Projections'!C88</f>
        <v>120000</v>
      </c>
      <c r="E63" s="316">
        <f>+'Detail CF Projections'!D88</f>
        <v>120000</v>
      </c>
      <c r="F63" s="316">
        <f>+'Detail CF Projections'!E88</f>
        <v>120000</v>
      </c>
      <c r="G63" s="316">
        <f>+'Detail CF Projections'!F88</f>
        <v>120000</v>
      </c>
      <c r="H63" s="316">
        <f>+'Detail CF Projections'!G88</f>
        <v>120000</v>
      </c>
      <c r="I63" s="316">
        <f>+'Detail CF Projections'!H88</f>
        <v>120000</v>
      </c>
      <c r="J63" s="316">
        <f>+'Detail CF Projections'!I88</f>
        <v>120000</v>
      </c>
      <c r="K63" s="316">
        <f>+'Detail CF Projections'!J88</f>
        <v>120000</v>
      </c>
      <c r="L63" s="316">
        <f>+'Detail CF Projections'!K88</f>
        <v>120000</v>
      </c>
      <c r="M63" s="316">
        <f>+'Detail CF Projections'!L88</f>
        <v>120000</v>
      </c>
      <c r="N63" s="316">
        <f>+'Detail CF Projections'!M88</f>
        <v>120000</v>
      </c>
      <c r="O63" s="409">
        <f>+'Detail CF Projections'!N88</f>
        <v>120000</v>
      </c>
      <c r="P63" s="316">
        <f>+'Detail CF Projections'!O88</f>
        <v>120000</v>
      </c>
      <c r="Q63" s="316">
        <f>+'Detail CF Projections'!P88</f>
        <v>120000</v>
      </c>
      <c r="R63" s="316">
        <f>+'Detail CF Projections'!Q88</f>
        <v>120000</v>
      </c>
    </row>
    <row r="64" spans="2:18" ht="12.75" customHeight="1" x14ac:dyDescent="0.2">
      <c r="B64" s="390" t="str">
        <f>+'Detail CF Projections'!A88</f>
        <v xml:space="preserve">Facility buildout </v>
      </c>
      <c r="C64" s="409">
        <f>+'Detail CF Projections'!B88</f>
        <v>120000</v>
      </c>
      <c r="D64" s="316">
        <f>+'Detail CF Projections'!C88</f>
        <v>120000</v>
      </c>
      <c r="E64" s="316">
        <f>+'Detail CF Projections'!D88</f>
        <v>120000</v>
      </c>
      <c r="F64" s="316">
        <f>+'Detail CF Projections'!E88</f>
        <v>120000</v>
      </c>
      <c r="G64" s="316">
        <f>+'Detail CF Projections'!F88</f>
        <v>120000</v>
      </c>
      <c r="H64" s="316">
        <f>+'Detail CF Projections'!G88</f>
        <v>120000</v>
      </c>
      <c r="I64" s="316">
        <f>+'Detail CF Projections'!H88</f>
        <v>120000</v>
      </c>
      <c r="J64" s="316">
        <f>+'Detail CF Projections'!I88</f>
        <v>120000</v>
      </c>
      <c r="K64" s="316">
        <f>+'Detail CF Projections'!J88</f>
        <v>120000</v>
      </c>
      <c r="L64" s="316">
        <f>+'Detail CF Projections'!K88</f>
        <v>120000</v>
      </c>
      <c r="M64" s="316">
        <f>+'Detail CF Projections'!L88</f>
        <v>120000</v>
      </c>
      <c r="N64" s="316">
        <f>+'Detail CF Projections'!M88</f>
        <v>120000</v>
      </c>
      <c r="O64" s="409">
        <f>+'Detail CF Projections'!N88</f>
        <v>120000</v>
      </c>
      <c r="P64" s="316">
        <f>+'Detail CF Projections'!O88</f>
        <v>120000</v>
      </c>
      <c r="Q64" s="316">
        <f>+'Detail CF Projections'!P88</f>
        <v>120000</v>
      </c>
      <c r="R64" s="316">
        <f>+'Detail CF Projections'!Q88</f>
        <v>120000</v>
      </c>
    </row>
    <row r="65" spans="2:18" ht="12.75" customHeight="1" x14ac:dyDescent="0.2">
      <c r="B65" s="315" t="str">
        <f>+'Detail CF Projections'!A90</f>
        <v>Accumulated depr</v>
      </c>
      <c r="C65" s="409">
        <f>+'Detail CF Projections'!B90</f>
        <v>0</v>
      </c>
      <c r="D65" s="316">
        <f>+'Detail CF Projections'!C90</f>
        <v>-1166.6666666666667</v>
      </c>
      <c r="E65" s="316">
        <f>+'Detail CF Projections'!D90</f>
        <v>-2333.3333333333335</v>
      </c>
      <c r="F65" s="316">
        <f>+'Detail CF Projections'!E90</f>
        <v>-3500</v>
      </c>
      <c r="G65" s="316">
        <f>+'Detail CF Projections'!F90</f>
        <v>-4666.666666666667</v>
      </c>
      <c r="H65" s="316">
        <f>+'Detail CF Projections'!G90</f>
        <v>-5833.3333333333339</v>
      </c>
      <c r="I65" s="316">
        <f>+'Detail CF Projections'!H90</f>
        <v>-7000.0000000000009</v>
      </c>
      <c r="J65" s="316">
        <f>+'Detail CF Projections'!I90</f>
        <v>-8166.6666666666679</v>
      </c>
      <c r="K65" s="316">
        <f>+'Detail CF Projections'!J90</f>
        <v>-9333.3333333333339</v>
      </c>
      <c r="L65" s="316">
        <f>+'Detail CF Projections'!K90</f>
        <v>-10500</v>
      </c>
      <c r="M65" s="316">
        <f>+'Detail CF Projections'!L90</f>
        <v>-11666.666666666666</v>
      </c>
      <c r="N65" s="316">
        <f>+'Detail CF Projections'!M90</f>
        <v>-12833.333333333332</v>
      </c>
      <c r="O65" s="409">
        <f>+'Detail CF Projections'!N90</f>
        <v>-13999.999999999998</v>
      </c>
      <c r="P65" s="316">
        <f>+'Detail CF Projections'!O90</f>
        <v>-13999.999999999998</v>
      </c>
      <c r="Q65" s="316">
        <f>+'Detail CF Projections'!P90</f>
        <v>-28857.142857142855</v>
      </c>
      <c r="R65" s="316">
        <f>+'Detail CF Projections'!Q90</f>
        <v>-43714.28571428571</v>
      </c>
    </row>
    <row r="66" spans="2:18" ht="12.75" customHeight="1" x14ac:dyDescent="0.2">
      <c r="B66" s="321" t="str">
        <f>+'Detail CF Projections'!A91</f>
        <v>Net fixed assets</v>
      </c>
      <c r="C66" s="410">
        <f>+'Detail CF Projections'!B91</f>
        <v>132000</v>
      </c>
      <c r="D66" s="318">
        <f>+'Detail CF Projections'!C91</f>
        <v>130833</v>
      </c>
      <c r="E66" s="318">
        <f>+'Detail CF Projections'!D91</f>
        <v>129667</v>
      </c>
      <c r="F66" s="318">
        <f>+'Detail CF Projections'!E91</f>
        <v>128500</v>
      </c>
      <c r="G66" s="318">
        <f>+'Detail CF Projections'!F91</f>
        <v>127333</v>
      </c>
      <c r="H66" s="318">
        <f>+'Detail CF Projections'!G91</f>
        <v>126167</v>
      </c>
      <c r="I66" s="318">
        <f>+'Detail CF Projections'!H91</f>
        <v>125000</v>
      </c>
      <c r="J66" s="318">
        <f>+'Detail CF Projections'!I91</f>
        <v>123833</v>
      </c>
      <c r="K66" s="318">
        <f>+'Detail CF Projections'!J91</f>
        <v>122667</v>
      </c>
      <c r="L66" s="318">
        <f>+'Detail CF Projections'!K91</f>
        <v>121500</v>
      </c>
      <c r="M66" s="318">
        <f>+'Detail CF Projections'!L91</f>
        <v>120333</v>
      </c>
      <c r="N66" s="318">
        <f>+'Detail CF Projections'!M91</f>
        <v>119167</v>
      </c>
      <c r="O66" s="410">
        <f>+'Detail CF Projections'!N91</f>
        <v>118000</v>
      </c>
      <c r="P66" s="318">
        <f>+'Detail CF Projections'!O91</f>
        <v>118000</v>
      </c>
      <c r="Q66" s="318">
        <f>+'Detail CF Projections'!P91</f>
        <v>103143</v>
      </c>
      <c r="R66" s="318">
        <f>+'Detail CF Projections'!Q91</f>
        <v>88286</v>
      </c>
    </row>
    <row r="67" spans="2:18" ht="12.75" customHeight="1" x14ac:dyDescent="0.2">
      <c r="B67" s="315" t="str">
        <f>+'Detail CF Projections'!A92</f>
        <v>Other assets</v>
      </c>
      <c r="C67" s="409">
        <f>+'Detail CF Projections'!B92</f>
        <v>6000</v>
      </c>
      <c r="D67" s="316">
        <f>+'Detail CF Projections'!C92</f>
        <v>6000</v>
      </c>
      <c r="E67" s="316">
        <f>+'Detail CF Projections'!D92</f>
        <v>6000</v>
      </c>
      <c r="F67" s="316">
        <f>+'Detail CF Projections'!E92</f>
        <v>6000</v>
      </c>
      <c r="G67" s="316">
        <f>+'Detail CF Projections'!F92</f>
        <v>6000</v>
      </c>
      <c r="H67" s="316">
        <f>+'Detail CF Projections'!G92</f>
        <v>6000</v>
      </c>
      <c r="I67" s="316">
        <f>+'Detail CF Projections'!H92</f>
        <v>6000</v>
      </c>
      <c r="J67" s="316">
        <f>+'Detail CF Projections'!I92</f>
        <v>6000</v>
      </c>
      <c r="K67" s="316">
        <f>+'Detail CF Projections'!J92</f>
        <v>6000</v>
      </c>
      <c r="L67" s="316">
        <f>+'Detail CF Projections'!K92</f>
        <v>6000</v>
      </c>
      <c r="M67" s="316">
        <f>+'Detail CF Projections'!L92</f>
        <v>6000</v>
      </c>
      <c r="N67" s="316">
        <f>+'Detail CF Projections'!M92</f>
        <v>6000</v>
      </c>
      <c r="O67" s="409">
        <f>+'Detail CF Projections'!N92</f>
        <v>6000</v>
      </c>
      <c r="P67" s="316">
        <f>+'Detail CF Projections'!O92</f>
        <v>6000</v>
      </c>
      <c r="Q67" s="316">
        <f>+'Detail CF Projections'!P92</f>
        <v>6000</v>
      </c>
      <c r="R67" s="316">
        <f>+'Detail CF Projections'!Q92</f>
        <v>6000</v>
      </c>
    </row>
    <row r="68" spans="2:18" ht="12.75" customHeight="1" x14ac:dyDescent="0.2">
      <c r="B68" s="326" t="s">
        <v>59</v>
      </c>
      <c r="C68" s="411">
        <f t="shared" ref="C68:R68" si="10">+C58+C66+C67</f>
        <v>262700</v>
      </c>
      <c r="D68" s="327">
        <f t="shared" si="10"/>
        <v>240681.34902047124</v>
      </c>
      <c r="E68" s="327">
        <f t="shared" si="10"/>
        <v>224190.5260409425</v>
      </c>
      <c r="F68" s="327">
        <f t="shared" si="10"/>
        <v>223551.38006141374</v>
      </c>
      <c r="G68" s="327">
        <f t="shared" si="10"/>
        <v>223390.760081885</v>
      </c>
      <c r="H68" s="327">
        <f t="shared" si="10"/>
        <v>223635.51510235626</v>
      </c>
      <c r="I68" s="327">
        <f t="shared" si="10"/>
        <v>224376.49412282754</v>
      </c>
      <c r="J68" s="327">
        <f t="shared" si="10"/>
        <v>226139.80614329877</v>
      </c>
      <c r="K68" s="327">
        <f t="shared" si="10"/>
        <v>233208.47816377002</v>
      </c>
      <c r="L68" s="327">
        <f t="shared" si="10"/>
        <v>259829.6611842413</v>
      </c>
      <c r="M68" s="327">
        <f t="shared" si="10"/>
        <v>290132.50620471255</v>
      </c>
      <c r="N68" s="327">
        <f t="shared" si="10"/>
        <v>327367.29422518384</v>
      </c>
      <c r="O68" s="411">
        <f t="shared" si="10"/>
        <v>370382.0252456551</v>
      </c>
      <c r="P68" s="327">
        <f t="shared" si="10"/>
        <v>370382.02524565498</v>
      </c>
      <c r="Q68" s="327">
        <f t="shared" si="10"/>
        <v>476822.3605830858</v>
      </c>
      <c r="R68" s="327">
        <f t="shared" si="10"/>
        <v>615282.41688087105</v>
      </c>
    </row>
    <row r="69" spans="2:18" ht="18.75" customHeight="1" x14ac:dyDescent="0.2">
      <c r="B69" s="310" t="s">
        <v>64</v>
      </c>
      <c r="C69" s="195"/>
      <c r="D69" s="130"/>
      <c r="E69" s="130"/>
      <c r="F69" s="130"/>
      <c r="G69" s="130"/>
      <c r="H69" s="130"/>
      <c r="I69" s="130"/>
      <c r="J69" s="130"/>
      <c r="K69" s="130"/>
      <c r="L69" s="130"/>
      <c r="M69" s="130"/>
      <c r="N69" s="130"/>
      <c r="O69" s="195"/>
      <c r="P69" s="130"/>
      <c r="Q69" s="130"/>
      <c r="R69" s="130"/>
    </row>
    <row r="70" spans="2:18" ht="12.75" customHeight="1" x14ac:dyDescent="0.2">
      <c r="B70" s="311" t="s">
        <v>67</v>
      </c>
      <c r="C70" s="196"/>
      <c r="D70" s="127"/>
      <c r="E70" s="127"/>
      <c r="F70" s="127"/>
      <c r="G70" s="127"/>
      <c r="H70" s="127"/>
      <c r="I70" s="127"/>
      <c r="J70" s="127"/>
      <c r="K70" s="127"/>
      <c r="L70" s="127"/>
      <c r="M70" s="127"/>
      <c r="N70" s="127"/>
      <c r="O70" s="197"/>
      <c r="P70" s="127"/>
      <c r="Q70" s="127"/>
      <c r="R70" s="127"/>
    </row>
    <row r="71" spans="2:18" ht="12.75" customHeight="1" outlineLevel="1" x14ac:dyDescent="0.2">
      <c r="B71" s="390" t="str">
        <f>+'Detail CF Projections'!A96</f>
        <v>Accounts payable balance</v>
      </c>
      <c r="C71" s="409">
        <f>+'Detail CF Projections'!B96</f>
        <v>0</v>
      </c>
      <c r="D71" s="316">
        <f>+'Detail CF Projections'!C96</f>
        <v>106.26</v>
      </c>
      <c r="E71" s="316">
        <f>+'Detail CF Projections'!D96</f>
        <v>309.94799999999998</v>
      </c>
      <c r="F71" s="316">
        <f>+'Detail CF Projections'!E96</f>
        <v>633.21299999999997</v>
      </c>
      <c r="G71" s="316">
        <f>+'Detail CF Projections'!F96</f>
        <v>1098.204</v>
      </c>
      <c r="H71" s="316">
        <f>+'Detail CF Projections'!G96</f>
        <v>1727.07</v>
      </c>
      <c r="I71" s="316">
        <f>+'Detail CF Projections'!H96</f>
        <v>2541.96</v>
      </c>
      <c r="J71" s="316">
        <f>+'Detail CF Projections'!I96</f>
        <v>3671.2830000000004</v>
      </c>
      <c r="K71" s="316">
        <f>+'Detail CF Projections'!J96</f>
        <v>4968.9660000000003</v>
      </c>
      <c r="L71" s="316">
        <f>+'Detail CF Projections'!K96</f>
        <v>6412.8600000000006</v>
      </c>
      <c r="M71" s="316">
        <f>+'Detail CF Projections'!L96</f>
        <v>7980.8160000000007</v>
      </c>
      <c r="N71" s="316">
        <f>+'Detail CF Projections'!M96</f>
        <v>9703.8150000000005</v>
      </c>
      <c r="O71" s="409">
        <f>+'Detail CF Projections'!N96</f>
        <v>11581.857</v>
      </c>
      <c r="P71" s="316">
        <f>+'Detail CF Projections'!O96</f>
        <v>11581.857</v>
      </c>
      <c r="Q71" s="316">
        <f>+'Detail CF Projections'!P96</f>
        <v>14315.175251999997</v>
      </c>
      <c r="R71" s="316">
        <f>+'Detail CF Projections'!Q96</f>
        <v>15982.962659999996</v>
      </c>
    </row>
    <row r="72" spans="2:18" ht="12.75" customHeight="1" outlineLevel="1" x14ac:dyDescent="0.2">
      <c r="B72" s="390" t="str">
        <f>+'Detail CF Projections'!A97</f>
        <v>Line of credit balance</v>
      </c>
      <c r="C72" s="409">
        <f>+'Detail CF Projections'!B97</f>
        <v>0</v>
      </c>
      <c r="D72" s="316">
        <f>+'Detail CF Projections'!C97</f>
        <v>0</v>
      </c>
      <c r="E72" s="316">
        <f>+'Detail CF Projections'!D97</f>
        <v>2100</v>
      </c>
      <c r="F72" s="316">
        <f>+'Detail CF Projections'!E97</f>
        <v>15814</v>
      </c>
      <c r="G72" s="316">
        <f>+'Detail CF Projections'!F97</f>
        <v>25019.426666666666</v>
      </c>
      <c r="H72" s="316">
        <f>+'Detail CF Projections'!G97</f>
        <v>28786.222844444444</v>
      </c>
      <c r="I72" s="316">
        <f>+'Detail CF Projections'!H97</f>
        <v>26345.13099674074</v>
      </c>
      <c r="J72" s="316">
        <f>+'Detail CF Projections'!I97</f>
        <v>13803.765203385678</v>
      </c>
      <c r="K72" s="316">
        <f>+'Detail CF Projections'!J97</f>
        <v>-0.20969525841792347</v>
      </c>
      <c r="L72" s="316">
        <f>+'Detail CF Projections'!K97</f>
        <v>-0.20969525841792347</v>
      </c>
      <c r="M72" s="316">
        <f>+'Detail CF Projections'!L97</f>
        <v>-0.20969525841792347</v>
      </c>
      <c r="N72" s="316">
        <f>+'Detail CF Projections'!M97</f>
        <v>-0.20969525841792347</v>
      </c>
      <c r="O72" s="409">
        <f>+'Detail CF Projections'!N97</f>
        <v>-0.20969525841792347</v>
      </c>
      <c r="P72" s="316">
        <f>+'Detail CF Projections'!O97</f>
        <v>-0.20969525841792347</v>
      </c>
      <c r="Q72" s="316">
        <f>+'Detail CF Projections'!P97</f>
        <v>-0.22647087909136077</v>
      </c>
      <c r="R72" s="316">
        <f>+'Detail CF Projections'!Q97</f>
        <v>-0.24458854941867303</v>
      </c>
    </row>
    <row r="73" spans="2:18" ht="12.75" customHeight="1" outlineLevel="1" x14ac:dyDescent="0.2">
      <c r="B73" s="390" t="str">
        <f>+'Detail CF Projections'!A98</f>
        <v>Credit cards</v>
      </c>
      <c r="C73" s="409">
        <f>+'Detail CF Projections'!B98</f>
        <v>0</v>
      </c>
      <c r="D73" s="316">
        <f>+'Detail CF Projections'!C98</f>
        <v>0</v>
      </c>
      <c r="E73" s="316">
        <f>+'Detail CF Projections'!D98</f>
        <v>0</v>
      </c>
      <c r="F73" s="316">
        <f>+'Detail CF Projections'!E98</f>
        <v>0</v>
      </c>
      <c r="G73" s="316">
        <f>+'Detail CF Projections'!F98</f>
        <v>0</v>
      </c>
      <c r="H73" s="316">
        <f>+'Detail CF Projections'!G98</f>
        <v>0</v>
      </c>
      <c r="I73" s="316">
        <f>+'Detail CF Projections'!H98</f>
        <v>0</v>
      </c>
      <c r="J73" s="316">
        <f>+'Detail CF Projections'!I98</f>
        <v>0</v>
      </c>
      <c r="K73" s="316">
        <f>+'Detail CF Projections'!J98</f>
        <v>0</v>
      </c>
      <c r="L73" s="316">
        <f>+'Detail CF Projections'!K98</f>
        <v>0</v>
      </c>
      <c r="M73" s="316">
        <f>+'Detail CF Projections'!L98</f>
        <v>0</v>
      </c>
      <c r="N73" s="316">
        <f>+'Detail CF Projections'!M98</f>
        <v>0</v>
      </c>
      <c r="O73" s="409">
        <f>+'Detail CF Projections'!N98</f>
        <v>0</v>
      </c>
      <c r="P73" s="316">
        <f>+'Detail CF Projections'!O98</f>
        <v>0</v>
      </c>
      <c r="Q73" s="316">
        <f>+'Detail CF Projections'!P98</f>
        <v>0</v>
      </c>
      <c r="R73" s="316">
        <f>+'Detail CF Projections'!Q98</f>
        <v>0</v>
      </c>
    </row>
    <row r="74" spans="2:18" ht="12.75" customHeight="1" outlineLevel="1" x14ac:dyDescent="0.2">
      <c r="B74" s="390" t="str">
        <f>+'Detail CF Projections'!A99</f>
        <v>Other current liabilities balance</v>
      </c>
      <c r="C74" s="409">
        <f>+'Detail CF Projections'!B99</f>
        <v>0</v>
      </c>
      <c r="D74" s="316">
        <f>+'Detail CF Projections'!C99</f>
        <v>0</v>
      </c>
      <c r="E74" s="316">
        <f>+'Detail CF Projections'!D99</f>
        <v>0</v>
      </c>
      <c r="F74" s="316">
        <f>+'Detail CF Projections'!E99</f>
        <v>0</v>
      </c>
      <c r="G74" s="316">
        <f>+'Detail CF Projections'!F99</f>
        <v>0</v>
      </c>
      <c r="H74" s="316">
        <f>+'Detail CF Projections'!G99</f>
        <v>0</v>
      </c>
      <c r="I74" s="316">
        <f>+'Detail CF Projections'!H99</f>
        <v>0</v>
      </c>
      <c r="J74" s="316">
        <f>+'Detail CF Projections'!I99</f>
        <v>0</v>
      </c>
      <c r="K74" s="316">
        <f>+'Detail CF Projections'!J99</f>
        <v>0</v>
      </c>
      <c r="L74" s="316">
        <f>+'Detail CF Projections'!K99</f>
        <v>0</v>
      </c>
      <c r="M74" s="316">
        <f>+'Detail CF Projections'!L99</f>
        <v>0</v>
      </c>
      <c r="N74" s="316">
        <f>+'Detail CF Projections'!M99</f>
        <v>0</v>
      </c>
      <c r="O74" s="409">
        <f>+'Detail CF Projections'!N99</f>
        <v>0</v>
      </c>
      <c r="P74" s="316">
        <f>+'Detail CF Projections'!O99</f>
        <v>0</v>
      </c>
      <c r="Q74" s="316">
        <f>+'Detail CF Projections'!P99</f>
        <v>0</v>
      </c>
      <c r="R74" s="316">
        <f>+'Detail CF Projections'!Q99</f>
        <v>0</v>
      </c>
    </row>
    <row r="75" spans="2:18" ht="12.75" customHeight="1" x14ac:dyDescent="0.2">
      <c r="B75" s="321" t="str">
        <f>+'Detail CF Projections'!A100</f>
        <v>Total current liabilities</v>
      </c>
      <c r="C75" s="410">
        <f>+'Detail CF Projections'!B100</f>
        <v>0</v>
      </c>
      <c r="D75" s="318">
        <f>+'Detail CF Projections'!C100</f>
        <v>106</v>
      </c>
      <c r="E75" s="318">
        <f>+'Detail CF Projections'!D100</f>
        <v>2410</v>
      </c>
      <c r="F75" s="318">
        <f>+'Detail CF Projections'!E100</f>
        <v>16447</v>
      </c>
      <c r="G75" s="318">
        <f>+'Detail CF Projections'!F100</f>
        <v>26118</v>
      </c>
      <c r="H75" s="318">
        <f>+'Detail CF Projections'!G100</f>
        <v>30513</v>
      </c>
      <c r="I75" s="318">
        <f>+'Detail CF Projections'!H100</f>
        <v>28887</v>
      </c>
      <c r="J75" s="318">
        <f>+'Detail CF Projections'!I100</f>
        <v>17475</v>
      </c>
      <c r="K75" s="318">
        <f>+'Detail CF Projections'!J100</f>
        <v>4969</v>
      </c>
      <c r="L75" s="318">
        <f>+'Detail CF Projections'!K100</f>
        <v>6413</v>
      </c>
      <c r="M75" s="318">
        <f>+'Detail CF Projections'!L100</f>
        <v>7981</v>
      </c>
      <c r="N75" s="318">
        <f>+'Detail CF Projections'!M100</f>
        <v>9704</v>
      </c>
      <c r="O75" s="410">
        <f>+'Detail CF Projections'!N100</f>
        <v>11582</v>
      </c>
      <c r="P75" s="318">
        <f>+'Detail CF Projections'!O100</f>
        <v>11582</v>
      </c>
      <c r="Q75" s="318">
        <f>+'Detail CF Projections'!P100</f>
        <v>14315</v>
      </c>
      <c r="R75" s="318">
        <f>+'Detail CF Projections'!Q100</f>
        <v>15983</v>
      </c>
    </row>
    <row r="76" spans="2:18" ht="12.75" customHeight="1" x14ac:dyDescent="0.2">
      <c r="B76" s="315" t="str">
        <f>+'Detail CF Projections'!A101</f>
        <v>Long-term loan</v>
      </c>
      <c r="C76" s="409">
        <f>+'Detail CF Projections'!B101</f>
        <v>250000</v>
      </c>
      <c r="D76" s="316">
        <f>+'Detail CF Projections'!C101</f>
        <v>249458.92235380458</v>
      </c>
      <c r="E76" s="316">
        <f>+'Detail CF Projections'!D101</f>
        <v>248915.13931937818</v>
      </c>
      <c r="F76" s="316">
        <f>+'Detail CF Projections'!E101</f>
        <v>248368.63736977967</v>
      </c>
      <c r="G76" s="316">
        <f>+'Detail CF Projections'!F101</f>
        <v>247819.40291043316</v>
      </c>
      <c r="H76" s="316">
        <f>+'Detail CF Projections'!G101</f>
        <v>247267.42227878992</v>
      </c>
      <c r="I76" s="316">
        <f>+'Detail CF Projections'!H101</f>
        <v>246712.68174398845</v>
      </c>
      <c r="J76" s="316">
        <f>+'Detail CF Projections'!I101</f>
        <v>246155.16750651298</v>
      </c>
      <c r="K76" s="316">
        <f>+'Detail CF Projections'!J101</f>
        <v>245594.86569785012</v>
      </c>
      <c r="L76" s="316">
        <f>+'Detail CF Projections'!K101</f>
        <v>245031.76238014398</v>
      </c>
      <c r="M76" s="316">
        <f>+'Detail CF Projections'!L101</f>
        <v>244465.84354584929</v>
      </c>
      <c r="N76" s="316">
        <f>+'Detail CF Projections'!M101</f>
        <v>243897.09511738311</v>
      </c>
      <c r="O76" s="409">
        <f>+'Detail CF Projections'!N101</f>
        <v>243325.50294677462</v>
      </c>
      <c r="P76" s="316">
        <f>+'Detail CF Projections'!O101</f>
        <v>243325.50294677462</v>
      </c>
      <c r="Q76" s="316">
        <f>+'Detail CF Projections'!P101</f>
        <v>236239.33752001025</v>
      </c>
      <c r="R76" s="316">
        <f>+'Detail CF Projections'!Q101</f>
        <v>228716.11291521316</v>
      </c>
    </row>
    <row r="77" spans="2:18" ht="12.75" customHeight="1" x14ac:dyDescent="0.2">
      <c r="B77" s="315" t="str">
        <f>+'Detail CF Projections'!A102</f>
        <v>Other long-term debt</v>
      </c>
      <c r="C77" s="409">
        <f>+'Detail CF Projections'!B102</f>
        <v>0</v>
      </c>
      <c r="D77" s="316">
        <f>+'Detail CF Projections'!C102</f>
        <v>0</v>
      </c>
      <c r="E77" s="316">
        <f>+'Detail CF Projections'!D102</f>
        <v>0</v>
      </c>
      <c r="F77" s="316">
        <f>+'Detail CF Projections'!E102</f>
        <v>0</v>
      </c>
      <c r="G77" s="316">
        <f>+'Detail CF Projections'!F102</f>
        <v>0</v>
      </c>
      <c r="H77" s="316">
        <f>+'Detail CF Projections'!G102</f>
        <v>0</v>
      </c>
      <c r="I77" s="316">
        <f>+'Detail CF Projections'!H102</f>
        <v>0</v>
      </c>
      <c r="J77" s="316">
        <f>+'Detail CF Projections'!I102</f>
        <v>0</v>
      </c>
      <c r="K77" s="316">
        <f>+'Detail CF Projections'!J102</f>
        <v>0</v>
      </c>
      <c r="L77" s="316">
        <f>+'Detail CF Projections'!K102</f>
        <v>0</v>
      </c>
      <c r="M77" s="316">
        <f>+'Detail CF Projections'!L102</f>
        <v>0</v>
      </c>
      <c r="N77" s="316">
        <f>+'Detail CF Projections'!M102</f>
        <v>0</v>
      </c>
      <c r="O77" s="409">
        <f>+'Detail CF Projections'!N102</f>
        <v>0</v>
      </c>
      <c r="P77" s="316">
        <f>+'Detail CF Projections'!O102</f>
        <v>0</v>
      </c>
      <c r="Q77" s="316">
        <f>+'Detail CF Projections'!P102</f>
        <v>0</v>
      </c>
      <c r="R77" s="316">
        <f>+'Detail CF Projections'!Q102</f>
        <v>0</v>
      </c>
    </row>
    <row r="78" spans="2:18" ht="12.75" customHeight="1" x14ac:dyDescent="0.2">
      <c r="B78" s="322" t="s">
        <v>83</v>
      </c>
      <c r="C78" s="412">
        <f t="shared" ref="C78:R78" si="11">SUM(C75:C77)</f>
        <v>250000</v>
      </c>
      <c r="D78" s="323">
        <f t="shared" si="11"/>
        <v>249564.92235380458</v>
      </c>
      <c r="E78" s="323">
        <f t="shared" si="11"/>
        <v>251325.13931937818</v>
      </c>
      <c r="F78" s="323">
        <f t="shared" si="11"/>
        <v>264815.63736977964</v>
      </c>
      <c r="G78" s="323">
        <f t="shared" si="11"/>
        <v>273937.40291043313</v>
      </c>
      <c r="H78" s="323">
        <f t="shared" si="11"/>
        <v>277780.42227878992</v>
      </c>
      <c r="I78" s="323">
        <f t="shared" si="11"/>
        <v>275599.68174398842</v>
      </c>
      <c r="J78" s="323">
        <f t="shared" si="11"/>
        <v>263630.16750651295</v>
      </c>
      <c r="K78" s="323">
        <f t="shared" si="11"/>
        <v>250563.86569785012</v>
      </c>
      <c r="L78" s="323">
        <f t="shared" si="11"/>
        <v>251444.76238014398</v>
      </c>
      <c r="M78" s="323">
        <f t="shared" si="11"/>
        <v>252446.84354584929</v>
      </c>
      <c r="N78" s="323">
        <f t="shared" si="11"/>
        <v>253601.09511738311</v>
      </c>
      <c r="O78" s="412">
        <f t="shared" si="11"/>
        <v>254907.50294677462</v>
      </c>
      <c r="P78" s="323">
        <f t="shared" si="11"/>
        <v>254907.50294677462</v>
      </c>
      <c r="Q78" s="323">
        <f t="shared" si="11"/>
        <v>250554.33752001025</v>
      </c>
      <c r="R78" s="323">
        <f t="shared" si="11"/>
        <v>244699.11291521316</v>
      </c>
    </row>
    <row r="79" spans="2:18" ht="17.25" customHeight="1" x14ac:dyDescent="0.2">
      <c r="B79" s="310" t="s">
        <v>86</v>
      </c>
      <c r="C79" s="195"/>
      <c r="D79" s="130"/>
      <c r="E79" s="130"/>
      <c r="F79" s="130"/>
      <c r="G79" s="130"/>
      <c r="H79" s="130"/>
      <c r="I79" s="130"/>
      <c r="J79" s="130"/>
      <c r="K79" s="130"/>
      <c r="L79" s="130"/>
      <c r="M79" s="130"/>
      <c r="N79" s="130"/>
      <c r="O79" s="195"/>
      <c r="P79" s="130"/>
      <c r="Q79" s="130"/>
      <c r="R79" s="130"/>
    </row>
    <row r="80" spans="2:18" ht="12.75" customHeight="1" outlineLevel="1" x14ac:dyDescent="0.2">
      <c r="B80" s="315" t="str">
        <f>+'Detail CF Projections'!A105</f>
        <v>Equity Investment</v>
      </c>
      <c r="C80" s="409">
        <f>+'Detail CF Projections'!B105</f>
        <v>0</v>
      </c>
      <c r="D80" s="316">
        <f>+'Detail CF Projections'!C105</f>
        <v>0</v>
      </c>
      <c r="E80" s="316">
        <f>+'Detail CF Projections'!D105</f>
        <v>0</v>
      </c>
      <c r="F80" s="316">
        <f>+'Detail CF Projections'!E105</f>
        <v>0</v>
      </c>
      <c r="G80" s="316">
        <f>+'Detail CF Projections'!F105</f>
        <v>0</v>
      </c>
      <c r="H80" s="316">
        <f>+'Detail CF Projections'!G105</f>
        <v>0</v>
      </c>
      <c r="I80" s="316">
        <f>+'Detail CF Projections'!H105</f>
        <v>0</v>
      </c>
      <c r="J80" s="316">
        <f>+'Detail CF Projections'!I105</f>
        <v>0</v>
      </c>
      <c r="K80" s="316">
        <f>+'Detail CF Projections'!J105</f>
        <v>0</v>
      </c>
      <c r="L80" s="316">
        <f>+'Detail CF Projections'!K105</f>
        <v>0</v>
      </c>
      <c r="M80" s="316">
        <f>+'Detail CF Projections'!L105</f>
        <v>0</v>
      </c>
      <c r="N80" s="316">
        <f>+'Detail CF Projections'!M105</f>
        <v>0</v>
      </c>
      <c r="O80" s="409">
        <f>+'Detail CF Projections'!N105</f>
        <v>0</v>
      </c>
      <c r="P80" s="316">
        <f>+'Detail CF Projections'!O105</f>
        <v>0</v>
      </c>
      <c r="Q80" s="316">
        <f>+'Detail CF Projections'!P105</f>
        <v>0</v>
      </c>
      <c r="R80" s="316">
        <f>+'Detail CF Projections'!Q105</f>
        <v>0</v>
      </c>
    </row>
    <row r="81" spans="2:18" ht="12.75" customHeight="1" outlineLevel="1" x14ac:dyDescent="0.2">
      <c r="B81" s="315" t="str">
        <f>+'Detail CF Projections'!A106</f>
        <v>Owner contributions/distributions</v>
      </c>
      <c r="C81" s="409">
        <f>+'Detail CF Projections'!B106</f>
        <v>30000</v>
      </c>
      <c r="D81" s="316">
        <f>+'Detail CF Projections'!C106</f>
        <v>30000</v>
      </c>
      <c r="E81" s="316">
        <f>+'Detail CF Projections'!D106</f>
        <v>30000</v>
      </c>
      <c r="F81" s="316">
        <f>+'Detail CF Projections'!E106</f>
        <v>30000</v>
      </c>
      <c r="G81" s="316">
        <f>+'Detail CF Projections'!F106</f>
        <v>30000</v>
      </c>
      <c r="H81" s="316">
        <f>+'Detail CF Projections'!G106</f>
        <v>30000</v>
      </c>
      <c r="I81" s="316">
        <f>+'Detail CF Projections'!H106</f>
        <v>30000</v>
      </c>
      <c r="J81" s="316">
        <f>+'Detail CF Projections'!I106</f>
        <v>30000</v>
      </c>
      <c r="K81" s="316">
        <f>+'Detail CF Projections'!J106</f>
        <v>30000</v>
      </c>
      <c r="L81" s="316">
        <f>+'Detail CF Projections'!K106</f>
        <v>30000</v>
      </c>
      <c r="M81" s="316">
        <f>+'Detail CF Projections'!L106</f>
        <v>30000</v>
      </c>
      <c r="N81" s="316">
        <f>+'Detail CF Projections'!M106</f>
        <v>30000</v>
      </c>
      <c r="O81" s="409">
        <f>+'Detail CF Projections'!N106</f>
        <v>30000</v>
      </c>
      <c r="P81" s="316">
        <f>+'Detail CF Projections'!O106</f>
        <v>30000</v>
      </c>
      <c r="Q81" s="316">
        <f>+'Detail CF Projections'!P106</f>
        <v>30000</v>
      </c>
      <c r="R81" s="316">
        <f>+'Detail CF Projections'!Q106</f>
        <v>30000</v>
      </c>
    </row>
    <row r="82" spans="2:18" ht="12.75" customHeight="1" outlineLevel="1" x14ac:dyDescent="0.2">
      <c r="B82" s="315" t="str">
        <f>+'Detail CF Projections'!A107</f>
        <v>Retained earnings</v>
      </c>
      <c r="C82" s="409">
        <f>+'Detail CF Projections'!B107</f>
        <v>-17300</v>
      </c>
      <c r="D82" s="316">
        <f>+'Detail CF Projections'!C107</f>
        <v>-38883.5</v>
      </c>
      <c r="E82" s="316">
        <f>+'Detail CF Projections'!D107</f>
        <v>-57134.894611769021</v>
      </c>
      <c r="F82" s="316">
        <f>+'Detail CF Projections'!E107</f>
        <v>-71264.470308365911</v>
      </c>
      <c r="G82" s="316">
        <f>+'Detail CF Projections'!F107</f>
        <v>-80545.940161881474</v>
      </c>
      <c r="H82" s="316">
        <f>+'Detail CF Projections'!G107</f>
        <v>-84145.533354211424</v>
      </c>
      <c r="I82" s="316">
        <f>+'Detail CF Projections'!H107</f>
        <v>-81223.278617901669</v>
      </c>
      <c r="J82" s="316">
        <f>+'Detail CF Projections'!I107</f>
        <v>-67490.076233266547</v>
      </c>
      <c r="K82" s="316">
        <f>+'Detail CF Projections'!J107</f>
        <v>-47355.477172155021</v>
      </c>
      <c r="L82" s="316">
        <f>+'Detail CF Projections'!K107</f>
        <v>-21614.751500644274</v>
      </c>
      <c r="M82" s="316">
        <f>+'Detail CF Projections'!L107</f>
        <v>7686.3896874550082</v>
      </c>
      <c r="N82" s="316">
        <f>+'Detail CF Projections'!M107</f>
        <v>43766.260469725763</v>
      </c>
      <c r="O82" s="409">
        <f>+'Detail CF Projections'!N107</f>
        <v>85474.874994138852</v>
      </c>
      <c r="P82" s="316">
        <f>+'Detail CF Projections'!O107</f>
        <v>85474.874994138852</v>
      </c>
      <c r="Q82" s="316">
        <f>+'Detail CF Projections'!P107</f>
        <v>196267.93142481183</v>
      </c>
      <c r="R82" s="316">
        <f>+'Detail CF Projections'!Q107</f>
        <v>340583.30017992156</v>
      </c>
    </row>
    <row r="83" spans="2:18" ht="12.75" customHeight="1" x14ac:dyDescent="0.2">
      <c r="B83" s="322" t="s">
        <v>94</v>
      </c>
      <c r="C83" s="412">
        <f t="shared" ref="C83:R83" si="12">+SUM(C80:C82)</f>
        <v>12700</v>
      </c>
      <c r="D83" s="323">
        <f t="shared" si="12"/>
        <v>-8883.5</v>
      </c>
      <c r="E83" s="323">
        <f t="shared" si="12"/>
        <v>-27134.894611769021</v>
      </c>
      <c r="F83" s="323">
        <f t="shared" si="12"/>
        <v>-41264.470308365911</v>
      </c>
      <c r="G83" s="323">
        <f t="shared" si="12"/>
        <v>-50545.940161881474</v>
      </c>
      <c r="H83" s="323">
        <f t="shared" si="12"/>
        <v>-54145.533354211424</v>
      </c>
      <c r="I83" s="323">
        <f t="shared" si="12"/>
        <v>-51223.278617901669</v>
      </c>
      <c r="J83" s="323">
        <f t="shared" si="12"/>
        <v>-37490.076233266547</v>
      </c>
      <c r="K83" s="323">
        <f t="shared" si="12"/>
        <v>-17355.477172155021</v>
      </c>
      <c r="L83" s="323">
        <f t="shared" si="12"/>
        <v>8385.2484993557264</v>
      </c>
      <c r="M83" s="323">
        <f t="shared" si="12"/>
        <v>37686.389687455012</v>
      </c>
      <c r="N83" s="323">
        <f t="shared" si="12"/>
        <v>73766.260469725763</v>
      </c>
      <c r="O83" s="412">
        <f t="shared" si="12"/>
        <v>115474.87499413885</v>
      </c>
      <c r="P83" s="323">
        <f t="shared" si="12"/>
        <v>115474.87499413885</v>
      </c>
      <c r="Q83" s="323">
        <f t="shared" si="12"/>
        <v>226267.93142481183</v>
      </c>
      <c r="R83" s="323">
        <f t="shared" si="12"/>
        <v>370583.30017992156</v>
      </c>
    </row>
    <row r="84" spans="2:18" ht="12.75" customHeight="1" x14ac:dyDescent="0.2">
      <c r="B84" s="130"/>
      <c r="C84" s="180"/>
      <c r="D84" s="142"/>
      <c r="E84" s="142"/>
      <c r="F84" s="142"/>
      <c r="G84" s="142"/>
      <c r="H84" s="142"/>
      <c r="I84" s="142"/>
      <c r="J84" s="142"/>
      <c r="K84" s="142"/>
      <c r="L84" s="142"/>
      <c r="M84" s="142"/>
      <c r="N84" s="142"/>
      <c r="O84" s="180"/>
      <c r="P84" s="142"/>
      <c r="Q84" s="142"/>
      <c r="R84" s="142"/>
    </row>
    <row r="85" spans="2:18" ht="12.75" customHeight="1" x14ac:dyDescent="0.2">
      <c r="B85" s="326" t="s">
        <v>95</v>
      </c>
      <c r="C85" s="411">
        <f t="shared" ref="C85:R85" si="13">+C78+C83</f>
        <v>262700</v>
      </c>
      <c r="D85" s="327">
        <f t="shared" si="13"/>
        <v>240681.42235380458</v>
      </c>
      <c r="E85" s="327">
        <f t="shared" si="13"/>
        <v>224190.24470760918</v>
      </c>
      <c r="F85" s="327">
        <f t="shared" si="13"/>
        <v>223551.16706141373</v>
      </c>
      <c r="G85" s="327">
        <f t="shared" si="13"/>
        <v>223391.46274855165</v>
      </c>
      <c r="H85" s="327">
        <f t="shared" si="13"/>
        <v>223634.8889245785</v>
      </c>
      <c r="I85" s="327">
        <f t="shared" si="13"/>
        <v>224376.40312608675</v>
      </c>
      <c r="J85" s="327">
        <f t="shared" si="13"/>
        <v>226140.09127324639</v>
      </c>
      <c r="K85" s="327">
        <f t="shared" si="13"/>
        <v>233208.3885256951</v>
      </c>
      <c r="L85" s="327">
        <f t="shared" si="13"/>
        <v>259830.01087949969</v>
      </c>
      <c r="M85" s="327">
        <f t="shared" si="13"/>
        <v>290133.23323330429</v>
      </c>
      <c r="N85" s="327">
        <f t="shared" si="13"/>
        <v>327367.35558710888</v>
      </c>
      <c r="O85" s="411">
        <f t="shared" si="13"/>
        <v>370382.37794091349</v>
      </c>
      <c r="P85" s="327">
        <f t="shared" si="13"/>
        <v>370382.37794091349</v>
      </c>
      <c r="Q85" s="327">
        <f t="shared" si="13"/>
        <v>476822.26894482208</v>
      </c>
      <c r="R85" s="327">
        <f t="shared" si="13"/>
        <v>615282.41309513478</v>
      </c>
    </row>
    <row r="86" spans="2:18" ht="12.75" customHeight="1" x14ac:dyDescent="0.2">
      <c r="B86" s="127"/>
      <c r="C86" s="127"/>
      <c r="D86" s="137"/>
      <c r="E86" s="137"/>
      <c r="F86" s="137"/>
      <c r="G86" s="137"/>
      <c r="H86" s="137"/>
      <c r="I86" s="137"/>
      <c r="J86" s="137"/>
      <c r="K86" s="137"/>
      <c r="L86" s="137"/>
      <c r="M86" s="137"/>
      <c r="N86" s="137"/>
      <c r="O86" s="137"/>
      <c r="P86" s="137"/>
      <c r="Q86" s="137"/>
      <c r="R86" s="137"/>
    </row>
    <row r="87" spans="2:18" ht="12.75" customHeight="1" x14ac:dyDescent="0.2">
      <c r="B87" s="127"/>
      <c r="C87" s="127"/>
      <c r="D87" s="137"/>
      <c r="E87" s="137"/>
      <c r="F87" s="137"/>
      <c r="G87" s="137"/>
      <c r="H87" s="137"/>
      <c r="I87" s="137"/>
      <c r="J87" s="137"/>
      <c r="K87" s="137"/>
      <c r="L87" s="137"/>
      <c r="M87" s="137"/>
      <c r="N87" s="137"/>
      <c r="O87" s="137"/>
      <c r="P87" s="137"/>
      <c r="Q87" s="137"/>
      <c r="R87" s="137"/>
    </row>
    <row r="88" spans="2:18" ht="19.5" customHeight="1" x14ac:dyDescent="0.2">
      <c r="B88" s="163"/>
    </row>
    <row r="89" spans="2:18" ht="12.75" customHeight="1" x14ac:dyDescent="0.2">
      <c r="B89" s="163"/>
    </row>
    <row r="90" spans="2:18" ht="12.75" customHeight="1" x14ac:dyDescent="0.2">
      <c r="B90" s="163"/>
      <c r="C90" s="163"/>
      <c r="D90" s="163"/>
      <c r="E90" s="163"/>
      <c r="F90" s="163"/>
      <c r="G90" s="163"/>
      <c r="H90" s="163"/>
      <c r="I90" s="163"/>
      <c r="J90" s="163"/>
      <c r="K90" s="163"/>
      <c r="L90" s="163"/>
      <c r="M90" s="163"/>
      <c r="N90" s="163"/>
      <c r="O90" s="163"/>
      <c r="P90" s="163"/>
      <c r="Q90" s="163"/>
      <c r="R90" s="127"/>
    </row>
    <row r="91" spans="2:18" ht="12.75" customHeight="1" x14ac:dyDescent="0.2">
      <c r="B91" s="413" t="s">
        <v>9</v>
      </c>
      <c r="C91" s="198"/>
      <c r="D91" s="166"/>
      <c r="E91" s="166"/>
      <c r="F91" s="166"/>
      <c r="G91" s="166"/>
      <c r="H91" s="166"/>
      <c r="I91" s="166"/>
      <c r="J91" s="166"/>
      <c r="K91" s="166"/>
      <c r="L91" s="166"/>
      <c r="M91" s="166"/>
      <c r="N91" s="166"/>
      <c r="O91" s="166"/>
      <c r="P91" s="1076" t="s">
        <v>126</v>
      </c>
      <c r="Q91" s="1065"/>
      <c r="R91" s="1065"/>
    </row>
    <row r="92" spans="2:18" ht="12.75" customHeight="1" x14ac:dyDescent="0.2">
      <c r="B92" s="359"/>
      <c r="C92" s="406" t="str">
        <f t="shared" ref="C92:O92" si="14">+C5</f>
        <v>Pre-opening</v>
      </c>
      <c r="D92" s="407">
        <f t="shared" si="14"/>
        <v>44771</v>
      </c>
      <c r="E92" s="407">
        <f t="shared" si="14"/>
        <v>44799</v>
      </c>
      <c r="F92" s="407">
        <f t="shared" si="14"/>
        <v>44827</v>
      </c>
      <c r="G92" s="407">
        <f t="shared" si="14"/>
        <v>44855</v>
      </c>
      <c r="H92" s="407">
        <f t="shared" si="14"/>
        <v>44883</v>
      </c>
      <c r="I92" s="407">
        <f t="shared" si="14"/>
        <v>44911</v>
      </c>
      <c r="J92" s="407">
        <f t="shared" si="14"/>
        <v>44939</v>
      </c>
      <c r="K92" s="407">
        <f t="shared" si="14"/>
        <v>44967</v>
      </c>
      <c r="L92" s="407">
        <f t="shared" si="14"/>
        <v>44995</v>
      </c>
      <c r="M92" s="407">
        <f t="shared" si="14"/>
        <v>45023</v>
      </c>
      <c r="N92" s="407">
        <f t="shared" si="14"/>
        <v>45051</v>
      </c>
      <c r="O92" s="408">
        <f t="shared" si="14"/>
        <v>45079</v>
      </c>
      <c r="P92" s="372">
        <f>+O92</f>
        <v>45079</v>
      </c>
      <c r="Q92" s="372">
        <f>+P92+365</f>
        <v>45444</v>
      </c>
      <c r="R92" s="372">
        <f>+Q92+365</f>
        <v>45809</v>
      </c>
    </row>
    <row r="93" spans="2:18" ht="12.75" customHeight="1" x14ac:dyDescent="0.2">
      <c r="B93" s="310" t="s">
        <v>140</v>
      </c>
      <c r="C93" s="195"/>
      <c r="D93" s="130"/>
      <c r="E93" s="130"/>
      <c r="F93" s="130"/>
      <c r="G93" s="130"/>
      <c r="H93" s="130"/>
      <c r="I93" s="130"/>
      <c r="J93" s="130"/>
      <c r="K93" s="130"/>
      <c r="L93" s="130"/>
      <c r="M93" s="130"/>
      <c r="N93" s="130"/>
      <c r="O93" s="195"/>
      <c r="P93" s="130"/>
      <c r="Q93" s="130"/>
      <c r="R93" s="130"/>
    </row>
    <row r="94" spans="2:18" ht="12.75" customHeight="1" outlineLevel="1" x14ac:dyDescent="0.2">
      <c r="B94" s="315" t="s">
        <v>107</v>
      </c>
      <c r="C94" s="409">
        <f>+'Detail CF Projections'!B44</f>
        <v>-17300</v>
      </c>
      <c r="D94" s="316">
        <f>+'Detail CF Projections'!C44</f>
        <v>-21583.5</v>
      </c>
      <c r="E94" s="316">
        <f>+'Detail CF Projections'!D44</f>
        <v>-18251.394611769021</v>
      </c>
      <c r="F94" s="316">
        <f>+'Detail CF Projections'!E44</f>
        <v>-14129.57569659689</v>
      </c>
      <c r="G94" s="316">
        <f>+'Detail CF Projections'!F44</f>
        <v>-9281.4698535155658</v>
      </c>
      <c r="H94" s="316">
        <f>+'Detail CF Projections'!G44</f>
        <v>-3599.593192329944</v>
      </c>
      <c r="I94" s="316">
        <f>+'Detail CF Projections'!H44</f>
        <v>2922.2547363097542</v>
      </c>
      <c r="J94" s="316">
        <f>+'Detail CF Projections'!I44</f>
        <v>13733.20238463512</v>
      </c>
      <c r="K94" s="316">
        <f>+'Detail CF Projections'!J44</f>
        <v>20134.59906111153</v>
      </c>
      <c r="L94" s="316">
        <f>+'Detail CF Projections'!K44</f>
        <v>25740.725671510747</v>
      </c>
      <c r="M94" s="316">
        <f>+'Detail CF Projections'!L44</f>
        <v>29301.141188099282</v>
      </c>
      <c r="N94" s="316">
        <f>+'Detail CF Projections'!M44</f>
        <v>36079.870782270751</v>
      </c>
      <c r="O94" s="409">
        <f>+'Detail CF Projections'!N44</f>
        <v>41708.614524413089</v>
      </c>
      <c r="P94" s="316">
        <f>SUM(D94:O94)</f>
        <v>102774.87499413885</v>
      </c>
      <c r="Q94" s="316">
        <f>+'Detail CF Projections'!P44</f>
        <v>110793.05643067296</v>
      </c>
      <c r="R94" s="316">
        <f>+'Detail CF Projections'!Q44</f>
        <v>144315.36875510975</v>
      </c>
    </row>
    <row r="95" spans="2:18" ht="12.75" customHeight="1" outlineLevel="1" x14ac:dyDescent="0.2">
      <c r="B95" s="315" t="s">
        <v>141</v>
      </c>
      <c r="C95" s="409">
        <f>+'Detail CF Projections'!B45</f>
        <v>0</v>
      </c>
      <c r="D95" s="316">
        <f>+'Detail CF Projections'!C45</f>
        <v>1166.6666666666667</v>
      </c>
      <c r="E95" s="316">
        <f>+'Detail CF Projections'!D45</f>
        <v>1166.6666666666667</v>
      </c>
      <c r="F95" s="316">
        <f>+'Detail CF Projections'!E45</f>
        <v>1166.6666666666667</v>
      </c>
      <c r="G95" s="316">
        <f>+'Detail CF Projections'!F45</f>
        <v>1166.6666666666667</v>
      </c>
      <c r="H95" s="316">
        <f>+'Detail CF Projections'!G45</f>
        <v>1166.6666666666667</v>
      </c>
      <c r="I95" s="316">
        <f>+'Detail CF Projections'!H45</f>
        <v>1166.6666666666667</v>
      </c>
      <c r="J95" s="316">
        <f>+'Detail CF Projections'!I45</f>
        <v>1166.6666666666667</v>
      </c>
      <c r="K95" s="316">
        <f>+'Detail CF Projections'!J45</f>
        <v>1166.6666666666667</v>
      </c>
      <c r="L95" s="316">
        <f>+'Detail CF Projections'!K45</f>
        <v>1166.6666666666667</v>
      </c>
      <c r="M95" s="316">
        <f>+'Detail CF Projections'!L45</f>
        <v>1166.6666666666667</v>
      </c>
      <c r="N95" s="316">
        <f>+'Detail CF Projections'!M45</f>
        <v>1166.6666666666667</v>
      </c>
      <c r="O95" s="409">
        <f>+'Detail CF Projections'!N45</f>
        <v>1166.6666666666667</v>
      </c>
      <c r="P95" s="316">
        <f>SUM(D95:O95)</f>
        <v>13999.999999999998</v>
      </c>
      <c r="Q95" s="316">
        <f>+'Detail CF Projections'!P45</f>
        <v>14857.142857142857</v>
      </c>
      <c r="R95" s="316">
        <f>+'Detail CF Projections'!Q45</f>
        <v>14857.142857142857</v>
      </c>
    </row>
    <row r="96" spans="2:18" ht="12.75" customHeight="1" outlineLevel="1" x14ac:dyDescent="0.2">
      <c r="B96" s="315" t="s">
        <v>22</v>
      </c>
      <c r="C96" s="409">
        <f>+'Detail CF Projections'!B46+'Detail CF Projections'!B47+'Detail CF Projections'!B48</f>
        <v>0</v>
      </c>
      <c r="D96" s="316">
        <f>+'Detail CF Projections'!C46+'Detail CF Projections'!C47+'Detail CF Projections'!C48</f>
        <v>-318.78000000000003</v>
      </c>
      <c r="E96" s="316">
        <f>+'Detail CF Projections'!D46+'Detail CF Projections'!D47+'Detail CF Projections'!D48</f>
        <v>-611.06400000000008</v>
      </c>
      <c r="F96" s="316">
        <f>+'Detail CF Projections'!E46+'Detail CF Projections'!E47+'Detail CF Projections'!E48</f>
        <v>-969.79500000000007</v>
      </c>
      <c r="G96" s="316">
        <f>+'Detail CF Projections'!F46+'Detail CF Projections'!F47+'Detail CF Projections'!F48</f>
        <v>-1394.973</v>
      </c>
      <c r="H96" s="316">
        <f>+'Detail CF Projections'!G46+'Detail CF Projections'!G47+'Detail CF Projections'!G48</f>
        <v>-1886.598</v>
      </c>
      <c r="I96" s="316">
        <f>+'Detail CF Projections'!H46+'Detail CF Projections'!H47+'Detail CF Projections'!H48</f>
        <v>-2444.67</v>
      </c>
      <c r="J96" s="316">
        <f>+'Detail CF Projections'!I46+'Detail CF Projections'!I47+'Detail CF Projections'!I48</f>
        <v>-3387.9690000000001</v>
      </c>
      <c r="K96" s="316">
        <f>+'Detail CF Projections'!J46+'Detail CF Projections'!J47+'Detail CF Projections'!J48</f>
        <v>-3893.049</v>
      </c>
      <c r="L96" s="316">
        <f>+'Detail CF Projections'!K46+'Detail CF Projections'!K47+'Detail CF Projections'!K48</f>
        <v>-4331.6819999999998</v>
      </c>
      <c r="M96" s="316">
        <f>+'Detail CF Projections'!L46+'Detail CF Projections'!L47+'Detail CF Projections'!L48</f>
        <v>-4703.8680000000004</v>
      </c>
      <c r="N96" s="316">
        <f>+'Detail CF Projections'!M46+'Detail CF Projections'!M47+'Detail CF Projections'!M48</f>
        <v>-5168.9970000000003</v>
      </c>
      <c r="O96" s="409">
        <f>+'Detail CF Projections'!N46+'Detail CF Projections'!N47+'Detail CF Projections'!N48</f>
        <v>-5634.1260000000002</v>
      </c>
      <c r="P96" s="316">
        <f>SUM(D96:O96)</f>
        <v>-34745.571000000004</v>
      </c>
      <c r="Q96" s="316">
        <f>+'Detail CF Projections'!P46+'Detail CF Projections'!P47+'Detail CF Projections'!P48</f>
        <v>-8199.9547559999919</v>
      </c>
      <c r="R96" s="316">
        <f>+'Detail CF Projections'!Q46+'Detail CF Projections'!Q47+'Detail CF Projections'!Q48</f>
        <v>-5003.3622239999941</v>
      </c>
    </row>
    <row r="97" spans="2:18" ht="12.75" customHeight="1" outlineLevel="1" x14ac:dyDescent="0.2">
      <c r="B97" s="315" t="s">
        <v>25</v>
      </c>
      <c r="C97" s="409">
        <f>+'Detail CF Projections'!B49+'Detail CF Projections'!B50+'Detail CF Projections'!B51+'Detail CF Projections'!B52</f>
        <v>0</v>
      </c>
      <c r="D97" s="316">
        <f>+'Detail CF Projections'!C49+'Detail CF Projections'!C50+'Detail CF Projections'!C51+'Detail CF Projections'!C52</f>
        <v>106.26</v>
      </c>
      <c r="E97" s="316">
        <f>+'Detail CF Projections'!D49+'Detail CF Projections'!D50+'Detail CF Projections'!D51+'Detail CF Projections'!D52</f>
        <v>2303.6880000000001</v>
      </c>
      <c r="F97" s="316">
        <f>+'Detail CF Projections'!E49+'Detail CF Projections'!E50+'Detail CF Projections'!E51+'Detail CF Projections'!E52</f>
        <v>14037.264999999999</v>
      </c>
      <c r="G97" s="316">
        <f>+'Detail CF Projections'!F49+'Detail CF Projections'!F50+'Detail CF Projections'!F51+'Detail CF Projections'!F52</f>
        <v>9670.4176666666663</v>
      </c>
      <c r="H97" s="316">
        <f>+'Detail CF Projections'!G49+'Detail CF Projections'!G50+'Detail CF Projections'!G51+'Detail CF Projections'!G52</f>
        <v>4395.6621777777782</v>
      </c>
      <c r="I97" s="316">
        <f>+'Detail CF Projections'!H49+'Detail CF Projections'!H50+'Detail CF Projections'!H51+'Detail CF Projections'!H52</f>
        <v>-1626.2018477037041</v>
      </c>
      <c r="J97" s="316">
        <f>+'Detail CF Projections'!I49+'Detail CF Projections'!I50+'Detail CF Projections'!I51+'Detail CF Projections'!I52</f>
        <v>-11412.042793355062</v>
      </c>
      <c r="K97" s="316">
        <f>+'Detail CF Projections'!J49+'Detail CF Projections'!J50+'Detail CF Projections'!J51+'Detail CF Projections'!J52</f>
        <v>-12506.291898644096</v>
      </c>
      <c r="L97" s="316">
        <f>+'Detail CF Projections'!K49+'Detail CF Projections'!K50+'Detail CF Projections'!K51+'Detail CF Projections'!K52</f>
        <v>1443.894</v>
      </c>
      <c r="M97" s="316">
        <f>+'Detail CF Projections'!L49+'Detail CF Projections'!L50+'Detail CF Projections'!L51+'Detail CF Projections'!L52</f>
        <v>1567.9559999999999</v>
      </c>
      <c r="N97" s="316">
        <f>+'Detail CF Projections'!M49+'Detail CF Projections'!M50+'Detail CF Projections'!M51+'Detail CF Projections'!M52</f>
        <v>1722.999</v>
      </c>
      <c r="O97" s="409">
        <f>+'Detail CF Projections'!N49+'Detail CF Projections'!N50+'Detail CF Projections'!N51+'Detail CF Projections'!N52</f>
        <v>1878.0419999999999</v>
      </c>
      <c r="P97" s="316">
        <f>SUM(D97:O97)</f>
        <v>11581.647304741578</v>
      </c>
      <c r="Q97" s="316">
        <f>+'Detail CF Projections'!P49+'Detail CF Projections'!P50+'Detail CF Projections'!P51+'Detail CF Projections'!P52</f>
        <v>2733.301476379324</v>
      </c>
      <c r="R97" s="316">
        <f>+'Detail CF Projections'!Q49+'Detail CF Projections'!Q50+'Detail CF Projections'!Q51+'Detail CF Projections'!Q52</f>
        <v>1667.7692903296711</v>
      </c>
    </row>
    <row r="98" spans="2:18" ht="18" customHeight="1" x14ac:dyDescent="0.2">
      <c r="B98" s="414" t="s">
        <v>142</v>
      </c>
      <c r="C98" s="415">
        <f t="shared" ref="C98:R98" si="15">SUM(C94:C97)</f>
        <v>-17300</v>
      </c>
      <c r="D98" s="416">
        <f t="shared" si="15"/>
        <v>-20629.353333333333</v>
      </c>
      <c r="E98" s="416">
        <f t="shared" si="15"/>
        <v>-15392.103945102352</v>
      </c>
      <c r="F98" s="416">
        <f t="shared" si="15"/>
        <v>104.56097006977507</v>
      </c>
      <c r="G98" s="416">
        <f t="shared" si="15"/>
        <v>160.64147981776659</v>
      </c>
      <c r="H98" s="416">
        <f t="shared" si="15"/>
        <v>76.137652114501179</v>
      </c>
      <c r="I98" s="416">
        <f t="shared" si="15"/>
        <v>18.049555272716589</v>
      </c>
      <c r="J98" s="416">
        <f t="shared" si="15"/>
        <v>99.857257946723621</v>
      </c>
      <c r="K98" s="416">
        <f t="shared" si="15"/>
        <v>4901.9248291341028</v>
      </c>
      <c r="L98" s="416">
        <f t="shared" si="15"/>
        <v>24019.604338177414</v>
      </c>
      <c r="M98" s="416">
        <f t="shared" si="15"/>
        <v>27331.895854765949</v>
      </c>
      <c r="N98" s="416">
        <f t="shared" si="15"/>
        <v>33800.539448937416</v>
      </c>
      <c r="O98" s="415">
        <f t="shared" si="15"/>
        <v>39119.197191079758</v>
      </c>
      <c r="P98" s="416">
        <f t="shared" si="15"/>
        <v>93610.95129888042</v>
      </c>
      <c r="Q98" s="416">
        <f t="shared" si="15"/>
        <v>120183.54600819515</v>
      </c>
      <c r="R98" s="416">
        <f t="shared" si="15"/>
        <v>155836.91867858233</v>
      </c>
    </row>
    <row r="99" spans="2:18" ht="12.75" customHeight="1" x14ac:dyDescent="0.2">
      <c r="B99" s="310" t="s">
        <v>121</v>
      </c>
      <c r="C99" s="195"/>
      <c r="D99" s="130"/>
      <c r="E99" s="130"/>
      <c r="F99" s="130"/>
      <c r="G99" s="130"/>
      <c r="H99" s="130"/>
      <c r="I99" s="130"/>
      <c r="J99" s="130"/>
      <c r="K99" s="130"/>
      <c r="L99" s="130"/>
      <c r="M99" s="130"/>
      <c r="N99" s="130"/>
      <c r="O99" s="195"/>
      <c r="P99" s="130"/>
      <c r="Q99" s="130"/>
      <c r="R99" s="130"/>
    </row>
    <row r="100" spans="2:18" ht="12.75" customHeight="1" outlineLevel="1" x14ac:dyDescent="0.2">
      <c r="B100" s="315" t="s">
        <v>143</v>
      </c>
      <c r="C100" s="409">
        <f>+'Detail CF Projections'!B55+'Detail CF Projections'!B56+'Detail CF Projections'!B57+'Detail CF Projections'!B58+'Detail CF Projections'!B59</f>
        <v>-132000</v>
      </c>
      <c r="D100" s="316">
        <f>+'Detail CF Projections'!C55+'Detail CF Projections'!C56+'Detail CF Projections'!C57+'Detail CF Projections'!C58+'Detail CF Projections'!C59</f>
        <v>0</v>
      </c>
      <c r="E100" s="316">
        <f>+'Detail CF Projections'!D55+'Detail CF Projections'!D56+'Detail CF Projections'!D57+'Detail CF Projections'!D58+'Detail CF Projections'!D59</f>
        <v>0</v>
      </c>
      <c r="F100" s="316">
        <f>+'Detail CF Projections'!E55+'Detail CF Projections'!E56+'Detail CF Projections'!E57+'Detail CF Projections'!E58+'Detail CF Projections'!E59</f>
        <v>0</v>
      </c>
      <c r="G100" s="316">
        <f>+'Detail CF Projections'!F55+'Detail CF Projections'!F56+'Detail CF Projections'!F57+'Detail CF Projections'!F58+'Detail CF Projections'!F59</f>
        <v>0</v>
      </c>
      <c r="H100" s="316">
        <f>+'Detail CF Projections'!G55+'Detail CF Projections'!G56+'Detail CF Projections'!G57+'Detail CF Projections'!G58+'Detail CF Projections'!G59</f>
        <v>0</v>
      </c>
      <c r="I100" s="316">
        <f>+'Detail CF Projections'!H55+'Detail CF Projections'!H56+'Detail CF Projections'!H57+'Detail CF Projections'!H58+'Detail CF Projections'!H59</f>
        <v>0</v>
      </c>
      <c r="J100" s="316">
        <f>+'Detail CF Projections'!I55+'Detail CF Projections'!I56+'Detail CF Projections'!I57+'Detail CF Projections'!I58+'Detail CF Projections'!I59</f>
        <v>0</v>
      </c>
      <c r="K100" s="316">
        <f>+'Detail CF Projections'!J55+'Detail CF Projections'!J56+'Detail CF Projections'!J57+'Detail CF Projections'!J58+'Detail CF Projections'!J59</f>
        <v>0</v>
      </c>
      <c r="L100" s="316">
        <f>+'Detail CF Projections'!K55+'Detail CF Projections'!K56+'Detail CF Projections'!K57+'Detail CF Projections'!K58+'Detail CF Projections'!K59</f>
        <v>0</v>
      </c>
      <c r="M100" s="316">
        <f>+'Detail CF Projections'!L55+'Detail CF Projections'!L56+'Detail CF Projections'!L57+'Detail CF Projections'!L58+'Detail CF Projections'!L59</f>
        <v>0</v>
      </c>
      <c r="N100" s="316">
        <f>+'Detail CF Projections'!M55+'Detail CF Projections'!M56+'Detail CF Projections'!M57+'Detail CF Projections'!M58+'Detail CF Projections'!M59</f>
        <v>0</v>
      </c>
      <c r="O100" s="409">
        <f>+'Detail CF Projections'!N55+'Detail CF Projections'!N56+'Detail CF Projections'!N57+'Detail CF Projections'!N58+'Detail CF Projections'!N59</f>
        <v>0</v>
      </c>
      <c r="P100" s="316">
        <f>+'Detail CF Projections'!O55+'Detail CF Projections'!O56+'Detail CF Projections'!O57+'Detail CF Projections'!O58+'Detail CF Projections'!O59</f>
        <v>0</v>
      </c>
      <c r="Q100" s="316">
        <f>+'Detail CF Projections'!P55+'Detail CF Projections'!P56+'Detail CF Projections'!P57+'Detail CF Projections'!P58+'Detail CF Projections'!P59</f>
        <v>0</v>
      </c>
      <c r="R100" s="316">
        <f>+'Detail CF Projections'!Q55+'Detail CF Projections'!Q56+'Detail CF Projections'!Q57+'Detail CF Projections'!Q58+'Detail CF Projections'!Q59</f>
        <v>0</v>
      </c>
    </row>
    <row r="101" spans="2:18" ht="12.75" customHeight="1" outlineLevel="1" x14ac:dyDescent="0.2">
      <c r="B101" s="315" t="s">
        <v>37</v>
      </c>
      <c r="C101" s="409">
        <f>+'Detail CF Projections'!B60</f>
        <v>-6000</v>
      </c>
      <c r="D101" s="316">
        <f>+'Detail CF Projections'!C60</f>
        <v>0</v>
      </c>
      <c r="E101" s="316">
        <f>+'Detail CF Projections'!D60</f>
        <v>0</v>
      </c>
      <c r="F101" s="316">
        <f>+'Detail CF Projections'!E60</f>
        <v>0</v>
      </c>
      <c r="G101" s="316">
        <f>+'Detail CF Projections'!F60</f>
        <v>0</v>
      </c>
      <c r="H101" s="316">
        <f>+'Detail CF Projections'!G60</f>
        <v>0</v>
      </c>
      <c r="I101" s="316">
        <f>+'Detail CF Projections'!H60</f>
        <v>0</v>
      </c>
      <c r="J101" s="316">
        <f>+'Detail CF Projections'!I60</f>
        <v>0</v>
      </c>
      <c r="K101" s="316">
        <f>+'Detail CF Projections'!J60</f>
        <v>0</v>
      </c>
      <c r="L101" s="316">
        <f>+'Detail CF Projections'!K60</f>
        <v>0</v>
      </c>
      <c r="M101" s="316">
        <f>+'Detail CF Projections'!L60</f>
        <v>0</v>
      </c>
      <c r="N101" s="316">
        <f>+'Detail CF Projections'!M60</f>
        <v>0</v>
      </c>
      <c r="O101" s="409">
        <f>+'Detail CF Projections'!N60</f>
        <v>0</v>
      </c>
      <c r="P101" s="316">
        <f>+'Detail CF Projections'!O60</f>
        <v>0</v>
      </c>
      <c r="Q101" s="316">
        <f>+'Detail CF Projections'!P60</f>
        <v>0</v>
      </c>
      <c r="R101" s="316">
        <f>+'Detail CF Projections'!Q60</f>
        <v>0</v>
      </c>
    </row>
    <row r="102" spans="2:18" ht="12.75" customHeight="1" x14ac:dyDescent="0.2">
      <c r="B102" s="414" t="s">
        <v>144</v>
      </c>
      <c r="C102" s="415">
        <f t="shared" ref="C102:R102" si="16">SUM(C100:C101)</f>
        <v>-138000</v>
      </c>
      <c r="D102" s="416">
        <f t="shared" si="16"/>
        <v>0</v>
      </c>
      <c r="E102" s="416">
        <f t="shared" si="16"/>
        <v>0</v>
      </c>
      <c r="F102" s="416">
        <f t="shared" si="16"/>
        <v>0</v>
      </c>
      <c r="G102" s="416">
        <f t="shared" si="16"/>
        <v>0</v>
      </c>
      <c r="H102" s="416">
        <f t="shared" si="16"/>
        <v>0</v>
      </c>
      <c r="I102" s="416">
        <f t="shared" si="16"/>
        <v>0</v>
      </c>
      <c r="J102" s="416">
        <f t="shared" si="16"/>
        <v>0</v>
      </c>
      <c r="K102" s="416">
        <f t="shared" si="16"/>
        <v>0</v>
      </c>
      <c r="L102" s="416">
        <f t="shared" si="16"/>
        <v>0</v>
      </c>
      <c r="M102" s="416">
        <f t="shared" si="16"/>
        <v>0</v>
      </c>
      <c r="N102" s="416">
        <f t="shared" si="16"/>
        <v>0</v>
      </c>
      <c r="O102" s="415">
        <f t="shared" si="16"/>
        <v>0</v>
      </c>
      <c r="P102" s="416">
        <f t="shared" si="16"/>
        <v>0</v>
      </c>
      <c r="Q102" s="416">
        <f t="shared" si="16"/>
        <v>0</v>
      </c>
      <c r="R102" s="416">
        <f t="shared" si="16"/>
        <v>0</v>
      </c>
    </row>
    <row r="103" spans="2:18" ht="21" customHeight="1" x14ac:dyDescent="0.2">
      <c r="B103" s="310" t="s">
        <v>122</v>
      </c>
      <c r="C103" s="195"/>
      <c r="D103" s="130"/>
      <c r="E103" s="130"/>
      <c r="F103" s="130"/>
      <c r="G103" s="130"/>
      <c r="H103" s="130"/>
      <c r="I103" s="130"/>
      <c r="J103" s="130"/>
      <c r="K103" s="130"/>
      <c r="L103" s="130"/>
      <c r="M103" s="130"/>
      <c r="N103" s="130"/>
      <c r="O103" s="195"/>
      <c r="P103" s="130"/>
      <c r="Q103" s="130"/>
      <c r="R103" s="130"/>
    </row>
    <row r="104" spans="2:18" ht="12.75" customHeight="1" outlineLevel="1" x14ac:dyDescent="0.2">
      <c r="B104" s="390" t="str">
        <f>+'Detail CF Projections'!A63</f>
        <v>Change in long-term loans</v>
      </c>
      <c r="C104" s="409">
        <f>+'Detail CF Projections'!B63</f>
        <v>250000</v>
      </c>
      <c r="D104" s="316">
        <f>+'Detail CF Projections'!C63</f>
        <v>-541.07764619542286</v>
      </c>
      <c r="E104" s="316">
        <f>+'Detail CF Projections'!D63</f>
        <v>-543.78303442639299</v>
      </c>
      <c r="F104" s="316">
        <f>+'Detail CF Projections'!E63</f>
        <v>-546.50194959851797</v>
      </c>
      <c r="G104" s="316">
        <f>+'Detail CF Projections'!F63</f>
        <v>-549.23445934650954</v>
      </c>
      <c r="H104" s="316">
        <f>+'Detail CF Projections'!G63</f>
        <v>-551.98063164323685</v>
      </c>
      <c r="I104" s="316">
        <f>+'Detail CF Projections'!H63</f>
        <v>-554.74053480147268</v>
      </c>
      <c r="J104" s="316">
        <f>+'Detail CF Projections'!I63</f>
        <v>-557.51423747546505</v>
      </c>
      <c r="K104" s="316">
        <f>+'Detail CF Projections'!J63</f>
        <v>-560.30180866285809</v>
      </c>
      <c r="L104" s="316">
        <f>+'Detail CF Projections'!K63</f>
        <v>-563.10331770614721</v>
      </c>
      <c r="M104" s="316">
        <f>+'Detail CF Projections'!L63</f>
        <v>-565.91883429468726</v>
      </c>
      <c r="N104" s="316">
        <f>+'Detail CF Projections'!M63</f>
        <v>-568.74842846617685</v>
      </c>
      <c r="O104" s="409">
        <f>+'Detail CF Projections'!N63</f>
        <v>-571.59217060849187</v>
      </c>
      <c r="P104" s="316">
        <f>+'Detail CF Projections'!O63</f>
        <v>-6674.4970532253792</v>
      </c>
      <c r="Q104" s="316">
        <f>+'Detail CF Projections'!P63</f>
        <v>-7086.1654267643753</v>
      </c>
      <c r="R104" s="316">
        <f>+'Detail CF Projections'!Q63</f>
        <v>-7523.2246047970839</v>
      </c>
    </row>
    <row r="105" spans="2:18" ht="12.75" customHeight="1" outlineLevel="1" x14ac:dyDescent="0.2">
      <c r="B105" s="390" t="str">
        <f>+'Detail CF Projections'!A64</f>
        <v>Change in other long-term debt</v>
      </c>
      <c r="C105" s="409">
        <f>+'Detail CF Projections'!B64</f>
        <v>0</v>
      </c>
      <c r="D105" s="316">
        <f>+'Detail CF Projections'!C64</f>
        <v>0</v>
      </c>
      <c r="E105" s="316">
        <f>+'Detail CF Projections'!D64</f>
        <v>0</v>
      </c>
      <c r="F105" s="316">
        <f>+'Detail CF Projections'!E64</f>
        <v>0</v>
      </c>
      <c r="G105" s="316">
        <f>+'Detail CF Projections'!F64</f>
        <v>0</v>
      </c>
      <c r="H105" s="316">
        <f>+'Detail CF Projections'!G64</f>
        <v>0</v>
      </c>
      <c r="I105" s="316">
        <f>+'Detail CF Projections'!H64</f>
        <v>0</v>
      </c>
      <c r="J105" s="316">
        <f>+'Detail CF Projections'!I64</f>
        <v>0</v>
      </c>
      <c r="K105" s="316">
        <f>+'Detail CF Projections'!J64</f>
        <v>0</v>
      </c>
      <c r="L105" s="316">
        <f>+'Detail CF Projections'!K64</f>
        <v>0</v>
      </c>
      <c r="M105" s="316">
        <f>+'Detail CF Projections'!L64</f>
        <v>0</v>
      </c>
      <c r="N105" s="316">
        <f>+'Detail CF Projections'!M64</f>
        <v>0</v>
      </c>
      <c r="O105" s="409">
        <f>+'Detail CF Projections'!N64</f>
        <v>0</v>
      </c>
      <c r="P105" s="316">
        <f>+'Detail CF Projections'!O64</f>
        <v>0</v>
      </c>
      <c r="Q105" s="316">
        <f>+'Detail CF Projections'!P64</f>
        <v>0</v>
      </c>
      <c r="R105" s="316">
        <f>+'Detail CF Projections'!Q64</f>
        <v>0</v>
      </c>
    </row>
    <row r="106" spans="2:18" ht="12.75" customHeight="1" outlineLevel="1" x14ac:dyDescent="0.2">
      <c r="B106" s="390" t="str">
        <f>+'Detail CF Projections'!A65</f>
        <v>Change in equity funding</v>
      </c>
      <c r="C106" s="409">
        <f>+'Detail CF Projections'!B65</f>
        <v>0</v>
      </c>
      <c r="D106" s="316">
        <f>+'Detail CF Projections'!C65</f>
        <v>0</v>
      </c>
      <c r="E106" s="316">
        <f>+'Detail CF Projections'!D65</f>
        <v>0</v>
      </c>
      <c r="F106" s="316">
        <f>+'Detail CF Projections'!E65</f>
        <v>0</v>
      </c>
      <c r="G106" s="316">
        <f>+'Detail CF Projections'!F65</f>
        <v>0</v>
      </c>
      <c r="H106" s="316">
        <f>+'Detail CF Projections'!G65</f>
        <v>0</v>
      </c>
      <c r="I106" s="316">
        <f>+'Detail CF Projections'!H65</f>
        <v>0</v>
      </c>
      <c r="J106" s="316">
        <f>+'Detail CF Projections'!I65</f>
        <v>0</v>
      </c>
      <c r="K106" s="316">
        <f>+'Detail CF Projections'!J65</f>
        <v>0</v>
      </c>
      <c r="L106" s="316">
        <f>+'Detail CF Projections'!K65</f>
        <v>0</v>
      </c>
      <c r="M106" s="316">
        <f>+'Detail CF Projections'!L65</f>
        <v>0</v>
      </c>
      <c r="N106" s="316">
        <f>+'Detail CF Projections'!M65</f>
        <v>0</v>
      </c>
      <c r="O106" s="409">
        <f>+'Detail CF Projections'!N65</f>
        <v>0</v>
      </c>
      <c r="P106" s="316">
        <f>+'Detail CF Projections'!O65</f>
        <v>0</v>
      </c>
      <c r="Q106" s="316">
        <f>+'Detail CF Projections'!P65</f>
        <v>0</v>
      </c>
      <c r="R106" s="316">
        <f>+'Detail CF Projections'!Q65</f>
        <v>0</v>
      </c>
    </row>
    <row r="107" spans="2:18" ht="12.75" customHeight="1" outlineLevel="1" x14ac:dyDescent="0.2">
      <c r="B107" s="390" t="str">
        <f>+'Detail CF Projections'!A66</f>
        <v>Change in owner contributions/distributions</v>
      </c>
      <c r="C107" s="409">
        <f>+'Detail CF Projections'!B66</f>
        <v>30000</v>
      </c>
      <c r="D107" s="316">
        <f>+'Detail CF Projections'!C66</f>
        <v>0</v>
      </c>
      <c r="E107" s="316">
        <f>+'Detail CF Projections'!D66</f>
        <v>0</v>
      </c>
      <c r="F107" s="316">
        <f>+'Detail CF Projections'!E66</f>
        <v>0</v>
      </c>
      <c r="G107" s="316">
        <f>+'Detail CF Projections'!F66</f>
        <v>0</v>
      </c>
      <c r="H107" s="316">
        <f>+'Detail CF Projections'!G66</f>
        <v>0</v>
      </c>
      <c r="I107" s="316">
        <f>+'Detail CF Projections'!H66</f>
        <v>0</v>
      </c>
      <c r="J107" s="316">
        <f>+'Detail CF Projections'!I66</f>
        <v>0</v>
      </c>
      <c r="K107" s="316">
        <f>+'Detail CF Projections'!J66</f>
        <v>0</v>
      </c>
      <c r="L107" s="316">
        <f>+'Detail CF Projections'!K66</f>
        <v>0</v>
      </c>
      <c r="M107" s="316">
        <f>+'Detail CF Projections'!L66</f>
        <v>0</v>
      </c>
      <c r="N107" s="316">
        <f>+'Detail CF Projections'!M66</f>
        <v>0</v>
      </c>
      <c r="O107" s="409">
        <f>+'Detail CF Projections'!N66</f>
        <v>0</v>
      </c>
      <c r="P107" s="316">
        <f>+'Detail CF Projections'!O66</f>
        <v>0</v>
      </c>
      <c r="Q107" s="316">
        <f>+'Detail CF Projections'!P66</f>
        <v>0</v>
      </c>
      <c r="R107" s="316">
        <f>+'Detail CF Projections'!Q66</f>
        <v>0</v>
      </c>
    </row>
    <row r="108" spans="2:18" ht="12.75" customHeight="1" x14ac:dyDescent="0.2">
      <c r="B108" s="414" t="s">
        <v>145</v>
      </c>
      <c r="C108" s="415">
        <f t="shared" ref="C108:R108" si="17">SUM(C104:C107)</f>
        <v>280000</v>
      </c>
      <c r="D108" s="416">
        <f t="shared" si="17"/>
        <v>-541.07764619542286</v>
      </c>
      <c r="E108" s="416">
        <f t="shared" si="17"/>
        <v>-543.78303442639299</v>
      </c>
      <c r="F108" s="416">
        <f t="shared" si="17"/>
        <v>-546.50194959851797</v>
      </c>
      <c r="G108" s="416">
        <f t="shared" si="17"/>
        <v>-549.23445934650954</v>
      </c>
      <c r="H108" s="416">
        <f t="shared" si="17"/>
        <v>-551.98063164323685</v>
      </c>
      <c r="I108" s="416">
        <f t="shared" si="17"/>
        <v>-554.74053480147268</v>
      </c>
      <c r="J108" s="416">
        <f t="shared" si="17"/>
        <v>-557.51423747546505</v>
      </c>
      <c r="K108" s="416">
        <f t="shared" si="17"/>
        <v>-560.30180866285809</v>
      </c>
      <c r="L108" s="416">
        <f t="shared" si="17"/>
        <v>-563.10331770614721</v>
      </c>
      <c r="M108" s="416">
        <f t="shared" si="17"/>
        <v>-565.91883429468726</v>
      </c>
      <c r="N108" s="416">
        <f t="shared" si="17"/>
        <v>-568.74842846617685</v>
      </c>
      <c r="O108" s="415">
        <f t="shared" si="17"/>
        <v>-571.59217060849187</v>
      </c>
      <c r="P108" s="416">
        <f t="shared" si="17"/>
        <v>-6674.4970532253792</v>
      </c>
      <c r="Q108" s="416">
        <f t="shared" si="17"/>
        <v>-7086.1654267643753</v>
      </c>
      <c r="R108" s="416">
        <f t="shared" si="17"/>
        <v>-7523.2246047970839</v>
      </c>
    </row>
    <row r="109" spans="2:18" ht="12.75" customHeight="1" x14ac:dyDescent="0.2">
      <c r="B109" s="135"/>
      <c r="C109" s="180"/>
      <c r="D109" s="142"/>
      <c r="E109" s="142"/>
      <c r="F109" s="142"/>
      <c r="G109" s="142"/>
      <c r="H109" s="142"/>
      <c r="I109" s="142"/>
      <c r="J109" s="142"/>
      <c r="K109" s="142"/>
      <c r="L109" s="142"/>
      <c r="M109" s="142"/>
      <c r="N109" s="142"/>
      <c r="O109" s="180"/>
      <c r="P109" s="142"/>
      <c r="Q109" s="142"/>
      <c r="R109" s="142"/>
    </row>
    <row r="110" spans="2:18" ht="12.75" customHeight="1" x14ac:dyDescent="0.2">
      <c r="B110" s="322" t="s">
        <v>61</v>
      </c>
      <c r="C110" s="412">
        <f t="shared" ref="C110:R110" si="18">C98+C102+C108</f>
        <v>124700</v>
      </c>
      <c r="D110" s="323">
        <f t="shared" si="18"/>
        <v>-21170.430979528755</v>
      </c>
      <c r="E110" s="323">
        <f t="shared" si="18"/>
        <v>-15935.886979528745</v>
      </c>
      <c r="F110" s="323">
        <f t="shared" si="18"/>
        <v>-441.9409795287429</v>
      </c>
      <c r="G110" s="323">
        <f t="shared" si="18"/>
        <v>-388.59297952874294</v>
      </c>
      <c r="H110" s="323">
        <f t="shared" si="18"/>
        <v>-475.84297952873567</v>
      </c>
      <c r="I110" s="323">
        <f t="shared" si="18"/>
        <v>-536.69097952875609</v>
      </c>
      <c r="J110" s="323">
        <f t="shared" si="18"/>
        <v>-457.65697952874143</v>
      </c>
      <c r="K110" s="323">
        <f t="shared" si="18"/>
        <v>4341.6230204712447</v>
      </c>
      <c r="L110" s="323">
        <f t="shared" si="18"/>
        <v>23456.501020471267</v>
      </c>
      <c r="M110" s="323">
        <f t="shared" si="18"/>
        <v>26765.977020471262</v>
      </c>
      <c r="N110" s="323">
        <f t="shared" si="18"/>
        <v>33231.791020471239</v>
      </c>
      <c r="O110" s="323">
        <f t="shared" si="18"/>
        <v>38547.605020471266</v>
      </c>
      <c r="P110" s="323">
        <f t="shared" si="18"/>
        <v>86936.454245655041</v>
      </c>
      <c r="Q110" s="323">
        <f t="shared" si="18"/>
        <v>113097.38058143077</v>
      </c>
      <c r="R110" s="323">
        <f t="shared" si="18"/>
        <v>148313.69407378524</v>
      </c>
    </row>
    <row r="111" spans="2:18" ht="18.75" customHeight="1" x14ac:dyDescent="0.2">
      <c r="B111" s="315" t="s">
        <v>146</v>
      </c>
      <c r="C111" s="409">
        <f>+Historical!B9</f>
        <v>0</v>
      </c>
      <c r="D111" s="316">
        <f t="shared" ref="D111:O111" si="19">+C112</f>
        <v>124700</v>
      </c>
      <c r="E111" s="316">
        <f t="shared" si="19"/>
        <v>103529.56902047124</v>
      </c>
      <c r="F111" s="316">
        <f t="shared" si="19"/>
        <v>87593.682040942498</v>
      </c>
      <c r="G111" s="316">
        <f t="shared" si="19"/>
        <v>87151.741061413748</v>
      </c>
      <c r="H111" s="316">
        <f t="shared" si="19"/>
        <v>86763.14808188501</v>
      </c>
      <c r="I111" s="316">
        <f t="shared" si="19"/>
        <v>86287.305102356273</v>
      </c>
      <c r="J111" s="316">
        <f t="shared" si="19"/>
        <v>85750.614122827523</v>
      </c>
      <c r="K111" s="316">
        <f t="shared" si="19"/>
        <v>85292.957143298787</v>
      </c>
      <c r="L111" s="316">
        <f t="shared" si="19"/>
        <v>89634.580163770035</v>
      </c>
      <c r="M111" s="316">
        <f t="shared" si="19"/>
        <v>113091.08118424131</v>
      </c>
      <c r="N111" s="316">
        <f t="shared" si="19"/>
        <v>139857.05820471258</v>
      </c>
      <c r="O111" s="409">
        <f t="shared" si="19"/>
        <v>173088.84922518383</v>
      </c>
      <c r="P111" s="316">
        <f>+D111</f>
        <v>124700</v>
      </c>
      <c r="Q111" s="316">
        <f>+P112</f>
        <v>211636.45424565504</v>
      </c>
      <c r="R111" s="316">
        <f>+Q112</f>
        <v>324733.83482708584</v>
      </c>
    </row>
    <row r="112" spans="2:18" ht="12.75" customHeight="1" x14ac:dyDescent="0.2">
      <c r="B112" s="328" t="s">
        <v>66</v>
      </c>
      <c r="C112" s="417">
        <f t="shared" ref="C112:R112" si="20">+C110+C111</f>
        <v>124700</v>
      </c>
      <c r="D112" s="363">
        <f t="shared" si="20"/>
        <v>103529.56902047124</v>
      </c>
      <c r="E112" s="363">
        <f t="shared" si="20"/>
        <v>87593.682040942498</v>
      </c>
      <c r="F112" s="363">
        <f t="shared" si="20"/>
        <v>87151.741061413748</v>
      </c>
      <c r="G112" s="363">
        <f t="shared" si="20"/>
        <v>86763.14808188501</v>
      </c>
      <c r="H112" s="363">
        <f t="shared" si="20"/>
        <v>86287.305102356273</v>
      </c>
      <c r="I112" s="363">
        <f t="shared" si="20"/>
        <v>85750.614122827523</v>
      </c>
      <c r="J112" s="363">
        <f t="shared" si="20"/>
        <v>85292.957143298787</v>
      </c>
      <c r="K112" s="363">
        <f t="shared" si="20"/>
        <v>89634.580163770035</v>
      </c>
      <c r="L112" s="363">
        <f t="shared" si="20"/>
        <v>113091.08118424131</v>
      </c>
      <c r="M112" s="363">
        <f t="shared" si="20"/>
        <v>139857.05820471258</v>
      </c>
      <c r="N112" s="363">
        <f t="shared" si="20"/>
        <v>173088.84922518383</v>
      </c>
      <c r="O112" s="417">
        <f t="shared" si="20"/>
        <v>211636.4542456551</v>
      </c>
      <c r="P112" s="363">
        <f t="shared" si="20"/>
        <v>211636.45424565504</v>
      </c>
      <c r="Q112" s="363">
        <f t="shared" si="20"/>
        <v>324733.83482708584</v>
      </c>
      <c r="R112" s="363">
        <f t="shared" si="20"/>
        <v>473047.52890087105</v>
      </c>
    </row>
    <row r="113" spans="4:18" x14ac:dyDescent="0.2"/>
    <row r="114" spans="4:18" x14ac:dyDescent="0.2"/>
    <row r="115" spans="4:18" x14ac:dyDescent="0.2"/>
    <row r="116" spans="4:18" x14ac:dyDescent="0.2"/>
    <row r="117" spans="4:18" ht="12.75" customHeight="1" x14ac:dyDescent="0.2">
      <c r="D117" s="369">
        <f t="shared" ref="D117:R117" si="21">IF(D68-D85&lt;1,IF(D68-D85&gt;-1,0,D68-D85))</f>
        <v>0</v>
      </c>
      <c r="E117" s="369">
        <f t="shared" si="21"/>
        <v>0</v>
      </c>
      <c r="F117" s="369">
        <f t="shared" si="21"/>
        <v>0</v>
      </c>
      <c r="G117" s="369">
        <f t="shared" si="21"/>
        <v>0</v>
      </c>
      <c r="H117" s="369">
        <f t="shared" si="21"/>
        <v>0</v>
      </c>
      <c r="I117" s="369">
        <f t="shared" si="21"/>
        <v>0</v>
      </c>
      <c r="J117" s="369">
        <f t="shared" si="21"/>
        <v>0</v>
      </c>
      <c r="K117" s="369">
        <f t="shared" si="21"/>
        <v>0</v>
      </c>
      <c r="L117" s="369">
        <f t="shared" si="21"/>
        <v>0</v>
      </c>
      <c r="M117" s="369">
        <f t="shared" si="21"/>
        <v>0</v>
      </c>
      <c r="N117" s="369">
        <f t="shared" si="21"/>
        <v>0</v>
      </c>
      <c r="O117" s="369">
        <f t="shared" si="21"/>
        <v>0</v>
      </c>
      <c r="P117" s="369">
        <f t="shared" si="21"/>
        <v>0</v>
      </c>
      <c r="Q117" s="369">
        <f t="shared" si="21"/>
        <v>0</v>
      </c>
      <c r="R117" s="369">
        <f t="shared" si="21"/>
        <v>0</v>
      </c>
    </row>
  </sheetData>
  <mergeCells count="5">
    <mergeCell ref="P50:R50"/>
    <mergeCell ref="B2:R2"/>
    <mergeCell ref="P91:R91"/>
    <mergeCell ref="P4:R4"/>
    <mergeCell ref="B1:R1"/>
  </mergeCells>
  <pageMargins left="0.52" right="0.42" top="0.54" bottom="0.75" header="0" footer="0"/>
  <pageSetup orientation="landscape"/>
  <headerFooter>
    <oddHeader>&amp;RCONFIDENTIAL</oddHeader>
  </headerFooter>
  <rowBreaks count="2" manualBreakCount="2">
    <brk id="48" max="16383" man="1"/>
    <brk id="89" max="16383" man="1"/>
  </rowBreaks>
  <colBreaks count="1" manualBreakCount="1">
    <brk id="18" max="16383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6D7E96"/>
  </sheetPr>
  <dimension ref="A1:T56"/>
  <sheetViews>
    <sheetView showGridLines="0" workbookViewId="0">
      <pane ySplit="2" topLeftCell="A3" activePane="bottomLeft" state="frozen"/>
      <selection pane="bottomLeft" activeCell="M30" sqref="M30"/>
    </sheetView>
  </sheetViews>
  <sheetFormatPr baseColWidth="10" defaultColWidth="14.5" defaultRowHeight="15" customHeight="1" x14ac:dyDescent="0.2"/>
  <cols>
    <col min="1" max="1" width="43.83203125" customWidth="1"/>
    <col min="2" max="2" width="18.83203125" customWidth="1"/>
    <col min="3" max="3" width="10.6640625" customWidth="1"/>
    <col min="4" max="4" width="8.83203125" customWidth="1"/>
    <col min="5" max="5" width="9.5" customWidth="1"/>
    <col min="6" max="6" width="9.83203125" customWidth="1"/>
    <col min="7" max="7" width="10.6640625" customWidth="1"/>
    <col min="8" max="9" width="9.83203125" customWidth="1"/>
    <col min="10" max="12" width="11" customWidth="1"/>
    <col min="13" max="15" width="11.33203125" customWidth="1"/>
    <col min="16" max="16" width="12" customWidth="1"/>
    <col min="17" max="17" width="8.83203125" customWidth="1"/>
    <col min="18" max="18" width="11.33203125" customWidth="1"/>
    <col min="19" max="19" width="10" customWidth="1"/>
    <col min="20" max="20" width="11.6640625" customWidth="1"/>
    <col min="21" max="21" width="9.1640625" customWidth="1"/>
    <col min="22" max="22" width="12.33203125" customWidth="1"/>
    <col min="23" max="23" width="10.5" customWidth="1"/>
    <col min="24" max="24" width="11" customWidth="1"/>
    <col min="25" max="40" width="9.1640625" customWidth="1"/>
  </cols>
  <sheetData>
    <row r="1" spans="1:20" ht="12.75" customHeight="1" x14ac:dyDescent="0.2">
      <c r="A1" s="346" t="s">
        <v>100</v>
      </c>
      <c r="B1" s="154"/>
      <c r="C1" s="135"/>
      <c r="D1" s="130"/>
      <c r="E1" s="130"/>
      <c r="F1" s="130"/>
      <c r="G1" s="130"/>
      <c r="H1" s="130"/>
      <c r="I1" s="130"/>
      <c r="J1" s="199"/>
      <c r="K1" s="130"/>
      <c r="L1" s="130"/>
      <c r="M1" s="130"/>
      <c r="N1" s="199"/>
      <c r="O1" s="127"/>
      <c r="P1" s="127"/>
      <c r="Q1" s="127"/>
      <c r="R1" s="127"/>
      <c r="S1" s="127"/>
      <c r="T1" s="127"/>
    </row>
    <row r="2" spans="1:20" ht="12.75" customHeight="1" x14ac:dyDescent="0.2">
      <c r="A2" s="310" t="str">
        <f>+Historical!$A$1</f>
        <v>Draper Yoga</v>
      </c>
      <c r="B2" s="130"/>
      <c r="C2" s="135"/>
      <c r="D2" s="130"/>
      <c r="E2" s="130"/>
      <c r="F2" s="200"/>
      <c r="G2" s="130"/>
      <c r="H2" s="130"/>
      <c r="I2" s="130"/>
      <c r="J2" s="130"/>
      <c r="K2" s="130"/>
      <c r="L2" s="130"/>
      <c r="M2" s="130"/>
      <c r="N2" s="127"/>
      <c r="O2" s="127"/>
      <c r="P2" s="127"/>
      <c r="Q2" s="127"/>
      <c r="R2" s="127"/>
      <c r="S2" s="127"/>
      <c r="T2" s="127"/>
    </row>
    <row r="3" spans="1:20" ht="15" customHeight="1" x14ac:dyDescent="0.2">
      <c r="A3" s="150"/>
      <c r="B3" s="150"/>
      <c r="C3" s="201"/>
      <c r="D3" s="181"/>
      <c r="E3" s="181"/>
      <c r="F3" s="181"/>
      <c r="G3" s="181"/>
      <c r="H3" s="181"/>
      <c r="I3" s="181"/>
      <c r="J3" s="181"/>
      <c r="K3" s="181"/>
      <c r="L3" s="181"/>
      <c r="M3" s="181"/>
      <c r="N3" s="1092" t="s">
        <v>126</v>
      </c>
      <c r="O3" s="1080"/>
      <c r="P3" s="1080"/>
      <c r="Q3" s="1080"/>
      <c r="R3" s="1080"/>
      <c r="S3" s="1083"/>
      <c r="T3" s="19"/>
    </row>
    <row r="4" spans="1:20" ht="12.75" customHeight="1" x14ac:dyDescent="0.2">
      <c r="A4" s="418" t="s">
        <v>147</v>
      </c>
      <c r="B4" s="419">
        <f>+'Info &amp; Instructions'!B7+28</f>
        <v>44771</v>
      </c>
      <c r="C4" s="420">
        <f t="shared" ref="C4:M4" si="0">+B4+28</f>
        <v>44799</v>
      </c>
      <c r="D4" s="420">
        <f t="shared" si="0"/>
        <v>44827</v>
      </c>
      <c r="E4" s="420">
        <f t="shared" si="0"/>
        <v>44855</v>
      </c>
      <c r="F4" s="420">
        <f t="shared" si="0"/>
        <v>44883</v>
      </c>
      <c r="G4" s="420">
        <f t="shared" si="0"/>
        <v>44911</v>
      </c>
      <c r="H4" s="420">
        <f t="shared" si="0"/>
        <v>44939</v>
      </c>
      <c r="I4" s="420">
        <f t="shared" si="0"/>
        <v>44967</v>
      </c>
      <c r="J4" s="420">
        <f t="shared" si="0"/>
        <v>44995</v>
      </c>
      <c r="K4" s="420">
        <f t="shared" si="0"/>
        <v>45023</v>
      </c>
      <c r="L4" s="420">
        <f t="shared" si="0"/>
        <v>45051</v>
      </c>
      <c r="M4" s="420">
        <f t="shared" si="0"/>
        <v>45079</v>
      </c>
      <c r="N4" s="421">
        <f>+M4</f>
        <v>45079</v>
      </c>
      <c r="O4" s="422" t="s">
        <v>148</v>
      </c>
      <c r="P4" s="423">
        <f>+N4+365</f>
        <v>45444</v>
      </c>
      <c r="Q4" s="422" t="s">
        <v>148</v>
      </c>
      <c r="R4" s="423">
        <f>+P4+365</f>
        <v>45809</v>
      </c>
      <c r="S4" s="422" t="s">
        <v>148</v>
      </c>
      <c r="T4" s="20"/>
    </row>
    <row r="5" spans="1:20" ht="15" customHeight="1" x14ac:dyDescent="0.2">
      <c r="A5" s="424" t="str">
        <f>+A27</f>
        <v>Drop-Ins</v>
      </c>
      <c r="B5" s="425">
        <f t="shared" ref="B5:M5" si="1">+D44</f>
        <v>1872.0000000000002</v>
      </c>
      <c r="C5" s="426">
        <f t="shared" si="1"/>
        <v>2808</v>
      </c>
      <c r="D5" s="426">
        <f t="shared" si="1"/>
        <v>3744.0000000000005</v>
      </c>
      <c r="E5" s="426">
        <f t="shared" si="1"/>
        <v>4680</v>
      </c>
      <c r="F5" s="426">
        <f t="shared" si="1"/>
        <v>5616</v>
      </c>
      <c r="G5" s="426">
        <f t="shared" si="1"/>
        <v>6551.9999999999991</v>
      </c>
      <c r="H5" s="426">
        <f t="shared" si="1"/>
        <v>9360</v>
      </c>
      <c r="I5" s="426">
        <f t="shared" si="1"/>
        <v>8424</v>
      </c>
      <c r="J5" s="426">
        <f t="shared" si="1"/>
        <v>7488.0000000000009</v>
      </c>
      <c r="K5" s="426">
        <f t="shared" si="1"/>
        <v>6551.9999999999991</v>
      </c>
      <c r="L5" s="426">
        <f t="shared" si="1"/>
        <v>6551.9999999999991</v>
      </c>
      <c r="M5" s="426">
        <f t="shared" si="1"/>
        <v>6551.9999999999991</v>
      </c>
      <c r="N5" s="425">
        <f t="shared" ref="N5:N10" si="2">+SUM(B5:M5)</f>
        <v>70200</v>
      </c>
      <c r="O5" s="427">
        <f t="shared" ref="O5:O10" si="3">+N5/N$11</f>
        <v>0.13940769601973155</v>
      </c>
      <c r="P5" s="426">
        <f>+R44</f>
        <v>86767.200000000026</v>
      </c>
      <c r="Q5" s="427">
        <f t="shared" ref="Q5:Q10" si="4">+P5/P$11</f>
        <v>0.1394076960197316</v>
      </c>
      <c r="R5" s="426">
        <f>+T44</f>
        <v>96876.000000000015</v>
      </c>
      <c r="S5" s="427">
        <f t="shared" ref="S5:S10" si="5">+R5/R$11</f>
        <v>0.13940769601973158</v>
      </c>
      <c r="T5" s="24"/>
    </row>
    <row r="6" spans="1:20" ht="12.75" customHeight="1" x14ac:dyDescent="0.2">
      <c r="A6" s="424" t="s">
        <v>149</v>
      </c>
      <c r="B6" s="425">
        <f t="shared" ref="B6:M6" si="6">+D45+D46+D47</f>
        <v>2040</v>
      </c>
      <c r="C6" s="426">
        <f t="shared" si="6"/>
        <v>4590</v>
      </c>
      <c r="D6" s="426">
        <f t="shared" si="6"/>
        <v>7905</v>
      </c>
      <c r="E6" s="426">
        <f t="shared" si="6"/>
        <v>11985</v>
      </c>
      <c r="F6" s="426">
        <f t="shared" si="6"/>
        <v>16830</v>
      </c>
      <c r="G6" s="426">
        <f t="shared" si="6"/>
        <v>22440</v>
      </c>
      <c r="H6" s="426">
        <f t="shared" si="6"/>
        <v>30855</v>
      </c>
      <c r="I6" s="426">
        <f t="shared" si="6"/>
        <v>37485</v>
      </c>
      <c r="J6" s="426">
        <f t="shared" si="6"/>
        <v>43350</v>
      </c>
      <c r="K6" s="426">
        <f t="shared" si="6"/>
        <v>48450</v>
      </c>
      <c r="L6" s="426">
        <f t="shared" si="6"/>
        <v>53805</v>
      </c>
      <c r="M6" s="426">
        <f t="shared" si="6"/>
        <v>59160</v>
      </c>
      <c r="N6" s="425">
        <f t="shared" si="2"/>
        <v>338895</v>
      </c>
      <c r="O6" s="427">
        <f t="shared" si="3"/>
        <v>0.67299958892602452</v>
      </c>
      <c r="P6" s="426">
        <f>+R45+R46+R47</f>
        <v>418874.22</v>
      </c>
      <c r="Q6" s="427">
        <f t="shared" si="4"/>
        <v>0.67299958892602452</v>
      </c>
      <c r="R6" s="426">
        <f>+T45+T46+T47</f>
        <v>467675.1</v>
      </c>
      <c r="S6" s="427">
        <f t="shared" si="5"/>
        <v>0.67299958892602452</v>
      </c>
      <c r="T6" s="24"/>
    </row>
    <row r="7" spans="1:20" ht="15" customHeight="1" x14ac:dyDescent="0.2">
      <c r="A7" s="424" t="s">
        <v>150</v>
      </c>
      <c r="B7" s="425">
        <f t="shared" ref="B7:M7" si="7">+D48</f>
        <v>179.99999999999997</v>
      </c>
      <c r="C7" s="426">
        <f t="shared" si="7"/>
        <v>270</v>
      </c>
      <c r="D7" s="426">
        <f t="shared" si="7"/>
        <v>359.99999999999994</v>
      </c>
      <c r="E7" s="426">
        <f t="shared" si="7"/>
        <v>450</v>
      </c>
      <c r="F7" s="426">
        <f t="shared" si="7"/>
        <v>540</v>
      </c>
      <c r="G7" s="426">
        <f t="shared" si="7"/>
        <v>630</v>
      </c>
      <c r="H7" s="426">
        <f t="shared" si="7"/>
        <v>900</v>
      </c>
      <c r="I7" s="426">
        <f t="shared" si="7"/>
        <v>810</v>
      </c>
      <c r="J7" s="426">
        <f t="shared" si="7"/>
        <v>719.99999999999989</v>
      </c>
      <c r="K7" s="426">
        <f t="shared" si="7"/>
        <v>630</v>
      </c>
      <c r="L7" s="426">
        <f t="shared" si="7"/>
        <v>630</v>
      </c>
      <c r="M7" s="426">
        <f t="shared" si="7"/>
        <v>630</v>
      </c>
      <c r="N7" s="425">
        <f t="shared" si="2"/>
        <v>6750</v>
      </c>
      <c r="O7" s="427">
        <f t="shared" si="3"/>
        <v>1.3404586155743418E-2</v>
      </c>
      <c r="P7" s="426">
        <f>+R48</f>
        <v>8342.9999999999982</v>
      </c>
      <c r="Q7" s="427">
        <f t="shared" si="4"/>
        <v>1.3404586155743416E-2</v>
      </c>
      <c r="R7" s="426">
        <f>+T48</f>
        <v>9314.9999999999982</v>
      </c>
      <c r="S7" s="427">
        <f t="shared" si="5"/>
        <v>1.3404586155743414E-2</v>
      </c>
      <c r="T7" s="17"/>
    </row>
    <row r="8" spans="1:20" ht="15" customHeight="1" x14ac:dyDescent="0.2">
      <c r="A8" s="424" t="s">
        <v>151</v>
      </c>
      <c r="B8" s="425">
        <f t="shared" ref="B8:M8" si="8">+D49+D50+D51</f>
        <v>359.99999999999994</v>
      </c>
      <c r="C8" s="426">
        <f t="shared" si="8"/>
        <v>810</v>
      </c>
      <c r="D8" s="426">
        <f t="shared" si="8"/>
        <v>1395</v>
      </c>
      <c r="E8" s="426">
        <f t="shared" si="8"/>
        <v>2115</v>
      </c>
      <c r="F8" s="426">
        <f t="shared" si="8"/>
        <v>2970</v>
      </c>
      <c r="G8" s="426">
        <f t="shared" si="8"/>
        <v>3960</v>
      </c>
      <c r="H8" s="426">
        <f t="shared" si="8"/>
        <v>5445</v>
      </c>
      <c r="I8" s="426">
        <f t="shared" si="8"/>
        <v>6615</v>
      </c>
      <c r="J8" s="426">
        <f t="shared" si="8"/>
        <v>7650</v>
      </c>
      <c r="K8" s="426">
        <f t="shared" si="8"/>
        <v>8549.9999999999982</v>
      </c>
      <c r="L8" s="426">
        <f t="shared" si="8"/>
        <v>9494.9999999999982</v>
      </c>
      <c r="M8" s="426">
        <f t="shared" si="8"/>
        <v>10439.999999999998</v>
      </c>
      <c r="N8" s="425">
        <f t="shared" si="2"/>
        <v>59805</v>
      </c>
      <c r="O8" s="427">
        <f t="shared" si="3"/>
        <v>0.11876463333988668</v>
      </c>
      <c r="P8" s="426">
        <f>+R49+R50+R51</f>
        <v>73918.98</v>
      </c>
      <c r="Q8" s="427">
        <f t="shared" si="4"/>
        <v>0.11876463333988668</v>
      </c>
      <c r="R8" s="426">
        <f>+T49+T50+T51</f>
        <v>82530.899999999994</v>
      </c>
      <c r="S8" s="427">
        <f t="shared" si="5"/>
        <v>0.11876463333988667</v>
      </c>
      <c r="T8" s="17"/>
    </row>
    <row r="9" spans="1:20" ht="15" customHeight="1" x14ac:dyDescent="0.2">
      <c r="A9" s="428" t="s">
        <v>152</v>
      </c>
      <c r="B9" s="425">
        <f t="shared" ref="B9:M9" si="9">+D52+D53+D54</f>
        <v>168.00000000000003</v>
      </c>
      <c r="C9" s="426">
        <f t="shared" si="9"/>
        <v>378</v>
      </c>
      <c r="D9" s="426">
        <f t="shared" si="9"/>
        <v>651</v>
      </c>
      <c r="E9" s="426">
        <f t="shared" si="9"/>
        <v>987</v>
      </c>
      <c r="F9" s="426">
        <f t="shared" si="9"/>
        <v>1386</v>
      </c>
      <c r="G9" s="426">
        <f t="shared" si="9"/>
        <v>1848</v>
      </c>
      <c r="H9" s="426">
        <f t="shared" si="9"/>
        <v>2541</v>
      </c>
      <c r="I9" s="426">
        <f t="shared" si="9"/>
        <v>3087</v>
      </c>
      <c r="J9" s="426">
        <f t="shared" si="9"/>
        <v>3570</v>
      </c>
      <c r="K9" s="426">
        <f t="shared" si="9"/>
        <v>3990.0000000000009</v>
      </c>
      <c r="L9" s="426">
        <f t="shared" si="9"/>
        <v>4431.0000000000009</v>
      </c>
      <c r="M9" s="426">
        <f t="shared" si="9"/>
        <v>4872.0000000000018</v>
      </c>
      <c r="N9" s="425">
        <f t="shared" si="2"/>
        <v>27909</v>
      </c>
      <c r="O9" s="427">
        <f t="shared" si="3"/>
        <v>5.542349555861379E-2</v>
      </c>
      <c r="P9" s="426">
        <f>+R52+R53+R54</f>
        <v>34495.524000000005</v>
      </c>
      <c r="Q9" s="427">
        <f t="shared" si="4"/>
        <v>5.5423495558613797E-2</v>
      </c>
      <c r="R9" s="426">
        <f>+T52+T53+T54</f>
        <v>38514.42</v>
      </c>
      <c r="S9" s="427">
        <f t="shared" si="5"/>
        <v>5.5423495558613783E-2</v>
      </c>
      <c r="T9" s="17"/>
    </row>
    <row r="10" spans="1:20" ht="15" customHeight="1" x14ac:dyDescent="0.2">
      <c r="A10" s="22"/>
      <c r="B10" s="23"/>
      <c r="C10" s="202"/>
      <c r="D10" s="202"/>
      <c r="E10" s="202"/>
      <c r="F10" s="202"/>
      <c r="G10" s="202"/>
      <c r="H10" s="202"/>
      <c r="I10" s="202"/>
      <c r="J10" s="202"/>
      <c r="K10" s="202"/>
      <c r="L10" s="202"/>
      <c r="M10" s="202"/>
      <c r="N10" s="425">
        <f t="shared" si="2"/>
        <v>0</v>
      </c>
      <c r="O10" s="429">
        <f t="shared" si="3"/>
        <v>0</v>
      </c>
      <c r="P10" s="202"/>
      <c r="Q10" s="429">
        <f t="shared" si="4"/>
        <v>0</v>
      </c>
      <c r="R10" s="25"/>
      <c r="S10" s="429">
        <f t="shared" si="5"/>
        <v>0</v>
      </c>
      <c r="T10" s="17"/>
    </row>
    <row r="11" spans="1:20" ht="18.75" customHeight="1" x14ac:dyDescent="0.2">
      <c r="A11" s="430" t="s">
        <v>153</v>
      </c>
      <c r="B11" s="431">
        <f t="shared" ref="B11:N11" si="10">SUM(B5:B10)</f>
        <v>4620</v>
      </c>
      <c r="C11" s="432">
        <f t="shared" si="10"/>
        <v>8856</v>
      </c>
      <c r="D11" s="432">
        <f t="shared" si="10"/>
        <v>14055</v>
      </c>
      <c r="E11" s="432">
        <f t="shared" si="10"/>
        <v>20217</v>
      </c>
      <c r="F11" s="432">
        <f t="shared" si="10"/>
        <v>27342</v>
      </c>
      <c r="G11" s="432">
        <f t="shared" si="10"/>
        <v>35430</v>
      </c>
      <c r="H11" s="432">
        <f t="shared" si="10"/>
        <v>49101</v>
      </c>
      <c r="I11" s="432">
        <f t="shared" si="10"/>
        <v>56421</v>
      </c>
      <c r="J11" s="432">
        <f t="shared" si="10"/>
        <v>62778</v>
      </c>
      <c r="K11" s="432">
        <f t="shared" si="10"/>
        <v>68172</v>
      </c>
      <c r="L11" s="432">
        <f t="shared" si="10"/>
        <v>74913</v>
      </c>
      <c r="M11" s="432">
        <f t="shared" si="10"/>
        <v>81654</v>
      </c>
      <c r="N11" s="431">
        <f t="shared" si="10"/>
        <v>503559</v>
      </c>
      <c r="O11" s="433"/>
      <c r="P11" s="432">
        <f>SUM(P5:P10)</f>
        <v>622398.924</v>
      </c>
      <c r="Q11" s="433"/>
      <c r="R11" s="431">
        <f>SUM(R5:R10)</f>
        <v>694911.42</v>
      </c>
      <c r="S11" s="434"/>
      <c r="T11" s="20"/>
    </row>
    <row r="12" spans="1:20" ht="13.5" customHeight="1" x14ac:dyDescent="0.2">
      <c r="A12" s="142"/>
      <c r="B12" s="142"/>
      <c r="C12" s="203"/>
      <c r="D12" s="203"/>
      <c r="E12" s="203"/>
      <c r="F12" s="203"/>
      <c r="G12" s="203"/>
      <c r="H12" s="203"/>
      <c r="I12" s="203"/>
      <c r="J12" s="203"/>
      <c r="K12" s="203"/>
      <c r="L12" s="203"/>
      <c r="M12" s="203"/>
      <c r="N12" s="203"/>
      <c r="O12" s="203"/>
      <c r="P12" s="204"/>
      <c r="Q12" s="203"/>
      <c r="R12" s="204"/>
      <c r="S12" s="203"/>
      <c r="T12" s="205"/>
    </row>
    <row r="13" spans="1:20" ht="12.75" customHeight="1" x14ac:dyDescent="0.2">
      <c r="A13" s="206"/>
      <c r="B13" s="142"/>
      <c r="C13" s="207"/>
      <c r="D13" s="208"/>
      <c r="E13" s="208"/>
      <c r="F13" s="208"/>
      <c r="G13" s="208"/>
      <c r="H13" s="208"/>
      <c r="I13" s="208"/>
      <c r="J13" s="208"/>
      <c r="K13" s="208"/>
      <c r="L13" s="208"/>
      <c r="M13" s="208"/>
      <c r="N13" s="209"/>
      <c r="O13" s="209"/>
      <c r="P13" s="1087" t="s">
        <v>126</v>
      </c>
      <c r="Q13" s="1080"/>
      <c r="R13" s="1080"/>
      <c r="S13" s="1080"/>
      <c r="T13" s="1083"/>
    </row>
    <row r="14" spans="1:20" ht="15" customHeight="1" x14ac:dyDescent="0.2">
      <c r="A14" s="435" t="s">
        <v>154</v>
      </c>
      <c r="B14" s="210"/>
      <c r="C14" s="127"/>
      <c r="D14" s="436">
        <f>+'P&amp;L-Revenues'!B4</f>
        <v>44771</v>
      </c>
      <c r="E14" s="437">
        <f>+'P&amp;L-Revenues'!C4</f>
        <v>44799</v>
      </c>
      <c r="F14" s="437">
        <f>+'P&amp;L-Revenues'!D4</f>
        <v>44827</v>
      </c>
      <c r="G14" s="437">
        <f>+'P&amp;L-Revenues'!E4</f>
        <v>44855</v>
      </c>
      <c r="H14" s="437">
        <f>+'P&amp;L-Revenues'!F4</f>
        <v>44883</v>
      </c>
      <c r="I14" s="437">
        <f>+'P&amp;L-Revenues'!G4</f>
        <v>44911</v>
      </c>
      <c r="J14" s="437">
        <f>+'P&amp;L-Revenues'!H4</f>
        <v>44939</v>
      </c>
      <c r="K14" s="437">
        <f>+'P&amp;L-Revenues'!I4</f>
        <v>44967</v>
      </c>
      <c r="L14" s="437">
        <f>+'P&amp;L-Revenues'!J4</f>
        <v>44995</v>
      </c>
      <c r="M14" s="437">
        <f>+'P&amp;L-Revenues'!K4</f>
        <v>45023</v>
      </c>
      <c r="N14" s="437">
        <f>+'P&amp;L-Revenues'!L4</f>
        <v>45051</v>
      </c>
      <c r="O14" s="437">
        <f>+'P&amp;L-Revenues'!M4</f>
        <v>45079</v>
      </c>
      <c r="P14" s="438">
        <f>+'P&amp;L-Revenues'!N4</f>
        <v>45079</v>
      </c>
      <c r="Q14" s="1088">
        <f>+'P&amp;L-Revenues'!P4</f>
        <v>45444</v>
      </c>
      <c r="R14" s="1081"/>
      <c r="S14" s="1089">
        <f>+'P&amp;L-Revenues'!R4</f>
        <v>45809</v>
      </c>
      <c r="T14" s="1083"/>
    </row>
    <row r="15" spans="1:20" ht="26.25" customHeight="1" x14ac:dyDescent="0.2">
      <c r="A15" s="439"/>
      <c r="B15" s="1091" t="s">
        <v>155</v>
      </c>
      <c r="C15" s="1083"/>
      <c r="D15" s="440"/>
      <c r="P15" s="441" t="s">
        <v>156</v>
      </c>
      <c r="Q15" s="442" t="s">
        <v>157</v>
      </c>
      <c r="R15" s="441" t="s">
        <v>156</v>
      </c>
      <c r="S15" s="442" t="s">
        <v>157</v>
      </c>
      <c r="T15" s="441" t="s">
        <v>156</v>
      </c>
    </row>
    <row r="16" spans="1:20" ht="21" customHeight="1" x14ac:dyDescent="0.2">
      <c r="A16" s="1093" t="s">
        <v>158</v>
      </c>
      <c r="B16" s="1094"/>
      <c r="C16" s="1095"/>
      <c r="D16" s="211"/>
      <c r="E16" s="211"/>
      <c r="F16" s="211"/>
      <c r="G16" s="211"/>
      <c r="H16" s="211"/>
      <c r="I16" s="211"/>
      <c r="J16" s="211"/>
      <c r="K16" s="211"/>
      <c r="L16" s="211"/>
      <c r="M16" s="211"/>
      <c r="N16" s="211"/>
      <c r="O16" s="211"/>
      <c r="P16" s="212"/>
      <c r="Q16" s="213"/>
      <c r="R16" s="214"/>
      <c r="S16" s="213"/>
      <c r="T16" s="214"/>
    </row>
    <row r="17" spans="1:20" ht="14.25" customHeight="1" x14ac:dyDescent="0.2">
      <c r="A17" s="1077" t="s">
        <v>159</v>
      </c>
      <c r="B17" s="1078"/>
      <c r="C17" s="443">
        <v>1</v>
      </c>
      <c r="D17" s="215"/>
      <c r="E17" s="215"/>
      <c r="F17" s="215"/>
      <c r="G17" s="215"/>
      <c r="H17" s="215"/>
      <c r="I17" s="215"/>
      <c r="J17" s="215"/>
      <c r="K17" s="215"/>
      <c r="L17" s="215"/>
      <c r="M17" s="215"/>
      <c r="N17" s="215"/>
      <c r="O17" s="215"/>
      <c r="P17" s="216"/>
      <c r="Q17" s="217"/>
      <c r="R17" s="218"/>
      <c r="S17" s="217"/>
      <c r="T17" s="219"/>
    </row>
    <row r="18" spans="1:20" ht="14.25" customHeight="1" x14ac:dyDescent="0.2">
      <c r="A18" s="1077" t="s">
        <v>160</v>
      </c>
      <c r="B18" s="1078"/>
      <c r="C18" s="443">
        <v>6</v>
      </c>
      <c r="D18" s="215"/>
      <c r="E18" s="215"/>
      <c r="F18" s="215"/>
      <c r="G18" s="215"/>
      <c r="H18" s="215"/>
      <c r="I18" s="215"/>
      <c r="J18" s="215"/>
      <c r="K18" s="215"/>
      <c r="L18" s="215"/>
      <c r="M18" s="215"/>
      <c r="N18" s="215"/>
      <c r="O18" s="215"/>
      <c r="P18" s="216"/>
      <c r="Q18" s="217"/>
      <c r="R18" s="218"/>
      <c r="S18" s="217"/>
      <c r="T18" s="219"/>
    </row>
    <row r="19" spans="1:20" ht="14.25" customHeight="1" x14ac:dyDescent="0.2">
      <c r="A19" s="1077" t="s">
        <v>161</v>
      </c>
      <c r="B19" s="1078"/>
      <c r="C19" s="443">
        <v>6</v>
      </c>
      <c r="D19" s="215"/>
      <c r="E19" s="215"/>
      <c r="F19" s="215"/>
      <c r="G19" s="215"/>
      <c r="H19" s="215"/>
      <c r="I19" s="215"/>
      <c r="J19" s="215"/>
      <c r="K19" s="215"/>
      <c r="L19" s="215"/>
      <c r="M19" s="215"/>
      <c r="N19" s="215"/>
      <c r="O19" s="215"/>
      <c r="P19" s="216"/>
      <c r="Q19" s="217"/>
      <c r="R19" s="218"/>
      <c r="S19" s="217"/>
      <c r="T19" s="219"/>
    </row>
    <row r="20" spans="1:20" ht="14.25" customHeight="1" x14ac:dyDescent="0.2">
      <c r="A20" s="1077" t="s">
        <v>162</v>
      </c>
      <c r="B20" s="1078"/>
      <c r="C20" s="443">
        <v>20</v>
      </c>
      <c r="D20" s="215"/>
      <c r="E20" s="215"/>
      <c r="F20" s="215"/>
      <c r="G20" s="215"/>
      <c r="H20" s="215"/>
      <c r="I20" s="215"/>
      <c r="J20" s="215"/>
      <c r="K20" s="215"/>
      <c r="L20" s="215"/>
      <c r="M20" s="215"/>
      <c r="N20" s="215"/>
      <c r="O20" s="215"/>
      <c r="P20" s="216"/>
      <c r="Q20" s="217"/>
      <c r="R20" s="218"/>
      <c r="S20" s="217"/>
      <c r="T20" s="219"/>
    </row>
    <row r="21" spans="1:20" ht="14.25" customHeight="1" x14ac:dyDescent="0.2">
      <c r="A21" s="1077" t="s">
        <v>163</v>
      </c>
      <c r="B21" s="1078"/>
      <c r="C21" s="444">
        <f>+C18*C19*52/12</f>
        <v>156</v>
      </c>
      <c r="D21" s="215"/>
      <c r="E21" s="215"/>
      <c r="F21" s="215"/>
      <c r="G21" s="215"/>
      <c r="H21" s="215"/>
      <c r="I21" s="215"/>
      <c r="J21" s="220"/>
      <c r="K21" s="215"/>
      <c r="L21" s="215"/>
      <c r="M21" s="215"/>
      <c r="N21" s="215"/>
      <c r="O21" s="215"/>
      <c r="P21" s="216"/>
      <c r="Q21" s="217"/>
      <c r="R21" s="218"/>
      <c r="S21" s="217"/>
      <c r="T21" s="219"/>
    </row>
    <row r="22" spans="1:20" ht="14.25" customHeight="1" x14ac:dyDescent="0.2">
      <c r="A22" s="1077" t="s">
        <v>164</v>
      </c>
      <c r="B22" s="1078"/>
      <c r="C22" s="444">
        <f>+C21*C20</f>
        <v>3120</v>
      </c>
      <c r="D22" s="215"/>
      <c r="E22" s="215"/>
      <c r="F22" s="215"/>
      <c r="G22" s="215"/>
      <c r="H22" s="215"/>
      <c r="I22" s="215"/>
      <c r="J22" s="215"/>
      <c r="K22" s="215"/>
      <c r="L22" s="215"/>
      <c r="M22" s="215"/>
      <c r="N22" s="215"/>
      <c r="O22" s="215"/>
      <c r="P22" s="216"/>
      <c r="Q22" s="217"/>
      <c r="R22" s="218"/>
      <c r="S22" s="217"/>
      <c r="T22" s="219"/>
    </row>
    <row r="23" spans="1:20" ht="14.25" customHeight="1" x14ac:dyDescent="0.2">
      <c r="A23" s="1077" t="s">
        <v>165</v>
      </c>
      <c r="B23" s="1078"/>
      <c r="C23" s="445">
        <f>+C21/C20</f>
        <v>7.8</v>
      </c>
      <c r="D23" s="215"/>
      <c r="E23" s="215"/>
      <c r="F23" s="215"/>
      <c r="G23" s="215"/>
      <c r="H23" s="215"/>
      <c r="I23" s="215"/>
      <c r="J23" s="215"/>
      <c r="K23" s="215"/>
      <c r="L23" s="215"/>
      <c r="M23" s="215"/>
      <c r="N23" s="215"/>
      <c r="O23" s="215"/>
      <c r="P23" s="216"/>
      <c r="Q23" s="217"/>
      <c r="R23" s="218"/>
      <c r="S23" s="217"/>
      <c r="T23" s="219"/>
    </row>
    <row r="24" spans="1:20" ht="14.25" customHeight="1" x14ac:dyDescent="0.2">
      <c r="A24" s="1077" t="s">
        <v>166</v>
      </c>
      <c r="B24" s="1078"/>
      <c r="C24" s="444">
        <f>+C22/C23</f>
        <v>400</v>
      </c>
      <c r="D24" s="215"/>
      <c r="E24" s="215"/>
      <c r="F24" s="215"/>
      <c r="G24" s="215"/>
      <c r="H24" s="215"/>
      <c r="I24" s="215"/>
      <c r="J24" s="215"/>
      <c r="K24" s="215"/>
      <c r="L24" s="215"/>
      <c r="M24" s="215"/>
      <c r="N24" s="215"/>
      <c r="O24" s="215"/>
      <c r="P24" s="216"/>
      <c r="Q24" s="217"/>
      <c r="R24" s="218"/>
      <c r="S24" s="217"/>
      <c r="T24" s="219"/>
    </row>
    <row r="25" spans="1:20" ht="14.25" customHeight="1" x14ac:dyDescent="0.2">
      <c r="A25" s="221"/>
      <c r="B25" s="222"/>
      <c r="C25" s="223"/>
      <c r="D25" s="1082" t="s">
        <v>167</v>
      </c>
      <c r="E25" s="1080"/>
      <c r="F25" s="1080"/>
      <c r="G25" s="1080"/>
      <c r="H25" s="1080"/>
      <c r="I25" s="1080"/>
      <c r="J25" s="1080"/>
      <c r="K25" s="1080"/>
      <c r="L25" s="1080"/>
      <c r="M25" s="1080"/>
      <c r="N25" s="1080"/>
      <c r="O25" s="1080"/>
      <c r="P25" s="1083"/>
      <c r="Q25" s="217"/>
      <c r="R25" s="218"/>
      <c r="S25" s="217"/>
      <c r="T25" s="219"/>
    </row>
    <row r="26" spans="1:20" ht="23.25" customHeight="1" x14ac:dyDescent="0.2">
      <c r="A26" s="446" t="s">
        <v>168</v>
      </c>
      <c r="B26" s="222"/>
      <c r="C26" s="447" t="s">
        <v>169</v>
      </c>
      <c r="D26" s="448">
        <v>0.1</v>
      </c>
      <c r="E26" s="449">
        <v>0.15</v>
      </c>
      <c r="F26" s="449">
        <v>0.2</v>
      </c>
      <c r="G26" s="449">
        <v>0.25</v>
      </c>
      <c r="H26" s="449">
        <v>0.3</v>
      </c>
      <c r="I26" s="449">
        <v>0.35</v>
      </c>
      <c r="J26" s="449">
        <v>0.5</v>
      </c>
      <c r="K26" s="449">
        <v>0.45</v>
      </c>
      <c r="L26" s="449">
        <v>0.4</v>
      </c>
      <c r="M26" s="449">
        <v>0.35</v>
      </c>
      <c r="N26" s="449">
        <v>0.35</v>
      </c>
      <c r="O26" s="449">
        <v>0.35</v>
      </c>
      <c r="P26" s="224"/>
      <c r="Q26" s="217"/>
      <c r="R26" s="218"/>
      <c r="S26" s="217"/>
      <c r="T26" s="219"/>
    </row>
    <row r="27" spans="1:20" ht="12.75" customHeight="1" x14ac:dyDescent="0.2">
      <c r="A27" s="450" t="s">
        <v>170</v>
      </c>
      <c r="B27" s="451" t="s">
        <v>171</v>
      </c>
      <c r="C27" s="452">
        <v>0.4</v>
      </c>
      <c r="D27" s="453">
        <f t="shared" ref="D27:O27" si="11">+$C$22*$C27*D$26</f>
        <v>124.80000000000001</v>
      </c>
      <c r="E27" s="453">
        <f t="shared" si="11"/>
        <v>187.2</v>
      </c>
      <c r="F27" s="453">
        <f t="shared" si="11"/>
        <v>249.60000000000002</v>
      </c>
      <c r="G27" s="453">
        <f t="shared" si="11"/>
        <v>312</v>
      </c>
      <c r="H27" s="453">
        <f t="shared" si="11"/>
        <v>374.4</v>
      </c>
      <c r="I27" s="453">
        <f t="shared" si="11"/>
        <v>436.79999999999995</v>
      </c>
      <c r="J27" s="453">
        <f t="shared" si="11"/>
        <v>624</v>
      </c>
      <c r="K27" s="453">
        <f t="shared" si="11"/>
        <v>561.6</v>
      </c>
      <c r="L27" s="453">
        <f t="shared" si="11"/>
        <v>499.20000000000005</v>
      </c>
      <c r="M27" s="453">
        <f t="shared" si="11"/>
        <v>436.79999999999995</v>
      </c>
      <c r="N27" s="453">
        <f t="shared" si="11"/>
        <v>436.79999999999995</v>
      </c>
      <c r="O27" s="453">
        <f t="shared" si="11"/>
        <v>436.79999999999995</v>
      </c>
      <c r="P27" s="453">
        <f t="shared" ref="P27:P38" si="12">SUM(D27:O27)</f>
        <v>4680.0000000000009</v>
      </c>
      <c r="Q27" s="454">
        <v>0.2</v>
      </c>
      <c r="R27" s="455">
        <f t="shared" ref="R27:R38" si="13">+P27*(1+Q27)</f>
        <v>5616.0000000000009</v>
      </c>
      <c r="S27" s="454">
        <v>0.15</v>
      </c>
      <c r="T27" s="455">
        <f t="shared" ref="T27:T38" si="14">+R27*(1+S27)</f>
        <v>6458.4000000000005</v>
      </c>
    </row>
    <row r="28" spans="1:20" ht="12.75" customHeight="1" x14ac:dyDescent="0.2">
      <c r="A28" s="456" t="s">
        <v>172</v>
      </c>
      <c r="B28" s="457" t="s">
        <v>171</v>
      </c>
      <c r="C28" s="458">
        <v>0.6</v>
      </c>
      <c r="D28" s="453">
        <f t="shared" ref="D28:O28" si="15">+$C$24*$C28*D$26</f>
        <v>24</v>
      </c>
      <c r="E28" s="453">
        <f t="shared" si="15"/>
        <v>36</v>
      </c>
      <c r="F28" s="453">
        <f t="shared" si="15"/>
        <v>48</v>
      </c>
      <c r="G28" s="453">
        <f t="shared" si="15"/>
        <v>60</v>
      </c>
      <c r="H28" s="453">
        <f t="shared" si="15"/>
        <v>72</v>
      </c>
      <c r="I28" s="453">
        <f t="shared" si="15"/>
        <v>84</v>
      </c>
      <c r="J28" s="453">
        <f t="shared" si="15"/>
        <v>120</v>
      </c>
      <c r="K28" s="453">
        <f t="shared" si="15"/>
        <v>108</v>
      </c>
      <c r="L28" s="453">
        <f t="shared" si="15"/>
        <v>96</v>
      </c>
      <c r="M28" s="453">
        <f t="shared" si="15"/>
        <v>84</v>
      </c>
      <c r="N28" s="453">
        <f t="shared" si="15"/>
        <v>84</v>
      </c>
      <c r="O28" s="453">
        <f t="shared" si="15"/>
        <v>84</v>
      </c>
      <c r="P28" s="453">
        <f t="shared" si="12"/>
        <v>900</v>
      </c>
      <c r="Q28" s="454">
        <v>0.2</v>
      </c>
      <c r="R28" s="455">
        <f t="shared" si="13"/>
        <v>1080</v>
      </c>
      <c r="S28" s="454">
        <v>0.15</v>
      </c>
      <c r="T28" s="455">
        <f t="shared" si="14"/>
        <v>1242</v>
      </c>
    </row>
    <row r="29" spans="1:20" ht="12.75" customHeight="1" x14ac:dyDescent="0.2">
      <c r="A29" s="459" t="s">
        <v>173</v>
      </c>
      <c r="B29" s="457" t="s">
        <v>174</v>
      </c>
      <c r="C29" s="225"/>
      <c r="D29" s="26"/>
      <c r="E29" s="460">
        <f>+D28</f>
        <v>24</v>
      </c>
      <c r="F29" s="460">
        <f t="shared" ref="F29:O29" si="16">E29+E28</f>
        <v>60</v>
      </c>
      <c r="G29" s="460">
        <f t="shared" si="16"/>
        <v>108</v>
      </c>
      <c r="H29" s="460">
        <f t="shared" si="16"/>
        <v>168</v>
      </c>
      <c r="I29" s="460">
        <f t="shared" si="16"/>
        <v>240</v>
      </c>
      <c r="J29" s="460">
        <f t="shared" si="16"/>
        <v>324</v>
      </c>
      <c r="K29" s="460">
        <f t="shared" si="16"/>
        <v>444</v>
      </c>
      <c r="L29" s="460">
        <f t="shared" si="16"/>
        <v>552</v>
      </c>
      <c r="M29" s="460">
        <f t="shared" si="16"/>
        <v>648</v>
      </c>
      <c r="N29" s="460">
        <f t="shared" si="16"/>
        <v>732</v>
      </c>
      <c r="O29" s="460">
        <f t="shared" si="16"/>
        <v>816</v>
      </c>
      <c r="P29" s="453">
        <f t="shared" si="12"/>
        <v>4116</v>
      </c>
      <c r="Q29" s="454">
        <v>0.2</v>
      </c>
      <c r="R29" s="455">
        <f t="shared" si="13"/>
        <v>4939.2</v>
      </c>
      <c r="S29" s="454">
        <v>0.15</v>
      </c>
      <c r="T29" s="455">
        <f t="shared" si="14"/>
        <v>5680.079999999999</v>
      </c>
    </row>
    <row r="30" spans="1:20" ht="12.75" customHeight="1" x14ac:dyDescent="0.2">
      <c r="A30" s="459" t="s">
        <v>175</v>
      </c>
      <c r="B30" s="457" t="s">
        <v>176</v>
      </c>
      <c r="C30" s="458">
        <v>0.25</v>
      </c>
      <c r="D30" s="26"/>
      <c r="E30" s="460">
        <f t="shared" ref="E30:O30" si="17">-E29*$C30</f>
        <v>-6</v>
      </c>
      <c r="F30" s="460">
        <f t="shared" si="17"/>
        <v>-15</v>
      </c>
      <c r="G30" s="460">
        <f t="shared" si="17"/>
        <v>-27</v>
      </c>
      <c r="H30" s="460">
        <f t="shared" si="17"/>
        <v>-42</v>
      </c>
      <c r="I30" s="460">
        <f t="shared" si="17"/>
        <v>-60</v>
      </c>
      <c r="J30" s="460">
        <f t="shared" si="17"/>
        <v>-81</v>
      </c>
      <c r="K30" s="460">
        <f t="shared" si="17"/>
        <v>-111</v>
      </c>
      <c r="L30" s="460">
        <f t="shared" si="17"/>
        <v>-138</v>
      </c>
      <c r="M30" s="460">
        <f t="shared" si="17"/>
        <v>-162</v>
      </c>
      <c r="N30" s="460">
        <f t="shared" si="17"/>
        <v>-183</v>
      </c>
      <c r="O30" s="460">
        <f t="shared" si="17"/>
        <v>-204</v>
      </c>
      <c r="P30" s="453">
        <f t="shared" si="12"/>
        <v>-1029</v>
      </c>
      <c r="Q30" s="454">
        <v>0.2</v>
      </c>
      <c r="R30" s="455">
        <f t="shared" si="13"/>
        <v>-1234.8</v>
      </c>
      <c r="S30" s="454">
        <v>0.15</v>
      </c>
      <c r="T30" s="455">
        <f t="shared" si="14"/>
        <v>-1420.0199999999998</v>
      </c>
    </row>
    <row r="31" spans="1:20" ht="12.75" customHeight="1" x14ac:dyDescent="0.2">
      <c r="A31" s="456" t="s">
        <v>177</v>
      </c>
      <c r="B31" s="457" t="s">
        <v>178</v>
      </c>
      <c r="C31" s="458">
        <v>0.15</v>
      </c>
      <c r="D31" s="461">
        <f>+D$28*$C31</f>
        <v>3.5999999999999996</v>
      </c>
      <c r="E31" s="461">
        <f t="shared" ref="E31:O31" si="18">+E28*$C31</f>
        <v>5.3999999999999995</v>
      </c>
      <c r="F31" s="461">
        <f t="shared" si="18"/>
        <v>7.1999999999999993</v>
      </c>
      <c r="G31" s="461">
        <f t="shared" si="18"/>
        <v>9</v>
      </c>
      <c r="H31" s="461">
        <f t="shared" si="18"/>
        <v>10.799999999999999</v>
      </c>
      <c r="I31" s="461">
        <f t="shared" si="18"/>
        <v>12.6</v>
      </c>
      <c r="J31" s="461">
        <f t="shared" si="18"/>
        <v>18</v>
      </c>
      <c r="K31" s="461">
        <f t="shared" si="18"/>
        <v>16.2</v>
      </c>
      <c r="L31" s="461">
        <f t="shared" si="18"/>
        <v>14.399999999999999</v>
      </c>
      <c r="M31" s="461">
        <f t="shared" si="18"/>
        <v>12.6</v>
      </c>
      <c r="N31" s="461">
        <f t="shared" si="18"/>
        <v>12.6</v>
      </c>
      <c r="O31" s="461">
        <f t="shared" si="18"/>
        <v>12.6</v>
      </c>
      <c r="P31" s="453">
        <f t="shared" si="12"/>
        <v>134.99999999999997</v>
      </c>
      <c r="Q31" s="454">
        <v>0.2</v>
      </c>
      <c r="R31" s="455">
        <f t="shared" si="13"/>
        <v>161.99999999999997</v>
      </c>
      <c r="S31" s="454">
        <v>0.15</v>
      </c>
      <c r="T31" s="455">
        <f t="shared" si="14"/>
        <v>186.29999999999995</v>
      </c>
    </row>
    <row r="32" spans="1:20" ht="12.75" customHeight="1" x14ac:dyDescent="0.2">
      <c r="A32" s="456" t="s">
        <v>179</v>
      </c>
      <c r="B32" s="457" t="s">
        <v>180</v>
      </c>
      <c r="C32" s="458">
        <v>0.15</v>
      </c>
      <c r="D32" s="461">
        <f>+D$28*$C32</f>
        <v>3.5999999999999996</v>
      </c>
      <c r="E32" s="461">
        <f t="shared" ref="E32:O32" si="19">+E$28*$C32</f>
        <v>5.3999999999999995</v>
      </c>
      <c r="F32" s="461">
        <f t="shared" si="19"/>
        <v>7.1999999999999993</v>
      </c>
      <c r="G32" s="461">
        <f t="shared" si="19"/>
        <v>9</v>
      </c>
      <c r="H32" s="461">
        <f t="shared" si="19"/>
        <v>10.799999999999999</v>
      </c>
      <c r="I32" s="461">
        <f t="shared" si="19"/>
        <v>12.6</v>
      </c>
      <c r="J32" s="461">
        <f t="shared" si="19"/>
        <v>18</v>
      </c>
      <c r="K32" s="461">
        <f t="shared" si="19"/>
        <v>16.2</v>
      </c>
      <c r="L32" s="461">
        <f t="shared" si="19"/>
        <v>14.399999999999999</v>
      </c>
      <c r="M32" s="461">
        <f t="shared" si="19"/>
        <v>12.6</v>
      </c>
      <c r="N32" s="461">
        <f t="shared" si="19"/>
        <v>12.6</v>
      </c>
      <c r="O32" s="461">
        <f t="shared" si="19"/>
        <v>12.6</v>
      </c>
      <c r="P32" s="453">
        <f t="shared" si="12"/>
        <v>134.99999999999997</v>
      </c>
      <c r="Q32" s="454">
        <v>0.2</v>
      </c>
      <c r="R32" s="455">
        <f t="shared" si="13"/>
        <v>161.99999999999997</v>
      </c>
      <c r="S32" s="454">
        <v>0.15</v>
      </c>
      <c r="T32" s="455">
        <f t="shared" si="14"/>
        <v>186.29999999999995</v>
      </c>
    </row>
    <row r="33" spans="1:20" ht="12.75" customHeight="1" x14ac:dyDescent="0.2">
      <c r="A33" s="459" t="s">
        <v>173</v>
      </c>
      <c r="B33" s="457" t="s">
        <v>174</v>
      </c>
      <c r="C33" s="225"/>
      <c r="D33" s="26"/>
      <c r="E33" s="460">
        <f>+D32</f>
        <v>3.5999999999999996</v>
      </c>
      <c r="F33" s="460">
        <f t="shared" ref="F33:O33" si="20">+E33+E32</f>
        <v>9</v>
      </c>
      <c r="G33" s="460">
        <f t="shared" si="20"/>
        <v>16.2</v>
      </c>
      <c r="H33" s="460">
        <f t="shared" si="20"/>
        <v>25.2</v>
      </c>
      <c r="I33" s="460">
        <f t="shared" si="20"/>
        <v>36</v>
      </c>
      <c r="J33" s="460">
        <f t="shared" si="20"/>
        <v>48.6</v>
      </c>
      <c r="K33" s="460">
        <f t="shared" si="20"/>
        <v>66.599999999999994</v>
      </c>
      <c r="L33" s="460">
        <f t="shared" si="20"/>
        <v>82.8</v>
      </c>
      <c r="M33" s="460">
        <f t="shared" si="20"/>
        <v>97.199999999999989</v>
      </c>
      <c r="N33" s="460">
        <f t="shared" si="20"/>
        <v>109.79999999999998</v>
      </c>
      <c r="O33" s="460">
        <f t="shared" si="20"/>
        <v>122.39999999999998</v>
      </c>
      <c r="P33" s="453">
        <f t="shared" si="12"/>
        <v>617.4</v>
      </c>
      <c r="Q33" s="454">
        <v>0.2</v>
      </c>
      <c r="R33" s="455">
        <f t="shared" si="13"/>
        <v>740.88</v>
      </c>
      <c r="S33" s="454">
        <v>0.15</v>
      </c>
      <c r="T33" s="455">
        <f t="shared" si="14"/>
        <v>852.01199999999994</v>
      </c>
    </row>
    <row r="34" spans="1:20" ht="12.75" customHeight="1" x14ac:dyDescent="0.2">
      <c r="A34" s="459" t="s">
        <v>175</v>
      </c>
      <c r="B34" s="457" t="s">
        <v>176</v>
      </c>
      <c r="C34" s="458">
        <v>0.25</v>
      </c>
      <c r="D34" s="26"/>
      <c r="E34" s="460">
        <f t="shared" ref="E34:O34" si="21">-E33*$C34</f>
        <v>-0.89999999999999991</v>
      </c>
      <c r="F34" s="460">
        <f t="shared" si="21"/>
        <v>-2.25</v>
      </c>
      <c r="G34" s="460">
        <f t="shared" si="21"/>
        <v>-4.05</v>
      </c>
      <c r="H34" s="460">
        <f t="shared" si="21"/>
        <v>-6.3</v>
      </c>
      <c r="I34" s="460">
        <f t="shared" si="21"/>
        <v>-9</v>
      </c>
      <c r="J34" s="460">
        <f t="shared" si="21"/>
        <v>-12.15</v>
      </c>
      <c r="K34" s="460">
        <f t="shared" si="21"/>
        <v>-16.649999999999999</v>
      </c>
      <c r="L34" s="460">
        <f t="shared" si="21"/>
        <v>-20.7</v>
      </c>
      <c r="M34" s="460">
        <f t="shared" si="21"/>
        <v>-24.299999999999997</v>
      </c>
      <c r="N34" s="460">
        <f t="shared" si="21"/>
        <v>-27.449999999999996</v>
      </c>
      <c r="O34" s="460">
        <f t="shared" si="21"/>
        <v>-30.599999999999994</v>
      </c>
      <c r="P34" s="453">
        <f t="shared" si="12"/>
        <v>-154.35</v>
      </c>
      <c r="Q34" s="454">
        <v>0.2</v>
      </c>
      <c r="R34" s="455">
        <f t="shared" si="13"/>
        <v>-185.22</v>
      </c>
      <c r="S34" s="454">
        <v>0.15</v>
      </c>
      <c r="T34" s="455">
        <f t="shared" si="14"/>
        <v>-213.00299999999999</v>
      </c>
    </row>
    <row r="35" spans="1:20" ht="12.75" customHeight="1" x14ac:dyDescent="0.2">
      <c r="A35" s="456" t="s">
        <v>181</v>
      </c>
      <c r="B35" s="457" t="s">
        <v>180</v>
      </c>
      <c r="C35" s="458">
        <v>0.1</v>
      </c>
      <c r="D35" s="461">
        <f t="shared" ref="D35:O35" si="22">+D$28*$C35</f>
        <v>2.4000000000000004</v>
      </c>
      <c r="E35" s="461">
        <f t="shared" si="22"/>
        <v>3.6</v>
      </c>
      <c r="F35" s="461">
        <f t="shared" si="22"/>
        <v>4.8000000000000007</v>
      </c>
      <c r="G35" s="461">
        <f t="shared" si="22"/>
        <v>6</v>
      </c>
      <c r="H35" s="461">
        <f t="shared" si="22"/>
        <v>7.2</v>
      </c>
      <c r="I35" s="461">
        <f t="shared" si="22"/>
        <v>8.4</v>
      </c>
      <c r="J35" s="461">
        <f t="shared" si="22"/>
        <v>12</v>
      </c>
      <c r="K35" s="461">
        <f t="shared" si="22"/>
        <v>10.8</v>
      </c>
      <c r="L35" s="461">
        <f t="shared" si="22"/>
        <v>9.6000000000000014</v>
      </c>
      <c r="M35" s="461">
        <f t="shared" si="22"/>
        <v>8.4</v>
      </c>
      <c r="N35" s="461">
        <f t="shared" si="22"/>
        <v>8.4</v>
      </c>
      <c r="O35" s="461">
        <f t="shared" si="22"/>
        <v>8.4</v>
      </c>
      <c r="P35" s="453">
        <f t="shared" si="12"/>
        <v>90.000000000000028</v>
      </c>
      <c r="Q35" s="454">
        <v>0.2</v>
      </c>
      <c r="R35" s="455">
        <f t="shared" si="13"/>
        <v>108.00000000000003</v>
      </c>
      <c r="S35" s="454">
        <v>0.15</v>
      </c>
      <c r="T35" s="455">
        <f t="shared" si="14"/>
        <v>124.20000000000002</v>
      </c>
    </row>
    <row r="36" spans="1:20" ht="12.75" customHeight="1" x14ac:dyDescent="0.2">
      <c r="A36" s="459" t="s">
        <v>173</v>
      </c>
      <c r="B36" s="457" t="s">
        <v>174</v>
      </c>
      <c r="C36" s="225"/>
      <c r="D36" s="26"/>
      <c r="E36" s="460">
        <f>+D35</f>
        <v>2.4000000000000004</v>
      </c>
      <c r="F36" s="460">
        <f t="shared" ref="F36:O36" si="23">+E36+E35</f>
        <v>6</v>
      </c>
      <c r="G36" s="460">
        <f t="shared" si="23"/>
        <v>10.8</v>
      </c>
      <c r="H36" s="460">
        <f t="shared" si="23"/>
        <v>16.8</v>
      </c>
      <c r="I36" s="460">
        <f t="shared" si="23"/>
        <v>24</v>
      </c>
      <c r="J36" s="460">
        <f t="shared" si="23"/>
        <v>32.4</v>
      </c>
      <c r="K36" s="460">
        <f t="shared" si="23"/>
        <v>44.4</v>
      </c>
      <c r="L36" s="460">
        <f t="shared" si="23"/>
        <v>55.2</v>
      </c>
      <c r="M36" s="460">
        <f t="shared" si="23"/>
        <v>64.800000000000011</v>
      </c>
      <c r="N36" s="460">
        <f t="shared" si="23"/>
        <v>73.200000000000017</v>
      </c>
      <c r="O36" s="460">
        <f t="shared" si="23"/>
        <v>81.600000000000023</v>
      </c>
      <c r="P36" s="453">
        <f t="shared" si="12"/>
        <v>411.6</v>
      </c>
      <c r="Q36" s="454">
        <v>0.2</v>
      </c>
      <c r="R36" s="455">
        <f t="shared" si="13"/>
        <v>493.92</v>
      </c>
      <c r="S36" s="454">
        <v>0.15</v>
      </c>
      <c r="T36" s="455">
        <f t="shared" si="14"/>
        <v>568.00799999999992</v>
      </c>
    </row>
    <row r="37" spans="1:20" ht="12.75" customHeight="1" x14ac:dyDescent="0.2">
      <c r="A37" s="459" t="s">
        <v>175</v>
      </c>
      <c r="B37" s="457" t="s">
        <v>176</v>
      </c>
      <c r="C37" s="458">
        <v>0.25</v>
      </c>
      <c r="D37" s="26"/>
      <c r="E37" s="460">
        <f t="shared" ref="E37:O37" si="24">-E36*$C37</f>
        <v>-0.60000000000000009</v>
      </c>
      <c r="F37" s="460">
        <f t="shared" si="24"/>
        <v>-1.5</v>
      </c>
      <c r="G37" s="460">
        <f t="shared" si="24"/>
        <v>-2.7</v>
      </c>
      <c r="H37" s="460">
        <f t="shared" si="24"/>
        <v>-4.2</v>
      </c>
      <c r="I37" s="460">
        <f t="shared" si="24"/>
        <v>-6</v>
      </c>
      <c r="J37" s="460">
        <f t="shared" si="24"/>
        <v>-8.1</v>
      </c>
      <c r="K37" s="460">
        <f t="shared" si="24"/>
        <v>-11.1</v>
      </c>
      <c r="L37" s="460">
        <f t="shared" si="24"/>
        <v>-13.8</v>
      </c>
      <c r="M37" s="460">
        <f t="shared" si="24"/>
        <v>-16.200000000000003</v>
      </c>
      <c r="N37" s="460">
        <f t="shared" si="24"/>
        <v>-18.300000000000004</v>
      </c>
      <c r="O37" s="460">
        <f t="shared" si="24"/>
        <v>-20.400000000000006</v>
      </c>
      <c r="P37" s="453">
        <f t="shared" si="12"/>
        <v>-102.9</v>
      </c>
      <c r="Q37" s="454">
        <v>0.2</v>
      </c>
      <c r="R37" s="455">
        <f t="shared" si="13"/>
        <v>-123.48</v>
      </c>
      <c r="S37" s="454">
        <v>0.15</v>
      </c>
      <c r="T37" s="455">
        <f t="shared" si="14"/>
        <v>-142.00199999999998</v>
      </c>
    </row>
    <row r="38" spans="1:20" ht="12.75" customHeight="1" x14ac:dyDescent="0.2">
      <c r="A38" s="226"/>
      <c r="B38" s="227"/>
      <c r="C38" s="27"/>
      <c r="D38" s="228"/>
      <c r="E38" s="228"/>
      <c r="F38" s="228"/>
      <c r="G38" s="228"/>
      <c r="H38" s="228"/>
      <c r="I38" s="228"/>
      <c r="J38" s="228"/>
      <c r="K38" s="228"/>
      <c r="L38" s="228"/>
      <c r="M38" s="228"/>
      <c r="N38" s="228"/>
      <c r="O38" s="28"/>
      <c r="P38" s="462">
        <f t="shared" si="12"/>
        <v>0</v>
      </c>
      <c r="Q38" s="463"/>
      <c r="R38" s="455">
        <f t="shared" si="13"/>
        <v>0</v>
      </c>
      <c r="S38" s="463"/>
      <c r="T38" s="455">
        <f t="shared" si="14"/>
        <v>0</v>
      </c>
    </row>
    <row r="39" spans="1:20" ht="12.75" customHeight="1" x14ac:dyDescent="0.2">
      <c r="A39" s="229"/>
      <c r="B39" s="230"/>
      <c r="C39" s="230"/>
      <c r="D39" s="231"/>
      <c r="E39" s="231"/>
      <c r="F39" s="231"/>
      <c r="G39" s="231"/>
      <c r="H39" s="231"/>
      <c r="I39" s="231"/>
      <c r="J39" s="231"/>
      <c r="K39" s="231"/>
      <c r="L39" s="231"/>
      <c r="M39" s="231"/>
      <c r="N39" s="231"/>
      <c r="O39" s="231"/>
      <c r="P39" s="232"/>
      <c r="Q39" s="233"/>
      <c r="R39" s="232"/>
      <c r="S39" s="233"/>
      <c r="T39" s="232"/>
    </row>
    <row r="40" spans="1:20" ht="12.75" customHeight="1" x14ac:dyDescent="0.2">
      <c r="A40" s="142"/>
      <c r="B40" s="142"/>
      <c r="C40" s="207"/>
      <c r="D40" s="208"/>
      <c r="E40" s="208"/>
      <c r="F40" s="208"/>
      <c r="G40" s="208"/>
      <c r="H40" s="208"/>
      <c r="I40" s="208"/>
      <c r="J40" s="208"/>
      <c r="K40" s="208"/>
      <c r="L40" s="208"/>
      <c r="M40" s="208"/>
      <c r="N40" s="209"/>
      <c r="O40" s="209"/>
      <c r="P40" s="1087" t="s">
        <v>126</v>
      </c>
      <c r="Q40" s="1080"/>
      <c r="R40" s="1080"/>
      <c r="S40" s="1080"/>
      <c r="T40" s="1083"/>
    </row>
    <row r="41" spans="1:20" ht="15" customHeight="1" x14ac:dyDescent="0.2">
      <c r="A41" s="464" t="s">
        <v>182</v>
      </c>
      <c r="B41" s="234"/>
      <c r="C41" s="9"/>
      <c r="D41" s="436">
        <f t="shared" ref="D41:Q41" si="25">+D14</f>
        <v>44771</v>
      </c>
      <c r="E41" s="437">
        <f t="shared" si="25"/>
        <v>44799</v>
      </c>
      <c r="F41" s="437">
        <f t="shared" si="25"/>
        <v>44827</v>
      </c>
      <c r="G41" s="437">
        <f t="shared" si="25"/>
        <v>44855</v>
      </c>
      <c r="H41" s="437">
        <f t="shared" si="25"/>
        <v>44883</v>
      </c>
      <c r="I41" s="437">
        <f t="shared" si="25"/>
        <v>44911</v>
      </c>
      <c r="J41" s="437">
        <f t="shared" si="25"/>
        <v>44939</v>
      </c>
      <c r="K41" s="437">
        <f t="shared" si="25"/>
        <v>44967</v>
      </c>
      <c r="L41" s="437">
        <f t="shared" si="25"/>
        <v>44995</v>
      </c>
      <c r="M41" s="437">
        <f t="shared" si="25"/>
        <v>45023</v>
      </c>
      <c r="N41" s="437">
        <f t="shared" si="25"/>
        <v>45051</v>
      </c>
      <c r="O41" s="437">
        <f t="shared" si="25"/>
        <v>45079</v>
      </c>
      <c r="P41" s="438">
        <f t="shared" si="25"/>
        <v>45079</v>
      </c>
      <c r="Q41" s="1088">
        <f t="shared" si="25"/>
        <v>45444</v>
      </c>
      <c r="R41" s="1081"/>
      <c r="S41" s="1089">
        <f>+S14</f>
        <v>45809</v>
      </c>
      <c r="T41" s="1083"/>
    </row>
    <row r="42" spans="1:20" ht="12.75" customHeight="1" x14ac:dyDescent="0.2">
      <c r="A42" s="465" t="s">
        <v>183</v>
      </c>
      <c r="B42" s="466"/>
      <c r="C42" s="467" t="s">
        <v>184</v>
      </c>
      <c r="D42" s="1090" t="s">
        <v>185</v>
      </c>
      <c r="E42" s="1080"/>
      <c r="F42" s="1080"/>
      <c r="G42" s="1080"/>
      <c r="H42" s="1080"/>
      <c r="I42" s="1080"/>
      <c r="J42" s="1080"/>
      <c r="K42" s="1080"/>
      <c r="L42" s="1080"/>
      <c r="M42" s="1080"/>
      <c r="N42" s="1080"/>
      <c r="O42" s="1081"/>
      <c r="P42" s="468" t="s">
        <v>186</v>
      </c>
      <c r="Q42" s="469" t="s">
        <v>187</v>
      </c>
      <c r="R42" s="468" t="s">
        <v>186</v>
      </c>
      <c r="S42" s="469" t="s">
        <v>188</v>
      </c>
      <c r="T42" s="468" t="s">
        <v>186</v>
      </c>
    </row>
    <row r="43" spans="1:20" ht="15" customHeight="1" x14ac:dyDescent="0.2">
      <c r="A43" s="470"/>
      <c r="D43" s="471"/>
    </row>
    <row r="44" spans="1:20" ht="12.75" customHeight="1" x14ac:dyDescent="0.2">
      <c r="A44" s="472" t="str">
        <f t="shared" ref="A44:A54" si="26">+A27</f>
        <v>Drop-Ins</v>
      </c>
      <c r="B44" s="473" t="s">
        <v>189</v>
      </c>
      <c r="C44" s="474">
        <v>15</v>
      </c>
      <c r="D44" s="475">
        <f t="shared" ref="D44:O44" si="27">D27*$C44</f>
        <v>1872.0000000000002</v>
      </c>
      <c r="E44" s="476">
        <f t="shared" si="27"/>
        <v>2808</v>
      </c>
      <c r="F44" s="476">
        <f t="shared" si="27"/>
        <v>3744.0000000000005</v>
      </c>
      <c r="G44" s="476">
        <f t="shared" si="27"/>
        <v>4680</v>
      </c>
      <c r="H44" s="476">
        <f t="shared" si="27"/>
        <v>5616</v>
      </c>
      <c r="I44" s="476">
        <f t="shared" si="27"/>
        <v>6551.9999999999991</v>
      </c>
      <c r="J44" s="476">
        <f t="shared" si="27"/>
        <v>9360</v>
      </c>
      <c r="K44" s="476">
        <f t="shared" si="27"/>
        <v>8424</v>
      </c>
      <c r="L44" s="476">
        <f t="shared" si="27"/>
        <v>7488.0000000000009</v>
      </c>
      <c r="M44" s="476">
        <f t="shared" si="27"/>
        <v>6551.9999999999991</v>
      </c>
      <c r="N44" s="476">
        <f t="shared" si="27"/>
        <v>6551.9999999999991</v>
      </c>
      <c r="O44" s="476">
        <f t="shared" si="27"/>
        <v>6551.9999999999991</v>
      </c>
      <c r="P44" s="477">
        <f t="shared" ref="P44:P54" si="28">SUM(D44:O44)</f>
        <v>70200</v>
      </c>
      <c r="Q44" s="454">
        <v>0.03</v>
      </c>
      <c r="R44" s="478">
        <f t="shared" ref="R44:R54" si="29">R27*(C44*(1+Q44))</f>
        <v>86767.200000000026</v>
      </c>
      <c r="S44" s="454">
        <v>0.03</v>
      </c>
      <c r="T44" s="479">
        <f t="shared" ref="T44:T54" si="30">T27*$C44</f>
        <v>96876.000000000015</v>
      </c>
    </row>
    <row r="45" spans="1:20" ht="12.75" customHeight="1" x14ac:dyDescent="0.2">
      <c r="A45" s="472" t="str">
        <f t="shared" si="26"/>
        <v>Unlimited Class Memberships - new</v>
      </c>
      <c r="B45" s="473" t="s">
        <v>190</v>
      </c>
      <c r="C45" s="474">
        <v>85</v>
      </c>
      <c r="D45" s="475">
        <f t="shared" ref="D45:O45" si="31">D28*$C45</f>
        <v>2040</v>
      </c>
      <c r="E45" s="476">
        <f t="shared" si="31"/>
        <v>3060</v>
      </c>
      <c r="F45" s="476">
        <f t="shared" si="31"/>
        <v>4080</v>
      </c>
      <c r="G45" s="476">
        <f t="shared" si="31"/>
        <v>5100</v>
      </c>
      <c r="H45" s="476">
        <f t="shared" si="31"/>
        <v>6120</v>
      </c>
      <c r="I45" s="476">
        <f t="shared" si="31"/>
        <v>7140</v>
      </c>
      <c r="J45" s="476">
        <f t="shared" si="31"/>
        <v>10200</v>
      </c>
      <c r="K45" s="476">
        <f t="shared" si="31"/>
        <v>9180</v>
      </c>
      <c r="L45" s="476">
        <f t="shared" si="31"/>
        <v>8160</v>
      </c>
      <c r="M45" s="476">
        <f t="shared" si="31"/>
        <v>7140</v>
      </c>
      <c r="N45" s="476">
        <f t="shared" si="31"/>
        <v>7140</v>
      </c>
      <c r="O45" s="476">
        <f t="shared" si="31"/>
        <v>7140</v>
      </c>
      <c r="P45" s="477">
        <f t="shared" si="28"/>
        <v>76500</v>
      </c>
      <c r="Q45" s="454">
        <v>0.03</v>
      </c>
      <c r="R45" s="478">
        <f t="shared" si="29"/>
        <v>94554</v>
      </c>
      <c r="S45" s="454">
        <v>0.03</v>
      </c>
      <c r="T45" s="479">
        <f t="shared" si="30"/>
        <v>105570</v>
      </c>
    </row>
    <row r="46" spans="1:20" ht="12.75" customHeight="1" x14ac:dyDescent="0.2">
      <c r="A46" s="480" t="str">
        <f t="shared" si="26"/>
        <v>monthly renewal</v>
      </c>
      <c r="B46" s="473" t="s">
        <v>191</v>
      </c>
      <c r="C46" s="474">
        <v>85</v>
      </c>
      <c r="D46" s="475">
        <f t="shared" ref="D46:O46" si="32">D29*$C46</f>
        <v>0</v>
      </c>
      <c r="E46" s="476">
        <f t="shared" si="32"/>
        <v>2040</v>
      </c>
      <c r="F46" s="476">
        <f t="shared" si="32"/>
        <v>5100</v>
      </c>
      <c r="G46" s="476">
        <f t="shared" si="32"/>
        <v>9180</v>
      </c>
      <c r="H46" s="476">
        <f t="shared" si="32"/>
        <v>14280</v>
      </c>
      <c r="I46" s="476">
        <f t="shared" si="32"/>
        <v>20400</v>
      </c>
      <c r="J46" s="476">
        <f t="shared" si="32"/>
        <v>27540</v>
      </c>
      <c r="K46" s="476">
        <f t="shared" si="32"/>
        <v>37740</v>
      </c>
      <c r="L46" s="476">
        <f t="shared" si="32"/>
        <v>46920</v>
      </c>
      <c r="M46" s="476">
        <f t="shared" si="32"/>
        <v>55080</v>
      </c>
      <c r="N46" s="476">
        <f t="shared" si="32"/>
        <v>62220</v>
      </c>
      <c r="O46" s="476">
        <f t="shared" si="32"/>
        <v>69360</v>
      </c>
      <c r="P46" s="477">
        <f t="shared" si="28"/>
        <v>349860</v>
      </c>
      <c r="Q46" s="454">
        <v>0.03</v>
      </c>
      <c r="R46" s="478">
        <f t="shared" si="29"/>
        <v>432426.95999999996</v>
      </c>
      <c r="S46" s="454">
        <v>0.03</v>
      </c>
      <c r="T46" s="479">
        <f t="shared" si="30"/>
        <v>482806.79999999993</v>
      </c>
    </row>
    <row r="47" spans="1:20" ht="12.75" customHeight="1" x14ac:dyDescent="0.2">
      <c r="A47" s="480" t="str">
        <f t="shared" si="26"/>
        <v>churn</v>
      </c>
      <c r="B47" s="473" t="s">
        <v>191</v>
      </c>
      <c r="C47" s="474">
        <v>85</v>
      </c>
      <c r="D47" s="475">
        <f t="shared" ref="D47:O47" si="33">D30*$C47</f>
        <v>0</v>
      </c>
      <c r="E47" s="476">
        <f t="shared" si="33"/>
        <v>-510</v>
      </c>
      <c r="F47" s="476">
        <f t="shared" si="33"/>
        <v>-1275</v>
      </c>
      <c r="G47" s="476">
        <f t="shared" si="33"/>
        <v>-2295</v>
      </c>
      <c r="H47" s="476">
        <f t="shared" si="33"/>
        <v>-3570</v>
      </c>
      <c r="I47" s="476">
        <f t="shared" si="33"/>
        <v>-5100</v>
      </c>
      <c r="J47" s="476">
        <f t="shared" si="33"/>
        <v>-6885</v>
      </c>
      <c r="K47" s="476">
        <f t="shared" si="33"/>
        <v>-9435</v>
      </c>
      <c r="L47" s="476">
        <f t="shared" si="33"/>
        <v>-11730</v>
      </c>
      <c r="M47" s="476">
        <f t="shared" si="33"/>
        <v>-13770</v>
      </c>
      <c r="N47" s="476">
        <f t="shared" si="33"/>
        <v>-15555</v>
      </c>
      <c r="O47" s="476">
        <f t="shared" si="33"/>
        <v>-17340</v>
      </c>
      <c r="P47" s="477">
        <f t="shared" si="28"/>
        <v>-87465</v>
      </c>
      <c r="Q47" s="454">
        <v>0.03</v>
      </c>
      <c r="R47" s="478">
        <f t="shared" si="29"/>
        <v>-108106.73999999999</v>
      </c>
      <c r="S47" s="454">
        <v>0.03</v>
      </c>
      <c r="T47" s="479">
        <f t="shared" si="30"/>
        <v>-120701.69999999998</v>
      </c>
    </row>
    <row r="48" spans="1:20" ht="12.75" customHeight="1" x14ac:dyDescent="0.2">
      <c r="A48" s="472" t="str">
        <f t="shared" si="26"/>
        <v>Nutritional  Numbers Add-on</v>
      </c>
      <c r="B48" s="473" t="s">
        <v>190</v>
      </c>
      <c r="C48" s="474">
        <v>50</v>
      </c>
      <c r="D48" s="475">
        <f t="shared" ref="D48:O48" si="34">D31*$C48</f>
        <v>179.99999999999997</v>
      </c>
      <c r="E48" s="476">
        <f t="shared" si="34"/>
        <v>270</v>
      </c>
      <c r="F48" s="476">
        <f t="shared" si="34"/>
        <v>359.99999999999994</v>
      </c>
      <c r="G48" s="476">
        <f t="shared" si="34"/>
        <v>450</v>
      </c>
      <c r="H48" s="476">
        <f t="shared" si="34"/>
        <v>540</v>
      </c>
      <c r="I48" s="476">
        <f t="shared" si="34"/>
        <v>630</v>
      </c>
      <c r="J48" s="476">
        <f t="shared" si="34"/>
        <v>900</v>
      </c>
      <c r="K48" s="476">
        <f t="shared" si="34"/>
        <v>810</v>
      </c>
      <c r="L48" s="476">
        <f t="shared" si="34"/>
        <v>719.99999999999989</v>
      </c>
      <c r="M48" s="476">
        <f t="shared" si="34"/>
        <v>630</v>
      </c>
      <c r="N48" s="476">
        <f t="shared" si="34"/>
        <v>630</v>
      </c>
      <c r="O48" s="476">
        <f t="shared" si="34"/>
        <v>630</v>
      </c>
      <c r="P48" s="477">
        <f t="shared" si="28"/>
        <v>6750</v>
      </c>
      <c r="Q48" s="454">
        <v>0.03</v>
      </c>
      <c r="R48" s="478">
        <f t="shared" si="29"/>
        <v>8342.9999999999982</v>
      </c>
      <c r="S48" s="454">
        <v>0.03</v>
      </c>
      <c r="T48" s="479">
        <f t="shared" si="30"/>
        <v>9314.9999999999982</v>
      </c>
    </row>
    <row r="49" spans="1:20" ht="12.75" customHeight="1" x14ac:dyDescent="0.2">
      <c r="A49" s="472" t="str">
        <f t="shared" si="26"/>
        <v>Nutrition Coaching Add-on - new</v>
      </c>
      <c r="B49" s="481" t="s">
        <v>190</v>
      </c>
      <c r="C49" s="482">
        <v>100</v>
      </c>
      <c r="D49" s="475">
        <f t="shared" ref="D49:O49" si="35">D32*$C49</f>
        <v>359.99999999999994</v>
      </c>
      <c r="E49" s="476">
        <f t="shared" si="35"/>
        <v>540</v>
      </c>
      <c r="F49" s="476">
        <f t="shared" si="35"/>
        <v>719.99999999999989</v>
      </c>
      <c r="G49" s="476">
        <f t="shared" si="35"/>
        <v>900</v>
      </c>
      <c r="H49" s="476">
        <f t="shared" si="35"/>
        <v>1080</v>
      </c>
      <c r="I49" s="476">
        <f t="shared" si="35"/>
        <v>1260</v>
      </c>
      <c r="J49" s="476">
        <f t="shared" si="35"/>
        <v>1800</v>
      </c>
      <c r="K49" s="476">
        <f t="shared" si="35"/>
        <v>1620</v>
      </c>
      <c r="L49" s="476">
        <f t="shared" si="35"/>
        <v>1439.9999999999998</v>
      </c>
      <c r="M49" s="476">
        <f t="shared" si="35"/>
        <v>1260</v>
      </c>
      <c r="N49" s="476">
        <f t="shared" si="35"/>
        <v>1260</v>
      </c>
      <c r="O49" s="476">
        <f t="shared" si="35"/>
        <v>1260</v>
      </c>
      <c r="P49" s="477">
        <f t="shared" si="28"/>
        <v>13500</v>
      </c>
      <c r="Q49" s="454">
        <v>0.03</v>
      </c>
      <c r="R49" s="478">
        <f t="shared" si="29"/>
        <v>16685.999999999996</v>
      </c>
      <c r="S49" s="454">
        <v>0.03</v>
      </c>
      <c r="T49" s="479">
        <f t="shared" si="30"/>
        <v>18629.999999999996</v>
      </c>
    </row>
    <row r="50" spans="1:20" ht="12.75" customHeight="1" x14ac:dyDescent="0.2">
      <c r="A50" s="480" t="str">
        <f t="shared" si="26"/>
        <v>monthly renewal</v>
      </c>
      <c r="B50" s="481" t="s">
        <v>191</v>
      </c>
      <c r="C50" s="482">
        <v>100</v>
      </c>
      <c r="D50" s="475">
        <f t="shared" ref="D50:O50" si="36">D33*$C50</f>
        <v>0</v>
      </c>
      <c r="E50" s="476">
        <f t="shared" si="36"/>
        <v>359.99999999999994</v>
      </c>
      <c r="F50" s="476">
        <f t="shared" si="36"/>
        <v>900</v>
      </c>
      <c r="G50" s="476">
        <f t="shared" si="36"/>
        <v>1620</v>
      </c>
      <c r="H50" s="476">
        <f t="shared" si="36"/>
        <v>2520</v>
      </c>
      <c r="I50" s="476">
        <f t="shared" si="36"/>
        <v>3600</v>
      </c>
      <c r="J50" s="476">
        <f t="shared" si="36"/>
        <v>4860</v>
      </c>
      <c r="K50" s="476">
        <f t="shared" si="36"/>
        <v>6659.9999999999991</v>
      </c>
      <c r="L50" s="476">
        <f t="shared" si="36"/>
        <v>8280</v>
      </c>
      <c r="M50" s="476">
        <f t="shared" si="36"/>
        <v>9719.9999999999982</v>
      </c>
      <c r="N50" s="476">
        <f t="shared" si="36"/>
        <v>10979.999999999998</v>
      </c>
      <c r="O50" s="476">
        <f t="shared" si="36"/>
        <v>12239.999999999998</v>
      </c>
      <c r="P50" s="477">
        <f t="shared" si="28"/>
        <v>61740</v>
      </c>
      <c r="Q50" s="454">
        <v>0.03</v>
      </c>
      <c r="R50" s="478">
        <f t="shared" si="29"/>
        <v>76310.64</v>
      </c>
      <c r="S50" s="454">
        <v>0.03</v>
      </c>
      <c r="T50" s="479">
        <f t="shared" si="30"/>
        <v>85201.2</v>
      </c>
    </row>
    <row r="51" spans="1:20" ht="12.75" customHeight="1" x14ac:dyDescent="0.2">
      <c r="A51" s="480" t="str">
        <f t="shared" si="26"/>
        <v>churn</v>
      </c>
      <c r="B51" s="481" t="s">
        <v>191</v>
      </c>
      <c r="C51" s="482">
        <v>100</v>
      </c>
      <c r="D51" s="475">
        <f t="shared" ref="D51:O51" si="37">D34*$C51</f>
        <v>0</v>
      </c>
      <c r="E51" s="476">
        <f t="shared" si="37"/>
        <v>-89.999999999999986</v>
      </c>
      <c r="F51" s="476">
        <f t="shared" si="37"/>
        <v>-225</v>
      </c>
      <c r="G51" s="476">
        <f t="shared" si="37"/>
        <v>-405</v>
      </c>
      <c r="H51" s="476">
        <f t="shared" si="37"/>
        <v>-630</v>
      </c>
      <c r="I51" s="476">
        <f t="shared" si="37"/>
        <v>-900</v>
      </c>
      <c r="J51" s="476">
        <f t="shared" si="37"/>
        <v>-1215</v>
      </c>
      <c r="K51" s="476">
        <f t="shared" si="37"/>
        <v>-1664.9999999999998</v>
      </c>
      <c r="L51" s="476">
        <f t="shared" si="37"/>
        <v>-2070</v>
      </c>
      <c r="M51" s="476">
        <f t="shared" si="37"/>
        <v>-2429.9999999999995</v>
      </c>
      <c r="N51" s="476">
        <f t="shared" si="37"/>
        <v>-2744.9999999999995</v>
      </c>
      <c r="O51" s="476">
        <f t="shared" si="37"/>
        <v>-3059.9999999999995</v>
      </c>
      <c r="P51" s="477">
        <f t="shared" si="28"/>
        <v>-15435</v>
      </c>
      <c r="Q51" s="454">
        <v>0.03</v>
      </c>
      <c r="R51" s="478">
        <f t="shared" si="29"/>
        <v>-19077.66</v>
      </c>
      <c r="S51" s="454">
        <v>0.03</v>
      </c>
      <c r="T51" s="479">
        <f t="shared" si="30"/>
        <v>-21300.3</v>
      </c>
    </row>
    <row r="52" spans="1:20" ht="12.75" customHeight="1" x14ac:dyDescent="0.2">
      <c r="A52" s="472" t="str">
        <f t="shared" si="26"/>
        <v>Physical Therapy &amp; Take Home Work - new</v>
      </c>
      <c r="B52" s="481" t="s">
        <v>190</v>
      </c>
      <c r="C52" s="482">
        <v>70</v>
      </c>
      <c r="D52" s="475">
        <f t="shared" ref="D52:O52" si="38">D35*$C52</f>
        <v>168.00000000000003</v>
      </c>
      <c r="E52" s="476">
        <f t="shared" si="38"/>
        <v>252</v>
      </c>
      <c r="F52" s="476">
        <f t="shared" si="38"/>
        <v>336.00000000000006</v>
      </c>
      <c r="G52" s="476">
        <f t="shared" si="38"/>
        <v>420</v>
      </c>
      <c r="H52" s="476">
        <f t="shared" si="38"/>
        <v>504</v>
      </c>
      <c r="I52" s="476">
        <f t="shared" si="38"/>
        <v>588</v>
      </c>
      <c r="J52" s="476">
        <f t="shared" si="38"/>
        <v>840</v>
      </c>
      <c r="K52" s="476">
        <f t="shared" si="38"/>
        <v>756</v>
      </c>
      <c r="L52" s="476">
        <f t="shared" si="38"/>
        <v>672.00000000000011</v>
      </c>
      <c r="M52" s="476">
        <f t="shared" si="38"/>
        <v>588</v>
      </c>
      <c r="N52" s="476">
        <f t="shared" si="38"/>
        <v>588</v>
      </c>
      <c r="O52" s="476">
        <f t="shared" si="38"/>
        <v>588</v>
      </c>
      <c r="P52" s="477">
        <f t="shared" si="28"/>
        <v>6300</v>
      </c>
      <c r="Q52" s="454">
        <v>0.03</v>
      </c>
      <c r="R52" s="478">
        <f t="shared" si="29"/>
        <v>7786.8000000000029</v>
      </c>
      <c r="S52" s="454">
        <v>0.03</v>
      </c>
      <c r="T52" s="479">
        <f t="shared" si="30"/>
        <v>8694.0000000000018</v>
      </c>
    </row>
    <row r="53" spans="1:20" ht="12.75" customHeight="1" x14ac:dyDescent="0.2">
      <c r="A53" s="480" t="str">
        <f t="shared" si="26"/>
        <v>monthly renewal</v>
      </c>
      <c r="B53" s="481" t="s">
        <v>191</v>
      </c>
      <c r="C53" s="482">
        <v>70</v>
      </c>
      <c r="D53" s="475">
        <f t="shared" ref="D53:O53" si="39">D36*$C53</f>
        <v>0</v>
      </c>
      <c r="E53" s="476">
        <f t="shared" si="39"/>
        <v>168.00000000000003</v>
      </c>
      <c r="F53" s="476">
        <f t="shared" si="39"/>
        <v>420</v>
      </c>
      <c r="G53" s="476">
        <f t="shared" si="39"/>
        <v>756</v>
      </c>
      <c r="H53" s="476">
        <f t="shared" si="39"/>
        <v>1176</v>
      </c>
      <c r="I53" s="476">
        <f t="shared" si="39"/>
        <v>1680</v>
      </c>
      <c r="J53" s="476">
        <f t="shared" si="39"/>
        <v>2268</v>
      </c>
      <c r="K53" s="476">
        <f t="shared" si="39"/>
        <v>3108</v>
      </c>
      <c r="L53" s="476">
        <f t="shared" si="39"/>
        <v>3864</v>
      </c>
      <c r="M53" s="476">
        <f t="shared" si="39"/>
        <v>4536.0000000000009</v>
      </c>
      <c r="N53" s="476">
        <f t="shared" si="39"/>
        <v>5124.0000000000009</v>
      </c>
      <c r="O53" s="476">
        <f t="shared" si="39"/>
        <v>5712.0000000000018</v>
      </c>
      <c r="P53" s="477">
        <f t="shared" si="28"/>
        <v>28812</v>
      </c>
      <c r="Q53" s="454">
        <v>0.03</v>
      </c>
      <c r="R53" s="478">
        <f t="shared" si="29"/>
        <v>35611.632000000005</v>
      </c>
      <c r="S53" s="454">
        <v>0.03</v>
      </c>
      <c r="T53" s="479">
        <f t="shared" si="30"/>
        <v>39760.559999999998</v>
      </c>
    </row>
    <row r="54" spans="1:20" ht="12.75" customHeight="1" x14ac:dyDescent="0.2">
      <c r="A54" s="480" t="str">
        <f t="shared" si="26"/>
        <v>churn</v>
      </c>
      <c r="B54" s="481" t="s">
        <v>191</v>
      </c>
      <c r="C54" s="482">
        <v>70</v>
      </c>
      <c r="D54" s="475">
        <f t="shared" ref="D54:O54" si="40">D37*$C54</f>
        <v>0</v>
      </c>
      <c r="E54" s="476">
        <f t="shared" si="40"/>
        <v>-42.000000000000007</v>
      </c>
      <c r="F54" s="476">
        <f t="shared" si="40"/>
        <v>-105</v>
      </c>
      <c r="G54" s="476">
        <f t="shared" si="40"/>
        <v>-189</v>
      </c>
      <c r="H54" s="476">
        <f t="shared" si="40"/>
        <v>-294</v>
      </c>
      <c r="I54" s="476">
        <f t="shared" si="40"/>
        <v>-420</v>
      </c>
      <c r="J54" s="476">
        <f t="shared" si="40"/>
        <v>-567</v>
      </c>
      <c r="K54" s="476">
        <f t="shared" si="40"/>
        <v>-777</v>
      </c>
      <c r="L54" s="476">
        <f t="shared" si="40"/>
        <v>-966</v>
      </c>
      <c r="M54" s="476">
        <f t="shared" si="40"/>
        <v>-1134.0000000000002</v>
      </c>
      <c r="N54" s="476">
        <f t="shared" si="40"/>
        <v>-1281.0000000000002</v>
      </c>
      <c r="O54" s="476">
        <f t="shared" si="40"/>
        <v>-1428.0000000000005</v>
      </c>
      <c r="P54" s="477">
        <f t="shared" si="28"/>
        <v>-7203</v>
      </c>
      <c r="Q54" s="454">
        <v>0.03</v>
      </c>
      <c r="R54" s="478">
        <f t="shared" si="29"/>
        <v>-8902.9080000000013</v>
      </c>
      <c r="S54" s="454">
        <v>0.03</v>
      </c>
      <c r="T54" s="479">
        <f t="shared" si="30"/>
        <v>-9940.14</v>
      </c>
    </row>
    <row r="55" spans="1:20" ht="12.75" customHeight="1" x14ac:dyDescent="0.2">
      <c r="A55" s="1084" t="s">
        <v>186</v>
      </c>
      <c r="B55" s="1085"/>
      <c r="C55" s="1086"/>
      <c r="D55" s="483">
        <f t="shared" ref="D55:P55" si="41">SUM(D44:D54)</f>
        <v>4620</v>
      </c>
      <c r="E55" s="484">
        <f t="shared" si="41"/>
        <v>8856</v>
      </c>
      <c r="F55" s="484">
        <f t="shared" si="41"/>
        <v>14055</v>
      </c>
      <c r="G55" s="484">
        <f t="shared" si="41"/>
        <v>20217</v>
      </c>
      <c r="H55" s="484">
        <f t="shared" si="41"/>
        <v>27342</v>
      </c>
      <c r="I55" s="484">
        <f t="shared" si="41"/>
        <v>35430</v>
      </c>
      <c r="J55" s="484">
        <f t="shared" si="41"/>
        <v>49101</v>
      </c>
      <c r="K55" s="484">
        <f t="shared" si="41"/>
        <v>56421</v>
      </c>
      <c r="L55" s="484">
        <f t="shared" si="41"/>
        <v>62778</v>
      </c>
      <c r="M55" s="484">
        <f t="shared" si="41"/>
        <v>68172</v>
      </c>
      <c r="N55" s="484">
        <f t="shared" si="41"/>
        <v>74913</v>
      </c>
      <c r="O55" s="484">
        <f t="shared" si="41"/>
        <v>81654</v>
      </c>
      <c r="P55" s="485">
        <f t="shared" si="41"/>
        <v>503559</v>
      </c>
      <c r="Q55" s="29"/>
      <c r="R55" s="486">
        <f>SUM(R44:R54)</f>
        <v>622398.92399999988</v>
      </c>
      <c r="S55" s="29"/>
      <c r="T55" s="487">
        <f>SUM(T44:T54)</f>
        <v>694911.41999999981</v>
      </c>
    </row>
    <row r="56" spans="1:20" ht="21" customHeight="1" x14ac:dyDescent="0.2">
      <c r="A56" s="1079" t="s">
        <v>192</v>
      </c>
      <c r="B56" s="1080"/>
      <c r="C56" s="1081"/>
      <c r="D56" s="488">
        <f t="shared" ref="D56:P56" si="42">+D55</f>
        <v>4620</v>
      </c>
      <c r="E56" s="488">
        <f t="shared" si="42"/>
        <v>8856</v>
      </c>
      <c r="F56" s="488">
        <f t="shared" si="42"/>
        <v>14055</v>
      </c>
      <c r="G56" s="488">
        <f t="shared" si="42"/>
        <v>20217</v>
      </c>
      <c r="H56" s="488">
        <f t="shared" si="42"/>
        <v>27342</v>
      </c>
      <c r="I56" s="488">
        <f t="shared" si="42"/>
        <v>35430</v>
      </c>
      <c r="J56" s="488">
        <f t="shared" si="42"/>
        <v>49101</v>
      </c>
      <c r="K56" s="488">
        <f t="shared" si="42"/>
        <v>56421</v>
      </c>
      <c r="L56" s="488">
        <f t="shared" si="42"/>
        <v>62778</v>
      </c>
      <c r="M56" s="488">
        <f t="shared" si="42"/>
        <v>68172</v>
      </c>
      <c r="N56" s="488">
        <f t="shared" si="42"/>
        <v>74913</v>
      </c>
      <c r="O56" s="488">
        <f t="shared" si="42"/>
        <v>81654</v>
      </c>
      <c r="P56" s="488">
        <f t="shared" si="42"/>
        <v>503559</v>
      </c>
      <c r="Q56" s="489"/>
      <c r="R56" s="488">
        <f>+R55</f>
        <v>622398.92399999988</v>
      </c>
      <c r="S56" s="489"/>
      <c r="T56" s="490">
        <f>+T55</f>
        <v>694911.41999999981</v>
      </c>
    </row>
  </sheetData>
  <mergeCells count="21">
    <mergeCell ref="N3:S3"/>
    <mergeCell ref="A16:C16"/>
    <mergeCell ref="P13:T13"/>
    <mergeCell ref="A22:B22"/>
    <mergeCell ref="A20:B20"/>
    <mergeCell ref="B15:C15"/>
    <mergeCell ref="A19:B19"/>
    <mergeCell ref="Q14:R14"/>
    <mergeCell ref="S14:T14"/>
    <mergeCell ref="A18:B18"/>
    <mergeCell ref="A21:B21"/>
    <mergeCell ref="D42:O42"/>
    <mergeCell ref="A23:B23"/>
    <mergeCell ref="A17:B17"/>
    <mergeCell ref="Q41:R41"/>
    <mergeCell ref="S41:T41"/>
    <mergeCell ref="A24:B24"/>
    <mergeCell ref="A56:C56"/>
    <mergeCell ref="D25:P25"/>
    <mergeCell ref="A55:C55"/>
    <mergeCell ref="P40:T40"/>
  </mergeCells>
  <pageMargins left="0.25" right="0.25" top="0.75" bottom="0.75" header="0" footer="0"/>
  <pageSetup orientation="landscape"/>
  <colBreaks count="1" manualBreakCount="1">
    <brk id="22" max="16383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6D7E96"/>
  </sheetPr>
  <dimension ref="A1:T27"/>
  <sheetViews>
    <sheetView showGridLines="0" workbookViewId="0">
      <pane ySplit="2" topLeftCell="A3" activePane="bottomLeft" state="frozen"/>
      <selection pane="bottomLeft" activeCell="M30" sqref="M30"/>
    </sheetView>
  </sheetViews>
  <sheetFormatPr baseColWidth="10" defaultColWidth="14.5" defaultRowHeight="15" customHeight="1" x14ac:dyDescent="0.2"/>
  <cols>
    <col min="1" max="1" width="24.83203125" customWidth="1"/>
    <col min="2" max="2" width="12.5" customWidth="1"/>
    <col min="3" max="3" width="19.5" customWidth="1"/>
    <col min="4" max="14" width="10.6640625" customWidth="1"/>
    <col min="15" max="15" width="11.83203125" customWidth="1"/>
    <col min="16" max="16" width="11.6640625" customWidth="1"/>
    <col min="17" max="17" width="10.6640625" customWidth="1"/>
    <col min="18" max="18" width="12.33203125" customWidth="1"/>
    <col min="19" max="19" width="10.6640625" customWidth="1"/>
    <col min="20" max="21" width="9.5" customWidth="1"/>
    <col min="22" max="22" width="9.1640625" customWidth="1"/>
    <col min="23" max="23" width="9.5" customWidth="1"/>
    <col min="24" max="26" width="9.1640625" customWidth="1"/>
  </cols>
  <sheetData>
    <row r="1" spans="1:20" ht="12.75" customHeight="1" x14ac:dyDescent="0.2">
      <c r="A1" s="491" t="s">
        <v>193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</row>
    <row r="2" spans="1:20" ht="12.75" customHeight="1" x14ac:dyDescent="0.2">
      <c r="A2" s="492" t="str">
        <f>+Historical!$A$1</f>
        <v>Draper Yoga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</row>
    <row r="3" spans="1:20" ht="12.75" customHeight="1" x14ac:dyDescent="0.2">
      <c r="A3" s="30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</row>
    <row r="4" spans="1:20" ht="12.75" customHeight="1" x14ac:dyDescent="0.2">
      <c r="A4" s="31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</row>
    <row r="5" spans="1:20" ht="15" customHeight="1" x14ac:dyDescent="0.2">
      <c r="A5" s="493" t="s">
        <v>24</v>
      </c>
      <c r="B5" s="494">
        <f>+'P&amp;L-Revenues'!B4</f>
        <v>44771</v>
      </c>
      <c r="C5" s="495">
        <f>+'P&amp;L-Revenues'!C4</f>
        <v>44799</v>
      </c>
      <c r="D5" s="495">
        <f>+'P&amp;L-Revenues'!D4</f>
        <v>44827</v>
      </c>
      <c r="E5" s="495">
        <f>+'P&amp;L-Revenues'!E4</f>
        <v>44855</v>
      </c>
      <c r="F5" s="495">
        <f>+'P&amp;L-Revenues'!F4</f>
        <v>44883</v>
      </c>
      <c r="G5" s="495">
        <f>+'P&amp;L-Revenues'!G4</f>
        <v>44911</v>
      </c>
      <c r="H5" s="495">
        <f>+'P&amp;L-Revenues'!H4</f>
        <v>44939</v>
      </c>
      <c r="I5" s="495">
        <f>+'P&amp;L-Revenues'!I4</f>
        <v>44967</v>
      </c>
      <c r="J5" s="495">
        <f>+'P&amp;L-Revenues'!J4</f>
        <v>44995</v>
      </c>
      <c r="K5" s="495">
        <f>+'P&amp;L-Revenues'!K4</f>
        <v>45023</v>
      </c>
      <c r="L5" s="495">
        <f>+'P&amp;L-Revenues'!L4</f>
        <v>45051</v>
      </c>
      <c r="M5" s="495">
        <f>+'P&amp;L-Revenues'!M4</f>
        <v>45079</v>
      </c>
      <c r="N5" s="496">
        <f>+M5</f>
        <v>45079</v>
      </c>
      <c r="O5" s="497" t="s">
        <v>148</v>
      </c>
      <c r="P5" s="498">
        <f>+N5+365</f>
        <v>45444</v>
      </c>
      <c r="Q5" s="499" t="s">
        <v>148</v>
      </c>
      <c r="R5" s="496">
        <f>+P5+365</f>
        <v>45809</v>
      </c>
      <c r="S5" s="500" t="s">
        <v>148</v>
      </c>
      <c r="T5" s="24"/>
    </row>
    <row r="6" spans="1:20" ht="15" customHeight="1" x14ac:dyDescent="0.2">
      <c r="A6" s="501" t="str">
        <f>+Historical!F12</f>
        <v>Direct Labor</v>
      </c>
      <c r="B6" s="502">
        <f>+'P&amp;L-COGS'!D17</f>
        <v>546</v>
      </c>
      <c r="C6" s="503">
        <f>+'P&amp;L-COGS'!E17</f>
        <v>819</v>
      </c>
      <c r="D6" s="503">
        <f>+'P&amp;L-COGS'!F17</f>
        <v>1092</v>
      </c>
      <c r="E6" s="503">
        <f>+'P&amp;L-COGS'!G17</f>
        <v>1365</v>
      </c>
      <c r="F6" s="503">
        <f>+'P&amp;L-COGS'!H17</f>
        <v>1638</v>
      </c>
      <c r="G6" s="503">
        <f>+'P&amp;L-COGS'!I17</f>
        <v>1910.9999999999998</v>
      </c>
      <c r="H6" s="503">
        <f>+'P&amp;L-COGS'!J17</f>
        <v>2730</v>
      </c>
      <c r="I6" s="503">
        <f>+'P&amp;L-COGS'!K17</f>
        <v>2457</v>
      </c>
      <c r="J6" s="503">
        <f>+'P&amp;L-COGS'!L17</f>
        <v>2184</v>
      </c>
      <c r="K6" s="503">
        <f>+'P&amp;L-COGS'!M17</f>
        <v>1910.9999999999998</v>
      </c>
      <c r="L6" s="503">
        <f>+'P&amp;L-COGS'!N17</f>
        <v>1910.9999999999998</v>
      </c>
      <c r="M6" s="503">
        <f>+'P&amp;L-COGS'!O17</f>
        <v>1910.9999999999998</v>
      </c>
      <c r="N6" s="502">
        <f>+SUM(B6:M6)</f>
        <v>20475</v>
      </c>
      <c r="O6" s="504">
        <f>+N6/'P&amp;L-Revenues'!N$11</f>
        <v>4.0660578005755038E-2</v>
      </c>
      <c r="P6" s="503">
        <f>+'P&amp;L-COGS'!R17</f>
        <v>31119.946199999995</v>
      </c>
      <c r="Q6" s="505">
        <f>+P6/'P&amp;L-Revenues'!P$11</f>
        <v>4.9999999999999989E-2</v>
      </c>
      <c r="R6" s="502">
        <f>+'P&amp;L-COGS'!T17</f>
        <v>34745.570999999989</v>
      </c>
      <c r="S6" s="504">
        <f>+R6/'P&amp;L-Revenues'!R$11</f>
        <v>4.9999999999999982E-2</v>
      </c>
      <c r="T6" s="24"/>
    </row>
    <row r="7" spans="1:20" ht="15" customHeight="1" x14ac:dyDescent="0.2">
      <c r="A7" s="501" t="str">
        <f>+Historical!F13</f>
        <v>Direct Materials</v>
      </c>
      <c r="B7" s="502">
        <f>+'P&amp;L-COGS'!D22</f>
        <v>231</v>
      </c>
      <c r="C7" s="503">
        <f>+'P&amp;L-COGS'!E22</f>
        <v>442.8</v>
      </c>
      <c r="D7" s="503">
        <f>+'P&amp;L-COGS'!F22</f>
        <v>702.75</v>
      </c>
      <c r="E7" s="503">
        <f>+'P&amp;L-COGS'!G22</f>
        <v>1010.85</v>
      </c>
      <c r="F7" s="503">
        <f>+'P&amp;L-COGS'!H22</f>
        <v>1367.1000000000001</v>
      </c>
      <c r="G7" s="503">
        <f>+'P&amp;L-COGS'!I22</f>
        <v>1771.5</v>
      </c>
      <c r="H7" s="503">
        <f>+'P&amp;L-COGS'!J22</f>
        <v>2455.0500000000002</v>
      </c>
      <c r="I7" s="503">
        <f>+'P&amp;L-COGS'!K22</f>
        <v>2821.05</v>
      </c>
      <c r="J7" s="503">
        <f>+'P&amp;L-COGS'!L22</f>
        <v>3138.9</v>
      </c>
      <c r="K7" s="503">
        <f>+'P&amp;L-COGS'!M22</f>
        <v>3408.6000000000004</v>
      </c>
      <c r="L7" s="503">
        <f>+'P&amp;L-COGS'!N22</f>
        <v>3745.65</v>
      </c>
      <c r="M7" s="503">
        <f>+'P&amp;L-COGS'!O22</f>
        <v>4082.7000000000003</v>
      </c>
      <c r="N7" s="502">
        <f>+SUM(B7:M7)</f>
        <v>25177.95</v>
      </c>
      <c r="O7" s="504">
        <f>+N7/'P&amp;L-Revenues'!N$11</f>
        <v>0.05</v>
      </c>
      <c r="P7" s="503">
        <f>+'P&amp;L-COGS'!R22</f>
        <v>31119.946199999995</v>
      </c>
      <c r="Q7" s="505">
        <f>+P7/'P&amp;L-Revenues'!P$11</f>
        <v>4.9999999999999989E-2</v>
      </c>
      <c r="R7" s="502">
        <f>+'P&amp;L-COGS'!T22</f>
        <v>34745.570999999989</v>
      </c>
      <c r="S7" s="504">
        <f>+R7/'P&amp;L-Revenues'!R$11</f>
        <v>4.9999999999999982E-2</v>
      </c>
      <c r="T7" s="24"/>
    </row>
    <row r="8" spans="1:20" ht="15" customHeight="1" x14ac:dyDescent="0.2">
      <c r="A8" s="501" t="str">
        <f>+Historical!F14</f>
        <v>Other Direct Costs</v>
      </c>
      <c r="B8" s="502">
        <f>+'P&amp;L-COGS'!D26</f>
        <v>231</v>
      </c>
      <c r="C8" s="503">
        <f>+'P&amp;L-COGS'!E26</f>
        <v>442.8</v>
      </c>
      <c r="D8" s="503">
        <f>+'P&amp;L-COGS'!F26</f>
        <v>702.75</v>
      </c>
      <c r="E8" s="503">
        <f>+'P&amp;L-COGS'!G26</f>
        <v>1010.85</v>
      </c>
      <c r="F8" s="503">
        <f>+'P&amp;L-COGS'!H26</f>
        <v>1367.1000000000001</v>
      </c>
      <c r="G8" s="503">
        <f>+'P&amp;L-COGS'!I26</f>
        <v>1771.5</v>
      </c>
      <c r="H8" s="503">
        <f>+'P&amp;L-COGS'!J26</f>
        <v>2455.0500000000002</v>
      </c>
      <c r="I8" s="503">
        <f>+'P&amp;L-COGS'!K26</f>
        <v>2821.05</v>
      </c>
      <c r="J8" s="503">
        <f>+'P&amp;L-COGS'!L26</f>
        <v>3138.9</v>
      </c>
      <c r="K8" s="503">
        <f>+'P&amp;L-COGS'!M26</f>
        <v>3408.6000000000004</v>
      </c>
      <c r="L8" s="503">
        <f>+'P&amp;L-COGS'!N26</f>
        <v>3745.65</v>
      </c>
      <c r="M8" s="503">
        <f>+'P&amp;L-COGS'!O26</f>
        <v>4082.7000000000003</v>
      </c>
      <c r="N8" s="502">
        <f>+SUM(B8:M8)</f>
        <v>25177.95</v>
      </c>
      <c r="O8" s="504">
        <f>+N8/'P&amp;L-Revenues'!N$11</f>
        <v>0.05</v>
      </c>
      <c r="P8" s="503">
        <f>+'P&amp;L-COGS'!R26</f>
        <v>31119.946199999995</v>
      </c>
      <c r="Q8" s="505">
        <f>+P8/'P&amp;L-Revenues'!P$11</f>
        <v>4.9999999999999989E-2</v>
      </c>
      <c r="R8" s="502">
        <f>+'P&amp;L-COGS'!T26</f>
        <v>34745.570999999989</v>
      </c>
      <c r="S8" s="504">
        <f>+R8/'P&amp;L-Revenues'!R$11</f>
        <v>4.9999999999999982E-2</v>
      </c>
      <c r="T8" s="24"/>
    </row>
    <row r="9" spans="1:20" ht="15" customHeight="1" x14ac:dyDescent="0.2">
      <c r="A9" s="430" t="s">
        <v>194</v>
      </c>
      <c r="B9" s="431">
        <f t="shared" ref="B9:N9" si="0">-SUM(B6:B8)</f>
        <v>-1008</v>
      </c>
      <c r="C9" s="432">
        <f t="shared" si="0"/>
        <v>-1704.6</v>
      </c>
      <c r="D9" s="432">
        <f t="shared" si="0"/>
        <v>-2497.5</v>
      </c>
      <c r="E9" s="432">
        <f t="shared" si="0"/>
        <v>-3386.7</v>
      </c>
      <c r="F9" s="432">
        <f t="shared" si="0"/>
        <v>-4372.2000000000007</v>
      </c>
      <c r="G9" s="432">
        <f t="shared" si="0"/>
        <v>-5454</v>
      </c>
      <c r="H9" s="432">
        <f t="shared" si="0"/>
        <v>-7640.1</v>
      </c>
      <c r="I9" s="432">
        <f t="shared" si="0"/>
        <v>-8099.1</v>
      </c>
      <c r="J9" s="432">
        <f t="shared" si="0"/>
        <v>-8461.7999999999993</v>
      </c>
      <c r="K9" s="432">
        <f t="shared" si="0"/>
        <v>-8728.2000000000007</v>
      </c>
      <c r="L9" s="432">
        <f t="shared" si="0"/>
        <v>-9402.2999999999993</v>
      </c>
      <c r="M9" s="432">
        <f t="shared" si="0"/>
        <v>-10076.4</v>
      </c>
      <c r="N9" s="506">
        <f t="shared" si="0"/>
        <v>-70830.899999999994</v>
      </c>
      <c r="O9" s="507">
        <f>SUM(O6:O8)</f>
        <v>0.14066057800575504</v>
      </c>
      <c r="P9" s="432">
        <f>-SUM(P6:P8)</f>
        <v>-93359.838599999988</v>
      </c>
      <c r="Q9" s="508">
        <f>SUM(Q6:Q8)</f>
        <v>0.14999999999999997</v>
      </c>
      <c r="R9" s="506">
        <f>-SUM(R6:R8)</f>
        <v>-104236.71299999996</v>
      </c>
      <c r="S9" s="507">
        <f>SUM(S6:S8)</f>
        <v>0.14999999999999994</v>
      </c>
      <c r="T9" s="24"/>
    </row>
    <row r="10" spans="1:20" ht="15" customHeight="1" x14ac:dyDescent="0.2">
      <c r="A10" s="33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34"/>
      <c r="P10" s="18"/>
      <c r="Q10" s="34"/>
      <c r="R10" s="18"/>
      <c r="S10" s="34"/>
      <c r="T10" s="24"/>
    </row>
    <row r="11" spans="1:20" ht="15" customHeight="1" x14ac:dyDescent="0.2">
      <c r="A11" s="33"/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34"/>
      <c r="P11" s="18"/>
      <c r="Q11" s="34"/>
      <c r="R11" s="18"/>
      <c r="S11" s="34"/>
      <c r="T11" s="24"/>
    </row>
    <row r="12" spans="1:20" ht="12.75" customHeight="1" x14ac:dyDescent="0.2">
      <c r="A12" s="35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1097" t="s">
        <v>126</v>
      </c>
      <c r="Q12" s="1094"/>
      <c r="R12" s="1094"/>
      <c r="S12" s="1094"/>
      <c r="T12" s="1095"/>
    </row>
    <row r="13" spans="1:20" ht="15" customHeight="1" x14ac:dyDescent="0.2">
      <c r="A13" s="9"/>
      <c r="B13" s="9"/>
      <c r="C13" s="9"/>
      <c r="D13" s="436">
        <f t="shared" ref="D13:O13" si="1">+B5</f>
        <v>44771</v>
      </c>
      <c r="E13" s="437">
        <f t="shared" si="1"/>
        <v>44799</v>
      </c>
      <c r="F13" s="437">
        <f t="shared" si="1"/>
        <v>44827</v>
      </c>
      <c r="G13" s="437">
        <f t="shared" si="1"/>
        <v>44855</v>
      </c>
      <c r="H13" s="437">
        <f t="shared" si="1"/>
        <v>44883</v>
      </c>
      <c r="I13" s="437">
        <f t="shared" si="1"/>
        <v>44911</v>
      </c>
      <c r="J13" s="437">
        <f t="shared" si="1"/>
        <v>44939</v>
      </c>
      <c r="K13" s="437">
        <f t="shared" si="1"/>
        <v>44967</v>
      </c>
      <c r="L13" s="437">
        <f t="shared" si="1"/>
        <v>44995</v>
      </c>
      <c r="M13" s="437">
        <f t="shared" si="1"/>
        <v>45023</v>
      </c>
      <c r="N13" s="437">
        <f t="shared" si="1"/>
        <v>45051</v>
      </c>
      <c r="O13" s="437">
        <f t="shared" si="1"/>
        <v>45079</v>
      </c>
      <c r="P13" s="509">
        <f>+'P&amp;L-Expenses'!R41</f>
        <v>45079</v>
      </c>
      <c r="Q13" s="1096">
        <f>+'P&amp;L-Expenses'!S41</f>
        <v>45444</v>
      </c>
      <c r="R13" s="1083"/>
      <c r="S13" s="1096">
        <f>+'P&amp;L-Expenses'!T41</f>
        <v>45809</v>
      </c>
      <c r="T13" s="1083"/>
    </row>
    <row r="14" spans="1:20" ht="12.75" customHeight="1" x14ac:dyDescent="0.2">
      <c r="A14" s="510" t="s">
        <v>195</v>
      </c>
      <c r="B14" s="511" t="s">
        <v>196</v>
      </c>
      <c r="C14" s="512" t="s">
        <v>197</v>
      </c>
      <c r="D14" s="1102" t="s">
        <v>198</v>
      </c>
      <c r="E14" s="1062"/>
      <c r="F14" s="1062"/>
      <c r="G14" s="1062"/>
      <c r="H14" s="1062"/>
      <c r="I14" s="1062"/>
      <c r="J14" s="1062"/>
      <c r="K14" s="1062"/>
      <c r="L14" s="1062"/>
      <c r="M14" s="1062"/>
      <c r="N14" s="1062"/>
      <c r="O14" s="1062"/>
      <c r="P14" s="513" t="s">
        <v>199</v>
      </c>
      <c r="Q14" s="514" t="s">
        <v>200</v>
      </c>
      <c r="R14" s="515" t="s">
        <v>199</v>
      </c>
      <c r="S14" s="469" t="s">
        <v>200</v>
      </c>
      <c r="T14" s="516" t="s">
        <v>199</v>
      </c>
    </row>
    <row r="15" spans="1:20" ht="26.25" customHeight="1" x14ac:dyDescent="0.2">
      <c r="A15" s="517"/>
      <c r="D15" s="518"/>
      <c r="Q15" s="519" t="s">
        <v>197</v>
      </c>
      <c r="R15" s="236"/>
      <c r="S15" s="519" t="s">
        <v>197</v>
      </c>
      <c r="T15" s="236"/>
    </row>
    <row r="16" spans="1:20" ht="26.25" customHeight="1" x14ac:dyDescent="0.2">
      <c r="A16" s="36"/>
      <c r="B16" s="37"/>
      <c r="C16" s="520" t="s">
        <v>201</v>
      </c>
      <c r="D16" s="521">
        <f>+'P&amp;L-Revenues'!$C$21*'P&amp;L-Revenues'!D$26</f>
        <v>15.600000000000001</v>
      </c>
      <c r="E16" s="521">
        <f>+'P&amp;L-Revenues'!$C$21*'P&amp;L-Revenues'!E$26</f>
        <v>23.4</v>
      </c>
      <c r="F16" s="521">
        <f>+'P&amp;L-Revenues'!$C$21*'P&amp;L-Revenues'!F$26</f>
        <v>31.200000000000003</v>
      </c>
      <c r="G16" s="521">
        <f>+'P&amp;L-Revenues'!$C$21*'P&amp;L-Revenues'!G$26</f>
        <v>39</v>
      </c>
      <c r="H16" s="521">
        <f>+'P&amp;L-Revenues'!$C$21*'P&amp;L-Revenues'!H$26</f>
        <v>46.8</v>
      </c>
      <c r="I16" s="521">
        <f>+'P&amp;L-Revenues'!$C$21*'P&amp;L-Revenues'!I$26</f>
        <v>54.599999999999994</v>
      </c>
      <c r="J16" s="521">
        <f>+'P&amp;L-Revenues'!$C$21*'P&amp;L-Revenues'!J$26</f>
        <v>78</v>
      </c>
      <c r="K16" s="521">
        <f>+'P&amp;L-Revenues'!$C$21*'P&amp;L-Revenues'!K$26</f>
        <v>70.2</v>
      </c>
      <c r="L16" s="521">
        <f>+'P&amp;L-Revenues'!$C$21*'P&amp;L-Revenues'!L$26</f>
        <v>62.400000000000006</v>
      </c>
      <c r="M16" s="521">
        <f>+'P&amp;L-Revenues'!$C$21*'P&amp;L-Revenues'!M$26</f>
        <v>54.599999999999994</v>
      </c>
      <c r="N16" s="521">
        <f>+'P&amp;L-Revenues'!$C$21*'P&amp;L-Revenues'!N$26</f>
        <v>54.599999999999994</v>
      </c>
      <c r="O16" s="521">
        <f>+'P&amp;L-Revenues'!$C$21*'P&amp;L-Revenues'!O$26</f>
        <v>54.599999999999994</v>
      </c>
      <c r="P16" s="522">
        <f>SUM(D16:O16)</f>
        <v>585.00000000000011</v>
      </c>
      <c r="Q16" s="38"/>
      <c r="R16" s="39"/>
      <c r="S16" s="38"/>
      <c r="T16" s="40"/>
    </row>
    <row r="17" spans="1:20" ht="29.25" customHeight="1" x14ac:dyDescent="0.2">
      <c r="A17" s="523" t="s">
        <v>27</v>
      </c>
      <c r="B17" s="524" t="s">
        <v>189</v>
      </c>
      <c r="C17" s="525">
        <v>35</v>
      </c>
      <c r="D17" s="526">
        <f t="shared" ref="D17:O17" si="2">+D16*$C17</f>
        <v>546</v>
      </c>
      <c r="E17" s="526">
        <f t="shared" si="2"/>
        <v>819</v>
      </c>
      <c r="F17" s="526">
        <f t="shared" si="2"/>
        <v>1092</v>
      </c>
      <c r="G17" s="526">
        <f t="shared" si="2"/>
        <v>1365</v>
      </c>
      <c r="H17" s="526">
        <f t="shared" si="2"/>
        <v>1638</v>
      </c>
      <c r="I17" s="526">
        <f t="shared" si="2"/>
        <v>1910.9999999999998</v>
      </c>
      <c r="J17" s="526">
        <f t="shared" si="2"/>
        <v>2730</v>
      </c>
      <c r="K17" s="526">
        <f t="shared" si="2"/>
        <v>2457</v>
      </c>
      <c r="L17" s="526">
        <f t="shared" si="2"/>
        <v>2184</v>
      </c>
      <c r="M17" s="526">
        <f t="shared" si="2"/>
        <v>1910.9999999999998</v>
      </c>
      <c r="N17" s="526">
        <f t="shared" si="2"/>
        <v>1910.9999999999998</v>
      </c>
      <c r="O17" s="526">
        <f t="shared" si="2"/>
        <v>1910.9999999999998</v>
      </c>
      <c r="P17" s="526">
        <f>SUM(D17:O17)</f>
        <v>20475</v>
      </c>
      <c r="Q17" s="527">
        <v>0.05</v>
      </c>
      <c r="R17" s="526">
        <f>+'P&amp;L-Revenues'!R$56*'P&amp;L-COGS'!Q17</f>
        <v>31119.946199999995</v>
      </c>
      <c r="S17" s="527">
        <v>0.05</v>
      </c>
      <c r="T17" s="522">
        <f>+'P&amp;L-Revenues'!T$56*'P&amp;L-COGS'!S17</f>
        <v>34745.570999999989</v>
      </c>
    </row>
    <row r="18" spans="1:20" ht="15.75" customHeight="1" x14ac:dyDescent="0.2">
      <c r="A18" s="1103" t="s">
        <v>202</v>
      </c>
      <c r="B18" s="1062"/>
      <c r="C18" s="1104"/>
      <c r="D18" s="528">
        <f>+D17/'P&amp;L-Revenues'!D56</f>
        <v>0.11818181818181818</v>
      </c>
      <c r="E18" s="528">
        <f>+E17/'P&amp;L-Revenues'!E56</f>
        <v>9.2479674796747971E-2</v>
      </c>
      <c r="F18" s="528">
        <f>+F17/'P&amp;L-Revenues'!F56</f>
        <v>7.769477054429029E-2</v>
      </c>
      <c r="G18" s="528">
        <f>+G17/'P&amp;L-Revenues'!G56</f>
        <v>6.7517435821338484E-2</v>
      </c>
      <c r="H18" s="528">
        <f>+H17/'P&amp;L-Revenues'!H56</f>
        <v>5.9907834101382486E-2</v>
      </c>
      <c r="I18" s="528">
        <f>+I17/'P&amp;L-Revenues'!I56</f>
        <v>5.3937341236240464E-2</v>
      </c>
      <c r="J18" s="528">
        <f>+J17/'P&amp;L-Revenues'!J56</f>
        <v>5.5599682287529782E-2</v>
      </c>
      <c r="K18" s="528">
        <f>+K17/'P&amp;L-Revenues'!K56</f>
        <v>4.354761524964109E-2</v>
      </c>
      <c r="L18" s="528">
        <f>+L17/'P&amp;L-Revenues'!L56</f>
        <v>3.4789257383159702E-2</v>
      </c>
      <c r="M18" s="528">
        <f>+M17/'P&amp;L-Revenues'!M56</f>
        <v>2.8032036613272308E-2</v>
      </c>
      <c r="N18" s="528">
        <f>+N17/'P&amp;L-Revenues'!N56</f>
        <v>2.5509591125705815E-2</v>
      </c>
      <c r="O18" s="528">
        <f>+O17/'P&amp;L-Revenues'!O56</f>
        <v>2.3403629950767873E-2</v>
      </c>
      <c r="P18" s="528">
        <f>+P17/'P&amp;L-Revenues'!P56</f>
        <v>4.0660578005755038E-2</v>
      </c>
      <c r="Q18" s="294"/>
      <c r="S18" s="529"/>
    </row>
    <row r="19" spans="1:20" ht="12.75" customHeight="1" x14ac:dyDescent="0.2">
      <c r="A19" s="530" t="s">
        <v>30</v>
      </c>
      <c r="B19" s="41"/>
      <c r="C19" s="42"/>
      <c r="D19" s="531"/>
      <c r="Q19" s="293"/>
      <c r="S19" s="471"/>
    </row>
    <row r="20" spans="1:20" ht="12.75" customHeight="1" x14ac:dyDescent="0.2">
      <c r="A20" s="532" t="s">
        <v>203</v>
      </c>
      <c r="B20" s="533">
        <v>0.05</v>
      </c>
      <c r="C20" s="534" t="s">
        <v>204</v>
      </c>
      <c r="D20" s="535">
        <f>+'P&amp;L-Revenues'!D$56*$B20</f>
        <v>231</v>
      </c>
      <c r="E20" s="535">
        <f>+'P&amp;L-Revenues'!E$56*$B20</f>
        <v>442.8</v>
      </c>
      <c r="F20" s="535">
        <f>+'P&amp;L-Revenues'!F$56*$B20</f>
        <v>702.75</v>
      </c>
      <c r="G20" s="535">
        <f>+'P&amp;L-Revenues'!G$56*$B20</f>
        <v>1010.85</v>
      </c>
      <c r="H20" s="535">
        <f>+'P&amp;L-Revenues'!H$56*$B20</f>
        <v>1367.1000000000001</v>
      </c>
      <c r="I20" s="535">
        <f>+'P&amp;L-Revenues'!I$56*$B20</f>
        <v>1771.5</v>
      </c>
      <c r="J20" s="535">
        <f>+'P&amp;L-Revenues'!J$56*$B20</f>
        <v>2455.0500000000002</v>
      </c>
      <c r="K20" s="535">
        <f>+'P&amp;L-Revenues'!K$56*$B20</f>
        <v>2821.05</v>
      </c>
      <c r="L20" s="535">
        <f>+'P&amp;L-Revenues'!L$56*$B20</f>
        <v>3138.9</v>
      </c>
      <c r="M20" s="535">
        <f>+'P&amp;L-Revenues'!M$56*$B20</f>
        <v>3408.6000000000004</v>
      </c>
      <c r="N20" s="535">
        <f>+'P&amp;L-Revenues'!N$56*$B20</f>
        <v>3745.65</v>
      </c>
      <c r="O20" s="535">
        <f>+'P&amp;L-Revenues'!O$56*$B20</f>
        <v>4082.7000000000003</v>
      </c>
      <c r="P20" s="526">
        <f>SUM(D20:O20)</f>
        <v>25177.95</v>
      </c>
      <c r="Q20" s="454">
        <v>0.05</v>
      </c>
      <c r="R20" s="526">
        <f>+'P&amp;L-Revenues'!R$56*'P&amp;L-COGS'!Q20</f>
        <v>31119.946199999995</v>
      </c>
      <c r="S20" s="454">
        <v>0.05</v>
      </c>
      <c r="T20" s="522">
        <f>+'P&amp;L-Revenues'!T$56*'P&amp;L-COGS'!S20</f>
        <v>34745.570999999989</v>
      </c>
    </row>
    <row r="21" spans="1:20" ht="12.75" customHeight="1" x14ac:dyDescent="0.2">
      <c r="A21" s="237"/>
      <c r="B21" s="536"/>
      <c r="C21" s="43"/>
      <c r="D21" s="238"/>
      <c r="E21" s="238"/>
      <c r="F21" s="238"/>
      <c r="G21" s="238"/>
      <c r="H21" s="238"/>
      <c r="I21" s="238"/>
      <c r="J21" s="238"/>
      <c r="K21" s="238"/>
      <c r="L21" s="238"/>
      <c r="M21" s="238"/>
      <c r="N21" s="238"/>
      <c r="O21" s="238"/>
      <c r="P21" s="526">
        <f>SUM(D21:O21)</f>
        <v>0</v>
      </c>
      <c r="Q21" s="537"/>
      <c r="R21" s="238"/>
      <c r="S21" s="537"/>
      <c r="T21" s="239"/>
    </row>
    <row r="22" spans="1:20" ht="21" customHeight="1" x14ac:dyDescent="0.2">
      <c r="A22" s="1101" t="s">
        <v>205</v>
      </c>
      <c r="B22" s="1080"/>
      <c r="C22" s="1083"/>
      <c r="D22" s="538">
        <f t="shared" ref="D22:P22" si="3">SUM(D20:D21)</f>
        <v>231</v>
      </c>
      <c r="E22" s="539">
        <f t="shared" si="3"/>
        <v>442.8</v>
      </c>
      <c r="F22" s="539">
        <f t="shared" si="3"/>
        <v>702.75</v>
      </c>
      <c r="G22" s="539">
        <f t="shared" si="3"/>
        <v>1010.85</v>
      </c>
      <c r="H22" s="539">
        <f t="shared" si="3"/>
        <v>1367.1000000000001</v>
      </c>
      <c r="I22" s="539">
        <f t="shared" si="3"/>
        <v>1771.5</v>
      </c>
      <c r="J22" s="539">
        <f t="shared" si="3"/>
        <v>2455.0500000000002</v>
      </c>
      <c r="K22" s="539">
        <f t="shared" si="3"/>
        <v>2821.05</v>
      </c>
      <c r="L22" s="539">
        <f t="shared" si="3"/>
        <v>3138.9</v>
      </c>
      <c r="M22" s="539">
        <f t="shared" si="3"/>
        <v>3408.6000000000004</v>
      </c>
      <c r="N22" s="539">
        <f t="shared" si="3"/>
        <v>3745.65</v>
      </c>
      <c r="O22" s="539">
        <f t="shared" si="3"/>
        <v>4082.7000000000003</v>
      </c>
      <c r="P22" s="540">
        <f t="shared" si="3"/>
        <v>25177.95</v>
      </c>
      <c r="Q22" s="44"/>
      <c r="R22" s="540">
        <f>SUM(R20:R21)</f>
        <v>31119.946199999995</v>
      </c>
      <c r="S22" s="44"/>
      <c r="T22" s="540">
        <f>SUM(T20:T21)</f>
        <v>34745.570999999989</v>
      </c>
    </row>
    <row r="23" spans="1:20" ht="27" customHeight="1" x14ac:dyDescent="0.2">
      <c r="A23" s="1098" t="str">
        <f>+Historical!F14</f>
        <v>Other Direct Costs</v>
      </c>
      <c r="B23" s="1099"/>
      <c r="C23" s="1100"/>
      <c r="D23" s="541"/>
      <c r="Q23" s="542"/>
      <c r="S23" s="542"/>
    </row>
    <row r="24" spans="1:20" ht="12.75" customHeight="1" x14ac:dyDescent="0.2">
      <c r="A24" s="45"/>
      <c r="B24" s="533">
        <v>0.05</v>
      </c>
      <c r="C24" s="534" t="s">
        <v>204</v>
      </c>
      <c r="D24" s="535">
        <f>+'P&amp;L-Revenues'!D$56*$B24</f>
        <v>231</v>
      </c>
      <c r="E24" s="535">
        <f>+'P&amp;L-Revenues'!E$56*$B24</f>
        <v>442.8</v>
      </c>
      <c r="F24" s="535">
        <f>+'P&amp;L-Revenues'!F$56*$B24</f>
        <v>702.75</v>
      </c>
      <c r="G24" s="535">
        <f>+'P&amp;L-Revenues'!G$56*$B24</f>
        <v>1010.85</v>
      </c>
      <c r="H24" s="535">
        <f>+'P&amp;L-Revenues'!H$56*$B24</f>
        <v>1367.1000000000001</v>
      </c>
      <c r="I24" s="535">
        <f>+'P&amp;L-Revenues'!I$56*$B24</f>
        <v>1771.5</v>
      </c>
      <c r="J24" s="535">
        <f>+'P&amp;L-Revenues'!J$56*$B24</f>
        <v>2455.0500000000002</v>
      </c>
      <c r="K24" s="535">
        <f>+'P&amp;L-Revenues'!K$56*$B24</f>
        <v>2821.05</v>
      </c>
      <c r="L24" s="535">
        <f>+'P&amp;L-Revenues'!L$56*$B24</f>
        <v>3138.9</v>
      </c>
      <c r="M24" s="535">
        <f>+'P&amp;L-Revenues'!M$56*$B24</f>
        <v>3408.6000000000004</v>
      </c>
      <c r="N24" s="535">
        <f>+'P&amp;L-Revenues'!N$56*$B24</f>
        <v>3745.65</v>
      </c>
      <c r="O24" s="535">
        <f>+'P&amp;L-Revenues'!O$56*$B24</f>
        <v>4082.7000000000003</v>
      </c>
      <c r="P24" s="526">
        <f>SUM(D24:O24)</f>
        <v>25177.95</v>
      </c>
      <c r="Q24" s="543">
        <v>0.05</v>
      </c>
      <c r="R24" s="526">
        <f>+'P&amp;L-Revenues'!R$56*'P&amp;L-COGS'!Q24</f>
        <v>31119.946199999995</v>
      </c>
      <c r="S24" s="543">
        <v>0.05</v>
      </c>
      <c r="T24" s="522">
        <f>+'P&amp;L-Revenues'!T$56*'P&amp;L-COGS'!S24</f>
        <v>34745.570999999989</v>
      </c>
    </row>
    <row r="25" spans="1:20" ht="12.75" customHeight="1" x14ac:dyDescent="0.2">
      <c r="A25" s="240"/>
      <c r="B25" s="544"/>
      <c r="C25" s="46"/>
      <c r="D25" s="241"/>
      <c r="E25" s="241"/>
      <c r="F25" s="241"/>
      <c r="G25" s="241"/>
      <c r="H25" s="241"/>
      <c r="I25" s="241"/>
      <c r="J25" s="241"/>
      <c r="K25" s="241"/>
      <c r="L25" s="241"/>
      <c r="M25" s="241"/>
      <c r="N25" s="241"/>
      <c r="O25" s="241"/>
      <c r="P25" s="242"/>
      <c r="Q25" s="545"/>
      <c r="R25" s="241"/>
      <c r="S25" s="546"/>
      <c r="T25" s="243"/>
    </row>
    <row r="26" spans="1:20" ht="21" customHeight="1" x14ac:dyDescent="0.2">
      <c r="A26" s="1101" t="s">
        <v>206</v>
      </c>
      <c r="B26" s="1080"/>
      <c r="C26" s="1083"/>
      <c r="D26" s="547">
        <f t="shared" ref="D26:P26" si="4">SUM(D24:D25)</f>
        <v>231</v>
      </c>
      <c r="E26" s="547">
        <f t="shared" si="4"/>
        <v>442.8</v>
      </c>
      <c r="F26" s="547">
        <f t="shared" si="4"/>
        <v>702.75</v>
      </c>
      <c r="G26" s="547">
        <f t="shared" si="4"/>
        <v>1010.85</v>
      </c>
      <c r="H26" s="547">
        <f t="shared" si="4"/>
        <v>1367.1000000000001</v>
      </c>
      <c r="I26" s="547">
        <f t="shared" si="4"/>
        <v>1771.5</v>
      </c>
      <c r="J26" s="547">
        <f t="shared" si="4"/>
        <v>2455.0500000000002</v>
      </c>
      <c r="K26" s="547">
        <f t="shared" si="4"/>
        <v>2821.05</v>
      </c>
      <c r="L26" s="547">
        <f t="shared" si="4"/>
        <v>3138.9</v>
      </c>
      <c r="M26" s="547">
        <f t="shared" si="4"/>
        <v>3408.6000000000004</v>
      </c>
      <c r="N26" s="547">
        <f t="shared" si="4"/>
        <v>3745.65</v>
      </c>
      <c r="O26" s="547">
        <f t="shared" si="4"/>
        <v>4082.7000000000003</v>
      </c>
      <c r="P26" s="547">
        <f t="shared" si="4"/>
        <v>25177.95</v>
      </c>
      <c r="Q26" s="44"/>
      <c r="R26" s="547">
        <f>SUM(R24:R25)</f>
        <v>31119.946199999995</v>
      </c>
      <c r="S26" s="44"/>
      <c r="T26" s="540">
        <f>SUM(T24:T25)</f>
        <v>34745.570999999989</v>
      </c>
    </row>
    <row r="27" spans="1:20" ht="21.75" customHeight="1" x14ac:dyDescent="0.2">
      <c r="A27" s="548" t="s">
        <v>207</v>
      </c>
      <c r="B27" s="549"/>
      <c r="C27" s="549"/>
      <c r="D27" s="550">
        <f t="shared" ref="D27:P27" si="5">+D17+D22+D26</f>
        <v>1008</v>
      </c>
      <c r="E27" s="551">
        <f t="shared" si="5"/>
        <v>1704.6</v>
      </c>
      <c r="F27" s="551">
        <f t="shared" si="5"/>
        <v>2497.5</v>
      </c>
      <c r="G27" s="551">
        <f t="shared" si="5"/>
        <v>3386.7</v>
      </c>
      <c r="H27" s="551">
        <f t="shared" si="5"/>
        <v>4372.2000000000007</v>
      </c>
      <c r="I27" s="551">
        <f t="shared" si="5"/>
        <v>5454</v>
      </c>
      <c r="J27" s="551">
        <f t="shared" si="5"/>
        <v>7640.1</v>
      </c>
      <c r="K27" s="551">
        <f t="shared" si="5"/>
        <v>8099.1</v>
      </c>
      <c r="L27" s="551">
        <f t="shared" si="5"/>
        <v>8461.7999999999993</v>
      </c>
      <c r="M27" s="551">
        <f t="shared" si="5"/>
        <v>8728.2000000000007</v>
      </c>
      <c r="N27" s="551">
        <f t="shared" si="5"/>
        <v>9402.2999999999993</v>
      </c>
      <c r="O27" s="551">
        <f t="shared" si="5"/>
        <v>10076.4</v>
      </c>
      <c r="P27" s="551">
        <f t="shared" si="5"/>
        <v>70830.899999999994</v>
      </c>
      <c r="Q27" s="552"/>
      <c r="R27" s="490">
        <f>+R17+R22+R26</f>
        <v>93359.838599999988</v>
      </c>
      <c r="S27" s="553"/>
      <c r="T27" s="490">
        <f>+T17+T22+T26</f>
        <v>104236.71299999996</v>
      </c>
    </row>
  </sheetData>
  <mergeCells count="8">
    <mergeCell ref="A26:C26"/>
    <mergeCell ref="Q13:R13"/>
    <mergeCell ref="S13:T13"/>
    <mergeCell ref="P12:T12"/>
    <mergeCell ref="A23:C23"/>
    <mergeCell ref="A22:C22"/>
    <mergeCell ref="D14:O14"/>
    <mergeCell ref="A18:C18"/>
  </mergeCells>
  <pageMargins left="0.7" right="0.7" top="0.75" bottom="0.75" header="0" footer="0"/>
  <pageSetup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6D7E96"/>
  </sheetPr>
  <dimension ref="A1:U40"/>
  <sheetViews>
    <sheetView showGridLines="0" workbookViewId="0">
      <pane ySplit="2" topLeftCell="A3" activePane="bottomLeft" state="frozen"/>
      <selection pane="bottomLeft" activeCell="M30" sqref="M30"/>
    </sheetView>
  </sheetViews>
  <sheetFormatPr baseColWidth="10" defaultColWidth="14.5" defaultRowHeight="15" customHeight="1" outlineLevelRow="1" outlineLevelCol="1" x14ac:dyDescent="0.2"/>
  <cols>
    <col min="1" max="1" width="22" customWidth="1"/>
    <col min="2" max="6" width="11.5" customWidth="1"/>
    <col min="7" max="7" width="13.5" customWidth="1"/>
    <col min="8" max="9" width="11.5" customWidth="1"/>
    <col min="10" max="15" width="11.5" customWidth="1" outlineLevel="1"/>
    <col min="16" max="16" width="11.33203125" customWidth="1" outlineLevel="1"/>
    <col min="17" max="17" width="12.5" customWidth="1" outlineLevel="1"/>
    <col min="18" max="21" width="10.5" customWidth="1" outlineLevel="1"/>
    <col min="22" max="22" width="12.5" customWidth="1"/>
    <col min="23" max="35" width="10.5" customWidth="1"/>
    <col min="36" max="38" width="9.1640625" customWidth="1"/>
  </cols>
  <sheetData>
    <row r="1" spans="1:18" ht="12.75" customHeight="1" x14ac:dyDescent="0.2">
      <c r="A1" s="491" t="s">
        <v>208</v>
      </c>
      <c r="B1" s="10"/>
      <c r="C1" s="48"/>
      <c r="D1" s="48"/>
      <c r="E1" s="10"/>
      <c r="F1" s="10"/>
      <c r="G1" s="49"/>
      <c r="H1" s="49"/>
      <c r="I1" s="10"/>
      <c r="J1" s="50"/>
      <c r="K1" s="50"/>
      <c r="L1" s="50"/>
      <c r="M1" s="50"/>
      <c r="N1" s="50"/>
      <c r="O1" s="50"/>
      <c r="P1" s="50"/>
      <c r="Q1" s="50"/>
      <c r="R1" s="50"/>
    </row>
    <row r="2" spans="1:18" ht="12.75" customHeight="1" x14ac:dyDescent="0.2">
      <c r="A2" s="492" t="str">
        <f>+Historical!$A$1</f>
        <v>Draper Yoga</v>
      </c>
      <c r="B2" s="10"/>
      <c r="C2" s="48"/>
      <c r="D2" s="48"/>
      <c r="E2" s="10"/>
      <c r="F2" s="10"/>
      <c r="G2" s="49"/>
      <c r="H2" s="49"/>
      <c r="I2" s="10"/>
      <c r="J2" s="50"/>
      <c r="K2" s="50"/>
      <c r="L2" s="50"/>
      <c r="M2" s="50"/>
      <c r="N2" s="50"/>
      <c r="O2" s="50"/>
      <c r="P2" s="50"/>
      <c r="Q2" s="50"/>
      <c r="R2" s="50"/>
    </row>
    <row r="3" spans="1:18" ht="12.75" customHeight="1" x14ac:dyDescent="0.2">
      <c r="A3" s="30"/>
      <c r="B3" s="10"/>
      <c r="C3" s="48"/>
      <c r="D3" s="48"/>
      <c r="E3" s="10"/>
      <c r="F3" s="10"/>
      <c r="G3" s="49"/>
      <c r="H3" s="49"/>
      <c r="I3" s="10"/>
      <c r="J3" s="50"/>
      <c r="K3" s="50"/>
      <c r="L3" s="50"/>
      <c r="M3" s="50"/>
      <c r="N3" s="50"/>
      <c r="O3" s="50"/>
      <c r="P3" s="50"/>
      <c r="Q3" s="50"/>
      <c r="R3" s="50"/>
    </row>
    <row r="4" spans="1:18" ht="12.75" customHeight="1" x14ac:dyDescent="0.2">
      <c r="A4" s="554" t="s">
        <v>209</v>
      </c>
      <c r="B4" s="51"/>
      <c r="C4" s="52"/>
      <c r="D4" s="52"/>
      <c r="E4" s="48"/>
      <c r="F4" s="48"/>
      <c r="G4" s="10"/>
      <c r="H4" s="10"/>
      <c r="I4" s="49"/>
      <c r="J4" s="49"/>
      <c r="K4" s="49"/>
      <c r="L4" s="49"/>
      <c r="M4" s="10"/>
      <c r="N4" s="50"/>
      <c r="O4" s="50"/>
      <c r="P4" s="50"/>
      <c r="Q4" s="50"/>
      <c r="R4" s="50"/>
    </row>
    <row r="5" spans="1:18" ht="27" customHeight="1" x14ac:dyDescent="0.2">
      <c r="A5" s="555" t="s">
        <v>210</v>
      </c>
      <c r="B5" s="556" t="s">
        <v>211</v>
      </c>
      <c r="C5" s="557" t="s">
        <v>212</v>
      </c>
      <c r="D5" s="557" t="s">
        <v>213</v>
      </c>
      <c r="E5" s="558" t="s">
        <v>214</v>
      </c>
      <c r="F5" s="558" t="s">
        <v>215</v>
      </c>
      <c r="G5" s="559" t="s">
        <v>216</v>
      </c>
      <c r="H5" s="558" t="s">
        <v>217</v>
      </c>
      <c r="I5" s="558" t="s">
        <v>218</v>
      </c>
      <c r="J5" s="556" t="s">
        <v>219</v>
      </c>
      <c r="K5" s="560" t="s">
        <v>220</v>
      </c>
      <c r="L5" s="49"/>
      <c r="M5" s="1107" t="s">
        <v>221</v>
      </c>
      <c r="N5" s="1080"/>
      <c r="O5" s="1081"/>
      <c r="P5" s="562" t="s">
        <v>222</v>
      </c>
      <c r="Q5" s="563" t="s">
        <v>223</v>
      </c>
      <c r="R5" s="50"/>
    </row>
    <row r="6" spans="1:18" ht="12.75" customHeight="1" x14ac:dyDescent="0.2">
      <c r="A6" s="564" t="s">
        <v>224</v>
      </c>
      <c r="B6" s="565">
        <v>1</v>
      </c>
      <c r="C6" s="566" t="s">
        <v>225</v>
      </c>
      <c r="D6" s="565">
        <v>1</v>
      </c>
      <c r="E6" s="565">
        <v>1</v>
      </c>
      <c r="F6" s="567">
        <v>12</v>
      </c>
      <c r="G6" s="568">
        <v>60000</v>
      </c>
      <c r="H6" s="569"/>
      <c r="I6" s="570"/>
      <c r="J6" s="571">
        <v>0.05</v>
      </c>
      <c r="K6" s="572">
        <v>0.05</v>
      </c>
      <c r="L6" s="49"/>
      <c r="M6" s="573" t="s">
        <v>226</v>
      </c>
      <c r="N6" s="244"/>
      <c r="O6" s="244"/>
      <c r="P6" s="574">
        <v>142.80000000000001</v>
      </c>
      <c r="Q6" s="575">
        <v>6.2E-2</v>
      </c>
      <c r="R6" s="53"/>
    </row>
    <row r="7" spans="1:18" ht="12.75" customHeight="1" x14ac:dyDescent="0.2">
      <c r="A7" s="564" t="s">
        <v>227</v>
      </c>
      <c r="B7" s="576">
        <v>1</v>
      </c>
      <c r="C7" s="577" t="s">
        <v>225</v>
      </c>
      <c r="D7" s="576">
        <v>1</v>
      </c>
      <c r="E7" s="576">
        <v>1</v>
      </c>
      <c r="F7" s="578">
        <v>12</v>
      </c>
      <c r="G7" s="579">
        <v>40000</v>
      </c>
      <c r="H7" s="580"/>
      <c r="I7" s="581"/>
      <c r="J7" s="582">
        <v>0.05</v>
      </c>
      <c r="K7" s="583">
        <v>0.05</v>
      </c>
      <c r="L7" s="49"/>
      <c r="M7" s="584" t="s">
        <v>228</v>
      </c>
      <c r="N7" s="54"/>
      <c r="O7" s="54"/>
      <c r="P7" s="585"/>
      <c r="Q7" s="586">
        <v>1.4500000000000001E-2</v>
      </c>
      <c r="R7" s="55"/>
    </row>
    <row r="8" spans="1:18" ht="12.75" customHeight="1" x14ac:dyDescent="0.2">
      <c r="A8" s="564" t="s">
        <v>229</v>
      </c>
      <c r="B8" s="587">
        <v>2</v>
      </c>
      <c r="C8" s="588" t="s">
        <v>230</v>
      </c>
      <c r="D8" s="587">
        <v>1</v>
      </c>
      <c r="E8" s="587">
        <v>1</v>
      </c>
      <c r="F8" s="589">
        <v>12</v>
      </c>
      <c r="G8" s="590"/>
      <c r="H8" s="591">
        <v>20</v>
      </c>
      <c r="I8" s="587">
        <v>20</v>
      </c>
      <c r="J8" s="592">
        <v>0.05</v>
      </c>
      <c r="K8" s="593">
        <v>0.05</v>
      </c>
      <c r="L8" s="49"/>
      <c r="M8" s="573" t="s">
        <v>231</v>
      </c>
      <c r="N8" s="244"/>
      <c r="O8" s="244"/>
      <c r="P8" s="594">
        <v>7</v>
      </c>
      <c r="Q8" s="575">
        <v>0.06</v>
      </c>
      <c r="R8" s="56"/>
    </row>
    <row r="9" spans="1:18" ht="12.75" customHeight="1" x14ac:dyDescent="0.2">
      <c r="A9" s="564" t="s">
        <v>232</v>
      </c>
      <c r="B9" s="576">
        <v>1</v>
      </c>
      <c r="C9" s="577" t="s">
        <v>225</v>
      </c>
      <c r="D9" s="576">
        <v>1</v>
      </c>
      <c r="E9" s="576">
        <v>3</v>
      </c>
      <c r="F9" s="578">
        <v>9</v>
      </c>
      <c r="G9" s="579">
        <v>25000</v>
      </c>
      <c r="H9" s="580"/>
      <c r="I9" s="581"/>
      <c r="J9" s="582">
        <v>0.05</v>
      </c>
      <c r="K9" s="583">
        <v>0.05</v>
      </c>
      <c r="L9" s="49"/>
      <c r="M9" s="584" t="s">
        <v>233</v>
      </c>
      <c r="N9" s="54"/>
      <c r="O9" s="54"/>
      <c r="P9" s="595">
        <v>35</v>
      </c>
      <c r="Q9" s="586">
        <v>3.5000000000000003E-2</v>
      </c>
      <c r="R9" s="596" t="s">
        <v>234</v>
      </c>
    </row>
    <row r="10" spans="1:18" ht="12.75" customHeight="1" x14ac:dyDescent="0.2">
      <c r="A10" s="564" t="s">
        <v>235</v>
      </c>
      <c r="B10" s="597"/>
      <c r="C10" s="597"/>
      <c r="D10" s="597"/>
      <c r="E10" s="597"/>
      <c r="F10" s="597"/>
      <c r="G10" s="590"/>
      <c r="H10" s="598"/>
      <c r="I10" s="597"/>
      <c r="J10" s="599"/>
      <c r="K10" s="600"/>
      <c r="L10" s="49"/>
      <c r="M10" s="573" t="s">
        <v>236</v>
      </c>
      <c r="N10" s="244"/>
      <c r="O10" s="244"/>
      <c r="P10" s="601"/>
      <c r="Q10" s="575">
        <v>1.2E-2</v>
      </c>
      <c r="R10" s="596" t="s">
        <v>237</v>
      </c>
    </row>
    <row r="11" spans="1:18" ht="12.75" customHeight="1" x14ac:dyDescent="0.2">
      <c r="A11" s="564" t="s">
        <v>238</v>
      </c>
      <c r="B11" s="581"/>
      <c r="C11" s="581"/>
      <c r="D11" s="581"/>
      <c r="E11" s="581"/>
      <c r="F11" s="581"/>
      <c r="G11" s="602"/>
      <c r="H11" s="580"/>
      <c r="I11" s="581"/>
      <c r="J11" s="599"/>
      <c r="K11" s="600"/>
      <c r="L11" s="49"/>
      <c r="M11" s="584" t="s">
        <v>239</v>
      </c>
      <c r="N11" s="54"/>
      <c r="O11" s="54"/>
      <c r="P11" s="603"/>
      <c r="Q11" s="604"/>
      <c r="R11" s="596" t="s">
        <v>237</v>
      </c>
    </row>
    <row r="12" spans="1:18" ht="12.75" customHeight="1" x14ac:dyDescent="0.2">
      <c r="A12" s="564" t="s">
        <v>240</v>
      </c>
      <c r="B12" s="597"/>
      <c r="C12" s="581"/>
      <c r="D12" s="581"/>
      <c r="E12" s="581"/>
      <c r="F12" s="581"/>
      <c r="G12" s="602"/>
      <c r="H12" s="580"/>
      <c r="I12" s="581"/>
      <c r="J12" s="599"/>
      <c r="K12" s="600"/>
      <c r="L12" s="49"/>
      <c r="M12" s="573" t="s">
        <v>241</v>
      </c>
      <c r="N12" s="244"/>
      <c r="O12" s="244"/>
      <c r="P12" s="601"/>
      <c r="Q12" s="593">
        <v>0.1</v>
      </c>
      <c r="R12" s="56"/>
    </row>
    <row r="13" spans="1:18" ht="12.75" customHeight="1" x14ac:dyDescent="0.2">
      <c r="A13" s="564" t="s">
        <v>242</v>
      </c>
      <c r="B13" s="581"/>
      <c r="C13" s="581"/>
      <c r="D13" s="581"/>
      <c r="E13" s="581"/>
      <c r="F13" s="581"/>
      <c r="G13" s="602"/>
      <c r="H13" s="580"/>
      <c r="I13" s="581"/>
      <c r="J13" s="599"/>
      <c r="K13" s="600"/>
      <c r="L13" s="49"/>
      <c r="M13" s="605" t="s">
        <v>243</v>
      </c>
      <c r="N13" s="245"/>
      <c r="O13" s="245"/>
      <c r="P13" s="606"/>
      <c r="Q13" s="607"/>
      <c r="R13" s="57"/>
    </row>
    <row r="14" spans="1:18" ht="12.75" customHeight="1" x14ac:dyDescent="0.2">
      <c r="A14" s="564" t="s">
        <v>244</v>
      </c>
      <c r="B14" s="597"/>
      <c r="C14" s="597"/>
      <c r="D14" s="597"/>
      <c r="E14" s="597"/>
      <c r="F14" s="597"/>
      <c r="G14" s="590"/>
      <c r="H14" s="608"/>
      <c r="I14" s="597"/>
      <c r="J14" s="599"/>
      <c r="K14" s="600"/>
      <c r="L14" s="49"/>
      <c r="M14" s="609" t="s">
        <v>245</v>
      </c>
      <c r="N14" s="610"/>
      <c r="O14" s="610"/>
      <c r="P14" s="611"/>
      <c r="Q14" s="612">
        <f>SUM(Q6:Q13)</f>
        <v>0.28350000000000003</v>
      </c>
      <c r="R14" s="50"/>
    </row>
    <row r="15" spans="1:18" ht="12.75" customHeight="1" x14ac:dyDescent="0.2">
      <c r="A15" s="58"/>
      <c r="B15" s="613">
        <f>SUM(B6:B14)</f>
        <v>5</v>
      </c>
      <c r="C15" s="58"/>
      <c r="D15" s="59"/>
      <c r="E15" s="59"/>
      <c r="F15" s="59"/>
      <c r="G15" s="60"/>
      <c r="H15" s="61"/>
      <c r="I15" s="59"/>
      <c r="J15" s="62"/>
      <c r="K15" s="62"/>
      <c r="L15" s="50"/>
      <c r="M15" s="50"/>
      <c r="N15" s="50"/>
      <c r="O15" s="50"/>
      <c r="P15" s="50"/>
      <c r="Q15" s="50"/>
      <c r="R15" s="50"/>
    </row>
    <row r="16" spans="1:18" ht="12.75" customHeight="1" x14ac:dyDescent="0.2">
      <c r="A16" s="614" t="s">
        <v>246</v>
      </c>
      <c r="B16" s="49"/>
      <c r="C16" s="49"/>
      <c r="D16" s="10"/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1105" t="s">
        <v>247</v>
      </c>
      <c r="P16" s="1094"/>
      <c r="Q16" s="1095"/>
      <c r="R16" s="50"/>
    </row>
    <row r="17" spans="1:18" ht="12.75" customHeight="1" x14ac:dyDescent="0.2">
      <c r="A17" s="561" t="s">
        <v>210</v>
      </c>
      <c r="B17" s="615" t="s">
        <v>248</v>
      </c>
      <c r="C17" s="616">
        <f>+'P&amp;L-Revenues'!B4</f>
        <v>44771</v>
      </c>
      <c r="D17" s="617">
        <f>+'P&amp;L-Revenues'!C4</f>
        <v>44799</v>
      </c>
      <c r="E17" s="617">
        <f>+'P&amp;L-Revenues'!D4</f>
        <v>44827</v>
      </c>
      <c r="F17" s="617">
        <f>+'P&amp;L-Revenues'!E4</f>
        <v>44855</v>
      </c>
      <c r="G17" s="617">
        <f>+'P&amp;L-Revenues'!F4</f>
        <v>44883</v>
      </c>
      <c r="H17" s="617">
        <f>+'P&amp;L-Revenues'!G4</f>
        <v>44911</v>
      </c>
      <c r="I17" s="617">
        <f>+'P&amp;L-Revenues'!H4</f>
        <v>44939</v>
      </c>
      <c r="J17" s="617">
        <f>+'P&amp;L-Revenues'!I4</f>
        <v>44967</v>
      </c>
      <c r="K17" s="617">
        <f>+'P&amp;L-Revenues'!J4</f>
        <v>44995</v>
      </c>
      <c r="L17" s="617">
        <f>+'P&amp;L-Revenues'!K4</f>
        <v>45023</v>
      </c>
      <c r="M17" s="617">
        <f>+'P&amp;L-Revenues'!L4</f>
        <v>45051</v>
      </c>
      <c r="N17" s="618">
        <f>+'P&amp;L-Revenues'!M4</f>
        <v>45079</v>
      </c>
      <c r="O17" s="619">
        <f>+'P&amp;L-Revenues'!N4</f>
        <v>45079</v>
      </c>
      <c r="P17" s="619">
        <f>+'P&amp;L-Revenues'!P4</f>
        <v>45444</v>
      </c>
      <c r="Q17" s="620">
        <f>+'P&amp;L-Revenues'!R4</f>
        <v>45809</v>
      </c>
      <c r="R17" s="50"/>
    </row>
    <row r="18" spans="1:18" ht="12.75" customHeight="1" x14ac:dyDescent="0.2">
      <c r="A18" s="621" t="str">
        <f t="shared" ref="A18:A26" si="0">+A6</f>
        <v>Owner/Head Instructor</v>
      </c>
      <c r="B18" s="622">
        <f>+IF(C6="FT",G6/12,(H6*I6*4.3/1000))*B6</f>
        <v>5000</v>
      </c>
      <c r="C18" s="623">
        <f t="shared" ref="C18:C26" si="1">+IF($D6=1,IF($E6=1,B18,""),"")</f>
        <v>5000</v>
      </c>
      <c r="D18" s="624">
        <f>+IF($D6=1,IF($E6=2,$B18,IF(C18="","",IF(COUNT($C18:C18)&lt;$F6,$B18,""))),"")</f>
        <v>5000</v>
      </c>
      <c r="E18" s="624">
        <f>+IF($D6=1,IF($E6=3,$B18,IF(D18="","",IF(COUNT($C18:D18)&lt;$F6,$B18,""))),"")</f>
        <v>5000</v>
      </c>
      <c r="F18" s="624">
        <f>+IF($D6=1,IF($E6=4,$B18,IF(E18="","",IF(COUNT($C18:E18)&lt;$F6,$B18,""))),"")</f>
        <v>5000</v>
      </c>
      <c r="G18" s="624">
        <f>+IF($D6=1,IF($E6=5,$B18,IF(F18="","",IF(COUNT($C18:F18)&lt;$F6,$B18,""))),"")</f>
        <v>5000</v>
      </c>
      <c r="H18" s="624">
        <f>+IF($D6=1,IF($E6=6,$B18,IF(G18="","",IF(COUNT($C18:G18)&lt;$F6,$B18,""))),"")</f>
        <v>5000</v>
      </c>
      <c r="I18" s="624">
        <f>+IF($D6=1,IF($E6=7,$B18,IF(H18="","",IF(COUNT($C18:H18)&lt;$F6,$B18,""))),"")</f>
        <v>5000</v>
      </c>
      <c r="J18" s="624">
        <f>+IF($D6=1,IF($E6=8,$B18,IF(I18="","",IF(COUNT($C18:I18)&lt;$F6,$B18,""))),"")</f>
        <v>5000</v>
      </c>
      <c r="K18" s="624">
        <f>+IF($D6=1,IF($E6=9,$B18,IF(J18="","",IF(COUNT($C18:J18)&lt;$F6,$B18,""))),"")</f>
        <v>5000</v>
      </c>
      <c r="L18" s="624">
        <f>+IF($D6=1,IF($E6=10,$B18,IF(K18="","",IF(COUNT($C18:K18)&lt;$F6,$B18,""))),"")</f>
        <v>5000</v>
      </c>
      <c r="M18" s="624">
        <f>+IF($D6=1,IF($E6=11,$B18,IF(L18="","",IF(COUNT($C18:L18)&lt;$F6,$B18,""))),"")</f>
        <v>5000</v>
      </c>
      <c r="N18" s="625">
        <f>+IF($D6=1,IF($E6=12,$B18,IF(M18="","",IF(COUNT($C18:M18)&lt;$F6,$B18,""))),"")</f>
        <v>5000</v>
      </c>
      <c r="O18" s="626">
        <f t="shared" ref="O18:O26" si="2">SUM(C18:N18)</f>
        <v>60000</v>
      </c>
      <c r="P18" s="627">
        <f t="shared" ref="P18:P26" si="3">IF(O18&gt;0,$B18*(1+J6)*F6,IF($D6=2,B18*F6,""))</f>
        <v>63000</v>
      </c>
      <c r="Q18" s="628">
        <f t="shared" ref="Q18:Q26" si="4">IF($D6=3,B18*F6,IF(O18&gt;0,$P18*(1+K6),IF(P18&gt;0,B18*(1+K6)*F6,"")))</f>
        <v>66150</v>
      </c>
      <c r="R18" s="50"/>
    </row>
    <row r="19" spans="1:18" ht="12.75" customHeight="1" x14ac:dyDescent="0.2">
      <c r="A19" s="629" t="str">
        <f t="shared" si="0"/>
        <v>Office manager</v>
      </c>
      <c r="B19" s="622">
        <f>+IF(C7="FT",G7/12,(H7*I7*4.3/1000))*B7</f>
        <v>3333.3333333333335</v>
      </c>
      <c r="C19" s="623">
        <f t="shared" si="1"/>
        <v>3333.3333333333335</v>
      </c>
      <c r="D19" s="624">
        <f>+IF($D7=1,IF($E7=2,$B19,IF(C19="","",IF(COUNT($C19:C19)&lt;$F7,$B19,""))),"")</f>
        <v>3333.3333333333335</v>
      </c>
      <c r="E19" s="624">
        <f>+IF($D7=1,IF($E7=3,$B19,IF(D19="","",IF(COUNT($C19:D19)&lt;$F7,$B19,""))),"")</f>
        <v>3333.3333333333335</v>
      </c>
      <c r="F19" s="624">
        <f>+IF($D7=1,IF($E7=4,$B19,IF(E19="","",IF(COUNT($C19:E19)&lt;$F7,$B19,""))),"")</f>
        <v>3333.3333333333335</v>
      </c>
      <c r="G19" s="624">
        <f>+IF($D7=1,IF($E7=5,$B19,IF(F19="","",IF(COUNT($C19:F19)&lt;$F7,$B19,""))),"")</f>
        <v>3333.3333333333335</v>
      </c>
      <c r="H19" s="624">
        <f>+IF($D7=1,IF($E7=6,$B19,IF(G19="","",IF(COUNT($C19:G19)&lt;$F7,$B19,""))),"")</f>
        <v>3333.3333333333335</v>
      </c>
      <c r="I19" s="624">
        <f>+IF($D7=1,IF($E7=7,$B19,IF(H19="","",IF(COUNT($C19:H19)&lt;$F7,$B19,""))),"")</f>
        <v>3333.3333333333335</v>
      </c>
      <c r="J19" s="624">
        <f>+IF($D7=1,IF($E7=8,$B19,IF(I19="","",IF(COUNT($C19:I19)&lt;$F7,$B19,""))),"")</f>
        <v>3333.3333333333335</v>
      </c>
      <c r="K19" s="624">
        <f>+IF($D7=1,IF($E7=9,$B19,IF(J19="","",IF(COUNT($C19:J19)&lt;$F7,$B19,""))),"")</f>
        <v>3333.3333333333335</v>
      </c>
      <c r="L19" s="624">
        <f>+IF($D7=1,IF($E7=10,$B19,IF(K19="","",IF(COUNT($C19:K19)&lt;$F7,$B19,""))),"")</f>
        <v>3333.3333333333335</v>
      </c>
      <c r="M19" s="624">
        <f>+IF($D7=1,IF($E7=11,$B19,IF(L19="","",IF(COUNT($C19:L19)&lt;$F7,$B19,""))),"")</f>
        <v>3333.3333333333335</v>
      </c>
      <c r="N19" s="625">
        <f>+IF($D7=1,IF($E7=12,$B19,IF(M19="","",IF(COUNT($C19:M19)&lt;$F7,$B19,""))),"")</f>
        <v>3333.3333333333335</v>
      </c>
      <c r="O19" s="630">
        <f t="shared" si="2"/>
        <v>40000</v>
      </c>
      <c r="P19" s="631">
        <f t="shared" si="3"/>
        <v>42000.000000000007</v>
      </c>
      <c r="Q19" s="632">
        <f t="shared" si="4"/>
        <v>44100.000000000007</v>
      </c>
      <c r="R19" s="50"/>
    </row>
    <row r="20" spans="1:18" ht="12.75" customHeight="1" x14ac:dyDescent="0.2">
      <c r="A20" s="629" t="str">
        <f t="shared" si="0"/>
        <v>Studio managers</v>
      </c>
      <c r="B20" s="622">
        <f>+IF(C8="FT",G8/12,(H8*I8*4.3))*B8</f>
        <v>3440</v>
      </c>
      <c r="C20" s="633">
        <f t="shared" si="1"/>
        <v>3440</v>
      </c>
      <c r="D20" s="634">
        <f>+IF($D8=1,IF($E8=2,$B20,IF(C20="","",IF(COUNT($C20:C20)&lt;$F8,$B20,""))),"")</f>
        <v>3440</v>
      </c>
      <c r="E20" s="634">
        <f>+IF($D8=1,IF($E8=3,$B20,IF(D20="","",IF(COUNT($C20:D20)&lt;$F8,$B20,""))),"")</f>
        <v>3440</v>
      </c>
      <c r="F20" s="634">
        <f>+IF($D8=1,IF($E8=4,$B20,IF(E20="","",IF(COUNT($C20:E20)&lt;$F8,$B20,""))),"")</f>
        <v>3440</v>
      </c>
      <c r="G20" s="634">
        <f>+IF($D8=1,IF($E8=5,$B20,IF(F20="","",IF(COUNT($C20:F20)&lt;$F8,$B20,""))),"")</f>
        <v>3440</v>
      </c>
      <c r="H20" s="634">
        <f>+IF($D8=1,IF($E8=6,$B20,IF(G20="","",IF(COUNT($C20:G20)&lt;$F8,$B20,""))),"")</f>
        <v>3440</v>
      </c>
      <c r="I20" s="634">
        <f>+IF($D8=1,IF($E8=7,$B20,IF(H20="","",IF(COUNT($C20:H20)&lt;$F8,$B20,""))),"")</f>
        <v>3440</v>
      </c>
      <c r="J20" s="634">
        <f>+IF($D8=1,IF($E8=8,$B20,IF(I20="","",IF(COUNT($C20:I20)&lt;$F8,$B20,""))),"")</f>
        <v>3440</v>
      </c>
      <c r="K20" s="634">
        <f>+IF($D8=1,IF($E8=9,$B20,IF(J20="","",IF(COUNT($C20:J20)&lt;$F8,$B20,""))),"")</f>
        <v>3440</v>
      </c>
      <c r="L20" s="634">
        <f>+IF($D8=1,IF($E8=10,$B20,IF(K20="","",IF(COUNT($C20:K20)&lt;$F8,$B20,""))),"")</f>
        <v>3440</v>
      </c>
      <c r="M20" s="634">
        <f>+IF($D8=1,IF($E8=11,$B20,IF(L20="","",IF(COUNT($C20:L20)&lt;$F8,$B20,""))),"")</f>
        <v>3440</v>
      </c>
      <c r="N20" s="635">
        <f>+IF($D8=1,IF($E8=12,$B20,IF(M20="","",IF(COUNT($C20:M20)&lt;$F8,$B20,""))),"")</f>
        <v>3440</v>
      </c>
      <c r="O20" s="630">
        <f t="shared" si="2"/>
        <v>41280</v>
      </c>
      <c r="P20" s="631">
        <f t="shared" si="3"/>
        <v>43344</v>
      </c>
      <c r="Q20" s="632">
        <f t="shared" si="4"/>
        <v>45511.200000000004</v>
      </c>
      <c r="R20" s="50"/>
    </row>
    <row r="21" spans="1:18" ht="12.75" customHeight="1" x14ac:dyDescent="0.2">
      <c r="A21" s="629" t="str">
        <f t="shared" si="0"/>
        <v>Front desk</v>
      </c>
      <c r="B21" s="622">
        <f>+IF(C9="FT",G9/12,(H9*I9*4.3))*B9</f>
        <v>2083.3333333333335</v>
      </c>
      <c r="C21" s="636" t="str">
        <f t="shared" si="1"/>
        <v/>
      </c>
      <c r="D21" s="637" t="str">
        <f>+IF($D9=1,IF($E9=2,$B21,IF(C21="","",IF(COUNT($C21:C21)&lt;$F9,$B21,""))),"")</f>
        <v/>
      </c>
      <c r="E21" s="634">
        <f>+IF($D9=1,IF($E9=3,$B21,IF(D21="","",IF(COUNT($C21:D21)&lt;$F9,$B21,""))),"")</f>
        <v>2083.3333333333335</v>
      </c>
      <c r="F21" s="634">
        <f>+IF($D9=1,IF($E9=4,$B21,IF(E21="","",IF(COUNT($C21:E21)&lt;$F9,$B21,""))),"")</f>
        <v>2083.3333333333335</v>
      </c>
      <c r="G21" s="634">
        <f>+IF($D9=1,IF($E9=5,$B21,IF(F21="","",IF(COUNT($C21:F21)&lt;$F9,$B21,""))),"")</f>
        <v>2083.3333333333335</v>
      </c>
      <c r="H21" s="634">
        <f>+IF($D9=1,IF($E9=6,$B21,IF(G21="","",IF(COUNT($C21:G21)&lt;$F9,$B21,""))),"")</f>
        <v>2083.3333333333335</v>
      </c>
      <c r="I21" s="634">
        <f>+IF($D9=1,IF($E9=7,$B21,IF(H21="","",IF(COUNT($C21:H21)&lt;$F9,$B21,""))),"")</f>
        <v>2083.3333333333335</v>
      </c>
      <c r="J21" s="634">
        <f>+IF($D9=1,IF($E9=8,$B21,IF(I21="","",IF(COUNT($C21:I21)&lt;$F9,$B21,""))),"")</f>
        <v>2083.3333333333335</v>
      </c>
      <c r="K21" s="634">
        <f>+IF($D9=1,IF($E9=9,$B21,IF(J21="","",IF(COUNT($C21:J21)&lt;$F9,$B21,""))),"")</f>
        <v>2083.3333333333335</v>
      </c>
      <c r="L21" s="634">
        <f>+IF($D9=1,IF($E9=10,$B21,IF(K21="","",IF(COUNT($C21:K21)&lt;$F9,$B21,""))),"")</f>
        <v>2083.3333333333335</v>
      </c>
      <c r="M21" s="634">
        <f>+IF($D9=1,IF($E9=11,$B21,IF(L21="","",IF(COUNT($C21:L21)&lt;$F9,$B21,""))),"")</f>
        <v>2083.3333333333335</v>
      </c>
      <c r="N21" s="634">
        <f>+B21</f>
        <v>2083.3333333333335</v>
      </c>
      <c r="O21" s="630">
        <f t="shared" si="2"/>
        <v>20833.333333333332</v>
      </c>
      <c r="P21" s="631">
        <f t="shared" si="3"/>
        <v>19687.500000000004</v>
      </c>
      <c r="Q21" s="632">
        <f t="shared" si="4"/>
        <v>20671.875000000004</v>
      </c>
      <c r="R21" s="50"/>
    </row>
    <row r="22" spans="1:18" ht="12.75" customHeight="1" x14ac:dyDescent="0.2">
      <c r="A22" s="629" t="str">
        <f t="shared" si="0"/>
        <v>Title 5</v>
      </c>
      <c r="B22" s="622">
        <f>+IF(C10="FT",G10/12,(H10*I10*4.3))*B10</f>
        <v>0</v>
      </c>
      <c r="C22" s="636" t="str">
        <f t="shared" si="1"/>
        <v/>
      </c>
      <c r="D22" s="637" t="str">
        <f>+IF($D10=1,IF($E10=2,$B22,IF(C22="","",IF(COUNT($C22:C22)&lt;$F10,$B22,""))),"")</f>
        <v/>
      </c>
      <c r="E22" s="637" t="str">
        <f>+IF($D10=1,IF($E10=3,$B22,IF(D22="","",IF(COUNT($C22:D22)&lt;$F10,$B22,""))),"")</f>
        <v/>
      </c>
      <c r="F22" s="637" t="str">
        <f>+IF($D10=1,IF($E10=4,$B22,IF(E22="","",IF(COUNT($C22:E22)&lt;$F10,$B22,""))),"")</f>
        <v/>
      </c>
      <c r="G22" s="637" t="str">
        <f>+IF($D10=1,IF($E10=5,$B22,IF(F22="","",IF(COUNT($C22:F22)&lt;$F10,$B22,""))),"")</f>
        <v/>
      </c>
      <c r="H22" s="637" t="str">
        <f>+IF($D10=1,IF($E10=6,$B22,IF(G22="","",IF(COUNT($C22:G22)&lt;$F10,$B22,""))),"")</f>
        <v/>
      </c>
      <c r="I22" s="637" t="str">
        <f>+IF($D10=1,IF($E10=7,$B22,IF(H22="","",IF(COUNT($C22:H22)&lt;$F10,$B22,""))),"")</f>
        <v/>
      </c>
      <c r="J22" s="637" t="str">
        <f>+IF($D10=1,IF($E10=8,$B22,IF(I22="","",IF(COUNT($C22:I22)&lt;$F10,$B22,""))),"")</f>
        <v/>
      </c>
      <c r="K22" s="637" t="str">
        <f>+IF($D10=1,IF($E10=9,$B22,IF(J22="","",IF(COUNT($C22:J22)&lt;$F10,$B22,""))),"")</f>
        <v/>
      </c>
      <c r="L22" s="637" t="str">
        <f>+IF($D10=1,IF($E10=10,$B22,IF(K22="","",IF(COUNT($C22:K22)&lt;$F10,$B22,""))),"")</f>
        <v/>
      </c>
      <c r="M22" s="637" t="str">
        <f>+IF($D10=1,IF($E10=11,$B22,IF(L22="","",IF(COUNT($C22:L22)&lt;$F10,$B22,""))),"")</f>
        <v/>
      </c>
      <c r="N22" s="638" t="str">
        <f>+IF($D10=1,IF($E10=12,$B22,IF(M22="","",IF(COUNT($C22:M22)&lt;$F10,$B22,""))),"")</f>
        <v/>
      </c>
      <c r="O22" s="630">
        <f t="shared" si="2"/>
        <v>0</v>
      </c>
      <c r="P22" s="639" t="str">
        <f t="shared" si="3"/>
        <v/>
      </c>
      <c r="Q22" s="632">
        <f t="shared" si="4"/>
        <v>0</v>
      </c>
      <c r="R22" s="50"/>
    </row>
    <row r="23" spans="1:18" ht="12.75" customHeight="1" x14ac:dyDescent="0.2">
      <c r="A23" s="629" t="str">
        <f t="shared" si="0"/>
        <v>Title 6</v>
      </c>
      <c r="B23" s="622">
        <f>+(IF(C11="FT",G11/12,(H11*I11*4.3)))*B11</f>
        <v>0</v>
      </c>
      <c r="C23" s="636" t="str">
        <f t="shared" si="1"/>
        <v/>
      </c>
      <c r="D23" s="637" t="str">
        <f>+IF($D11=1,IF($E11=2,$B23,IF(C23="","",IF(COUNT($C23:C23)&lt;$F11,$B23,""))),"")</f>
        <v/>
      </c>
      <c r="E23" s="637" t="str">
        <f>+IF($D11=1,IF($E11=3,$B23,IF(D23="","",IF(COUNT($C23:D23)&lt;$F11,$B23,""))),"")</f>
        <v/>
      </c>
      <c r="F23" s="637" t="str">
        <f>+IF($D11=1,IF($E11=4,$B23,IF(E23="","",IF(COUNT($C23:E23)&lt;$F11,$B23,""))),"")</f>
        <v/>
      </c>
      <c r="G23" s="637" t="str">
        <f>+IF($D11=1,IF($E11=5,$B23,IF(F23="","",IF(COUNT($C23:F23)&lt;$F11,$B23,""))),"")</f>
        <v/>
      </c>
      <c r="H23" s="637" t="str">
        <f>+IF($D11=1,IF($E11=6,$B23,IF(G23="","",IF(COUNT($C23:G23)&lt;$F11,$B23,""))),"")</f>
        <v/>
      </c>
      <c r="I23" s="637" t="str">
        <f>+IF($D11=1,IF($E11=7,$B23,IF(H23="","",IF(COUNT($C23:H23)&lt;$F11,$B23,""))),"")</f>
        <v/>
      </c>
      <c r="J23" s="637" t="str">
        <f>+IF($D11=1,IF($E11=8,$B23,IF(I23="","",IF(COUNT($C23:I23)&lt;$F11,$B23,""))),"")</f>
        <v/>
      </c>
      <c r="K23" s="637" t="str">
        <f>+IF($D11=1,IF($E11=9,$B23,IF(J23="","",IF(COUNT($C23:J23)&lt;$F11,$B23,""))),"")</f>
        <v/>
      </c>
      <c r="L23" s="637" t="str">
        <f>+IF($D11=1,IF($E11=10,$B23,IF(K23="","",IF(COUNT($C23:K23)&lt;$F11,$B23,""))),"")</f>
        <v/>
      </c>
      <c r="M23" s="637" t="str">
        <f>+IF($D11=1,IF($E11=11,$B23,IF(L23="","",IF(COUNT($C23:L23)&lt;$F11,$B23,""))),"")</f>
        <v/>
      </c>
      <c r="N23" s="638" t="str">
        <f>+IF($D11=1,IF($E11=12,$B23,IF(M23="","",IF(COUNT($C23:M23)&lt;$F11,$B23,""))),"")</f>
        <v/>
      </c>
      <c r="O23" s="630">
        <f t="shared" si="2"/>
        <v>0</v>
      </c>
      <c r="P23" s="639" t="str">
        <f t="shared" si="3"/>
        <v/>
      </c>
      <c r="Q23" s="632">
        <f t="shared" si="4"/>
        <v>0</v>
      </c>
      <c r="R23" s="50"/>
    </row>
    <row r="24" spans="1:18" ht="12.75" customHeight="1" x14ac:dyDescent="0.2">
      <c r="A24" s="629" t="str">
        <f t="shared" si="0"/>
        <v>Title 7</v>
      </c>
      <c r="B24" s="622">
        <f>+IF(C12="FT",G12/12,(H12*I12*4.3))*B12</f>
        <v>0</v>
      </c>
      <c r="C24" s="636" t="str">
        <f t="shared" si="1"/>
        <v/>
      </c>
      <c r="D24" s="637" t="str">
        <f>+IF($D12=1,IF($E12=2,$B24,IF(C24="","",IF(COUNT($C24:C24)&lt;$F12,$B24,""))),"")</f>
        <v/>
      </c>
      <c r="E24" s="637" t="str">
        <f>+IF($D12=1,IF($E12=3,$B24,IF(D24="","",IF(COUNT($C24:D24)&lt;$F12,$B24,""))),"")</f>
        <v/>
      </c>
      <c r="F24" s="637" t="str">
        <f>+IF($D12=1,IF($E12=4,$B24,IF(E24="","",IF(COUNT($C24:E24)&lt;$F12,$B24,""))),"")</f>
        <v/>
      </c>
      <c r="G24" s="637" t="str">
        <f>+IF($D12=1,IF($E12=5,$B24,IF(F24="","",IF(COUNT($C24:F24)&lt;$F12,$B24,""))),"")</f>
        <v/>
      </c>
      <c r="H24" s="637" t="str">
        <f>+IF($D12=1,IF($E12=6,$B24,IF(G24="","",IF(COUNT($C24:G24)&lt;$F12,$B24,""))),"")</f>
        <v/>
      </c>
      <c r="I24" s="637" t="str">
        <f>+IF($D12=1,IF($E12=7,$B24,IF(H24="","",IF(COUNT($C24:H24)&lt;$F12,$B24,""))),"")</f>
        <v/>
      </c>
      <c r="J24" s="637" t="str">
        <f>+IF($D12=1,IF($E12=8,$B24,IF(I24="","",IF(COUNT($C24:I24)&lt;$F12,$B24,""))),"")</f>
        <v/>
      </c>
      <c r="K24" s="637" t="str">
        <f>+IF($D12=1,IF($E12=9,$B24,IF(J24="","",IF(COUNT($C24:J24)&lt;$F12,$B24,""))),"")</f>
        <v/>
      </c>
      <c r="L24" s="637" t="str">
        <f>+IF($D12=1,IF($E12=10,$B24,IF(K24="","",IF(COUNT($C24:K24)&lt;$F12,$B24,""))),"")</f>
        <v/>
      </c>
      <c r="M24" s="637" t="str">
        <f>+IF($D12=1,IF($E12=11,$B24,IF(L24="","",IF(COUNT($C24:L24)&lt;$F12,$B24,""))),"")</f>
        <v/>
      </c>
      <c r="N24" s="638" t="str">
        <f>+IF($D12=1,IF($E12=12,$B24,IF(M24="","",IF(COUNT($C24:M24)&lt;$F12,$B24,""))),"")</f>
        <v/>
      </c>
      <c r="O24" s="630">
        <f t="shared" si="2"/>
        <v>0</v>
      </c>
      <c r="P24" s="639" t="str">
        <f t="shared" si="3"/>
        <v/>
      </c>
      <c r="Q24" s="632">
        <f t="shared" si="4"/>
        <v>0</v>
      </c>
      <c r="R24" s="50"/>
    </row>
    <row r="25" spans="1:18" ht="12.75" customHeight="1" x14ac:dyDescent="0.2">
      <c r="A25" s="629" t="str">
        <f t="shared" si="0"/>
        <v>Title 8</v>
      </c>
      <c r="B25" s="622">
        <f>+IF(C13="FT",G13/12,(H13*I13*4.3))*B13</f>
        <v>0</v>
      </c>
      <c r="C25" s="636" t="str">
        <f t="shared" si="1"/>
        <v/>
      </c>
      <c r="D25" s="637" t="str">
        <f>+IF($D13=1,IF($E13=2,$B25,IF(C25="","",IF(COUNT($C25:C25)&lt;$F13,$B25,""))),"")</f>
        <v/>
      </c>
      <c r="E25" s="637" t="str">
        <f>+IF($D13=1,IF($E13=3,$B25,IF(D25="","",IF(COUNT($C25:D25)&lt;$F13,$B25,""))),"")</f>
        <v/>
      </c>
      <c r="F25" s="637" t="str">
        <f>+IF($D13=1,IF($E13=4,$B25,IF(E25="","",IF(COUNT($C25:E25)&lt;$F13,$B25,""))),"")</f>
        <v/>
      </c>
      <c r="G25" s="637" t="str">
        <f>+IF($D13=1,IF($E13=5,$B25,IF(F25="","",IF(COUNT($C25:F25)&lt;$F13,$B25,""))),"")</f>
        <v/>
      </c>
      <c r="H25" s="637" t="str">
        <f>+IF($D13=1,IF($E13=6,$B25,IF(G25="","",IF(COUNT($C25:G25)&lt;$F13,$B25,""))),"")</f>
        <v/>
      </c>
      <c r="I25" s="637" t="str">
        <f>+IF($D13=1,IF($E13=7,$B25,IF(H25="","",IF(COUNT($C25:H25)&lt;$F13,$B25,""))),"")</f>
        <v/>
      </c>
      <c r="J25" s="637" t="str">
        <f>+IF($D13=1,IF($E13=8,$B25,IF(I25="","",IF(COUNT($C25:I25)&lt;$F13,$B25,""))),"")</f>
        <v/>
      </c>
      <c r="K25" s="637" t="str">
        <f>+IF($D13=1,IF($E13=9,$B25,IF(J25="","",IF(COUNT($C25:J25)&lt;$F13,$B25,""))),"")</f>
        <v/>
      </c>
      <c r="L25" s="637" t="str">
        <f>+IF($D13=1,IF($E13=10,$B25,IF(K25="","",IF(COUNT($C25:K25)&lt;$F13,$B25,""))),"")</f>
        <v/>
      </c>
      <c r="M25" s="637" t="str">
        <f>+IF($D13=1,IF($E13=11,$B25,IF(L25="","",IF(COUNT($C25:L25)&lt;$F13,$B25,""))),"")</f>
        <v/>
      </c>
      <c r="N25" s="638" t="str">
        <f>+IF($D13=1,IF($E13=12,$B25,IF(M25="","",IF(COUNT($C25:M25)&lt;$F13,$B25,""))),"")</f>
        <v/>
      </c>
      <c r="O25" s="630">
        <f t="shared" si="2"/>
        <v>0</v>
      </c>
      <c r="P25" s="639" t="str">
        <f t="shared" si="3"/>
        <v/>
      </c>
      <c r="Q25" s="632">
        <f t="shared" si="4"/>
        <v>0</v>
      </c>
      <c r="R25" s="50"/>
    </row>
    <row r="26" spans="1:18" ht="12.75" customHeight="1" x14ac:dyDescent="0.2">
      <c r="A26" s="629" t="str">
        <f t="shared" si="0"/>
        <v>Title 9</v>
      </c>
      <c r="B26" s="622">
        <f>+IF(C14="FT",G14/12,(H14*I14*4.3))*B14</f>
        <v>0</v>
      </c>
      <c r="C26" s="636" t="str">
        <f t="shared" si="1"/>
        <v/>
      </c>
      <c r="D26" s="637" t="str">
        <f>+IF($D14=1,IF($E14=2,$B26,IF(C26="","",IF(COUNT($C26:C26)&lt;$F14,$B26,""))),"")</f>
        <v/>
      </c>
      <c r="E26" s="637" t="str">
        <f>+IF($D14=1,IF($E14=3,$B26,IF(D26="","",IF(COUNT($C26:D26)&lt;$F14,$B26,""))),"")</f>
        <v/>
      </c>
      <c r="F26" s="637" t="str">
        <f>+IF($D14=1,IF($E14=4,$B26,IF(E26="","",IF(COUNT($C26:E26)&lt;$F14,$B26,""))),"")</f>
        <v/>
      </c>
      <c r="G26" s="637" t="str">
        <f>+IF($D14=1,IF($E14=5,$B26,IF(F26="","",IF(COUNT($C26:F26)&lt;$F14,$B26,""))),"")</f>
        <v/>
      </c>
      <c r="H26" s="637" t="str">
        <f>+IF($D14=1,IF($E14=6,$B26,IF(G26="","",IF(COUNT($C26:G26)&lt;$F14,$B26,""))),"")</f>
        <v/>
      </c>
      <c r="I26" s="637" t="str">
        <f>+IF($D14=1,IF($E14=7,$B26,IF(H26="","",IF(COUNT($C26:H26)&lt;$F14,$B26,""))),"")</f>
        <v/>
      </c>
      <c r="J26" s="637" t="str">
        <f>+IF($D14=1,IF($E14=8,$B26,IF(I26="","",IF(COUNT($C26:I26)&lt;$F14,$B26,""))),"")</f>
        <v/>
      </c>
      <c r="K26" s="637" t="str">
        <f>+IF($D14=1,IF($E14=9,$B26,IF(J26="","",IF(COUNT($C26:J26)&lt;$F14,$B26,""))),"")</f>
        <v/>
      </c>
      <c r="L26" s="637" t="str">
        <f>+IF($D14=1,IF($E14=10,$B26,IF(K26="","",IF(COUNT($C26:K26)&lt;$F14,$B26,""))),"")</f>
        <v/>
      </c>
      <c r="M26" s="637" t="str">
        <f>+IF($D14=1,IF($E14=11,$B26,IF(L26="","",IF(COUNT($C26:L26)&lt;$F14,$B26,""))),"")</f>
        <v/>
      </c>
      <c r="N26" s="638" t="str">
        <f>+IF($D14=1,IF($E14=12,$B26,IF(M26="","",IF(COUNT($C26:M26)&lt;$F14,$B26,""))),"")</f>
        <v/>
      </c>
      <c r="O26" s="630">
        <f t="shared" si="2"/>
        <v>0</v>
      </c>
      <c r="P26" s="639" t="str">
        <f t="shared" si="3"/>
        <v/>
      </c>
      <c r="Q26" s="632">
        <f t="shared" si="4"/>
        <v>0</v>
      </c>
      <c r="R26" s="50"/>
    </row>
    <row r="27" spans="1:18" ht="22.5" customHeight="1" x14ac:dyDescent="0.2">
      <c r="A27" s="1108" t="s">
        <v>249</v>
      </c>
      <c r="B27" s="1083"/>
      <c r="C27" s="640">
        <f t="shared" ref="C27:Q27" si="5">SUM(C18:C26)</f>
        <v>11773.333333333334</v>
      </c>
      <c r="D27" s="641">
        <f t="shared" si="5"/>
        <v>11773.333333333334</v>
      </c>
      <c r="E27" s="641">
        <f t="shared" si="5"/>
        <v>13856.666666666668</v>
      </c>
      <c r="F27" s="641">
        <f t="shared" si="5"/>
        <v>13856.666666666668</v>
      </c>
      <c r="G27" s="641">
        <f t="shared" si="5"/>
        <v>13856.666666666668</v>
      </c>
      <c r="H27" s="641">
        <f t="shared" si="5"/>
        <v>13856.666666666668</v>
      </c>
      <c r="I27" s="641">
        <f t="shared" si="5"/>
        <v>13856.666666666668</v>
      </c>
      <c r="J27" s="641">
        <f t="shared" si="5"/>
        <v>13856.666666666668</v>
      </c>
      <c r="K27" s="641">
        <f t="shared" si="5"/>
        <v>13856.666666666668</v>
      </c>
      <c r="L27" s="641">
        <f t="shared" si="5"/>
        <v>13856.666666666668</v>
      </c>
      <c r="M27" s="641">
        <f t="shared" si="5"/>
        <v>13856.666666666668</v>
      </c>
      <c r="N27" s="642">
        <f t="shared" si="5"/>
        <v>13856.666666666668</v>
      </c>
      <c r="O27" s="643">
        <f t="shared" si="5"/>
        <v>162113.33333333334</v>
      </c>
      <c r="P27" s="643">
        <f t="shared" si="5"/>
        <v>168031.5</v>
      </c>
      <c r="Q27" s="643">
        <f t="shared" si="5"/>
        <v>176433.07500000001</v>
      </c>
      <c r="R27" s="50"/>
    </row>
    <row r="28" spans="1:18" ht="12.75" customHeight="1" x14ac:dyDescent="0.2">
      <c r="A28" s="50"/>
      <c r="B28" s="65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50"/>
      <c r="Q28" s="50"/>
      <c r="R28" s="50"/>
    </row>
    <row r="29" spans="1:18" ht="15.75" customHeight="1" x14ac:dyDescent="0.2">
      <c r="A29" s="1106" t="s">
        <v>250</v>
      </c>
      <c r="B29" s="1062"/>
      <c r="C29" s="1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1105" t="str">
        <f>+O16</f>
        <v>#REF!</v>
      </c>
      <c r="P29" s="1094"/>
      <c r="Q29" s="1095"/>
      <c r="R29" s="50"/>
    </row>
    <row r="30" spans="1:18" ht="12.75" customHeight="1" x14ac:dyDescent="0.2">
      <c r="A30" s="561" t="s">
        <v>210</v>
      </c>
      <c r="B30" s="644"/>
      <c r="C30" s="618">
        <f t="shared" ref="C30:N30" si="6">+C17</f>
        <v>44771</v>
      </c>
      <c r="D30" s="617">
        <f t="shared" si="6"/>
        <v>44799</v>
      </c>
      <c r="E30" s="617">
        <f t="shared" si="6"/>
        <v>44827</v>
      </c>
      <c r="F30" s="617">
        <f t="shared" si="6"/>
        <v>44855</v>
      </c>
      <c r="G30" s="617">
        <f t="shared" si="6"/>
        <v>44883</v>
      </c>
      <c r="H30" s="617">
        <f t="shared" si="6"/>
        <v>44911</v>
      </c>
      <c r="I30" s="617">
        <f t="shared" si="6"/>
        <v>44939</v>
      </c>
      <c r="J30" s="617">
        <f t="shared" si="6"/>
        <v>44967</v>
      </c>
      <c r="K30" s="617">
        <f t="shared" si="6"/>
        <v>44995</v>
      </c>
      <c r="L30" s="617">
        <f t="shared" si="6"/>
        <v>45023</v>
      </c>
      <c r="M30" s="617">
        <f t="shared" si="6"/>
        <v>45051</v>
      </c>
      <c r="N30" s="618">
        <f t="shared" si="6"/>
        <v>45079</v>
      </c>
      <c r="O30" s="616">
        <f>+O17</f>
        <v>45079</v>
      </c>
      <c r="P30" s="616">
        <f>+P17</f>
        <v>45444</v>
      </c>
      <c r="Q30" s="645">
        <f>+Q17</f>
        <v>45809</v>
      </c>
      <c r="R30" s="50"/>
    </row>
    <row r="31" spans="1:18" ht="12.75" customHeight="1" x14ac:dyDescent="0.2">
      <c r="A31" s="621" t="str">
        <f t="shared" ref="A31:A39" si="7">+A18</f>
        <v>Owner/Head Instructor</v>
      </c>
      <c r="B31" s="295"/>
      <c r="C31" s="634">
        <f>+IFERROR(IF(C18="","",IF($C6="FT",(C18*($Q$6+$Q$7+$Q$10+$Q$11+$Q$13)+IF(SUM($C18:C18)&lt;$P$8,C18*$Q$8,0)+IF(SUM($C18:C18)&lt;$P$9,C18*$Q$9,0)),(C18*($Q$6+$Q$7+$Q$10)+IF(SUM($C18:C18)&lt;$P$8,C18*$Q$8,0)+IF(SUM($C18:C18)&lt;$P$9,C18*$Q$9,"")))),"")</f>
        <v>442.5</v>
      </c>
      <c r="D31" s="634">
        <f>+IFERROR(IF(D18="","",IF($C6="FT",(D18*($Q$6+$Q$7+$Q$10+$Q$11+$Q$13)+IF(SUM($C18:D18)&lt;$P$8,D18*$Q$8,0)+IF(SUM($C18:D18)&lt;$P$9,D18*$Q$9,0)),(D18*($Q$6+$Q$7+$Q$10)+IF(SUM($C18:D18)&lt;$P$8,D18*$Q$8,0)+IF(SUM($C18:D18)&lt;$P$9,D18*$Q$9,"")))),"")</f>
        <v>442.5</v>
      </c>
      <c r="E31" s="634">
        <f>+IFERROR(IF(E18="","",IF($C6="FT",(E18*($Q$6+$Q$7+$Q$10+$Q$11+$Q$13)+IF(SUM($C18:E18)&lt;$P$8,E18*$Q$8,0)+IF(SUM($C18:E18)&lt;$P$9,E18*$Q$9,0)),(E18*($Q$6+$Q$7+$Q$10)+IF(SUM($C18:E18)&lt;$P$8,E18*$Q$8,0)+IF(SUM($C18:E18)&lt;$P$9,E18*$Q$9,"")))),"")</f>
        <v>442.5</v>
      </c>
      <c r="F31" s="634">
        <f>+IFERROR(IF(F18="","",IF($C6="FT",(F18*($Q$6+$Q$7+$Q$10+$Q$11+$Q$13)+IF(SUM($C18:F18)&lt;$P$8,F18*$Q$8,0)+IF(SUM($C18:F18)&lt;$P$9,F18*$Q$9,0)),(F18*($Q$6+$Q$7+$Q$10)+IF(SUM($C18:F18)&lt;$P$8,F18*$Q$8,0)+IF(SUM($C18:F18)&lt;$P$9,F18*$Q$9,"")))),"")</f>
        <v>442.5</v>
      </c>
      <c r="G31" s="634">
        <f>+IFERROR(IF(G18="","",IF($C6="FT",(G18*($Q$6+$Q$7+$Q$10+$Q$11+$Q$13)+IF(SUM($C18:G18)&lt;$P$8,G18*$Q$8,0)+IF(SUM($C18:G18)&lt;$P$9,G18*$Q$9,0)),(G18*($Q$6+$Q$7+$Q$10)+IF(SUM($C18:G18)&lt;$P$8,G18*$Q$8,0)+IF(SUM($C18:G18)&lt;$P$9,G18*$Q$9,"")))),"")</f>
        <v>442.5</v>
      </c>
      <c r="H31" s="634">
        <f>+IFERROR(IF(H18="","",IF($C6="FT",(H18*($Q$6+$Q$7+$Q$10+$Q$11+$Q$13)+IF(SUM($C18:H18)&lt;$P$8,H18*$Q$8,0)+IF(SUM($C18:H18)&lt;$P$9,H18*$Q$9,0)),(H18*($Q$6+$Q$7+$Q$10)+IF(SUM($C18:H18)&lt;$P$8,H18*$Q$8,0)+IF(SUM($C18:H18)&lt;$P$9,H18*$Q$9,"")))),"")</f>
        <v>442.5</v>
      </c>
      <c r="I31" s="634">
        <f>+IFERROR(IF(I18="","",IF($C6="FT",(I18*($Q$6+$Q$7+$Q$10+$Q$11+$Q$13)+IF(SUM($C18:I18)&lt;$P$8,I18*$Q$8,0)+IF(SUM($C18:I18)&lt;$P$9,I18*$Q$9,0)),(I18*($Q$6+$Q$7+$Q$10)+IF(SUM($C18:I18)&lt;$P$8,I18*$Q$8,0)+IF(SUM($C18:I18)&lt;$P$9,I18*$Q$9,"")))),"")</f>
        <v>442.5</v>
      </c>
      <c r="J31" s="634">
        <f>+IFERROR(IF(J18="","",IF($C6="FT",(J18*($Q$6+$Q$7+$Q$10+$Q$11+$Q$13)+IF(SUM($C18:J18)&lt;$P$8,J18*$Q$8,0)+IF(SUM($C18:J18)&lt;$P$9,J18*$Q$9,0)),(J18*($Q$6+$Q$7+$Q$10)+IF(SUM($C18:J18)&lt;$P$8,J18*$Q$8,0)+IF(SUM($C18:J18)&lt;$P$9,J18*$Q$9,"")))),"")</f>
        <v>442.5</v>
      </c>
      <c r="K31" s="634">
        <f>+IFERROR(IF(K18="","",IF($C6="FT",(K18*($Q$6+$Q$7+$Q$10+$Q$11+$Q$13)+IF(SUM($C18:K18)&lt;$P$8,K18*$Q$8,0)+IF(SUM($C18:K18)&lt;$P$9,K18*$Q$9,0)),(K18*($Q$6+$Q$7+$Q$10)+IF(SUM($C18:K18)&lt;$P$8,K18*$Q$8,0)+IF(SUM($C18:K18)&lt;$P$9,K18*$Q$9,"")))),"")</f>
        <v>442.5</v>
      </c>
      <c r="L31" s="634">
        <f>+IFERROR(IF(L18="","",IF($C6="FT",(L18*($Q$6+$Q$7+$Q$10+$Q$11+$Q$13)+IF(SUM($C18:L18)&lt;$P$8,L18*$Q$8,0)+IF(SUM($C18:L18)&lt;$P$9,L18*$Q$9,0)),(L18*($Q$6+$Q$7+$Q$10)+IF(SUM($C18:L18)&lt;$P$8,L18*$Q$8,0)+IF(SUM($C18:L18)&lt;$P$9,L18*$Q$9,"")))),"")</f>
        <v>442.5</v>
      </c>
      <c r="M31" s="634">
        <f>+IFERROR(IF(M18="","",IF($C6="FT",(M18*($Q$6+$Q$7+$Q$10+$Q$11+$Q$13)+IF(SUM($C18:M18)&lt;$P$8,M18*$Q$8,0)+IF(SUM($C18:M18)&lt;$P$9,M18*$Q$9,0)),(M18*($Q$6+$Q$7+$Q$10)+IF(SUM($C18:M18)&lt;$P$8,M18*$Q$8,0)+IF(SUM($C18:M18)&lt;$P$9,M18*$Q$9,"")))),"")</f>
        <v>442.5</v>
      </c>
      <c r="N31" s="634">
        <f>+IFERROR(IF(N18="","",IF($C6="FT",(N18*($Q$6+$Q$7+$Q$10+$Q$11+$Q$13)+IF(SUM($C18:N18)&lt;$P$8,N18*$Q$8,0)+IF(SUM($C18:N18)&lt;$P$9,N18*$Q$9,0)),(N18*($Q$6+$Q$7+$Q$10)+IF(SUM($C18:N18)&lt;$P$8,N18*$Q$8,0)+IF(SUM($C18:N18)&lt;$P$9,N18*$Q$9,"")))),"")</f>
        <v>442.5</v>
      </c>
      <c r="O31" s="646">
        <f t="shared" ref="O31:O39" si="8">SUM(C31:N31)</f>
        <v>5310</v>
      </c>
      <c r="P31" s="627">
        <f t="shared" ref="P31:Q39" si="9">+IFERROR(IF(P18="","",IF($C6="FT",(P18*($Q$6+$Q$7+$Q$10+$Q$11+$Q$12+$Q$13)+IF(P18&lt;$P$8,P18*$Q$8,0)+IF(P18&lt;$P$9,P18*$Q$9,0)),(P18*($Q$6+$Q$7+$Q$10)+IF(P18&lt;$P$8,P18*$Q$8,0)+IF(P18&lt;$P$9,P18*$Q$9,"")))),"")</f>
        <v>11875.5</v>
      </c>
      <c r="Q31" s="627">
        <f t="shared" si="9"/>
        <v>12469.275</v>
      </c>
      <c r="R31" s="50"/>
    </row>
    <row r="32" spans="1:18" ht="12.75" customHeight="1" x14ac:dyDescent="0.2">
      <c r="A32" s="629" t="str">
        <f t="shared" si="7"/>
        <v>Office manager</v>
      </c>
      <c r="C32" s="634">
        <f>+IFERROR(IF(C19="","",IF($C7="FT",(C19*($Q$6+$Q$7+$Q$10+$Q$11+$Q$13)+IF(SUM($C19:C19)&lt;$P$8,C19*$Q$8,0)+IF(SUM($C19:C19)&lt;$P$9,C19*$Q$9,0)),(C19*($Q$6+$Q$7+$Q$10)+IF(SUM($C19:C19)&lt;$P$8,C19*$Q$8,0)+IF(SUM($C19:C19)&lt;$P$9,C19*$Q$9,"")))),"")</f>
        <v>295</v>
      </c>
      <c r="D32" s="634">
        <f>+IFERROR(IF(D19="","",IF($C7="FT",(D19*($Q$6+$Q$7+$Q$10+$Q$11+$Q$13)+IF(SUM($C19:D19)&lt;$P$8,D19*$Q$8,0)+IF(SUM($C19:D19)&lt;$P$9,D19*$Q$9,0)),(D19*($Q$6+$Q$7+$Q$10)+IF(SUM($C19:D19)&lt;$P$8,D19*$Q$8,0)+IF(SUM($C19:D19)&lt;$P$9,D19*$Q$9,"")))),"")</f>
        <v>295</v>
      </c>
      <c r="E32" s="634">
        <f>+IFERROR(IF(E19="","",IF($C7="FT",(E19*($Q$6+$Q$7+$Q$10+$Q$11+$Q$13)+IF(SUM($C19:E19)&lt;$P$8,E19*$Q$8,0)+IF(SUM($C19:E19)&lt;$P$9,E19*$Q$9,0)),(E19*($Q$6+$Q$7+$Q$10)+IF(SUM($C19:E19)&lt;$P$8,E19*$Q$8,0)+IF(SUM($C19:E19)&lt;$P$9,E19*$Q$9,"")))),"")</f>
        <v>295</v>
      </c>
      <c r="F32" s="634">
        <f>+IFERROR(IF(F19="","",IF($C7="FT",(F19*($Q$6+$Q$7+$Q$10+$Q$11+$Q$13)+IF(SUM($C19:F19)&lt;$P$8,F19*$Q$8,0)+IF(SUM($C19:F19)&lt;$P$9,F19*$Q$9,0)),(F19*($Q$6+$Q$7+$Q$10)+IF(SUM($C19:F19)&lt;$P$8,F19*$Q$8,0)+IF(SUM($C19:F19)&lt;$P$9,F19*$Q$9,"")))),"")</f>
        <v>295</v>
      </c>
      <c r="G32" s="634">
        <f>+IFERROR(IF(G19="","",IF($C7="FT",(G19*($Q$6+$Q$7+$Q$10+$Q$11+$Q$13)+IF(SUM($C19:G19)&lt;$P$8,G19*$Q$8,0)+IF(SUM($C19:G19)&lt;$P$9,G19*$Q$9,0)),(G19*($Q$6+$Q$7+$Q$10)+IF(SUM($C19:G19)&lt;$P$8,G19*$Q$8,0)+IF(SUM($C19:G19)&lt;$P$9,G19*$Q$9,"")))),"")</f>
        <v>295</v>
      </c>
      <c r="H32" s="634">
        <f>+IFERROR(IF(H19="","",IF($C7="FT",(H19*($Q$6+$Q$7+$Q$10+$Q$11+$Q$13)+IF(SUM($C19:H19)&lt;$P$8,H19*$Q$8,0)+IF(SUM($C19:H19)&lt;$P$9,H19*$Q$9,0)),(H19*($Q$6+$Q$7+$Q$10)+IF(SUM($C19:H19)&lt;$P$8,H19*$Q$8,0)+IF(SUM($C19:H19)&lt;$P$9,H19*$Q$9,"")))),"")</f>
        <v>295</v>
      </c>
      <c r="I32" s="634">
        <f>+IFERROR(IF(I19="","",IF($C7="FT",(I19*($Q$6+$Q$7+$Q$10+$Q$11+$Q$13)+IF(SUM($C19:I19)&lt;$P$8,I19*$Q$8,0)+IF(SUM($C19:I19)&lt;$P$9,I19*$Q$9,0)),(I19*($Q$6+$Q$7+$Q$10)+IF(SUM($C19:I19)&lt;$P$8,I19*$Q$8,0)+IF(SUM($C19:I19)&lt;$P$9,I19*$Q$9,"")))),"")</f>
        <v>295</v>
      </c>
      <c r="J32" s="634">
        <f>+IFERROR(IF(J19="","",IF($C7="FT",(J19*($Q$6+$Q$7+$Q$10+$Q$11+$Q$13)+IF(SUM($C19:J19)&lt;$P$8,J19*$Q$8,0)+IF(SUM($C19:J19)&lt;$P$9,J19*$Q$9,0)),(J19*($Q$6+$Q$7+$Q$10)+IF(SUM($C19:J19)&lt;$P$8,J19*$Q$8,0)+IF(SUM($C19:J19)&lt;$P$9,J19*$Q$9,"")))),"")</f>
        <v>295</v>
      </c>
      <c r="K32" s="634">
        <f>+IFERROR(IF(K19="","",IF($C7="FT",(K19*($Q$6+$Q$7+$Q$10+$Q$11+$Q$13)+IF(SUM($C19:K19)&lt;$P$8,K19*$Q$8,0)+IF(SUM($C19:K19)&lt;$P$9,K19*$Q$9,0)),(K19*($Q$6+$Q$7+$Q$10)+IF(SUM($C19:K19)&lt;$P$8,K19*$Q$8,0)+IF(SUM($C19:K19)&lt;$P$9,K19*$Q$9,"")))),"")</f>
        <v>295</v>
      </c>
      <c r="L32" s="634">
        <f>+IFERROR(IF(L19="","",IF($C7="FT",(L19*($Q$6+$Q$7+$Q$10+$Q$11+$Q$13)+IF(SUM($C19:L19)&lt;$P$8,L19*$Q$8,0)+IF(SUM($C19:L19)&lt;$P$9,L19*$Q$9,0)),(L19*($Q$6+$Q$7+$Q$10)+IF(SUM($C19:L19)&lt;$P$8,L19*$Q$8,0)+IF(SUM($C19:L19)&lt;$P$9,L19*$Q$9,"")))),"")</f>
        <v>295</v>
      </c>
      <c r="M32" s="634">
        <f>+IFERROR(IF(M19="","",IF($C7="FT",(M19*($Q$6+$Q$7+$Q$10+$Q$11+$Q$13)+IF(SUM($C19:M19)&lt;$P$8,M19*$Q$8,0)+IF(SUM($C19:M19)&lt;$P$9,M19*$Q$9,0)),(M19*($Q$6+$Q$7+$Q$10)+IF(SUM($C19:M19)&lt;$P$8,M19*$Q$8,0)+IF(SUM($C19:M19)&lt;$P$9,M19*$Q$9,"")))),"")</f>
        <v>295</v>
      </c>
      <c r="N32" s="634">
        <f>+IFERROR(IF(N19="","",IF($C7="FT",(N19*($Q$6+$Q$7+$Q$10+$Q$11+$Q$13)+IF(SUM($C19:N19)&lt;$P$8,N19*$Q$8,0)+IF(SUM($C19:N19)&lt;$P$9,N19*$Q$9,0)),(N19*($Q$6+$Q$7+$Q$10)+IF(SUM($C19:N19)&lt;$P$8,N19*$Q$8,0)+IF(SUM($C19:N19)&lt;$P$9,N19*$Q$9,"")))),"")</f>
        <v>295</v>
      </c>
      <c r="O32" s="647">
        <f t="shared" si="8"/>
        <v>3540</v>
      </c>
      <c r="P32" s="627">
        <f t="shared" si="9"/>
        <v>7917.0000000000018</v>
      </c>
      <c r="Q32" s="627">
        <f t="shared" si="9"/>
        <v>8312.8500000000022</v>
      </c>
      <c r="R32" s="50"/>
    </row>
    <row r="33" spans="1:17" ht="12.75" customHeight="1" x14ac:dyDescent="0.2">
      <c r="A33" s="629" t="str">
        <f t="shared" si="7"/>
        <v>Studio managers</v>
      </c>
      <c r="C33" s="637" t="str">
        <f>+IFERROR(IF(C20="","",IF($C8="FT",(C20*($Q$6+$Q$7+$Q$10+$Q$11+$Q$13)+IF(SUM($C20:C20)&lt;$P$8,C20*$Q$8,0)+IF(SUM($C20:C20)&lt;$P$9,C20*$Q$9,0)),(C20*($Q$6+$Q$7+$Q$10)+IF(SUM($C20:C20)&lt;$P$8,C20*$Q$8,0)+IF(SUM($C20:C20)&lt;$P$9,C20*$Q$9,"")))),"")</f>
        <v/>
      </c>
      <c r="D33" s="637" t="str">
        <f>+IFERROR(IF(D20="","",IF($C8="FT",(D20*($Q$6+$Q$7+$Q$10+$Q$11+$Q$13)+IF(SUM($C20:D20)&lt;$P$8,D20*$Q$8,0)+IF(SUM($C20:D20)&lt;$P$9,D20*$Q$9,0)),(D20*($Q$6+$Q$7+$Q$10)+IF(SUM($C20:D20)&lt;$P$8,D20*$Q$8,0)+IF(SUM($C20:D20)&lt;$P$9,D20*$Q$9,"")))),"")</f>
        <v/>
      </c>
      <c r="E33" s="637" t="str">
        <f>+IFERROR(IF(E20="","",IF($C8="FT",(E20*($Q$6+$Q$7+$Q$10+$Q$11+$Q$13)+IF(SUM($C20:E20)&lt;$P$8,E20*$Q$8,0)+IF(SUM($C20:E20)&lt;$P$9,E20*$Q$9,0)),(E20*($Q$6+$Q$7+$Q$10)+IF(SUM($C20:E20)&lt;$P$8,E20*$Q$8,0)+IF(SUM($C20:E20)&lt;$P$9,E20*$Q$9,"")))),"")</f>
        <v/>
      </c>
      <c r="F33" s="637" t="str">
        <f>+IFERROR(IF(F20="","",IF($C8="FT",(F20*($Q$6+$Q$7+$Q$10+$Q$11+$Q$13)+IF(SUM($C20:F20)&lt;$P$8,F20*$Q$8,0)+IF(SUM($C20:F20)&lt;$P$9,F20*$Q$9,0)),(F20*($Q$6+$Q$7+$Q$10)+IF(SUM($C20:F20)&lt;$P$8,F20*$Q$8,0)+IF(SUM($C20:F20)&lt;$P$9,F20*$Q$9,"")))),"")</f>
        <v/>
      </c>
      <c r="G33" s="637" t="str">
        <f>+IFERROR(IF(G20="","",IF($C8="FT",(G20*($Q$6+$Q$7+$Q$10+$Q$11+$Q$13)+IF(SUM($C20:G20)&lt;$P$8,G20*$Q$8,0)+IF(SUM($C20:G20)&lt;$P$9,G20*$Q$9,0)),(G20*($Q$6+$Q$7+$Q$10)+IF(SUM($C20:G20)&lt;$P$8,G20*$Q$8,0)+IF(SUM($C20:G20)&lt;$P$9,G20*$Q$9,"")))),"")</f>
        <v/>
      </c>
      <c r="H33" s="637" t="str">
        <f>+IFERROR(IF(H20="","",IF($C8="FT",(H20*($Q$6+$Q$7+$Q$10+$Q$11+$Q$13)+IF(SUM($C20:H20)&lt;$P$8,H20*$Q$8,0)+IF(SUM($C20:H20)&lt;$P$9,H20*$Q$9,0)),(H20*($Q$6+$Q$7+$Q$10)+IF(SUM($C20:H20)&lt;$P$8,H20*$Q$8,0)+IF(SUM($C20:H20)&lt;$P$9,H20*$Q$9,"")))),"")</f>
        <v/>
      </c>
      <c r="I33" s="637" t="str">
        <f>+IFERROR(IF(I20="","",IF($C8="FT",(I20*($Q$6+$Q$7+$Q$10+$Q$11+$Q$13)+IF(SUM($C20:I20)&lt;$P$8,I20*$Q$8,0)+IF(SUM($C20:I20)&lt;$P$9,I20*$Q$9,0)),(I20*($Q$6+$Q$7+$Q$10)+IF(SUM($C20:I20)&lt;$P$8,I20*$Q$8,0)+IF(SUM($C20:I20)&lt;$P$9,I20*$Q$9,"")))),"")</f>
        <v/>
      </c>
      <c r="J33" s="637" t="str">
        <f>+IFERROR(IF(J20="","",IF($C8="FT",(J20*($Q$6+$Q$7+$Q$10+$Q$11+$Q$13)+IF(SUM($C20:J20)&lt;$P$8,J20*$Q$8,0)+IF(SUM($C20:J20)&lt;$P$9,J20*$Q$9,0)),(J20*($Q$6+$Q$7+$Q$10)+IF(SUM($C20:J20)&lt;$P$8,J20*$Q$8,0)+IF(SUM($C20:J20)&lt;$P$9,J20*$Q$9,"")))),"")</f>
        <v/>
      </c>
      <c r="K33" s="637" t="str">
        <f>+IFERROR(IF(K20="","",IF($C8="FT",(K20*($Q$6+$Q$7+$Q$10+$Q$11+$Q$13)+IF(SUM($C20:K20)&lt;$P$8,K20*$Q$8,0)+IF(SUM($C20:K20)&lt;$P$9,K20*$Q$9,0)),(K20*($Q$6+$Q$7+$Q$10)+IF(SUM($C20:K20)&lt;$P$8,K20*$Q$8,0)+IF(SUM($C20:K20)&lt;$P$9,K20*$Q$9,"")))),"")</f>
        <v/>
      </c>
      <c r="L33" s="637" t="str">
        <f>+IFERROR(IF(L20="","",IF($C8="FT",(L20*($Q$6+$Q$7+$Q$10+$Q$11+$Q$13)+IF(SUM($C20:L20)&lt;$P$8,L20*$Q$8,0)+IF(SUM($C20:L20)&lt;$P$9,L20*$Q$9,0)),(L20*($Q$6+$Q$7+$Q$10)+IF(SUM($C20:L20)&lt;$P$8,L20*$Q$8,0)+IF(SUM($C20:L20)&lt;$P$9,L20*$Q$9,"")))),"")</f>
        <v/>
      </c>
      <c r="M33" s="637" t="str">
        <f>+IFERROR(IF(M20="","",IF($C8="FT",(M20*($Q$6+$Q$7+$Q$10+$Q$11+$Q$13)+IF(SUM($C20:M20)&lt;$P$8,M20*$Q$8,0)+IF(SUM($C20:M20)&lt;$P$9,M20*$Q$9,0)),(M20*($Q$6+$Q$7+$Q$10)+IF(SUM($C20:M20)&lt;$P$8,M20*$Q$8,0)+IF(SUM($C20:M20)&lt;$P$9,M20*$Q$9,"")))),"")</f>
        <v/>
      </c>
      <c r="N33" s="637" t="str">
        <f>+IFERROR(IF(N20="","",IF($C8="FT",(N20*($Q$6+$Q$7+$Q$10+$Q$11+$Q$13)+IF(SUM($C20:N20)&lt;$P$8,N20*$Q$8,0)+IF(SUM($C20:N20)&lt;$P$9,N20*$Q$9,0)),(N20*($Q$6+$Q$7+$Q$10)+IF(SUM($C20:N20)&lt;$P$8,N20*$Q$8,0)+IF(SUM($C20:N20)&lt;$P$9,N20*$Q$9,"")))),"")</f>
        <v/>
      </c>
      <c r="O33" s="647">
        <f t="shared" si="8"/>
        <v>0</v>
      </c>
      <c r="P33" s="648" t="str">
        <f t="shared" si="9"/>
        <v/>
      </c>
      <c r="Q33" s="648" t="str">
        <f t="shared" si="9"/>
        <v/>
      </c>
    </row>
    <row r="34" spans="1:17" ht="12.75" customHeight="1" x14ac:dyDescent="0.2">
      <c r="A34" s="629" t="str">
        <f t="shared" si="7"/>
        <v>Front desk</v>
      </c>
      <c r="C34" s="637" t="str">
        <f>+IFERROR(IF(C21="","",IF($C9="FT",(C21*($Q$6+$Q$7+$Q$10+$Q$11+$Q$13)+IF(SUM($C21:C21)&lt;$P$8,C21*$Q$8,0)+IF(SUM($C21:C21)&lt;$P$9,C21*$Q$9,0)),(C21*($Q$6+$Q$7+$Q$10)+IF(SUM($C21:C21)&lt;$P$8,C21*$Q$8,0)+IF(SUM($C21:C21)&lt;$P$9,C21*$Q$9,"")))),"")</f>
        <v/>
      </c>
      <c r="D34" s="637" t="str">
        <f>+IFERROR(IF(D21="","",IF($C9="FT",(D21*($Q$6+$Q$7+$Q$10+$Q$11+$Q$13)+IF(SUM($C21:D21)&lt;$P$8,D21*$Q$8,0)+IF(SUM($C21:D21)&lt;$P$9,D21*$Q$9,0)),(D21*($Q$6+$Q$7+$Q$10)+IF(SUM($C21:D21)&lt;$P$8,D21*$Q$8,0)+IF(SUM($C21:D21)&lt;$P$9,D21*$Q$9,"")))),"")</f>
        <v/>
      </c>
      <c r="E34" s="634">
        <f>+IFERROR(IF(E21="","",IF($C9="FT",(E21*($Q$6+$Q$7+$Q$10+$Q$11+$Q$13)+IF(SUM($C21:E21)&lt;$P$8,E21*$Q$8,0)+IF(SUM($C21:E21)&lt;$P$9,E21*$Q$9,0)),(E21*($Q$6+$Q$7+$Q$10)+IF(SUM($C21:E21)&lt;$P$8,E21*$Q$8,0)+IF(SUM($C21:E21)&lt;$P$9,E21*$Q$9,"")))),"")</f>
        <v>184.375</v>
      </c>
      <c r="F34" s="634">
        <f>+IFERROR(IF(F21="","",IF($C9="FT",(F21*($Q$6+$Q$7+$Q$10+$Q$11+$Q$13)+IF(SUM($C21:F21)&lt;$P$8,F21*$Q$8,0)+IF(SUM($C21:F21)&lt;$P$9,F21*$Q$9,0)),(F21*($Q$6+$Q$7+$Q$10)+IF(SUM($C21:F21)&lt;$P$8,F21*$Q$8,0)+IF(SUM($C21:F21)&lt;$P$9,F21*$Q$9,"")))),"")</f>
        <v>184.375</v>
      </c>
      <c r="G34" s="634">
        <f>+IFERROR(IF(G21="","",IF($C9="FT",(G21*($Q$6+$Q$7+$Q$10+$Q$11+$Q$13)+IF(SUM($C21:G21)&lt;$P$8,G21*$Q$8,0)+IF(SUM($C21:G21)&lt;$P$9,G21*$Q$9,0)),(G21*($Q$6+$Q$7+$Q$10)+IF(SUM($C21:G21)&lt;$P$8,G21*$Q$8,0)+IF(SUM($C21:G21)&lt;$P$9,G21*$Q$9,"")))),"")</f>
        <v>184.375</v>
      </c>
      <c r="H34" s="634">
        <f>+IFERROR(IF(H21="","",IF($C9="FT",(H21*($Q$6+$Q$7+$Q$10+$Q$11+$Q$13)+IF(SUM($C21:H21)&lt;$P$8,H21*$Q$8,0)+IF(SUM($C21:H21)&lt;$P$9,H21*$Q$9,0)),(H21*($Q$6+$Q$7+$Q$10)+IF(SUM($C21:H21)&lt;$P$8,H21*$Q$8,0)+IF(SUM($C21:H21)&lt;$P$9,H21*$Q$9,"")))),"")</f>
        <v>184.375</v>
      </c>
      <c r="I34" s="634">
        <f>+IFERROR(IF(I21="","",IF($C9="FT",(I21*($Q$6+$Q$7+$Q$10+$Q$11+$Q$13)+IF(SUM($C21:I21)&lt;$P$8,I21*$Q$8,0)+IF(SUM($C21:I21)&lt;$P$9,I21*$Q$9,0)),(I21*($Q$6+$Q$7+$Q$10)+IF(SUM($C21:I21)&lt;$P$8,I21*$Q$8,0)+IF(SUM($C21:I21)&lt;$P$9,I21*$Q$9,"")))),"")</f>
        <v>184.375</v>
      </c>
      <c r="J34" s="634">
        <f>+IFERROR(IF(J21="","",IF($C9="FT",(J21*($Q$6+$Q$7+$Q$10+$Q$11+$Q$13)+IF(SUM($C21:J21)&lt;$P$8,J21*$Q$8,0)+IF(SUM($C21:J21)&lt;$P$9,J21*$Q$9,0)),(J21*($Q$6+$Q$7+$Q$10)+IF(SUM($C21:J21)&lt;$P$8,J21*$Q$8,0)+IF(SUM($C21:J21)&lt;$P$9,J21*$Q$9,"")))),"")</f>
        <v>184.375</v>
      </c>
      <c r="K34" s="634">
        <f>+IFERROR(IF(K21="","",IF($C9="FT",(K21*($Q$6+$Q$7+$Q$10+$Q$11+$Q$13)+IF(SUM($C21:K21)&lt;$P$8,K21*$Q$8,0)+IF(SUM($C21:K21)&lt;$P$9,K21*$Q$9,0)),(K21*($Q$6+$Q$7+$Q$10)+IF(SUM($C21:K21)&lt;$P$8,K21*$Q$8,0)+IF(SUM($C21:K21)&lt;$P$9,K21*$Q$9,"")))),"")</f>
        <v>184.375</v>
      </c>
      <c r="L34" s="634">
        <f>+IFERROR(IF(L21="","",IF($C9="FT",(L21*($Q$6+$Q$7+$Q$10+$Q$11+$Q$13)+IF(SUM($C21:L21)&lt;$P$8,L21*$Q$8,0)+IF(SUM($C21:L21)&lt;$P$9,L21*$Q$9,0)),(L21*($Q$6+$Q$7+$Q$10)+IF(SUM($C21:L21)&lt;$P$8,L21*$Q$8,0)+IF(SUM($C21:L21)&lt;$P$9,L21*$Q$9,"")))),"")</f>
        <v>184.375</v>
      </c>
      <c r="M34" s="634">
        <f>+IFERROR(IF(M21="","",IF($C9="FT",(M21*($Q$6+$Q$7+$Q$10+$Q$11+$Q$13)+IF(SUM($C21:M21)&lt;$P$8,M21*$Q$8,0)+IF(SUM($C21:M21)&lt;$P$9,M21*$Q$9,0)),(M21*($Q$6+$Q$7+$Q$10)+IF(SUM($C21:M21)&lt;$P$8,M21*$Q$8,0)+IF(SUM($C21:M21)&lt;$P$9,M21*$Q$9,"")))),"")</f>
        <v>184.375</v>
      </c>
      <c r="N34" s="634">
        <f>+IFERROR(IF(N21="","",IF($C9="FT",(N21*($Q$6+$Q$7+$Q$10+$Q$11+$Q$13)+IF(SUM($C21:N21)&lt;$P$8,N21*$Q$8,0)+IF(SUM($C21:N21)&lt;$P$9,N21*$Q$9,0)),(N21*($Q$6+$Q$7+$Q$10)+IF(SUM($C21:N21)&lt;$P$8,N21*$Q$8,0)+IF(SUM($C21:N21)&lt;$P$9,N21*$Q$9,"")))),"")</f>
        <v>184.375</v>
      </c>
      <c r="O34" s="647">
        <f t="shared" si="8"/>
        <v>1843.75</v>
      </c>
      <c r="P34" s="627">
        <f t="shared" si="9"/>
        <v>3711.0937500000009</v>
      </c>
      <c r="Q34" s="627">
        <f t="shared" si="9"/>
        <v>3896.6484375000009</v>
      </c>
    </row>
    <row r="35" spans="1:17" ht="12.75" customHeight="1" x14ac:dyDescent="0.2">
      <c r="A35" s="629" t="str">
        <f t="shared" si="7"/>
        <v>Title 5</v>
      </c>
      <c r="C35" s="637" t="str">
        <f>+IFERROR(IF(C22="","",IF($C10="FT",(C22*($Q$6+$Q$7+$Q$10+$Q$11+$Q$13)+IF(SUM($C22:C22)&lt;$P$8,C22*$Q$8,0)+IF(SUM($C22:C22)&lt;$P$9,C22*$Q$9,0)),(C22*($Q$6+$Q$7+$Q$10)+IF(SUM($C22:C22)&lt;$P$8,C22*$Q$8,0)+IF(SUM($C22:C22)&lt;$P$9,C22*$Q$9,"")))),"")</f>
        <v/>
      </c>
      <c r="D35" s="637" t="str">
        <f>+IFERROR(IF(D22="","",IF($C10="FT",(D22*($Q$6+$Q$7+$Q$10+$Q$11+$Q$13)+IF(SUM($C22:D22)&lt;$P$8,D22*$Q$8,0)+IF(SUM($C22:D22)&lt;$P$9,D22*$Q$9,0)),(D22*($Q$6+$Q$7+$Q$10)+IF(SUM($C22:D22)&lt;$P$8,D22*$Q$8,0)+IF(SUM($C22:D22)&lt;$P$9,D22*$Q$9,"")))),"")</f>
        <v/>
      </c>
      <c r="E35" s="637" t="str">
        <f>+IFERROR(IF(E22="","",IF($C10="FT",(E22*($Q$6+$Q$7+$Q$10+$Q$11+$Q$13)+IF(SUM($C22:E22)&lt;$P$8,E22*$Q$8,0)+IF(SUM($C22:E22)&lt;$P$9,E22*$Q$9,0)),(E22*($Q$6+$Q$7+$Q$10)+IF(SUM($C22:E22)&lt;$P$8,E22*$Q$8,0)+IF(SUM($C22:E22)&lt;$P$9,E22*$Q$9,"")))),"")</f>
        <v/>
      </c>
      <c r="F35" s="637" t="str">
        <f>+IFERROR(IF(F22="","",IF($C10="FT",(F22*($Q$6+$Q$7+$Q$10+$Q$11+$Q$13)+IF(SUM($C22:F22)&lt;$P$8,F22*$Q$8,0)+IF(SUM($C22:F22)&lt;$P$9,F22*$Q$9,0)),(F22*($Q$6+$Q$7+$Q$10)+IF(SUM($C22:F22)&lt;$P$8,F22*$Q$8,0)+IF(SUM($C22:F22)&lt;$P$9,F22*$Q$9,"")))),"")</f>
        <v/>
      </c>
      <c r="G35" s="637" t="str">
        <f>+IFERROR(IF(G22="","",IF($C10="FT",(G22*($Q$6+$Q$7+$Q$10+$Q$11+$Q$13)+IF(SUM($C22:G22)&lt;$P$8,G22*$Q$8,0)+IF(SUM($C22:G22)&lt;$P$9,G22*$Q$9,0)),(G22*($Q$6+$Q$7+$Q$10)+IF(SUM($C22:G22)&lt;$P$8,G22*$Q$8,0)+IF(SUM($C22:G22)&lt;$P$9,G22*$Q$9,"")))),"")</f>
        <v/>
      </c>
      <c r="H35" s="637" t="str">
        <f>+IFERROR(IF(H22="","",IF($C10="FT",(H22*($Q$6+$Q$7+$Q$10+$Q$11+$Q$13)+IF(SUM($C22:H22)&lt;$P$8,H22*$Q$8,0)+IF(SUM($C22:H22)&lt;$P$9,H22*$Q$9,0)),(H22*($Q$6+$Q$7+$Q$10)+IF(SUM($C22:H22)&lt;$P$8,H22*$Q$8,0)+IF(SUM($C22:H22)&lt;$P$9,H22*$Q$9,"")))),"")</f>
        <v/>
      </c>
      <c r="I35" s="637" t="str">
        <f>+IFERROR(IF(I22="","",IF($C10="FT",(I22*($Q$6+$Q$7+$Q$10+$Q$11+$Q$13)+IF(SUM($C22:I22)&lt;$P$8,I22*$Q$8,0)+IF(SUM($C22:I22)&lt;$P$9,I22*$Q$9,0)),(I22*($Q$6+$Q$7+$Q$10)+IF(SUM($C22:I22)&lt;$P$8,I22*$Q$8,0)+IF(SUM($C22:I22)&lt;$P$9,I22*$Q$9,"")))),"")</f>
        <v/>
      </c>
      <c r="J35" s="637" t="str">
        <f>+IFERROR(IF(J22="","",IF($C10="FT",(J22*($Q$6+$Q$7+$Q$10+$Q$11+$Q$13)+IF(SUM($C22:J22)&lt;$P$8,J22*$Q$8,0)+IF(SUM($C22:J22)&lt;$P$9,J22*$Q$9,0)),(J22*($Q$6+$Q$7+$Q$10)+IF(SUM($C22:J22)&lt;$P$8,J22*$Q$8,0)+IF(SUM($C22:J22)&lt;$P$9,J22*$Q$9,"")))),"")</f>
        <v/>
      </c>
      <c r="K35" s="637" t="str">
        <f>+IFERROR(IF(K22="","",IF($C10="FT",(K22*($Q$6+$Q$7+$Q$10+$Q$11+$Q$13)+IF(SUM($C22:K22)&lt;$P$8,K22*$Q$8,0)+IF(SUM($C22:K22)&lt;$P$9,K22*$Q$9,0)),(K22*($Q$6+$Q$7+$Q$10)+IF(SUM($C22:K22)&lt;$P$8,K22*$Q$8,0)+IF(SUM($C22:K22)&lt;$P$9,K22*$Q$9,"")))),"")</f>
        <v/>
      </c>
      <c r="L35" s="637" t="str">
        <f>+IFERROR(IF(L22="","",IF($C10="FT",(L22*($Q$6+$Q$7+$Q$10+$Q$11+$Q$13)+IF(SUM($C22:L22)&lt;$P$8,L22*$Q$8,0)+IF(SUM($C22:L22)&lt;$P$9,L22*$Q$9,0)),(L22*($Q$6+$Q$7+$Q$10)+IF(SUM($C22:L22)&lt;$P$8,L22*$Q$8,0)+IF(SUM($C22:L22)&lt;$P$9,L22*$Q$9,"")))),"")</f>
        <v/>
      </c>
      <c r="M35" s="637" t="str">
        <f>+IFERROR(IF(M22="","",IF($C10="FT",(M22*($Q$6+$Q$7+$Q$10+$Q$11+$Q$13)+IF(SUM($C22:M22)&lt;$P$8,M22*$Q$8,0)+IF(SUM($C22:M22)&lt;$P$9,M22*$Q$9,0)),(M22*($Q$6+$Q$7+$Q$10)+IF(SUM($C22:M22)&lt;$P$8,M22*$Q$8,0)+IF(SUM($C22:M22)&lt;$P$9,M22*$Q$9,"")))),"")</f>
        <v/>
      </c>
      <c r="N35" s="637" t="str">
        <f>+IFERROR(IF(N22="","",IF($C10="FT",(N22*($Q$6+$Q$7+$Q$10+$Q$11+$Q$13)+IF(SUM($C22:N22)&lt;$P$8,N22*$Q$8,0)+IF(SUM($C22:N22)&lt;$P$9,N22*$Q$9,0)),(N22*($Q$6+$Q$7+$Q$10)+IF(SUM($C22:N22)&lt;$P$8,N22*$Q$8,0)+IF(SUM($C22:N22)&lt;$P$9,N22*$Q$9,"")))),"")</f>
        <v/>
      </c>
      <c r="O35" s="647">
        <f t="shared" si="8"/>
        <v>0</v>
      </c>
      <c r="P35" s="648" t="str">
        <f t="shared" si="9"/>
        <v/>
      </c>
      <c r="Q35" s="627">
        <f t="shared" si="9"/>
        <v>0</v>
      </c>
    </row>
    <row r="36" spans="1:17" ht="12.75" customHeight="1" outlineLevel="1" x14ac:dyDescent="0.2">
      <c r="A36" s="629" t="str">
        <f t="shared" si="7"/>
        <v>Title 6</v>
      </c>
      <c r="C36" s="637" t="str">
        <f>+IFERROR(IF(C23="","",IF($C11="FT",(C23*($Q$6+$Q$7+$Q$10+$Q$11+$Q$13)+IF(SUM($C23:C23)&lt;$P$8,C23*$Q$8,0)+IF(SUM($C23:C23)&lt;$P$9,C23*$Q$9,0)),(C23*($Q$6+$Q$7+$Q$10)+IF(SUM($C23:C23)&lt;$P$8,C23*$Q$8,0)+IF(SUM($C23:C23)&lt;$P$9,C23*$Q$9,"")))),"")</f>
        <v/>
      </c>
      <c r="D36" s="637" t="str">
        <f>+IFERROR(IF(D23="","",IF($C11="FT",(D23*($Q$6+$Q$7+$Q$10+$Q$11+$Q$13)+IF(SUM($C23:D23)&lt;$P$8,D23*$Q$8,0)+IF(SUM($C23:D23)&lt;$P$9,D23*$Q$9,0)),(D23*($Q$6+$Q$7+$Q$10)+IF(SUM($C23:D23)&lt;$P$8,D23*$Q$8,0)+IF(SUM($C23:D23)&lt;$P$9,D23*$Q$9,"")))),"")</f>
        <v/>
      </c>
      <c r="E36" s="637" t="str">
        <f>+IFERROR(IF(E23="","",IF($C11="FT",(E23*($Q$6+$Q$7+$Q$10+$Q$11+$Q$13)+IF(SUM($C23:E23)&lt;$P$8,E23*$Q$8,0)+IF(SUM($C23:E23)&lt;$P$9,E23*$Q$9,0)),(E23*($Q$6+$Q$7+$Q$10)+IF(SUM($C23:E23)&lt;$P$8,E23*$Q$8,0)+IF(SUM($C23:E23)&lt;$P$9,E23*$Q$9,"")))),"")</f>
        <v/>
      </c>
      <c r="F36" s="637" t="str">
        <f>+IFERROR(IF(F23="","",IF($C11="FT",(F23*($Q$6+$Q$7+$Q$10+$Q$11+$Q$13)+IF(SUM($C23:F23)&lt;$P$8,F23*$Q$8,0)+IF(SUM($C23:F23)&lt;$P$9,F23*$Q$9,0)),(F23*($Q$6+$Q$7+$Q$10)+IF(SUM($C23:F23)&lt;$P$8,F23*$Q$8,0)+IF(SUM($C23:F23)&lt;$P$9,F23*$Q$9,"")))),"")</f>
        <v/>
      </c>
      <c r="G36" s="637" t="str">
        <f>+IFERROR(IF(G23="","",IF($C11="FT",(G23*($Q$6+$Q$7+$Q$10+$Q$11+$Q$13)+IF(SUM($C23:G23)&lt;$P$8,G23*$Q$8,0)+IF(SUM($C23:G23)&lt;$P$9,G23*$Q$9,0)),(G23*($Q$6+$Q$7+$Q$10)+IF(SUM($C23:G23)&lt;$P$8,G23*$Q$8,0)+IF(SUM($C23:G23)&lt;$P$9,G23*$Q$9,"")))),"")</f>
        <v/>
      </c>
      <c r="H36" s="637" t="str">
        <f>+IFERROR(IF(H23="","",IF($C11="FT",(H23*($Q$6+$Q$7+$Q$10+$Q$11+$Q$13)+IF(SUM($C23:H23)&lt;$P$8,H23*$Q$8,0)+IF(SUM($C23:H23)&lt;$P$9,H23*$Q$9,0)),(H23*($Q$6+$Q$7+$Q$10)+IF(SUM($C23:H23)&lt;$P$8,H23*$Q$8,0)+IF(SUM($C23:H23)&lt;$P$9,H23*$Q$9,"")))),"")</f>
        <v/>
      </c>
      <c r="I36" s="637" t="str">
        <f>+IFERROR(IF(I23="","",IF($C11="FT",(I23*($Q$6+$Q$7+$Q$10+$Q$11+$Q$13)+IF(SUM($C23:I23)&lt;$P$8,I23*$Q$8,0)+IF(SUM($C23:I23)&lt;$P$9,I23*$Q$9,0)),(I23*($Q$6+$Q$7+$Q$10)+IF(SUM($C23:I23)&lt;$P$8,I23*$Q$8,0)+IF(SUM($C23:I23)&lt;$P$9,I23*$Q$9,"")))),"")</f>
        <v/>
      </c>
      <c r="J36" s="637" t="str">
        <f>+IFERROR(IF(J23="","",IF($C11="FT",(J23*($Q$6+$Q$7+$Q$10+$Q$11+$Q$13)+IF(SUM($C23:J23)&lt;$P$8,J23*$Q$8,0)+IF(SUM($C23:J23)&lt;$P$9,J23*$Q$9,0)),(J23*($Q$6+$Q$7+$Q$10)+IF(SUM($C23:J23)&lt;$P$8,J23*$Q$8,0)+IF(SUM($C23:J23)&lt;$P$9,J23*$Q$9,"")))),"")</f>
        <v/>
      </c>
      <c r="K36" s="637" t="str">
        <f>+IFERROR(IF(K23="","",IF($C11="FT",(K23*($Q$6+$Q$7+$Q$10+$Q$11+$Q$13)+IF(SUM($C23:K23)&lt;$P$8,K23*$Q$8,0)+IF(SUM($C23:K23)&lt;$P$9,K23*$Q$9,0)),(K23*($Q$6+$Q$7+$Q$10)+IF(SUM($C23:K23)&lt;$P$8,K23*$Q$8,0)+IF(SUM($C23:K23)&lt;$P$9,K23*$Q$9,"")))),"")</f>
        <v/>
      </c>
      <c r="L36" s="637" t="str">
        <f>+IFERROR(IF(L23="","",IF($C11="FT",(L23*($Q$6+$Q$7+$Q$10+$Q$11+$Q$13)+IF(SUM($C23:L23)&lt;$P$8,L23*$Q$8,0)+IF(SUM($C23:L23)&lt;$P$9,L23*$Q$9,0)),(L23*($Q$6+$Q$7+$Q$10)+IF(SUM($C23:L23)&lt;$P$8,L23*$Q$8,0)+IF(SUM($C23:L23)&lt;$P$9,L23*$Q$9,"")))),"")</f>
        <v/>
      </c>
      <c r="M36" s="637" t="str">
        <f>+IFERROR(IF(M23="","",IF($C11="FT",(M23*($Q$6+$Q$7+$Q$10+$Q$11+$Q$13)+IF(SUM($C23:M23)&lt;$P$8,M23*$Q$8,0)+IF(SUM($C23:M23)&lt;$P$9,M23*$Q$9,0)),(M23*($Q$6+$Q$7+$Q$10)+IF(SUM($C23:M23)&lt;$P$8,M23*$Q$8,0)+IF(SUM($C23:M23)&lt;$P$9,M23*$Q$9,"")))),"")</f>
        <v/>
      </c>
      <c r="N36" s="637" t="str">
        <f>+IFERROR(IF(N23="","",IF($C11="FT",(N23*($Q$6+$Q$7+$Q$10+$Q$11+$Q$13)+IF(SUM($C23:N23)&lt;$P$8,N23*$Q$8,0)+IF(SUM($C23:N23)&lt;$P$9,N23*$Q$9,0)),(N23*($Q$6+$Q$7+$Q$10)+IF(SUM($C23:N23)&lt;$P$8,N23*$Q$8,0)+IF(SUM($C23:N23)&lt;$P$9,N23*$Q$9,"")))),"")</f>
        <v/>
      </c>
      <c r="O36" s="647">
        <f t="shared" si="8"/>
        <v>0</v>
      </c>
      <c r="P36" s="648" t="str">
        <f t="shared" si="9"/>
        <v/>
      </c>
      <c r="Q36" s="627">
        <f t="shared" si="9"/>
        <v>0</v>
      </c>
    </row>
    <row r="37" spans="1:17" ht="12.75" customHeight="1" outlineLevel="1" x14ac:dyDescent="0.2">
      <c r="A37" s="629" t="str">
        <f t="shared" si="7"/>
        <v>Title 7</v>
      </c>
      <c r="C37" s="637" t="str">
        <f>+IFERROR(IF(C24="","",IF($C12="FT",(C24*($Q$6+$Q$7+$Q$10+$Q$11+$Q$13)+IF(SUM($C24:C24)&lt;$P$8,C24*$Q$8,0)+IF(SUM($C24:C24)&lt;$P$9,C24*$Q$9,0)),(C24*($Q$6+$Q$7+$Q$10)+IF(SUM($C24:C24)&lt;$P$8,C24*$Q$8,0)+IF(SUM($C24:C24)&lt;$P$9,C24*$Q$9,"")))),"")</f>
        <v/>
      </c>
      <c r="D37" s="637" t="str">
        <f>+IFERROR(IF(D24="","",IF($C12="FT",(D24*($Q$6+$Q$7+$Q$10+$Q$11+$Q$13)+IF(SUM($C24:D24)&lt;$P$8,D24*$Q$8,0)+IF(SUM($C24:D24)&lt;$P$9,D24*$Q$9,0)),(D24*($Q$6+$Q$7+$Q$10)+IF(SUM($C24:D24)&lt;$P$8,D24*$Q$8,0)+IF(SUM($C24:D24)&lt;$P$9,D24*$Q$9,"")))),"")</f>
        <v/>
      </c>
      <c r="E37" s="637" t="str">
        <f>+IFERROR(IF(E24="","",IF($C12="FT",(E24*($Q$6+$Q$7+$Q$10+$Q$11+$Q$13)+IF(SUM($C24:E24)&lt;$P$8,E24*$Q$8,0)+IF(SUM($C24:E24)&lt;$P$9,E24*$Q$9,0)),(E24*($Q$6+$Q$7+$Q$10)+IF(SUM($C24:E24)&lt;$P$8,E24*$Q$8,0)+IF(SUM($C24:E24)&lt;$P$9,E24*$Q$9,"")))),"")</f>
        <v/>
      </c>
      <c r="F37" s="637" t="str">
        <f>+IFERROR(IF(F24="","",IF($C12="FT",(F24*($Q$6+$Q$7+$Q$10+$Q$11+$Q$13)+IF(SUM($C24:F24)&lt;$P$8,F24*$Q$8,0)+IF(SUM($C24:F24)&lt;$P$9,F24*$Q$9,0)),(F24*($Q$6+$Q$7+$Q$10)+IF(SUM($C24:F24)&lt;$P$8,F24*$Q$8,0)+IF(SUM($C24:F24)&lt;$P$9,F24*$Q$9,"")))),"")</f>
        <v/>
      </c>
      <c r="G37" s="637" t="str">
        <f>+IFERROR(IF(G24="","",IF($C12="FT",(G24*($Q$6+$Q$7+$Q$10+$Q$11+$Q$13)+IF(SUM($C24:G24)&lt;$P$8,G24*$Q$8,0)+IF(SUM($C24:G24)&lt;$P$9,G24*$Q$9,0)),(G24*($Q$6+$Q$7+$Q$10)+IF(SUM($C24:G24)&lt;$P$8,G24*$Q$8,0)+IF(SUM($C24:G24)&lt;$P$9,G24*$Q$9,"")))),"")</f>
        <v/>
      </c>
      <c r="H37" s="637" t="str">
        <f>+IFERROR(IF(H24="","",IF($C12="FT",(H24*($Q$6+$Q$7+$Q$10+$Q$11+$Q$13)+IF(SUM($C24:H24)&lt;$P$8,H24*$Q$8,0)+IF(SUM($C24:H24)&lt;$P$9,H24*$Q$9,0)),(H24*($Q$6+$Q$7+$Q$10)+IF(SUM($C24:H24)&lt;$P$8,H24*$Q$8,0)+IF(SUM($C24:H24)&lt;$P$9,H24*$Q$9,"")))),"")</f>
        <v/>
      </c>
      <c r="I37" s="637" t="str">
        <f>+IFERROR(IF(I24="","",IF($C12="FT",(I24*($Q$6+$Q$7+$Q$10+$Q$11+$Q$13)+IF(SUM($C24:I24)&lt;$P$8,I24*$Q$8,0)+IF(SUM($C24:I24)&lt;$P$9,I24*$Q$9,0)),(I24*($Q$6+$Q$7+$Q$10)+IF(SUM($C24:I24)&lt;$P$8,I24*$Q$8,0)+IF(SUM($C24:I24)&lt;$P$9,I24*$Q$9,"")))),"")</f>
        <v/>
      </c>
      <c r="J37" s="637" t="str">
        <f>+IFERROR(IF(J24="","",IF($C12="FT",(J24*($Q$6+$Q$7+$Q$10+$Q$11+$Q$13)+IF(SUM($C24:J24)&lt;$P$8,J24*$Q$8,0)+IF(SUM($C24:J24)&lt;$P$9,J24*$Q$9,0)),(J24*($Q$6+$Q$7+$Q$10)+IF(SUM($C24:J24)&lt;$P$8,J24*$Q$8,0)+IF(SUM($C24:J24)&lt;$P$9,J24*$Q$9,"")))),"")</f>
        <v/>
      </c>
      <c r="K37" s="637" t="str">
        <f>+IFERROR(IF(K24="","",IF($C12="FT",(K24*($Q$6+$Q$7+$Q$10+$Q$11+$Q$13)+IF(SUM($C24:K24)&lt;$P$8,K24*$Q$8,0)+IF(SUM($C24:K24)&lt;$P$9,K24*$Q$9,0)),(K24*($Q$6+$Q$7+$Q$10)+IF(SUM($C24:K24)&lt;$P$8,K24*$Q$8,0)+IF(SUM($C24:K24)&lt;$P$9,K24*$Q$9,"")))),"")</f>
        <v/>
      </c>
      <c r="L37" s="637" t="str">
        <f>+IFERROR(IF(L24="","",IF($C12="FT",(L24*($Q$6+$Q$7+$Q$10+$Q$11+$Q$13)+IF(SUM($C24:L24)&lt;$P$8,L24*$Q$8,0)+IF(SUM($C24:L24)&lt;$P$9,L24*$Q$9,0)),(L24*($Q$6+$Q$7+$Q$10)+IF(SUM($C24:L24)&lt;$P$8,L24*$Q$8,0)+IF(SUM($C24:L24)&lt;$P$9,L24*$Q$9,"")))),"")</f>
        <v/>
      </c>
      <c r="M37" s="637" t="str">
        <f>+IFERROR(IF(M24="","",IF($C12="FT",(M24*($Q$6+$Q$7+$Q$10+$Q$11+$Q$13)+IF(SUM($C24:M24)&lt;$P$8,M24*$Q$8,0)+IF(SUM($C24:M24)&lt;$P$9,M24*$Q$9,0)),(M24*($Q$6+$Q$7+$Q$10)+IF(SUM($C24:M24)&lt;$P$8,M24*$Q$8,0)+IF(SUM($C24:M24)&lt;$P$9,M24*$Q$9,"")))),"")</f>
        <v/>
      </c>
      <c r="N37" s="637" t="str">
        <f>+IFERROR(IF(N24="","",IF($C12="FT",(N24*($Q$6+$Q$7+$Q$10+$Q$11+$Q$13)+IF(SUM($C24:N24)&lt;$P$8,N24*$Q$8,0)+IF(SUM($C24:N24)&lt;$P$9,N24*$Q$9,0)),(N24*($Q$6+$Q$7+$Q$10)+IF(SUM($C24:N24)&lt;$P$8,N24*$Q$8,0)+IF(SUM($C24:N24)&lt;$P$9,N24*$Q$9,"")))),"")</f>
        <v/>
      </c>
      <c r="O37" s="647">
        <f t="shared" si="8"/>
        <v>0</v>
      </c>
      <c r="P37" s="648" t="str">
        <f t="shared" si="9"/>
        <v/>
      </c>
      <c r="Q37" s="627">
        <f t="shared" si="9"/>
        <v>0</v>
      </c>
    </row>
    <row r="38" spans="1:17" ht="12.75" customHeight="1" outlineLevel="1" x14ac:dyDescent="0.2">
      <c r="A38" s="629" t="str">
        <f t="shared" si="7"/>
        <v>Title 8</v>
      </c>
      <c r="C38" s="637" t="str">
        <f>+IFERROR(IF(C25="","",IF($C13="FT",(C25*($Q$6+$Q$7+$Q$10+$Q$11+$Q$13)+IF(SUM($C25:C25)&lt;$P$8,C25*$Q$8,0)+IF(SUM($C25:C25)&lt;$P$9,C25*$Q$9,0)),(C25*($Q$6+$Q$7+$Q$10)+IF(SUM($C25:C25)&lt;$P$8,C25*$Q$8,0)+IF(SUM($C25:C25)&lt;$P$9,C25*$Q$9,"")))),"")</f>
        <v/>
      </c>
      <c r="D38" s="637" t="str">
        <f>+IFERROR(IF(D25="","",IF($C13="FT",(D25*($Q$6+$Q$7+$Q$10+$Q$11+$Q$13)+IF(SUM($C25:D25)&lt;$P$8,D25*$Q$8,0)+IF(SUM($C25:D25)&lt;$P$9,D25*$Q$9,0)),(D25*($Q$6+$Q$7+$Q$10)+IF(SUM($C25:D25)&lt;$P$8,D25*$Q$8,0)+IF(SUM($C25:D25)&lt;$P$9,D25*$Q$9,"")))),"")</f>
        <v/>
      </c>
      <c r="E38" s="637" t="str">
        <f>+IFERROR(IF(E25="","",IF($C13="FT",(E25*($Q$6+$Q$7+$Q$10+$Q$11+$Q$13)+IF(SUM($C25:E25)&lt;$P$8,E25*$Q$8,0)+IF(SUM($C25:E25)&lt;$P$9,E25*$Q$9,0)),(E25*($Q$6+$Q$7+$Q$10)+IF(SUM($C25:E25)&lt;$P$8,E25*$Q$8,0)+IF(SUM($C25:E25)&lt;$P$9,E25*$Q$9,"")))),"")</f>
        <v/>
      </c>
      <c r="F38" s="637" t="str">
        <f>+IFERROR(IF(F25="","",IF($C13="FT",(F25*($Q$6+$Q$7+$Q$10+$Q$11+$Q$13)+IF(SUM($C25:F25)&lt;$P$8,F25*$Q$8,0)+IF(SUM($C25:F25)&lt;$P$9,F25*$Q$9,0)),(F25*($Q$6+$Q$7+$Q$10)+IF(SUM($C25:F25)&lt;$P$8,F25*$Q$8,0)+IF(SUM($C25:F25)&lt;$P$9,F25*$Q$9,"")))),"")</f>
        <v/>
      </c>
      <c r="G38" s="637" t="str">
        <f>+IFERROR(IF(G25="","",IF($C13="FT",(G25*($Q$6+$Q$7+$Q$10+$Q$11+$Q$13)+IF(SUM($C25:G25)&lt;$P$8,G25*$Q$8,0)+IF(SUM($C25:G25)&lt;$P$9,G25*$Q$9,0)),(G25*($Q$6+$Q$7+$Q$10)+IF(SUM($C25:G25)&lt;$P$8,G25*$Q$8,0)+IF(SUM($C25:G25)&lt;$P$9,G25*$Q$9,"")))),"")</f>
        <v/>
      </c>
      <c r="H38" s="637" t="str">
        <f>+IFERROR(IF(H25="","",IF($C13="FT",(H25*($Q$6+$Q$7+$Q$10+$Q$11+$Q$13)+IF(SUM($C25:H25)&lt;$P$8,H25*$Q$8,0)+IF(SUM($C25:H25)&lt;$P$9,H25*$Q$9,0)),(H25*($Q$6+$Q$7+$Q$10)+IF(SUM($C25:H25)&lt;$P$8,H25*$Q$8,0)+IF(SUM($C25:H25)&lt;$P$9,H25*$Q$9,"")))),"")</f>
        <v/>
      </c>
      <c r="I38" s="637" t="str">
        <f>+IFERROR(IF(I25="","",IF($C13="FT",(I25*($Q$6+$Q$7+$Q$10+$Q$11+$Q$13)+IF(SUM($C25:I25)&lt;$P$8,I25*$Q$8,0)+IF(SUM($C25:I25)&lt;$P$9,I25*$Q$9,0)),(I25*($Q$6+$Q$7+$Q$10)+IF(SUM($C25:I25)&lt;$P$8,I25*$Q$8,0)+IF(SUM($C25:I25)&lt;$P$9,I25*$Q$9,"")))),"")</f>
        <v/>
      </c>
      <c r="J38" s="637" t="str">
        <f>+IFERROR(IF(J25="","",IF($C13="FT",(J25*($Q$6+$Q$7+$Q$10+$Q$11+$Q$13)+IF(SUM($C25:J25)&lt;$P$8,J25*$Q$8,0)+IF(SUM($C25:J25)&lt;$P$9,J25*$Q$9,0)),(J25*($Q$6+$Q$7+$Q$10)+IF(SUM($C25:J25)&lt;$P$8,J25*$Q$8,0)+IF(SUM($C25:J25)&lt;$P$9,J25*$Q$9,"")))),"")</f>
        <v/>
      </c>
      <c r="K38" s="637" t="str">
        <f>+IFERROR(IF(K25="","",IF($C13="FT",(K25*($Q$6+$Q$7+$Q$10+$Q$11+$Q$13)+IF(SUM($C25:K25)&lt;$P$8,K25*$Q$8,0)+IF(SUM($C25:K25)&lt;$P$9,K25*$Q$9,0)),(K25*($Q$6+$Q$7+$Q$10)+IF(SUM($C25:K25)&lt;$P$8,K25*$Q$8,0)+IF(SUM($C25:K25)&lt;$P$9,K25*$Q$9,"")))),"")</f>
        <v/>
      </c>
      <c r="L38" s="637" t="str">
        <f>+IFERROR(IF(L25="","",IF($C13="FT",(L25*($Q$6+$Q$7+$Q$10+$Q$11+$Q$13)+IF(SUM($C25:L25)&lt;$P$8,L25*$Q$8,0)+IF(SUM($C25:L25)&lt;$P$9,L25*$Q$9,0)),(L25*($Q$6+$Q$7+$Q$10)+IF(SUM($C25:L25)&lt;$P$8,L25*$Q$8,0)+IF(SUM($C25:L25)&lt;$P$9,L25*$Q$9,"")))),"")</f>
        <v/>
      </c>
      <c r="M38" s="637" t="str">
        <f>+IFERROR(IF(M25="","",IF($C13="FT",(M25*($Q$6+$Q$7+$Q$10+$Q$11+$Q$13)+IF(SUM($C25:M25)&lt;$P$8,M25*$Q$8,0)+IF(SUM($C25:M25)&lt;$P$9,M25*$Q$9,0)),(M25*($Q$6+$Q$7+$Q$10)+IF(SUM($C25:M25)&lt;$P$8,M25*$Q$8,0)+IF(SUM($C25:M25)&lt;$P$9,M25*$Q$9,"")))),"")</f>
        <v/>
      </c>
      <c r="N38" s="637" t="str">
        <f>+IFERROR(IF(N25="","",IF($C13="FT",(N25*($Q$6+$Q$7+$Q$10+$Q$11+$Q$13)+IF(SUM($C25:N25)&lt;$P$8,N25*$Q$8,0)+IF(SUM($C25:N25)&lt;$P$9,N25*$Q$9,0)),(N25*($Q$6+$Q$7+$Q$10)+IF(SUM($C25:N25)&lt;$P$8,N25*$Q$8,0)+IF(SUM($C25:N25)&lt;$P$9,N25*$Q$9,"")))),"")</f>
        <v/>
      </c>
      <c r="O38" s="647">
        <f t="shared" si="8"/>
        <v>0</v>
      </c>
      <c r="P38" s="648" t="str">
        <f t="shared" si="9"/>
        <v/>
      </c>
      <c r="Q38" s="627">
        <f t="shared" si="9"/>
        <v>0</v>
      </c>
    </row>
    <row r="39" spans="1:17" ht="12.75" customHeight="1" outlineLevel="1" x14ac:dyDescent="0.2">
      <c r="A39" s="629" t="str">
        <f t="shared" si="7"/>
        <v>Title 9</v>
      </c>
      <c r="C39" s="637" t="str">
        <f>+IFERROR(IF(C26="","",IF($C14="FT",(C26*($Q$6+$Q$7+$Q$10+$Q$11+$Q$13)+IF(SUM($C26:C26)&lt;$P$8,C26*$Q$8,0)+IF(SUM($C26:C26)&lt;$P$9,C26*$Q$9,0)),(C26*($Q$6+$Q$7+$Q$10)+IF(SUM($C26:C26)&lt;$P$8,C26*$Q$8,0)+IF(SUM($C26:C26)&lt;$P$9,C26*$Q$9,"")))),"")</f>
        <v/>
      </c>
      <c r="D39" s="637" t="str">
        <f>+IFERROR(IF(D26="","",IF($C14="FT",(D26*($Q$6+$Q$7+$Q$10+$Q$11+$Q$13)+IF(SUM($C26:D26)&lt;$P$8,D26*$Q$8,0)+IF(SUM($C26:D26)&lt;$P$9,D26*$Q$9,0)),(D26*($Q$6+$Q$7+$Q$10)+IF(SUM($C26:D26)&lt;$P$8,D26*$Q$8,0)+IF(SUM($C26:D26)&lt;$P$9,D26*$Q$9,"")))),"")</f>
        <v/>
      </c>
      <c r="E39" s="637" t="str">
        <f>+IFERROR(IF(E26="","",IF($C14="FT",(E26*($Q$6+$Q$7+$Q$10+$Q$11+$Q$13)+IF(SUM($C26:E26)&lt;$P$8,E26*$Q$8,0)+IF(SUM($C26:E26)&lt;$P$9,E26*$Q$9,0)),(E26*($Q$6+$Q$7+$Q$10)+IF(SUM($C26:E26)&lt;$P$8,E26*$Q$8,0)+IF(SUM($C26:E26)&lt;$P$9,E26*$Q$9,"")))),"")</f>
        <v/>
      </c>
      <c r="F39" s="637" t="str">
        <f>+IFERROR(IF(F26="","",IF($C14="FT",(F26*($Q$6+$Q$7+$Q$10+$Q$11+$Q$13)+IF(SUM($C26:F26)&lt;$P$8,F26*$Q$8,0)+IF(SUM($C26:F26)&lt;$P$9,F26*$Q$9,0)),(F26*($Q$6+$Q$7+$Q$10)+IF(SUM($C26:F26)&lt;$P$8,F26*$Q$8,0)+IF(SUM($C26:F26)&lt;$P$9,F26*$Q$9,"")))),"")</f>
        <v/>
      </c>
      <c r="G39" s="637" t="str">
        <f>+IFERROR(IF(G26="","",IF($C14="FT",(G26*($Q$6+$Q$7+$Q$10+$Q$11+$Q$13)+IF(SUM($C26:G26)&lt;$P$8,G26*$Q$8,0)+IF(SUM($C26:G26)&lt;$P$9,G26*$Q$9,0)),(G26*($Q$6+$Q$7+$Q$10)+IF(SUM($C26:G26)&lt;$P$8,G26*$Q$8,0)+IF(SUM($C26:G26)&lt;$P$9,G26*$Q$9,"")))),"")</f>
        <v/>
      </c>
      <c r="H39" s="637" t="str">
        <f>+IFERROR(IF(H26="","",IF($C14="FT",(H26*($Q$6+$Q$7+$Q$10+$Q$11+$Q$13)+IF(SUM($C26:H26)&lt;$P$8,H26*$Q$8,0)+IF(SUM($C26:H26)&lt;$P$9,H26*$Q$9,0)),(H26*($Q$6+$Q$7+$Q$10)+IF(SUM($C26:H26)&lt;$P$8,H26*$Q$8,0)+IF(SUM($C26:H26)&lt;$P$9,H26*$Q$9,"")))),"")</f>
        <v/>
      </c>
      <c r="I39" s="637" t="str">
        <f>+IFERROR(IF(I26="","",IF($C14="FT",(I26*($Q$6+$Q$7+$Q$10+$Q$11+$Q$13)+IF(SUM($C26:I26)&lt;$P$8,I26*$Q$8,0)+IF(SUM($C26:I26)&lt;$P$9,I26*$Q$9,0)),(I26*($Q$6+$Q$7+$Q$10)+IF(SUM($C26:I26)&lt;$P$8,I26*$Q$8,0)+IF(SUM($C26:I26)&lt;$P$9,I26*$Q$9,"")))),"")</f>
        <v/>
      </c>
      <c r="J39" s="637" t="str">
        <f>+IFERROR(IF(J26="","",IF($C14="FT",(J26*($Q$6+$Q$7+$Q$10+$Q$11+$Q$13)+IF(SUM($C26:J26)&lt;$P$8,J26*$Q$8,0)+IF(SUM($C26:J26)&lt;$P$9,J26*$Q$9,0)),(J26*($Q$6+$Q$7+$Q$10)+IF(SUM($C26:J26)&lt;$P$8,J26*$Q$8,0)+IF(SUM($C26:J26)&lt;$P$9,J26*$Q$9,"")))),"")</f>
        <v/>
      </c>
      <c r="K39" s="637" t="str">
        <f>+IFERROR(IF(K26="","",IF($C14="FT",(K26*($Q$6+$Q$7+$Q$10+$Q$11+$Q$13)+IF(SUM($C26:K26)&lt;$P$8,K26*$Q$8,0)+IF(SUM($C26:K26)&lt;$P$9,K26*$Q$9,0)),(K26*($Q$6+$Q$7+$Q$10)+IF(SUM($C26:K26)&lt;$P$8,K26*$Q$8,0)+IF(SUM($C26:K26)&lt;$P$9,K26*$Q$9,"")))),"")</f>
        <v/>
      </c>
      <c r="L39" s="637" t="str">
        <f>+IFERROR(IF(L26="","",IF($C14="FT",(L26*($Q$6+$Q$7+$Q$10+$Q$11+$Q$13)+IF(SUM($C26:L26)&lt;$P$8,L26*$Q$8,0)+IF(SUM($C26:L26)&lt;$P$9,L26*$Q$9,0)),(L26*($Q$6+$Q$7+$Q$10)+IF(SUM($C26:L26)&lt;$P$8,L26*$Q$8,0)+IF(SUM($C26:L26)&lt;$P$9,L26*$Q$9,"")))),"")</f>
        <v/>
      </c>
      <c r="M39" s="637" t="str">
        <f>+IFERROR(IF(M26="","",IF($C14="FT",(M26*($Q$6+$Q$7+$Q$10+$Q$11+$Q$13)+IF(SUM($C26:M26)&lt;$P$8,M26*$Q$8,0)+IF(SUM($C26:M26)&lt;$P$9,M26*$Q$9,0)),(M26*($Q$6+$Q$7+$Q$10)+IF(SUM($C26:M26)&lt;$P$8,M26*$Q$8,0)+IF(SUM($C26:M26)&lt;$P$9,M26*$Q$9,"")))),"")</f>
        <v/>
      </c>
      <c r="N39" s="637" t="str">
        <f>+IFERROR(IF(N26="","",IF($C14="FT",(N26*($Q$6+$Q$7+$Q$10+$Q$11+$Q$13)+IF(SUM($C26:N26)&lt;$P$8,N26*$Q$8,0)+IF(SUM($C26:N26)&lt;$P$9,N26*$Q$9,0)),(N26*($Q$6+$Q$7+$Q$10)+IF(SUM($C26:N26)&lt;$P$8,N26*$Q$8,0)+IF(SUM($C26:N26)&lt;$P$9,N26*$Q$9,"")))),"")</f>
        <v/>
      </c>
      <c r="O39" s="647">
        <f t="shared" si="8"/>
        <v>0</v>
      </c>
      <c r="P39" s="648" t="str">
        <f t="shared" si="9"/>
        <v/>
      </c>
      <c r="Q39" s="627">
        <f t="shared" si="9"/>
        <v>0</v>
      </c>
    </row>
    <row r="40" spans="1:17" ht="24" customHeight="1" x14ac:dyDescent="0.2">
      <c r="A40" s="1108" t="s">
        <v>251</v>
      </c>
      <c r="B40" s="1083"/>
      <c r="C40" s="649">
        <f t="shared" ref="C40:Q40" si="10">SUM(C31:C39)</f>
        <v>737.5</v>
      </c>
      <c r="D40" s="650">
        <f t="shared" si="10"/>
        <v>737.5</v>
      </c>
      <c r="E40" s="650">
        <f t="shared" si="10"/>
        <v>921.875</v>
      </c>
      <c r="F40" s="650">
        <f t="shared" si="10"/>
        <v>921.875</v>
      </c>
      <c r="G40" s="650">
        <f t="shared" si="10"/>
        <v>921.875</v>
      </c>
      <c r="H40" s="650">
        <f t="shared" si="10"/>
        <v>921.875</v>
      </c>
      <c r="I40" s="650">
        <f t="shared" si="10"/>
        <v>921.875</v>
      </c>
      <c r="J40" s="650">
        <f t="shared" si="10"/>
        <v>921.875</v>
      </c>
      <c r="K40" s="650">
        <f t="shared" si="10"/>
        <v>921.875</v>
      </c>
      <c r="L40" s="650">
        <f t="shared" si="10"/>
        <v>921.875</v>
      </c>
      <c r="M40" s="650">
        <f t="shared" si="10"/>
        <v>921.875</v>
      </c>
      <c r="N40" s="651">
        <f t="shared" si="10"/>
        <v>921.875</v>
      </c>
      <c r="O40" s="652">
        <f t="shared" si="10"/>
        <v>10693.75</v>
      </c>
      <c r="P40" s="652">
        <f t="shared" si="10"/>
        <v>23503.59375</v>
      </c>
      <c r="Q40" s="652">
        <f t="shared" si="10"/>
        <v>24678.7734375</v>
      </c>
    </row>
  </sheetData>
  <mergeCells count="6">
    <mergeCell ref="O29:Q29"/>
    <mergeCell ref="A29:B29"/>
    <mergeCell ref="M5:O5"/>
    <mergeCell ref="A40:B40"/>
    <mergeCell ref="A27:B27"/>
    <mergeCell ref="O16:Q16"/>
  </mergeCells>
  <pageMargins left="0.7" right="0.7" top="0.75" bottom="0.75" header="0" footer="0"/>
  <pageSetup orientation="portrait"/>
</worksheet>
</file>

<file path=docMetadata/LabelInfo.xml><?xml version="1.0" encoding="utf-8"?>
<clbl:labelList xmlns:clbl="http://schemas.microsoft.com/office/2020/mipLabelMetadata">
  <clbl:label id="{170051ed-867f-4092-a6af-8a42e27b7e09}" enabled="1" method="Standard" siteId="{5217e0e7-539d-4563-b1bf-7c6dcf074f91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Info &amp; Instructions</vt:lpstr>
      <vt:lpstr>Historical</vt:lpstr>
      <vt:lpstr>Historical prnt</vt:lpstr>
      <vt:lpstr>3yr Sum Proj Fin Stmts</vt:lpstr>
      <vt:lpstr>12m+2yr Sum Proj Fin Stmts</vt:lpstr>
      <vt:lpstr>Projected Fin Stmts</vt:lpstr>
      <vt:lpstr>P&amp;L-Revenues</vt:lpstr>
      <vt:lpstr>P&amp;L-COGS</vt:lpstr>
      <vt:lpstr>P&amp;L-Payroll</vt:lpstr>
      <vt:lpstr>P&amp;L-Expenses</vt:lpstr>
      <vt:lpstr>BAL-Assets</vt:lpstr>
      <vt:lpstr>BAL-Liabilities &amp; Equity</vt:lpstr>
      <vt:lpstr>HR</vt:lpstr>
      <vt:lpstr>Detail CF Projections</vt:lpstr>
      <vt:lpstr>Ratios</vt:lpstr>
      <vt:lpstr>Proj v Act</vt:lpstr>
      <vt:lpstr>Act vs Proj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Darrell Day</dc:creator>
  <cp:lastModifiedBy>Darrell Day</cp:lastModifiedBy>
  <dcterms:created xsi:type="dcterms:W3CDTF">2022-03-22T14:15:21Z</dcterms:created>
  <dcterms:modified xsi:type="dcterms:W3CDTF">2026-07-07T20:20:54Z</dcterms:modified>
</cp:coreProperties>
</file>