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darrell/Projects/_active/dday-portfolio/public/archive/"/>
    </mc:Choice>
  </mc:AlternateContent>
  <xr:revisionPtr revIDLastSave="0" documentId="13_ncr:1_{AF27BAE1-935C-3A43-9D1D-03D3B45078A8}" xr6:coauthVersionLast="47" xr6:coauthVersionMax="47" xr10:uidLastSave="{00000000-0000-0000-0000-000000000000}"/>
  <bookViews>
    <workbookView xWindow="0" yWindow="600" windowWidth="56800" windowHeight="24560" tabRatio="500" xr2:uid="{00000000-000D-0000-FFFF-FFFF00000000}"/>
  </bookViews>
  <sheets>
    <sheet name="Executive Summary" sheetId="1" r:id="rId1"/>
    <sheet name="Question 1 - DCF" sheetId="2" r:id="rId2"/>
    <sheet name="Question 2 - Trading Comps" sheetId="3" r:id="rId3"/>
    <sheet name="Question 3 - Deal Comps" sheetId="4" r:id="rId4"/>
    <sheet name="Question 4 - Valuation Summary" sheetId="5" r:id="rId5"/>
    <sheet name="Data" sheetId="6" r:id="rId6"/>
    <sheet name="Ratios" sheetId="7" r:id="rId7"/>
    <sheet name="WACC" sheetId="8" r:id="rId8"/>
    <sheet name="WACC Reference" sheetId="9" r:id="rId9"/>
    <sheet name="CF" sheetId="10" r:id="rId10"/>
    <sheet name="IS - GAAP" sheetId="11" r:id="rId11"/>
    <sheet name="IS - As Reported" sheetId="12" r:id="rId12"/>
    <sheet name="IS Reconciliation" sheetId="13" r:id="rId13"/>
    <sheet name="BS - Standardized" sheetId="14" r:id="rId14"/>
    <sheet name="BS - As Reported" sheetId="15" r:id="rId15"/>
    <sheet name="README" sheetId="16" state="hidden" r:id="rId16"/>
    <sheet name="Live Log" sheetId="17" state="hidden" r:id="rId1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4">'BS - As Reported'!$B$1:$O$202</definedName>
    <definedName name="_xlnm.Print_Area" localSheetId="13">'BS - Standardized'!$B$1:$T$103</definedName>
    <definedName name="_xlnm.Print_Area" localSheetId="9">CF!$B$1:$T$72</definedName>
    <definedName name="_xlnm.Print_Area" localSheetId="5">Data!$A$2:$P$90</definedName>
    <definedName name="_xlnm.Print_Area" localSheetId="11">'IS - As Reported'!$B$1:$O$193</definedName>
    <definedName name="_xlnm.Print_Area" localSheetId="10">'IS - GAAP'!$B$1:$T$71</definedName>
    <definedName name="_xlnm.Print_Area" localSheetId="12">'IS Reconciliation'!$B$1:$O$90</definedName>
    <definedName name="_xlnm.Print_Area" localSheetId="1">'Question 1 - DCF'!$A$2:$AB$197</definedName>
    <definedName name="_xlnm.Print_Area" localSheetId="2">'Question 2 - Trading Comps'!$A$2:$CY$50</definedName>
    <definedName name="_xlnm.Print_Area" localSheetId="3">'Question 3 - Deal Comps'!$A$1:$AV$51</definedName>
    <definedName name="_xlnm.Print_Area" localSheetId="4">'Question 4 - Valuation Summary'!$B$2:$W$36</definedName>
    <definedName name="_xlnm.Print_Area" localSheetId="6">Ratios!$A$2:$I$80</definedName>
    <definedName name="_xlnm.Print_Area" localSheetId="15">README!$B$2:$F$25</definedName>
    <definedName name="_xlnm.Print_Area" localSheetId="8">'WACC Reference'!$B$1:$M$34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T18" i="14"/>
  <c r="S18" i="14"/>
  <c r="R18" i="14"/>
  <c r="B2" i="14"/>
  <c r="M90" i="13"/>
  <c r="L90" i="13"/>
  <c r="K90" i="13"/>
  <c r="B2" i="13"/>
  <c r="B2" i="12"/>
  <c r="M71" i="11"/>
  <c r="L71" i="11"/>
  <c r="K71" i="11"/>
  <c r="P57" i="11"/>
  <c r="P56" i="11"/>
  <c r="Q21" i="11"/>
  <c r="Q22" i="11" s="1"/>
  <c r="T13" i="11"/>
  <c r="S13" i="11"/>
  <c r="R13" i="11"/>
  <c r="T10" i="11"/>
  <c r="S10" i="11"/>
  <c r="R10" i="11"/>
  <c r="R7" i="11"/>
  <c r="Q7" i="11"/>
  <c r="B2" i="11"/>
  <c r="M72" i="10"/>
  <c r="L72" i="10"/>
  <c r="K72" i="10"/>
  <c r="T26" i="10"/>
  <c r="S26" i="10"/>
  <c r="R26" i="10"/>
  <c r="T8" i="10"/>
  <c r="S8" i="10"/>
  <c r="R8" i="10"/>
  <c r="B2" i="10"/>
  <c r="B2" i="9"/>
  <c r="G20" i="8"/>
  <c r="E20" i="8"/>
  <c r="D20" i="8"/>
  <c r="C20" i="8"/>
  <c r="G19" i="8"/>
  <c r="E19" i="8"/>
  <c r="D19" i="8"/>
  <c r="C19" i="8"/>
  <c r="G18" i="8"/>
  <c r="E18" i="8"/>
  <c r="D18" i="8"/>
  <c r="C18" i="8"/>
  <c r="C15" i="8"/>
  <c r="D165" i="2" s="1"/>
  <c r="N167" i="2" s="1"/>
  <c r="C6" i="8"/>
  <c r="B2" i="8"/>
  <c r="H79" i="7"/>
  <c r="G79" i="7"/>
  <c r="F79" i="7"/>
  <c r="E79" i="7"/>
  <c r="D79" i="7"/>
  <c r="H46" i="7"/>
  <c r="G46" i="7"/>
  <c r="F46" i="7"/>
  <c r="E46" i="7"/>
  <c r="D46" i="7"/>
  <c r="B2" i="7"/>
  <c r="H80" i="6"/>
  <c r="H34" i="2" s="1"/>
  <c r="G80" i="6"/>
  <c r="G34" i="2" s="1"/>
  <c r="F80" i="6"/>
  <c r="F34" i="2" s="1"/>
  <c r="E80" i="6"/>
  <c r="E34" i="2" s="1"/>
  <c r="D80" i="6"/>
  <c r="D34" i="2" s="1"/>
  <c r="C80" i="6"/>
  <c r="C34" i="2" s="1"/>
  <c r="H69" i="6"/>
  <c r="AL33" i="3" s="1"/>
  <c r="G69" i="6"/>
  <c r="F69" i="6"/>
  <c r="E69" i="6"/>
  <c r="D69" i="6"/>
  <c r="C69" i="6"/>
  <c r="H68" i="6"/>
  <c r="G68" i="6"/>
  <c r="G29" i="7" s="1"/>
  <c r="F68" i="6"/>
  <c r="E68" i="6"/>
  <c r="D68" i="6"/>
  <c r="C68" i="6"/>
  <c r="H63" i="6"/>
  <c r="G63" i="6"/>
  <c r="F63" i="6"/>
  <c r="E63" i="6"/>
  <c r="D63" i="6"/>
  <c r="C63" i="6"/>
  <c r="H62" i="6"/>
  <c r="G62" i="6"/>
  <c r="F62" i="6"/>
  <c r="E62" i="6"/>
  <c r="D62" i="6"/>
  <c r="C62" i="6"/>
  <c r="H60" i="6"/>
  <c r="H139" i="2" s="1"/>
  <c r="G60" i="6"/>
  <c r="F60" i="6"/>
  <c r="F139" i="2" s="1"/>
  <c r="E60" i="6"/>
  <c r="D60" i="6"/>
  <c r="C60" i="6"/>
  <c r="C139" i="2" s="1"/>
  <c r="H59" i="6"/>
  <c r="H138" i="2" s="1"/>
  <c r="G59" i="6"/>
  <c r="G138" i="2" s="1"/>
  <c r="F59" i="6"/>
  <c r="F138" i="2" s="1"/>
  <c r="E59" i="6"/>
  <c r="D59" i="6"/>
  <c r="C59" i="6"/>
  <c r="C138" i="2" s="1"/>
  <c r="H58" i="6"/>
  <c r="H63" i="7" s="1"/>
  <c r="G58" i="6"/>
  <c r="G137" i="2" s="1"/>
  <c r="F58" i="6"/>
  <c r="G68" i="7" s="1"/>
  <c r="E58" i="6"/>
  <c r="D58" i="6"/>
  <c r="E68" i="7" s="1"/>
  <c r="C58" i="6"/>
  <c r="H57" i="6"/>
  <c r="G57" i="6"/>
  <c r="F57" i="6"/>
  <c r="E57" i="6"/>
  <c r="D57" i="6"/>
  <c r="C57" i="6"/>
  <c r="H52" i="6"/>
  <c r="G52" i="6"/>
  <c r="F52" i="6"/>
  <c r="E52" i="6"/>
  <c r="D52" i="6"/>
  <c r="C52" i="6"/>
  <c r="H51" i="6"/>
  <c r="G51" i="6"/>
  <c r="F51" i="6"/>
  <c r="E51" i="6"/>
  <c r="D51" i="6"/>
  <c r="C51" i="6"/>
  <c r="H50" i="6"/>
  <c r="G50" i="6"/>
  <c r="F50" i="6"/>
  <c r="E50" i="6"/>
  <c r="D50" i="6"/>
  <c r="C50" i="6"/>
  <c r="H48" i="6"/>
  <c r="H133" i="2" s="1"/>
  <c r="G48" i="6"/>
  <c r="G133" i="2" s="1"/>
  <c r="F48" i="6"/>
  <c r="F133" i="2" s="1"/>
  <c r="E48" i="6"/>
  <c r="E133" i="2" s="1"/>
  <c r="D48" i="6"/>
  <c r="D133" i="2" s="1"/>
  <c r="C48" i="6"/>
  <c r="C133" i="2" s="1"/>
  <c r="H47" i="6"/>
  <c r="H62" i="7" s="1"/>
  <c r="G47" i="6"/>
  <c r="H67" i="7" s="1"/>
  <c r="F47" i="6"/>
  <c r="G67" i="7" s="1"/>
  <c r="E47" i="6"/>
  <c r="D47" i="6"/>
  <c r="E67" i="7" s="1"/>
  <c r="C47" i="6"/>
  <c r="C132" i="2" s="1"/>
  <c r="H46" i="6"/>
  <c r="H131" i="2" s="1"/>
  <c r="G46" i="6"/>
  <c r="H66" i="7" s="1"/>
  <c r="F46" i="6"/>
  <c r="G66" i="7" s="1"/>
  <c r="E46" i="6"/>
  <c r="E61" i="7" s="1"/>
  <c r="D46" i="6"/>
  <c r="C46" i="6"/>
  <c r="D66" i="7" s="1"/>
  <c r="H45" i="6"/>
  <c r="AN33" i="3" s="1"/>
  <c r="G45" i="6"/>
  <c r="F45" i="6"/>
  <c r="E45" i="6"/>
  <c r="D45" i="6"/>
  <c r="C45" i="6"/>
  <c r="H39" i="6"/>
  <c r="AL30" i="4" s="1"/>
  <c r="Q30" i="4" s="1"/>
  <c r="G39" i="6"/>
  <c r="F39" i="6"/>
  <c r="E39" i="6"/>
  <c r="D39" i="6"/>
  <c r="C39" i="6"/>
  <c r="H38" i="6"/>
  <c r="G38" i="6"/>
  <c r="F38" i="6"/>
  <c r="E38" i="6"/>
  <c r="D38" i="6"/>
  <c r="C38" i="6"/>
  <c r="H35" i="6"/>
  <c r="G35" i="6"/>
  <c r="F35" i="6"/>
  <c r="E35" i="6"/>
  <c r="D35" i="6"/>
  <c r="C35" i="6"/>
  <c r="H34" i="6"/>
  <c r="G34" i="6"/>
  <c r="F34" i="6"/>
  <c r="E34" i="6"/>
  <c r="D34" i="6"/>
  <c r="C34" i="6"/>
  <c r="H33" i="6"/>
  <c r="G33" i="6"/>
  <c r="F33" i="6"/>
  <c r="E33" i="6"/>
  <c r="D33" i="6"/>
  <c r="C33" i="6"/>
  <c r="H30" i="6"/>
  <c r="G30" i="6"/>
  <c r="F30" i="6"/>
  <c r="E30" i="6"/>
  <c r="D30" i="6"/>
  <c r="C30" i="6"/>
  <c r="H28" i="6"/>
  <c r="G28" i="6"/>
  <c r="F28" i="6"/>
  <c r="E28" i="6"/>
  <c r="D28" i="6"/>
  <c r="C28" i="6"/>
  <c r="H27" i="6"/>
  <c r="G27" i="6"/>
  <c r="F27" i="6"/>
  <c r="E27" i="6"/>
  <c r="D27" i="6"/>
  <c r="C27" i="6"/>
  <c r="H24" i="6"/>
  <c r="H77" i="6" s="1"/>
  <c r="G24" i="6"/>
  <c r="G23" i="6" s="1"/>
  <c r="F24" i="6"/>
  <c r="E24" i="6"/>
  <c r="E77" i="6" s="1"/>
  <c r="D24" i="6"/>
  <c r="D23" i="6" s="1"/>
  <c r="D18" i="2" s="1"/>
  <c r="C24" i="6"/>
  <c r="H20" i="6"/>
  <c r="H60" i="7" s="1"/>
  <c r="G20" i="6"/>
  <c r="G60" i="7" s="1"/>
  <c r="F20" i="6"/>
  <c r="F60" i="7" s="1"/>
  <c r="E20" i="6"/>
  <c r="E60" i="7" s="1"/>
  <c r="D20" i="6"/>
  <c r="D60" i="7" s="1"/>
  <c r="C20" i="6"/>
  <c r="H19" i="6"/>
  <c r="H59" i="7" s="1"/>
  <c r="G19" i="6"/>
  <c r="F19" i="6"/>
  <c r="G9" i="7" s="1"/>
  <c r="E19" i="6"/>
  <c r="E7" i="7" s="1"/>
  <c r="D19" i="6"/>
  <c r="D59" i="7" s="1"/>
  <c r="C19" i="6"/>
  <c r="C18" i="7" s="1"/>
  <c r="C14" i="6"/>
  <c r="AF33" i="3" s="1"/>
  <c r="C13" i="6"/>
  <c r="AE33" i="3" s="1"/>
  <c r="C12" i="6"/>
  <c r="F192" i="2" s="1"/>
  <c r="H8" i="6"/>
  <c r="H58" i="7" s="1"/>
  <c r="B2" i="6"/>
  <c r="V32" i="5"/>
  <c r="U32" i="5"/>
  <c r="V23" i="5"/>
  <c r="D8" i="5" s="1"/>
  <c r="U23" i="5"/>
  <c r="C8" i="5" s="1"/>
  <c r="C15" i="5"/>
  <c r="D7" i="5"/>
  <c r="C7" i="5"/>
  <c r="B2" i="5"/>
  <c r="AH30" i="4"/>
  <c r="K30" i="4" s="1"/>
  <c r="K34" i="4" s="1"/>
  <c r="Y30" i="4"/>
  <c r="B30" i="4"/>
  <c r="B28" i="4"/>
  <c r="U26" i="4"/>
  <c r="T26" i="4"/>
  <c r="S26" i="4"/>
  <c r="O26" i="4"/>
  <c r="U25" i="4"/>
  <c r="T25" i="4"/>
  <c r="S25" i="4"/>
  <c r="O25" i="4"/>
  <c r="U23" i="4"/>
  <c r="T23" i="4"/>
  <c r="S23" i="4"/>
  <c r="O23" i="4"/>
  <c r="U22" i="4"/>
  <c r="T22" i="4"/>
  <c r="S22" i="4"/>
  <c r="O22" i="4"/>
  <c r="B2" i="4"/>
  <c r="B35" i="3"/>
  <c r="CC33" i="3"/>
  <c r="CI33" i="3" s="1"/>
  <c r="BU33" i="3"/>
  <c r="U35" i="3" s="1"/>
  <c r="BR33" i="3"/>
  <c r="BQ33" i="3"/>
  <c r="BP33" i="3"/>
  <c r="F35" i="3" s="1"/>
  <c r="BL33" i="3"/>
  <c r="BM33" i="3" s="1"/>
  <c r="BD33" i="3"/>
  <c r="BE33" i="3" s="1"/>
  <c r="AV33" i="3"/>
  <c r="AI30" i="4" s="1"/>
  <c r="L30" i="4" s="1"/>
  <c r="L34" i="4" s="1"/>
  <c r="AQ33" i="3"/>
  <c r="CY33" i="3" s="1"/>
  <c r="W35" i="3" s="1"/>
  <c r="AC33" i="3"/>
  <c r="AB33" i="3"/>
  <c r="Z33" i="3"/>
  <c r="B33" i="3"/>
  <c r="B31" i="3"/>
  <c r="W23" i="3"/>
  <c r="CS22" i="3"/>
  <c r="V22" i="3" s="1"/>
  <c r="CR22" i="3"/>
  <c r="CQ22" i="3"/>
  <c r="CP22" i="3"/>
  <c r="BU22" i="3"/>
  <c r="U22" i="3" s="1"/>
  <c r="BR22" i="3"/>
  <c r="BQ22" i="3"/>
  <c r="BP22" i="3"/>
  <c r="BL22" i="3"/>
  <c r="BM22" i="3" s="1"/>
  <c r="BD22" i="3"/>
  <c r="BE22" i="3" s="1"/>
  <c r="AV22" i="3"/>
  <c r="AW22" i="3" s="1"/>
  <c r="AQ22" i="3"/>
  <c r="AO22" i="3"/>
  <c r="AG22" i="3"/>
  <c r="W22" i="3"/>
  <c r="B22" i="3"/>
  <c r="CY21" i="3"/>
  <c r="W21" i="3" s="1"/>
  <c r="CX21" i="3"/>
  <c r="CW21" i="3"/>
  <c r="CV21" i="3"/>
  <c r="CS21" i="3"/>
  <c r="V21" i="3" s="1"/>
  <c r="CR21" i="3"/>
  <c r="CQ21" i="3"/>
  <c r="CP21" i="3"/>
  <c r="BU21" i="3"/>
  <c r="U21" i="3" s="1"/>
  <c r="BR21" i="3"/>
  <c r="BQ21" i="3"/>
  <c r="BP21" i="3"/>
  <c r="BL21" i="3"/>
  <c r="BM21" i="3" s="1"/>
  <c r="BD21" i="3"/>
  <c r="BE21" i="3" s="1"/>
  <c r="AV21" i="3"/>
  <c r="AQ21" i="3"/>
  <c r="AO21" i="3"/>
  <c r="AG21" i="3"/>
  <c r="AH21" i="3" s="1"/>
  <c r="AI21" i="3" s="1"/>
  <c r="B21" i="3"/>
  <c r="CY20" i="3"/>
  <c r="W20" i="3" s="1"/>
  <c r="CX20" i="3"/>
  <c r="CW20" i="3"/>
  <c r="CV20" i="3"/>
  <c r="CS20" i="3"/>
  <c r="V20" i="3" s="1"/>
  <c r="CR20" i="3"/>
  <c r="CQ20" i="3"/>
  <c r="CP20" i="3"/>
  <c r="BU20" i="3"/>
  <c r="U20" i="3" s="1"/>
  <c r="BR20" i="3"/>
  <c r="BQ20" i="3"/>
  <c r="BP20" i="3"/>
  <c r="BL20" i="3"/>
  <c r="BM20" i="3" s="1"/>
  <c r="BD20" i="3"/>
  <c r="AV20" i="3"/>
  <c r="AW20" i="3" s="1"/>
  <c r="AQ20" i="3"/>
  <c r="AO20" i="3"/>
  <c r="AG20" i="3"/>
  <c r="AH20" i="3" s="1"/>
  <c r="AI20" i="3" s="1"/>
  <c r="B20" i="3"/>
  <c r="CY19" i="3"/>
  <c r="W19" i="3" s="1"/>
  <c r="CX19" i="3"/>
  <c r="CW19" i="3"/>
  <c r="CV19" i="3"/>
  <c r="CS19" i="3"/>
  <c r="V19" i="3" s="1"/>
  <c r="CR19" i="3"/>
  <c r="CQ19" i="3"/>
  <c r="CP19" i="3"/>
  <c r="BU19" i="3"/>
  <c r="U19" i="3" s="1"/>
  <c r="BR19" i="3"/>
  <c r="BQ19" i="3"/>
  <c r="BP19" i="3"/>
  <c r="BL19" i="3"/>
  <c r="BM19" i="3" s="1"/>
  <c r="BD19" i="3"/>
  <c r="BE19" i="3" s="1"/>
  <c r="AV19" i="3"/>
  <c r="AW19" i="3" s="1"/>
  <c r="AQ19" i="3"/>
  <c r="AO19" i="3"/>
  <c r="AG19" i="3"/>
  <c r="AH19" i="3" s="1"/>
  <c r="AI19" i="3" s="1"/>
  <c r="AJ19" i="3" s="1"/>
  <c r="C19" i="3" s="1"/>
  <c r="B19" i="3"/>
  <c r="CY18" i="3"/>
  <c r="W18" i="3" s="1"/>
  <c r="CX18" i="3"/>
  <c r="CW18" i="3"/>
  <c r="CV18" i="3"/>
  <c r="CS18" i="3"/>
  <c r="V18" i="3" s="1"/>
  <c r="CR18" i="3"/>
  <c r="CQ18" i="3"/>
  <c r="CP18" i="3"/>
  <c r="BU18" i="3"/>
  <c r="U18" i="3" s="1"/>
  <c r="BR18" i="3"/>
  <c r="BQ18" i="3"/>
  <c r="BP18" i="3"/>
  <c r="BL18" i="3"/>
  <c r="BM18" i="3" s="1"/>
  <c r="BD18" i="3"/>
  <c r="BE18" i="3" s="1"/>
  <c r="AV18" i="3"/>
  <c r="AW18" i="3" s="1"/>
  <c r="AQ18" i="3"/>
  <c r="AO18" i="3"/>
  <c r="AG18" i="3"/>
  <c r="AH18" i="3" s="1"/>
  <c r="AI18" i="3" s="1"/>
  <c r="B18" i="3"/>
  <c r="CY17" i="3"/>
  <c r="CX17" i="3"/>
  <c r="CW17" i="3"/>
  <c r="CV17" i="3"/>
  <c r="CS17" i="3"/>
  <c r="V17" i="3" s="1"/>
  <c r="CR17" i="3"/>
  <c r="CQ17" i="3"/>
  <c r="CP17" i="3"/>
  <c r="BU17" i="3"/>
  <c r="U17" i="3" s="1"/>
  <c r="BR17" i="3"/>
  <c r="BQ17" i="3"/>
  <c r="BP17" i="3"/>
  <c r="BL17" i="3"/>
  <c r="BM17" i="3" s="1"/>
  <c r="BD17" i="3"/>
  <c r="BE17" i="3" s="1"/>
  <c r="AV17" i="3"/>
  <c r="AW17" i="3" s="1"/>
  <c r="AQ17" i="3"/>
  <c r="AO17" i="3"/>
  <c r="AG17" i="3"/>
  <c r="AH17" i="3" s="1"/>
  <c r="AI17" i="3" s="1"/>
  <c r="AJ17" i="3" s="1"/>
  <c r="C17" i="3" s="1"/>
  <c r="W17" i="3"/>
  <c r="B17" i="3"/>
  <c r="CC16" i="3"/>
  <c r="CI16" i="3" s="1"/>
  <c r="BU16" i="3"/>
  <c r="U16" i="3" s="1"/>
  <c r="BR16" i="3"/>
  <c r="BQ16" i="3"/>
  <c r="BP16" i="3"/>
  <c r="BL16" i="3"/>
  <c r="BM16" i="3" s="1"/>
  <c r="BD16" i="3"/>
  <c r="BE16" i="3" s="1"/>
  <c r="AV16" i="3"/>
  <c r="AW16" i="3" s="1"/>
  <c r="AQ16" i="3"/>
  <c r="CY16" i="3" s="1"/>
  <c r="W16" i="3" s="1"/>
  <c r="AO16" i="3"/>
  <c r="AG16" i="3"/>
  <c r="AH16" i="3" s="1"/>
  <c r="AI16" i="3" s="1"/>
  <c r="AJ16" i="3" s="1"/>
  <c r="C16" i="3" s="1"/>
  <c r="B16" i="3"/>
  <c r="CC15" i="3"/>
  <c r="CI15" i="3" s="1"/>
  <c r="BU15" i="3"/>
  <c r="U15" i="3" s="1"/>
  <c r="BR15" i="3"/>
  <c r="BQ15" i="3"/>
  <c r="BP15" i="3"/>
  <c r="BL15" i="3"/>
  <c r="BM15" i="3" s="1"/>
  <c r="BD15" i="3"/>
  <c r="BE15" i="3" s="1"/>
  <c r="AV15" i="3"/>
  <c r="AW15" i="3" s="1"/>
  <c r="AQ15" i="3"/>
  <c r="CX15" i="3" s="1"/>
  <c r="AO15" i="3"/>
  <c r="AG15" i="3"/>
  <c r="AH15" i="3" s="1"/>
  <c r="AI15" i="3" s="1"/>
  <c r="AJ15" i="3" s="1"/>
  <c r="C15" i="3" s="1"/>
  <c r="B15" i="3"/>
  <c r="CC14" i="3"/>
  <c r="CI14" i="3" s="1"/>
  <c r="BU14" i="3"/>
  <c r="U14" i="3" s="1"/>
  <c r="BR14" i="3"/>
  <c r="BQ14" i="3"/>
  <c r="BP14" i="3"/>
  <c r="BL14" i="3"/>
  <c r="BM14" i="3" s="1"/>
  <c r="BD14" i="3"/>
  <c r="BE14" i="3" s="1"/>
  <c r="AV14" i="3"/>
  <c r="AW14" i="3" s="1"/>
  <c r="AQ14" i="3"/>
  <c r="CY14" i="3" s="1"/>
  <c r="W14" i="3" s="1"/>
  <c r="AO14" i="3"/>
  <c r="AG14" i="3"/>
  <c r="AH14" i="3" s="1"/>
  <c r="AI14" i="3" s="1"/>
  <c r="AJ14" i="3" s="1"/>
  <c r="C14" i="3" s="1"/>
  <c r="D14" i="3" s="1"/>
  <c r="B14" i="3"/>
  <c r="B2" i="3"/>
  <c r="E189" i="2"/>
  <c r="F189" i="2" s="1"/>
  <c r="E188" i="2"/>
  <c r="F188" i="2" s="1"/>
  <c r="E187" i="2"/>
  <c r="F187" i="2" s="1"/>
  <c r="E186" i="2"/>
  <c r="F186" i="2" s="1"/>
  <c r="C185" i="2"/>
  <c r="C190" i="2" s="1"/>
  <c r="C181" i="2"/>
  <c r="J175" i="2"/>
  <c r="J176" i="2" s="1"/>
  <c r="J173" i="2"/>
  <c r="J172" i="2" s="1"/>
  <c r="N171" i="2"/>
  <c r="O171" i="2" s="1"/>
  <c r="L171" i="2"/>
  <c r="K171" i="2" s="1"/>
  <c r="I163" i="2"/>
  <c r="J161" i="2"/>
  <c r="J160" i="2"/>
  <c r="M158" i="2"/>
  <c r="O158" i="2" s="1"/>
  <c r="M157" i="2"/>
  <c r="O157" i="2" s="1"/>
  <c r="M156" i="2"/>
  <c r="F20" i="8" s="1"/>
  <c r="M155" i="2"/>
  <c r="F19" i="8" s="1"/>
  <c r="M154" i="2"/>
  <c r="B147" i="2"/>
  <c r="G139" i="2"/>
  <c r="E139" i="2"/>
  <c r="D139" i="2"/>
  <c r="E138" i="2"/>
  <c r="D138" i="2"/>
  <c r="C137" i="2"/>
  <c r="O128" i="2"/>
  <c r="N128" i="2"/>
  <c r="M128" i="2"/>
  <c r="L128" i="2"/>
  <c r="K128" i="2"/>
  <c r="J128" i="2"/>
  <c r="I128" i="2"/>
  <c r="O127" i="2"/>
  <c r="N127" i="2"/>
  <c r="M127" i="2"/>
  <c r="L127" i="2"/>
  <c r="K127" i="2"/>
  <c r="J127" i="2"/>
  <c r="I127" i="2"/>
  <c r="O126" i="2"/>
  <c r="N126" i="2"/>
  <c r="M126" i="2"/>
  <c r="L126" i="2"/>
  <c r="K126" i="2"/>
  <c r="J126" i="2"/>
  <c r="I126" i="2"/>
  <c r="O123" i="2"/>
  <c r="N123" i="2"/>
  <c r="M123" i="2"/>
  <c r="L123" i="2"/>
  <c r="K123" i="2"/>
  <c r="J123" i="2"/>
  <c r="I123" i="2"/>
  <c r="O122" i="2"/>
  <c r="N122" i="2"/>
  <c r="M122" i="2"/>
  <c r="L122" i="2"/>
  <c r="K122" i="2"/>
  <c r="J122" i="2"/>
  <c r="I122" i="2"/>
  <c r="O121" i="2"/>
  <c r="N121" i="2"/>
  <c r="M121" i="2"/>
  <c r="L121" i="2"/>
  <c r="K121" i="2"/>
  <c r="J121" i="2"/>
  <c r="I121" i="2"/>
  <c r="O118" i="2"/>
  <c r="N118" i="2"/>
  <c r="M118" i="2"/>
  <c r="L118" i="2"/>
  <c r="K118" i="2"/>
  <c r="J118" i="2"/>
  <c r="I118" i="2"/>
  <c r="O117" i="2"/>
  <c r="N117" i="2"/>
  <c r="M117" i="2"/>
  <c r="L117" i="2"/>
  <c r="K117" i="2"/>
  <c r="J117" i="2"/>
  <c r="I117" i="2"/>
  <c r="O116" i="2"/>
  <c r="N116" i="2"/>
  <c r="M116" i="2"/>
  <c r="L116" i="2"/>
  <c r="K116" i="2"/>
  <c r="J116" i="2"/>
  <c r="I116" i="2"/>
  <c r="O115" i="2"/>
  <c r="N115" i="2"/>
  <c r="M115" i="2"/>
  <c r="L115" i="2"/>
  <c r="K115" i="2"/>
  <c r="J115" i="2"/>
  <c r="I115" i="2"/>
  <c r="O114" i="2"/>
  <c r="N114" i="2"/>
  <c r="M114" i="2"/>
  <c r="L114" i="2"/>
  <c r="K114" i="2"/>
  <c r="J114" i="2"/>
  <c r="I114" i="2"/>
  <c r="O113" i="2"/>
  <c r="N113" i="2"/>
  <c r="M113" i="2"/>
  <c r="L113" i="2"/>
  <c r="K113" i="2"/>
  <c r="J113" i="2"/>
  <c r="I113" i="2"/>
  <c r="B107" i="2"/>
  <c r="J102" i="2"/>
  <c r="J101" i="2" s="1"/>
  <c r="J100" i="2" s="1"/>
  <c r="C102" i="2"/>
  <c r="C103" i="2" s="1"/>
  <c r="C104" i="2" s="1"/>
  <c r="M99" i="2"/>
  <c r="N99" i="2" s="1"/>
  <c r="O99" i="2" s="1"/>
  <c r="F99" i="2"/>
  <c r="G99" i="2" s="1"/>
  <c r="H99" i="2" s="1"/>
  <c r="J97" i="2"/>
  <c r="J92" i="2"/>
  <c r="J93" i="2" s="1"/>
  <c r="J94" i="2" s="1"/>
  <c r="C92" i="2"/>
  <c r="C93" i="2" s="1"/>
  <c r="C94" i="2" s="1"/>
  <c r="M89" i="2"/>
  <c r="N89" i="2" s="1"/>
  <c r="F89" i="2"/>
  <c r="E89" i="2" s="1"/>
  <c r="D89" i="2" s="1"/>
  <c r="C83" i="2"/>
  <c r="C84" i="2" s="1"/>
  <c r="Z82" i="2"/>
  <c r="Z80" i="2" s="1"/>
  <c r="J82" i="2"/>
  <c r="J81" i="2" s="1"/>
  <c r="C81" i="2"/>
  <c r="C80" i="2" s="1"/>
  <c r="W79" i="2"/>
  <c r="M79" i="2"/>
  <c r="N79" i="2" s="1"/>
  <c r="G79" i="2"/>
  <c r="H79" i="2" s="1"/>
  <c r="E79" i="2"/>
  <c r="D79" i="2" s="1"/>
  <c r="B73" i="2"/>
  <c r="G68" i="2"/>
  <c r="G67" i="2"/>
  <c r="G66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E26" i="2"/>
  <c r="D26" i="2"/>
  <c r="C26" i="2"/>
  <c r="H25" i="2"/>
  <c r="G25" i="2"/>
  <c r="F25" i="2"/>
  <c r="E25" i="2"/>
  <c r="D25" i="2"/>
  <c r="C25" i="2"/>
  <c r="H17" i="2"/>
  <c r="G17" i="2"/>
  <c r="F17" i="2"/>
  <c r="E17" i="2"/>
  <c r="D17" i="2"/>
  <c r="C17" i="2"/>
  <c r="F14" i="2"/>
  <c r="E14" i="2"/>
  <c r="C14" i="2"/>
  <c r="C126" i="2" s="1"/>
  <c r="H12" i="2"/>
  <c r="AD87" i="1" s="1"/>
  <c r="H11" i="2"/>
  <c r="B2" i="2"/>
  <c r="AD103" i="1"/>
  <c r="AD102" i="1"/>
  <c r="AD101" i="1"/>
  <c r="AD100" i="1"/>
  <c r="AD99" i="1"/>
  <c r="AE76" i="1"/>
  <c r="AD76" i="1"/>
  <c r="D35" i="1"/>
  <c r="C35" i="1"/>
  <c r="F27" i="1"/>
  <c r="M112" i="2" s="1"/>
  <c r="F26" i="1"/>
  <c r="J112" i="2" s="1"/>
  <c r="F25" i="1"/>
  <c r="I112" i="2" s="1"/>
  <c r="F24" i="1"/>
  <c r="C17" i="5" s="1"/>
  <c r="F23" i="1"/>
  <c r="C12" i="8" s="1"/>
  <c r="F22" i="1"/>
  <c r="C11" i="8" s="1"/>
  <c r="F21" i="1"/>
  <c r="C10" i="8" s="1"/>
  <c r="F20" i="1"/>
  <c r="C9" i="8" s="1"/>
  <c r="D171" i="2" s="1"/>
  <c r="F19" i="1"/>
  <c r="C8" i="8" s="1"/>
  <c r="D154" i="2" s="1"/>
  <c r="F18" i="1"/>
  <c r="C7" i="8" s="1"/>
  <c r="D170" i="2" s="1"/>
  <c r="E12" i="1"/>
  <c r="E9" i="1"/>
  <c r="E8" i="1"/>
  <c r="B2" i="1"/>
  <c r="J38" i="6"/>
  <c r="J58" i="6"/>
  <c r="J34" i="6"/>
  <c r="J52" i="6"/>
  <c r="J19" i="6"/>
  <c r="J62" i="6"/>
  <c r="J39" i="6"/>
  <c r="J59" i="6"/>
  <c r="J35" i="6"/>
  <c r="J69" i="6"/>
  <c r="J46" i="6"/>
  <c r="J60" i="6"/>
  <c r="J63" i="6"/>
  <c r="J57" i="6"/>
  <c r="J48" i="6"/>
  <c r="J24" i="6"/>
  <c r="J33" i="6"/>
  <c r="J45" i="6"/>
  <c r="J28" i="6"/>
  <c r="J51" i="6"/>
  <c r="J68" i="6"/>
  <c r="J47" i="6"/>
  <c r="J23" i="6"/>
  <c r="J14" i="6"/>
  <c r="J80" i="6"/>
  <c r="J27" i="6"/>
  <c r="J50" i="6"/>
  <c r="J13" i="6"/>
  <c r="J30" i="6"/>
  <c r="J12" i="6"/>
  <c r="J20" i="6"/>
  <c r="F7" i="7" l="1"/>
  <c r="F12" i="2"/>
  <c r="F114" i="2" s="1"/>
  <c r="E62" i="2"/>
  <c r="C131" i="2"/>
  <c r="G132" i="2"/>
  <c r="D67" i="7"/>
  <c r="E131" i="2"/>
  <c r="F64" i="6"/>
  <c r="D17" i="3"/>
  <c r="L17" i="3" s="1"/>
  <c r="F123" i="2"/>
  <c r="E99" i="2"/>
  <c r="D99" i="2" s="1"/>
  <c r="P58" i="11"/>
  <c r="O24" i="4"/>
  <c r="T24" i="4"/>
  <c r="BS21" i="3"/>
  <c r="S21" i="3" s="1"/>
  <c r="L99" i="2"/>
  <c r="K99" i="2" s="1"/>
  <c r="D16" i="3"/>
  <c r="F16" i="3" s="1"/>
  <c r="AC101" i="1"/>
  <c r="D22" i="2"/>
  <c r="D33" i="2" s="1"/>
  <c r="E42" i="7"/>
  <c r="H22" i="2"/>
  <c r="H33" i="2" s="1"/>
  <c r="F53" i="6"/>
  <c r="F61" i="6"/>
  <c r="F128" i="2"/>
  <c r="C21" i="6"/>
  <c r="C85" i="6" s="1"/>
  <c r="H53" i="6"/>
  <c r="E12" i="2"/>
  <c r="E123" i="2" s="1"/>
  <c r="F63" i="7"/>
  <c r="D53" i="6"/>
  <c r="D137" i="2"/>
  <c r="D140" i="2" s="1"/>
  <c r="F137" i="2"/>
  <c r="F126" i="2" s="1"/>
  <c r="L89" i="2"/>
  <c r="K89" i="2" s="1"/>
  <c r="AC99" i="1" s="1"/>
  <c r="BS22" i="3"/>
  <c r="S22" i="3" s="1"/>
  <c r="H23" i="6"/>
  <c r="H86" i="6" s="1"/>
  <c r="O89" i="2"/>
  <c r="AC103" i="1" s="1"/>
  <c r="AC102" i="1"/>
  <c r="D36" i="1"/>
  <c r="CP14" i="3"/>
  <c r="G14" i="3" s="1"/>
  <c r="BT18" i="3"/>
  <c r="D19" i="3"/>
  <c r="O19" i="3" s="1"/>
  <c r="G53" i="6"/>
  <c r="H116" i="2"/>
  <c r="H121" i="2"/>
  <c r="E60" i="2"/>
  <c r="H128" i="2"/>
  <c r="F42" i="7"/>
  <c r="C122" i="2"/>
  <c r="C53" i="6"/>
  <c r="AE77" i="1"/>
  <c r="G14" i="2"/>
  <c r="G122" i="2" s="1"/>
  <c r="F117" i="2"/>
  <c r="BT15" i="3"/>
  <c r="H61" i="7"/>
  <c r="H70" i="7" s="1"/>
  <c r="H74" i="7" s="1"/>
  <c r="F62" i="7"/>
  <c r="CX16" i="3"/>
  <c r="D64" i="6"/>
  <c r="G62" i="7"/>
  <c r="CV33" i="3"/>
  <c r="H35" i="3" s="1"/>
  <c r="H38" i="3" s="1"/>
  <c r="E64" i="6"/>
  <c r="D63" i="7"/>
  <c r="C134" i="2"/>
  <c r="W33" i="3"/>
  <c r="G64" i="6"/>
  <c r="F131" i="2"/>
  <c r="F121" i="2" s="1"/>
  <c r="H127" i="2"/>
  <c r="C12" i="2"/>
  <c r="C123" i="2" s="1"/>
  <c r="G131" i="2"/>
  <c r="D185" i="2"/>
  <c r="E185" i="2" s="1"/>
  <c r="AD33" i="3"/>
  <c r="Z30" i="4" s="1"/>
  <c r="F84" i="6"/>
  <c r="F132" i="2"/>
  <c r="F122" i="2" s="1"/>
  <c r="D61" i="6"/>
  <c r="J83" i="2"/>
  <c r="E35" i="1"/>
  <c r="F35" i="1" s="1"/>
  <c r="AJ18" i="3"/>
  <c r="C18" i="3" s="1"/>
  <c r="D18" i="3" s="1"/>
  <c r="F18" i="3" s="1"/>
  <c r="L32" i="4"/>
  <c r="D49" i="6"/>
  <c r="C7" i="7"/>
  <c r="F61" i="7"/>
  <c r="G61" i="7"/>
  <c r="K35" i="1"/>
  <c r="Z84" i="2"/>
  <c r="L33" i="4"/>
  <c r="Y84" i="2"/>
  <c r="D132" i="2"/>
  <c r="C36" i="1"/>
  <c r="E36" i="1" s="1"/>
  <c r="F36" i="1" s="1"/>
  <c r="D12" i="2"/>
  <c r="D127" i="2" s="1"/>
  <c r="C101" i="2"/>
  <c r="C100" i="2" s="1"/>
  <c r="BS33" i="3"/>
  <c r="J35" i="3" s="1"/>
  <c r="E21" i="6"/>
  <c r="E85" i="6" s="1"/>
  <c r="G86" i="6"/>
  <c r="D77" i="6"/>
  <c r="H7" i="7"/>
  <c r="D62" i="7"/>
  <c r="C15" i="7"/>
  <c r="M36" i="1"/>
  <c r="BS14" i="3"/>
  <c r="S14" i="3" s="1"/>
  <c r="E7" i="5"/>
  <c r="F7" i="5" s="1"/>
  <c r="G84" i="6"/>
  <c r="C16" i="7"/>
  <c r="I12" i="2"/>
  <c r="I131" i="2" s="1"/>
  <c r="Y80" i="2"/>
  <c r="D88" i="6"/>
  <c r="AB80" i="2"/>
  <c r="J91" i="2"/>
  <c r="J90" i="2" s="1"/>
  <c r="M161" i="2"/>
  <c r="BT22" i="3"/>
  <c r="S24" i="4"/>
  <c r="AD77" i="1"/>
  <c r="H123" i="2"/>
  <c r="C18" i="5"/>
  <c r="H42" i="7"/>
  <c r="E66" i="7"/>
  <c r="W82" i="2"/>
  <c r="O156" i="2"/>
  <c r="H20" i="8" s="1"/>
  <c r="V33" i="5"/>
  <c r="H117" i="2"/>
  <c r="F66" i="7"/>
  <c r="H14" i="2"/>
  <c r="H113" i="2" s="1"/>
  <c r="X82" i="2"/>
  <c r="D131" i="2"/>
  <c r="U33" i="5"/>
  <c r="F21" i="6"/>
  <c r="F85" i="6" s="1"/>
  <c r="E53" i="6"/>
  <c r="C61" i="6"/>
  <c r="H21" i="6"/>
  <c r="C64" i="6"/>
  <c r="H70" i="6"/>
  <c r="H43" i="7" s="1"/>
  <c r="D86" i="6"/>
  <c r="BT19" i="3"/>
  <c r="R22" i="3"/>
  <c r="AW33" i="3"/>
  <c r="AJ30" i="4" s="1"/>
  <c r="M30" i="4" s="1"/>
  <c r="M34" i="4" s="1"/>
  <c r="E23" i="6"/>
  <c r="E86" i="6" s="1"/>
  <c r="E59" i="7"/>
  <c r="D68" i="7"/>
  <c r="X83" i="2"/>
  <c r="D89" i="6"/>
  <c r="F59" i="7"/>
  <c r="H114" i="2"/>
  <c r="Z83" i="2"/>
  <c r="D15" i="3"/>
  <c r="F15" i="3" s="1"/>
  <c r="BS20" i="3"/>
  <c r="S20" i="3" s="1"/>
  <c r="C49" i="6"/>
  <c r="C88" i="6"/>
  <c r="C78" i="6" s="1"/>
  <c r="BT16" i="3"/>
  <c r="C140" i="2"/>
  <c r="F14" i="3"/>
  <c r="O79" i="2"/>
  <c r="AB79" i="2" s="1"/>
  <c r="AA79" i="2"/>
  <c r="I13" i="2"/>
  <c r="U25" i="3"/>
  <c r="U27" i="3"/>
  <c r="H19" i="3"/>
  <c r="F19" i="3"/>
  <c r="W81" i="2"/>
  <c r="J80" i="2"/>
  <c r="W80" i="2" s="1"/>
  <c r="H71" i="7"/>
  <c r="H73" i="7" s="1"/>
  <c r="D159" i="2"/>
  <c r="C13" i="8"/>
  <c r="G17" i="3"/>
  <c r="P17" i="3"/>
  <c r="O17" i="3"/>
  <c r="K17" i="3"/>
  <c r="H28" i="7"/>
  <c r="G134" i="2"/>
  <c r="BT17" i="3"/>
  <c r="N17" i="3" s="1"/>
  <c r="E18" i="2"/>
  <c r="E115" i="2" s="1"/>
  <c r="AA81" i="2"/>
  <c r="N112" i="2"/>
  <c r="U33" i="3"/>
  <c r="H25" i="7"/>
  <c r="H40" i="7"/>
  <c r="H88" i="6"/>
  <c r="E63" i="7"/>
  <c r="F68" i="7"/>
  <c r="H6" i="7"/>
  <c r="D14" i="2"/>
  <c r="AB81" i="2"/>
  <c r="H111" i="2"/>
  <c r="O112" i="2"/>
  <c r="H132" i="2"/>
  <c r="H134" i="2" s="1"/>
  <c r="D172" i="2"/>
  <c r="BS15" i="3"/>
  <c r="J15" i="3" s="1"/>
  <c r="AJ21" i="3"/>
  <c r="C21" i="3" s="1"/>
  <c r="D21" i="3" s="1"/>
  <c r="AH22" i="3"/>
  <c r="AI22" i="3" s="1"/>
  <c r="AJ22" i="3" s="1"/>
  <c r="C22" i="3" s="1"/>
  <c r="D22" i="3" s="1"/>
  <c r="E61" i="6"/>
  <c r="G11" i="2"/>
  <c r="G18" i="2"/>
  <c r="Z79" i="2"/>
  <c r="X84" i="2"/>
  <c r="C91" i="2"/>
  <c r="C90" i="2" s="1"/>
  <c r="H137" i="2"/>
  <c r="H140" i="2" s="1"/>
  <c r="G140" i="2"/>
  <c r="M160" i="2"/>
  <c r="U26" i="3"/>
  <c r="BS16" i="3"/>
  <c r="J16" i="3" s="1"/>
  <c r="D21" i="6"/>
  <c r="H68" i="7"/>
  <c r="H72" i="7" s="1"/>
  <c r="H75" i="7" s="1"/>
  <c r="G63" i="7"/>
  <c r="G72" i="7" s="1"/>
  <c r="G75" i="7" s="1"/>
  <c r="G61" i="6"/>
  <c r="C70" i="6"/>
  <c r="D33" i="7"/>
  <c r="D7" i="7"/>
  <c r="H33" i="7"/>
  <c r="F113" i="2"/>
  <c r="BS17" i="3"/>
  <c r="J17" i="3" s="1"/>
  <c r="E132" i="2"/>
  <c r="E122" i="2" s="1"/>
  <c r="F67" i="7"/>
  <c r="F71" i="7" s="1"/>
  <c r="F73" i="7" s="1"/>
  <c r="D29" i="7"/>
  <c r="E33" i="7"/>
  <c r="E88" i="6"/>
  <c r="I11" i="2"/>
  <c r="G126" i="2"/>
  <c r="BE20" i="3"/>
  <c r="BT20" i="3" s="1"/>
  <c r="H85" i="6"/>
  <c r="E70" i="6"/>
  <c r="F33" i="7"/>
  <c r="Y82" i="2"/>
  <c r="AA84" i="2"/>
  <c r="CQ14" i="3"/>
  <c r="K14" i="3" s="1"/>
  <c r="AW21" i="3"/>
  <c r="BT21" i="3" s="1"/>
  <c r="F70" i="6"/>
  <c r="F29" i="7"/>
  <c r="G33" i="7"/>
  <c r="G89" i="6"/>
  <c r="AB84" i="2"/>
  <c r="CR14" i="3"/>
  <c r="O14" i="3" s="1"/>
  <c r="CQ15" i="3"/>
  <c r="K15" i="3" s="1"/>
  <c r="CP16" i="3"/>
  <c r="D84" i="6"/>
  <c r="H89" i="6"/>
  <c r="E62" i="7"/>
  <c r="AA82" i="2"/>
  <c r="D123" i="2"/>
  <c r="CS14" i="3"/>
  <c r="V14" i="3" s="1"/>
  <c r="CS15" i="3"/>
  <c r="V15" i="3" s="1"/>
  <c r="CQ16" i="3"/>
  <c r="K16" i="3" s="1"/>
  <c r="BS19" i="3"/>
  <c r="E84" i="6"/>
  <c r="E9" i="7"/>
  <c r="E11" i="7" s="1"/>
  <c r="X80" i="2"/>
  <c r="AB82" i="2"/>
  <c r="O154" i="2"/>
  <c r="F18" i="8"/>
  <c r="CV14" i="3"/>
  <c r="H14" i="3" s="1"/>
  <c r="CV15" i="3"/>
  <c r="CR16" i="3"/>
  <c r="O16" i="3" s="1"/>
  <c r="AG33" i="3"/>
  <c r="AH33" i="3" s="1"/>
  <c r="AI33" i="3" s="1"/>
  <c r="CP33" i="3"/>
  <c r="G35" i="3" s="1"/>
  <c r="C77" i="6"/>
  <c r="C23" i="6"/>
  <c r="C25" i="6" s="1"/>
  <c r="C29" i="6" s="1"/>
  <c r="C31" i="6" s="1"/>
  <c r="C36" i="6" s="1"/>
  <c r="E49" i="6"/>
  <c r="H64" i="6"/>
  <c r="G77" i="6"/>
  <c r="H9" i="7"/>
  <c r="AC87" i="1"/>
  <c r="CW14" i="3"/>
  <c r="L14" i="3" s="1"/>
  <c r="CS16" i="3"/>
  <c r="V16" i="3" s="1"/>
  <c r="CQ33" i="3"/>
  <c r="K35" i="3" s="1"/>
  <c r="F49" i="6"/>
  <c r="F54" i="6" s="1"/>
  <c r="G71" i="7"/>
  <c r="G73" i="7" s="1"/>
  <c r="AA80" i="2"/>
  <c r="G89" i="2"/>
  <c r="H89" i="2" s="1"/>
  <c r="J103" i="2"/>
  <c r="J104" i="2" s="1"/>
  <c r="F112" i="2"/>
  <c r="O155" i="2"/>
  <c r="H19" i="8" s="1"/>
  <c r="CX14" i="3"/>
  <c r="P14" i="3" s="1"/>
  <c r="CV16" i="3"/>
  <c r="H16" i="3" s="1"/>
  <c r="AK33" i="3"/>
  <c r="CR33" i="3"/>
  <c r="O35" i="3" s="1"/>
  <c r="K32" i="4"/>
  <c r="G49" i="6"/>
  <c r="E29" i="7"/>
  <c r="BT14" i="3"/>
  <c r="N14" i="3" s="1"/>
  <c r="CP15" i="3"/>
  <c r="G15" i="3" s="1"/>
  <c r="CY15" i="3"/>
  <c r="W15" i="3" s="1"/>
  <c r="CW15" i="3"/>
  <c r="L15" i="3" s="1"/>
  <c r="CR15" i="3"/>
  <c r="O15" i="3" s="1"/>
  <c r="CW16" i="3"/>
  <c r="CS33" i="3"/>
  <c r="V35" i="3" s="1"/>
  <c r="G59" i="7"/>
  <c r="G7" i="7"/>
  <c r="G11" i="7" s="1"/>
  <c r="H84" i="6"/>
  <c r="G21" i="6"/>
  <c r="F77" i="6"/>
  <c r="F23" i="6"/>
  <c r="F25" i="6" s="1"/>
  <c r="F29" i="6" s="1"/>
  <c r="F31" i="6" s="1"/>
  <c r="E64" i="2"/>
  <c r="H49" i="6"/>
  <c r="H29" i="7"/>
  <c r="C15" i="2"/>
  <c r="C22" i="2"/>
  <c r="E50" i="2"/>
  <c r="L79" i="2"/>
  <c r="Y83" i="2"/>
  <c r="CW33" i="3"/>
  <c r="L35" i="3" s="1"/>
  <c r="K33" i="4"/>
  <c r="D42" i="7"/>
  <c r="CX33" i="3"/>
  <c r="P35" i="3" s="1"/>
  <c r="H61" i="6"/>
  <c r="G12" i="2"/>
  <c r="G114" i="2" s="1"/>
  <c r="E22" i="2"/>
  <c r="X81" i="2"/>
  <c r="AA83" i="2"/>
  <c r="K112" i="2"/>
  <c r="BS18" i="3"/>
  <c r="J18" i="3" s="1"/>
  <c r="U28" i="3"/>
  <c r="E8" i="5"/>
  <c r="F8" i="5" s="1"/>
  <c r="D70" i="6"/>
  <c r="F6" i="8"/>
  <c r="F7" i="8" s="1"/>
  <c r="D173" i="2" s="1"/>
  <c r="F15" i="2"/>
  <c r="F22" i="2"/>
  <c r="Y81" i="2"/>
  <c r="AB83" i="2"/>
  <c r="L112" i="2"/>
  <c r="F127" i="2"/>
  <c r="AJ20" i="3"/>
  <c r="C20" i="3" s="1"/>
  <c r="D20" i="3" s="1"/>
  <c r="U24" i="4"/>
  <c r="F88" i="6"/>
  <c r="G70" i="6"/>
  <c r="G42" i="7"/>
  <c r="F10" i="8"/>
  <c r="D166" i="2" s="1"/>
  <c r="F9" i="8"/>
  <c r="D164" i="2" s="1"/>
  <c r="G22" i="2"/>
  <c r="Z81" i="2"/>
  <c r="E137" i="2"/>
  <c r="E140" i="2" s="1"/>
  <c r="G8" i="6"/>
  <c r="G88" i="6"/>
  <c r="C24" i="8"/>
  <c r="C89" i="6"/>
  <c r="D9" i="7"/>
  <c r="E89" i="6"/>
  <c r="F9" i="7"/>
  <c r="F11" i="7" s="1"/>
  <c r="D61" i="7"/>
  <c r="D70" i="7" s="1"/>
  <c r="D74" i="7" s="1"/>
  <c r="F89" i="6"/>
  <c r="H37" i="3" l="1"/>
  <c r="AC100" i="1"/>
  <c r="E121" i="2"/>
  <c r="E114" i="2"/>
  <c r="F65" i="6"/>
  <c r="H18" i="2"/>
  <c r="H115" i="2" s="1"/>
  <c r="H17" i="3"/>
  <c r="D116" i="2"/>
  <c r="N16" i="3"/>
  <c r="L16" i="3"/>
  <c r="F17" i="3"/>
  <c r="C54" i="6"/>
  <c r="H25" i="6"/>
  <c r="H29" i="6" s="1"/>
  <c r="H31" i="6" s="1"/>
  <c r="R21" i="3"/>
  <c r="P16" i="3"/>
  <c r="G16" i="3"/>
  <c r="D65" i="6"/>
  <c r="F71" i="6"/>
  <c r="F91" i="6" s="1"/>
  <c r="G54" i="6"/>
  <c r="P15" i="3"/>
  <c r="G19" i="3"/>
  <c r="N15" i="3"/>
  <c r="L19" i="3"/>
  <c r="P19" i="3"/>
  <c r="H15" i="3"/>
  <c r="AJ33" i="3"/>
  <c r="U45" i="3" s="1"/>
  <c r="U49" i="3" s="1"/>
  <c r="J19" i="3"/>
  <c r="H39" i="3"/>
  <c r="J14" i="3"/>
  <c r="H15" i="2"/>
  <c r="E112" i="2"/>
  <c r="F13" i="2"/>
  <c r="E15" i="2"/>
  <c r="E16" i="2" s="1"/>
  <c r="I139" i="2"/>
  <c r="E117" i="2"/>
  <c r="C142" i="2"/>
  <c r="E127" i="2"/>
  <c r="G70" i="7"/>
  <c r="G74" i="7" s="1"/>
  <c r="E70" i="7"/>
  <c r="E74" i="7" s="1"/>
  <c r="D54" i="6"/>
  <c r="E78" i="6"/>
  <c r="H54" i="6"/>
  <c r="R20" i="3"/>
  <c r="C113" i="2"/>
  <c r="F140" i="2"/>
  <c r="R14" i="3"/>
  <c r="D112" i="2"/>
  <c r="C127" i="2"/>
  <c r="N19" i="3"/>
  <c r="H18" i="3"/>
  <c r="C117" i="2"/>
  <c r="H11" i="7"/>
  <c r="K19" i="3"/>
  <c r="K18" i="3"/>
  <c r="E113" i="2"/>
  <c r="C128" i="2"/>
  <c r="L18" i="3"/>
  <c r="N18" i="3"/>
  <c r="G18" i="3"/>
  <c r="BT33" i="3"/>
  <c r="N35" i="3" s="1"/>
  <c r="R33" i="3"/>
  <c r="E128" i="2"/>
  <c r="I34" i="2"/>
  <c r="F134" i="2"/>
  <c r="D134" i="2"/>
  <c r="D142" i="2" s="1"/>
  <c r="D143" i="2" s="1"/>
  <c r="H142" i="2"/>
  <c r="H143" i="2" s="1"/>
  <c r="D114" i="2"/>
  <c r="D115" i="2"/>
  <c r="I18" i="2"/>
  <c r="D13" i="2"/>
  <c r="I138" i="2"/>
  <c r="I14" i="2"/>
  <c r="I15" i="2" s="1"/>
  <c r="I17" i="2"/>
  <c r="AD88" i="1"/>
  <c r="D128" i="2"/>
  <c r="E13" i="2"/>
  <c r="F72" i="7"/>
  <c r="F75" i="7" s="1"/>
  <c r="I133" i="2"/>
  <c r="H126" i="2"/>
  <c r="I22" i="2"/>
  <c r="I33" i="2" s="1"/>
  <c r="E65" i="6"/>
  <c r="E71" i="6" s="1"/>
  <c r="D117" i="2"/>
  <c r="C121" i="2"/>
  <c r="V33" i="3"/>
  <c r="C114" i="2"/>
  <c r="G65" i="6"/>
  <c r="G71" i="6" s="1"/>
  <c r="G91" i="6" s="1"/>
  <c r="D121" i="2"/>
  <c r="F70" i="7"/>
  <c r="F74" i="7" s="1"/>
  <c r="D72" i="7"/>
  <c r="D75" i="7" s="1"/>
  <c r="D71" i="6"/>
  <c r="D91" i="6" s="1"/>
  <c r="D71" i="7"/>
  <c r="D73" i="7" s="1"/>
  <c r="E25" i="6"/>
  <c r="E29" i="6" s="1"/>
  <c r="E31" i="6" s="1"/>
  <c r="E41" i="7" s="1"/>
  <c r="E50" i="7" s="1"/>
  <c r="J12" i="2"/>
  <c r="J18" i="2" s="1"/>
  <c r="D11" i="7"/>
  <c r="C65" i="6"/>
  <c r="C71" i="6" s="1"/>
  <c r="C91" i="6" s="1"/>
  <c r="G142" i="2"/>
  <c r="H144" i="2" s="1"/>
  <c r="H65" i="6"/>
  <c r="H71" i="6" s="1"/>
  <c r="E54" i="6"/>
  <c r="F48" i="7" s="1"/>
  <c r="M33" i="4"/>
  <c r="M32" i="4"/>
  <c r="G78" i="6"/>
  <c r="O18" i="3"/>
  <c r="P18" i="3"/>
  <c r="D78" i="6"/>
  <c r="J84" i="2"/>
  <c r="W84" i="2" s="1"/>
  <c r="W83" i="2"/>
  <c r="C144" i="2"/>
  <c r="C143" i="2"/>
  <c r="N22" i="3"/>
  <c r="K22" i="3"/>
  <c r="G22" i="3"/>
  <c r="P22" i="3"/>
  <c r="O22" i="3"/>
  <c r="L22" i="3"/>
  <c r="J22" i="3"/>
  <c r="H22" i="3"/>
  <c r="F22" i="3"/>
  <c r="F41" i="7"/>
  <c r="F50" i="7" s="1"/>
  <c r="F36" i="6"/>
  <c r="F26" i="7"/>
  <c r="F78" i="6"/>
  <c r="D28" i="7"/>
  <c r="E32" i="7"/>
  <c r="E47" i="7"/>
  <c r="D43" i="7"/>
  <c r="D48" i="7"/>
  <c r="E126" i="2"/>
  <c r="H76" i="7"/>
  <c r="H80" i="7" s="1"/>
  <c r="U29" i="3"/>
  <c r="U44" i="3" s="1"/>
  <c r="U48" i="3" s="1"/>
  <c r="U43" i="3"/>
  <c r="U47" i="3" s="1"/>
  <c r="K79" i="2"/>
  <c r="X79" i="2" s="1"/>
  <c r="Y79" i="2"/>
  <c r="G76" i="7"/>
  <c r="G80" i="7" s="1"/>
  <c r="D15" i="2"/>
  <c r="D122" i="2"/>
  <c r="D113" i="2"/>
  <c r="D126" i="2"/>
  <c r="R18" i="3"/>
  <c r="S18" i="3"/>
  <c r="F44" i="7"/>
  <c r="G48" i="7"/>
  <c r="E72" i="7"/>
  <c r="E75" i="7" s="1"/>
  <c r="E71" i="7"/>
  <c r="E73" i="7" s="1"/>
  <c r="G113" i="2"/>
  <c r="S17" i="3"/>
  <c r="R17" i="3"/>
  <c r="E134" i="2"/>
  <c r="E142" i="2" s="1"/>
  <c r="G127" i="2"/>
  <c r="E48" i="7"/>
  <c r="D44" i="7"/>
  <c r="C116" i="2"/>
  <c r="C33" i="2"/>
  <c r="C16" i="2"/>
  <c r="H18" i="8"/>
  <c r="O161" i="2"/>
  <c r="O160" i="2"/>
  <c r="L167" i="2" s="1"/>
  <c r="C19" i="5"/>
  <c r="K39" i="1"/>
  <c r="AB30" i="4"/>
  <c r="G115" i="2"/>
  <c r="H20" i="3"/>
  <c r="F20" i="3"/>
  <c r="P20" i="3"/>
  <c r="O20" i="3"/>
  <c r="N20" i="3"/>
  <c r="L20" i="3"/>
  <c r="K20" i="3"/>
  <c r="J20" i="3"/>
  <c r="G20" i="3"/>
  <c r="F47" i="7"/>
  <c r="E28" i="7"/>
  <c r="E43" i="7"/>
  <c r="F32" i="7"/>
  <c r="F11" i="2"/>
  <c r="G111" i="2"/>
  <c r="H78" i="6"/>
  <c r="H65" i="7"/>
  <c r="H8" i="7"/>
  <c r="G40" i="7"/>
  <c r="G6" i="7"/>
  <c r="H31" i="7"/>
  <c r="F8" i="6"/>
  <c r="G58" i="7"/>
  <c r="G25" i="7"/>
  <c r="E33" i="2"/>
  <c r="E116" i="2"/>
  <c r="G44" i="7"/>
  <c r="H48" i="7"/>
  <c r="G15" i="2"/>
  <c r="H112" i="2"/>
  <c r="G128" i="2"/>
  <c r="G112" i="2"/>
  <c r="H13" i="2"/>
  <c r="G13" i="2"/>
  <c r="G121" i="2"/>
  <c r="H41" i="7"/>
  <c r="H50" i="7" s="1"/>
  <c r="H36" i="6"/>
  <c r="H26" i="7"/>
  <c r="D32" i="7"/>
  <c r="D47" i="7"/>
  <c r="H44" i="7"/>
  <c r="H91" i="6"/>
  <c r="C33" i="3"/>
  <c r="D33" i="3" s="1"/>
  <c r="H122" i="2"/>
  <c r="P39" i="3"/>
  <c r="P37" i="3"/>
  <c r="P38" i="3"/>
  <c r="S33" i="3"/>
  <c r="AO33" i="3"/>
  <c r="N21" i="3"/>
  <c r="P21" i="3"/>
  <c r="O21" i="3"/>
  <c r="L21" i="3"/>
  <c r="K21" i="3"/>
  <c r="J21" i="3"/>
  <c r="H21" i="3"/>
  <c r="G21" i="3"/>
  <c r="F21" i="3"/>
  <c r="AD89" i="1"/>
  <c r="G33" i="2"/>
  <c r="G116" i="2"/>
  <c r="F86" i="6"/>
  <c r="F18" i="2"/>
  <c r="F115" i="2" s="1"/>
  <c r="R19" i="3"/>
  <c r="S19" i="3"/>
  <c r="D85" i="6"/>
  <c r="D25" i="6"/>
  <c r="D29" i="6" s="1"/>
  <c r="D31" i="6" s="1"/>
  <c r="S15" i="3"/>
  <c r="R15" i="3"/>
  <c r="D144" i="2"/>
  <c r="F33" i="2"/>
  <c r="F116" i="2"/>
  <c r="C87" i="6"/>
  <c r="C90" i="6"/>
  <c r="C76" i="6"/>
  <c r="C79" i="6" s="1"/>
  <c r="G25" i="6"/>
  <c r="G29" i="6" s="1"/>
  <c r="G31" i="6" s="1"/>
  <c r="G85" i="6"/>
  <c r="E190" i="2"/>
  <c r="F193" i="2" s="1"/>
  <c r="F185" i="2"/>
  <c r="F190" i="2" s="1"/>
  <c r="F194" i="2" s="1"/>
  <c r="C86" i="6"/>
  <c r="C18" i="2"/>
  <c r="C115" i="2" s="1"/>
  <c r="AC88" i="1"/>
  <c r="I40" i="2"/>
  <c r="J11" i="2"/>
  <c r="I111" i="2"/>
  <c r="R16" i="3"/>
  <c r="S16" i="3"/>
  <c r="G123" i="2"/>
  <c r="F16" i="2"/>
  <c r="V28" i="3"/>
  <c r="V43" i="3" s="1"/>
  <c r="V47" i="3" s="1"/>
  <c r="V25" i="3"/>
  <c r="V27" i="3"/>
  <c r="V45" i="3" s="1"/>
  <c r="V49" i="3" s="1"/>
  <c r="V26" i="3"/>
  <c r="G117" i="2"/>
  <c r="F8" i="8"/>
  <c r="D174" i="2" s="1"/>
  <c r="L38" i="3"/>
  <c r="L37" i="3"/>
  <c r="L39" i="3"/>
  <c r="G28" i="7"/>
  <c r="H47" i="7"/>
  <c r="G43" i="7"/>
  <c r="H32" i="7"/>
  <c r="G32" i="7"/>
  <c r="F43" i="7"/>
  <c r="F28" i="7"/>
  <c r="G47" i="7"/>
  <c r="H19" i="2"/>
  <c r="H16" i="2"/>
  <c r="D160" i="2"/>
  <c r="M167" i="2" s="1"/>
  <c r="F76" i="7" l="1"/>
  <c r="F80" i="7" s="1"/>
  <c r="E19" i="2"/>
  <c r="E36" i="6"/>
  <c r="F142" i="2"/>
  <c r="F143" i="2" s="1"/>
  <c r="J25" i="3"/>
  <c r="K12" i="2"/>
  <c r="K13" i="2" s="1"/>
  <c r="J131" i="2"/>
  <c r="J13" i="2"/>
  <c r="J138" i="2"/>
  <c r="I19" i="2"/>
  <c r="J14" i="2"/>
  <c r="J15" i="2" s="1"/>
  <c r="G143" i="2"/>
  <c r="D51" i="7"/>
  <c r="E91" i="6"/>
  <c r="E44" i="7"/>
  <c r="E51" i="7" s="1"/>
  <c r="E53" i="7" s="1"/>
  <c r="D76" i="7"/>
  <c r="D80" i="7" s="1"/>
  <c r="J17" i="2"/>
  <c r="I132" i="2"/>
  <c r="I134" i="2" s="1"/>
  <c r="I137" i="2"/>
  <c r="I140" i="2" s="1"/>
  <c r="G27" i="3"/>
  <c r="G39" i="3" s="1"/>
  <c r="O26" i="3"/>
  <c r="J27" i="3"/>
  <c r="J39" i="3" s="1"/>
  <c r="I16" i="2"/>
  <c r="K28" i="3"/>
  <c r="K37" i="3" s="1"/>
  <c r="N28" i="3"/>
  <c r="N37" i="3" s="1"/>
  <c r="V29" i="3"/>
  <c r="V44" i="3" s="1"/>
  <c r="V48" i="3" s="1"/>
  <c r="R25" i="3"/>
  <c r="F28" i="3"/>
  <c r="F37" i="3" s="1"/>
  <c r="O25" i="3"/>
  <c r="J133" i="2"/>
  <c r="R26" i="3"/>
  <c r="S26" i="3"/>
  <c r="R27" i="3"/>
  <c r="J34" i="2"/>
  <c r="J139" i="2"/>
  <c r="G51" i="7"/>
  <c r="J26" i="3"/>
  <c r="J29" i="3" s="1"/>
  <c r="J38" i="3" s="1"/>
  <c r="G26" i="3"/>
  <c r="J22" i="2"/>
  <c r="J33" i="2" s="1"/>
  <c r="K26" i="3"/>
  <c r="E26" i="7"/>
  <c r="E35" i="7" s="1"/>
  <c r="K17" i="2"/>
  <c r="K18" i="2"/>
  <c r="AD90" i="1"/>
  <c r="K22" i="2"/>
  <c r="K33" i="2" s="1"/>
  <c r="L12" i="2"/>
  <c r="K133" i="2"/>
  <c r="K14" i="2"/>
  <c r="K15" i="2" s="1"/>
  <c r="K131" i="2"/>
  <c r="K34" i="2"/>
  <c r="K138" i="2"/>
  <c r="G25" i="3"/>
  <c r="F26" i="3"/>
  <c r="F11" i="8"/>
  <c r="K25" i="3"/>
  <c r="G28" i="3"/>
  <c r="G37" i="3" s="1"/>
  <c r="F25" i="3"/>
  <c r="AC89" i="1"/>
  <c r="J40" i="2"/>
  <c r="K11" i="2"/>
  <c r="J111" i="2"/>
  <c r="D26" i="7"/>
  <c r="D35" i="7" s="1"/>
  <c r="D36" i="6"/>
  <c r="D41" i="7"/>
  <c r="D50" i="7" s="1"/>
  <c r="K27" i="3"/>
  <c r="K39" i="3" s="1"/>
  <c r="D19" i="2"/>
  <c r="E21" i="2" s="1"/>
  <c r="D16" i="2"/>
  <c r="G19" i="2"/>
  <c r="H21" i="2" s="1"/>
  <c r="G16" i="2"/>
  <c r="J28" i="3"/>
  <c r="J37" i="3" s="1"/>
  <c r="E143" i="2"/>
  <c r="E144" i="2"/>
  <c r="L33" i="3"/>
  <c r="J33" i="3"/>
  <c r="F33" i="3"/>
  <c r="P33" i="3"/>
  <c r="O33" i="3"/>
  <c r="N33" i="3"/>
  <c r="K33" i="3"/>
  <c r="H33" i="3"/>
  <c r="G33" i="3"/>
  <c r="S27" i="3"/>
  <c r="F111" i="2"/>
  <c r="E11" i="2"/>
  <c r="S25" i="3"/>
  <c r="G52" i="7"/>
  <c r="Q40" i="4"/>
  <c r="Q44" i="4" s="1"/>
  <c r="Q39" i="4"/>
  <c r="Q43" i="4" s="1"/>
  <c r="Q38" i="4"/>
  <c r="Q42" i="4" s="1"/>
  <c r="S28" i="3"/>
  <c r="E76" i="7"/>
  <c r="E80" i="7" s="1"/>
  <c r="F195" i="2"/>
  <c r="F197" i="2" s="1"/>
  <c r="E69" i="2" s="1"/>
  <c r="H52" i="7"/>
  <c r="H51" i="7"/>
  <c r="H53" i="7" s="1"/>
  <c r="H23" i="2"/>
  <c r="H20" i="2"/>
  <c r="AE87" i="1"/>
  <c r="J67" i="2"/>
  <c r="E23" i="2"/>
  <c r="E20" i="2"/>
  <c r="G41" i="7"/>
  <c r="G50" i="7" s="1"/>
  <c r="G36" i="6"/>
  <c r="G26" i="7"/>
  <c r="G35" i="7" s="1"/>
  <c r="E87" i="6"/>
  <c r="E90" i="6"/>
  <c r="E27" i="7"/>
  <c r="E36" i="7" s="1"/>
  <c r="E76" i="6"/>
  <c r="E79" i="6" s="1"/>
  <c r="H145" i="2"/>
  <c r="H35" i="2"/>
  <c r="H35" i="7"/>
  <c r="G65" i="7"/>
  <c r="F25" i="7"/>
  <c r="G8" i="7"/>
  <c r="F6" i="7"/>
  <c r="G31" i="7"/>
  <c r="E8" i="6"/>
  <c r="F58" i="7"/>
  <c r="F40" i="7"/>
  <c r="R28" i="3"/>
  <c r="F52" i="7"/>
  <c r="F51" i="7"/>
  <c r="F53" i="7" s="1"/>
  <c r="C145" i="2"/>
  <c r="C35" i="2"/>
  <c r="H90" i="6"/>
  <c r="H87" i="6"/>
  <c r="H76" i="6"/>
  <c r="H27" i="7"/>
  <c r="H36" i="7" s="1"/>
  <c r="F35" i="7"/>
  <c r="F19" i="2"/>
  <c r="O167" i="2"/>
  <c r="D52" i="7"/>
  <c r="F76" i="6"/>
  <c r="F79" i="6" s="1"/>
  <c r="F90" i="6"/>
  <c r="F27" i="7"/>
  <c r="F36" i="7" s="1"/>
  <c r="F87" i="6"/>
  <c r="AE88" i="1"/>
  <c r="I23" i="2"/>
  <c r="I20" i="2"/>
  <c r="I21" i="2"/>
  <c r="N27" i="3"/>
  <c r="N39" i="3" s="1"/>
  <c r="O27" i="3"/>
  <c r="O39" i="3" s="1"/>
  <c r="N25" i="3"/>
  <c r="D145" i="2"/>
  <c r="D35" i="2"/>
  <c r="K41" i="3"/>
  <c r="K43" i="3" s="1"/>
  <c r="K47" i="3" s="1"/>
  <c r="AD30" i="4"/>
  <c r="H41" i="3"/>
  <c r="M39" i="1"/>
  <c r="O41" i="3"/>
  <c r="N41" i="3"/>
  <c r="N43" i="3" s="1"/>
  <c r="N47" i="3" s="1"/>
  <c r="L41" i="3"/>
  <c r="L43" i="3" s="1"/>
  <c r="J41" i="3"/>
  <c r="J45" i="3" s="1"/>
  <c r="J49" i="3" s="1"/>
  <c r="G41" i="3"/>
  <c r="F41" i="3"/>
  <c r="F27" i="3"/>
  <c r="F39" i="3" s="1"/>
  <c r="O28" i="3"/>
  <c r="O37" i="3" s="1"/>
  <c r="N26" i="3"/>
  <c r="C19" i="2"/>
  <c r="G144" i="2" l="1"/>
  <c r="H54" i="7"/>
  <c r="F144" i="2"/>
  <c r="F54" i="7"/>
  <c r="D53" i="7"/>
  <c r="G45" i="3"/>
  <c r="G49" i="3" s="1"/>
  <c r="J19" i="2"/>
  <c r="K139" i="2"/>
  <c r="J16" i="2"/>
  <c r="E52" i="7"/>
  <c r="E54" i="7" s="1"/>
  <c r="O29" i="3"/>
  <c r="O38" i="3" s="1"/>
  <c r="O44" i="3" s="1"/>
  <c r="O48" i="3" s="1"/>
  <c r="F29" i="3"/>
  <c r="F38" i="3" s="1"/>
  <c r="F44" i="3" s="1"/>
  <c r="F48" i="3" s="1"/>
  <c r="K29" i="3"/>
  <c r="K38" i="3" s="1"/>
  <c r="K44" i="3" s="1"/>
  <c r="K48" i="3" s="1"/>
  <c r="J132" i="2"/>
  <c r="J134" i="2" s="1"/>
  <c r="S29" i="3"/>
  <c r="J137" i="2"/>
  <c r="J140" i="2" s="1"/>
  <c r="G53" i="7"/>
  <c r="G54" i="7" s="1"/>
  <c r="G29" i="3"/>
  <c r="G38" i="3" s="1"/>
  <c r="G44" i="3" s="1"/>
  <c r="G48" i="3" s="1"/>
  <c r="I142" i="2"/>
  <c r="O45" i="3"/>
  <c r="O49" i="3" s="1"/>
  <c r="L44" i="3"/>
  <c r="R29" i="3"/>
  <c r="O43" i="3"/>
  <c r="O47" i="3" s="1"/>
  <c r="F43" i="3"/>
  <c r="F47" i="3" s="1"/>
  <c r="G27" i="7"/>
  <c r="G36" i="7" s="1"/>
  <c r="G76" i="6"/>
  <c r="G79" i="6" s="1"/>
  <c r="G90" i="6"/>
  <c r="G87" i="6"/>
  <c r="L45" i="3"/>
  <c r="N45" i="3"/>
  <c r="N49" i="3" s="1"/>
  <c r="E145" i="2"/>
  <c r="E35" i="2"/>
  <c r="H29" i="2"/>
  <c r="H24" i="2"/>
  <c r="D23" i="2"/>
  <c r="D20" i="2"/>
  <c r="D21" i="2"/>
  <c r="C16" i="5"/>
  <c r="M35" i="1"/>
  <c r="E10" i="1"/>
  <c r="D177" i="2"/>
  <c r="J43" i="3"/>
  <c r="J47" i="3" s="1"/>
  <c r="J44" i="3"/>
  <c r="J48" i="3" s="1"/>
  <c r="H44" i="3"/>
  <c r="H45" i="3"/>
  <c r="H43" i="3"/>
  <c r="N29" i="3"/>
  <c r="N38" i="3" s="1"/>
  <c r="N44" i="3" s="1"/>
  <c r="N48" i="3" s="1"/>
  <c r="K36" i="4"/>
  <c r="L36" i="4"/>
  <c r="M36" i="4"/>
  <c r="E40" i="7"/>
  <c r="E6" i="7"/>
  <c r="E25" i="7"/>
  <c r="F8" i="7"/>
  <c r="F31" i="7"/>
  <c r="D8" i="6"/>
  <c r="F65" i="7"/>
  <c r="E58" i="7"/>
  <c r="K45" i="3"/>
  <c r="K49" i="3" s="1"/>
  <c r="I24" i="2"/>
  <c r="I28" i="2"/>
  <c r="I29" i="2" s="1"/>
  <c r="G23" i="2"/>
  <c r="G20" i="2"/>
  <c r="G21" i="2"/>
  <c r="D54" i="7"/>
  <c r="D11" i="2"/>
  <c r="E111" i="2"/>
  <c r="D76" i="6"/>
  <c r="D79" i="6" s="1"/>
  <c r="D87" i="6"/>
  <c r="D90" i="6"/>
  <c r="D27" i="7"/>
  <c r="D36" i="7" s="1"/>
  <c r="K137" i="2"/>
  <c r="K132" i="2"/>
  <c r="K134" i="2" s="1"/>
  <c r="K40" i="2"/>
  <c r="L11" i="2"/>
  <c r="K111" i="2"/>
  <c r="AC90" i="1"/>
  <c r="H79" i="6"/>
  <c r="AK30" i="4"/>
  <c r="L13" i="2"/>
  <c r="L17" i="2"/>
  <c r="L131" i="2"/>
  <c r="L14" i="2"/>
  <c r="L15" i="2" s="1"/>
  <c r="AD91" i="1"/>
  <c r="L18" i="2"/>
  <c r="M12" i="2"/>
  <c r="L138" i="2"/>
  <c r="L133" i="2"/>
  <c r="L139" i="2"/>
  <c r="L34" i="2"/>
  <c r="L22" i="2"/>
  <c r="L33" i="2" s="1"/>
  <c r="K16" i="2"/>
  <c r="K19" i="2"/>
  <c r="F45" i="3"/>
  <c r="F49" i="3" s="1"/>
  <c r="F23" i="2"/>
  <c r="F20" i="2"/>
  <c r="F21" i="2"/>
  <c r="G43" i="3"/>
  <c r="G47" i="3" s="1"/>
  <c r="E29" i="2"/>
  <c r="E24" i="2"/>
  <c r="C23" i="2"/>
  <c r="C20" i="2"/>
  <c r="J23" i="2"/>
  <c r="J20" i="2"/>
  <c r="J21" i="2"/>
  <c r="AE89" i="1"/>
  <c r="F35" i="2" l="1"/>
  <c r="F145" i="2"/>
  <c r="G145" i="2"/>
  <c r="G35" i="2"/>
  <c r="K140" i="2"/>
  <c r="K142" i="2" s="1"/>
  <c r="J142" i="2"/>
  <c r="J143" i="2" s="1"/>
  <c r="I143" i="2"/>
  <c r="I144" i="2"/>
  <c r="J144" i="2"/>
  <c r="J35" i="2" s="1"/>
  <c r="I30" i="2"/>
  <c r="I31" i="2"/>
  <c r="L16" i="2"/>
  <c r="L19" i="2"/>
  <c r="K23" i="2"/>
  <c r="K20" i="2"/>
  <c r="K21" i="2"/>
  <c r="AE90" i="1"/>
  <c r="C11" i="2"/>
  <c r="C111" i="2" s="1"/>
  <c r="D111" i="2"/>
  <c r="L40" i="2"/>
  <c r="M11" i="2"/>
  <c r="AC91" i="1"/>
  <c r="L111" i="2"/>
  <c r="J171" i="2"/>
  <c r="D39" i="2"/>
  <c r="C39" i="2"/>
  <c r="E30" i="2"/>
  <c r="E36" i="2"/>
  <c r="G29" i="2"/>
  <c r="G24" i="2"/>
  <c r="M39" i="4"/>
  <c r="M43" i="4" s="1"/>
  <c r="M38" i="4"/>
  <c r="M42" i="4" s="1"/>
  <c r="M40" i="4"/>
  <c r="M44" i="4" s="1"/>
  <c r="L40" i="4"/>
  <c r="L44" i="4" s="1"/>
  <c r="L38" i="4"/>
  <c r="L42" i="4" s="1"/>
  <c r="L39" i="4"/>
  <c r="L43" i="4" s="1"/>
  <c r="M13" i="2"/>
  <c r="M139" i="2"/>
  <c r="M131" i="2"/>
  <c r="AD92" i="1"/>
  <c r="M18" i="2"/>
  <c r="M22" i="2"/>
  <c r="M33" i="2" s="1"/>
  <c r="N12" i="2"/>
  <c r="M133" i="2"/>
  <c r="M138" i="2"/>
  <c r="M17" i="2"/>
  <c r="M34" i="2"/>
  <c r="M14" i="2"/>
  <c r="M15" i="2" s="1"/>
  <c r="K40" i="4"/>
  <c r="K44" i="4" s="1"/>
  <c r="K38" i="4"/>
  <c r="K42" i="4" s="1"/>
  <c r="K39" i="4"/>
  <c r="K43" i="4" s="1"/>
  <c r="D29" i="2"/>
  <c r="D24" i="2"/>
  <c r="F29" i="2"/>
  <c r="F24" i="2"/>
  <c r="H30" i="2"/>
  <c r="H36" i="2"/>
  <c r="L132" i="2"/>
  <c r="L134" i="2" s="1"/>
  <c r="L137" i="2"/>
  <c r="L140" i="2" s="1"/>
  <c r="V24" i="5"/>
  <c r="U24" i="5"/>
  <c r="U25" i="5"/>
  <c r="V25" i="5"/>
  <c r="J24" i="2"/>
  <c r="J28" i="2"/>
  <c r="J29" i="2" s="1"/>
  <c r="C29" i="2"/>
  <c r="C24" i="2"/>
  <c r="C8" i="6"/>
  <c r="D6" i="7"/>
  <c r="E65" i="7"/>
  <c r="D25" i="7"/>
  <c r="E31" i="7"/>
  <c r="D58" i="7"/>
  <c r="D40" i="7"/>
  <c r="E8" i="7"/>
  <c r="K144" i="2" l="1"/>
  <c r="K143" i="2"/>
  <c r="L142" i="2"/>
  <c r="I145" i="2"/>
  <c r="I35" i="2"/>
  <c r="I36" i="2" s="1"/>
  <c r="AF88" i="1" s="1"/>
  <c r="J145" i="2"/>
  <c r="L143" i="2"/>
  <c r="L144" i="2"/>
  <c r="C36" i="2"/>
  <c r="C30" i="2"/>
  <c r="F30" i="2"/>
  <c r="F31" i="2"/>
  <c r="F36" i="2"/>
  <c r="F37" i="2" s="1"/>
  <c r="M111" i="2"/>
  <c r="M40" i="2"/>
  <c r="AC92" i="1"/>
  <c r="N11" i="2"/>
  <c r="J30" i="2"/>
  <c r="J31" i="2"/>
  <c r="J36" i="2"/>
  <c r="D36" i="2"/>
  <c r="D30" i="2"/>
  <c r="D31" i="2"/>
  <c r="V26" i="5"/>
  <c r="U26" i="5"/>
  <c r="V34" i="5"/>
  <c r="D9" i="5"/>
  <c r="AE78" i="1"/>
  <c r="D37" i="1"/>
  <c r="V27" i="5"/>
  <c r="U27" i="5"/>
  <c r="C9" i="5"/>
  <c r="C37" i="1"/>
  <c r="U34" i="5"/>
  <c r="AD78" i="1"/>
  <c r="M137" i="2"/>
  <c r="M140" i="2" s="1"/>
  <c r="M132" i="2"/>
  <c r="M134" i="2" s="1"/>
  <c r="K24" i="2"/>
  <c r="K28" i="2"/>
  <c r="K29" i="2" s="1"/>
  <c r="G30" i="2"/>
  <c r="G31" i="2"/>
  <c r="G36" i="2"/>
  <c r="H37" i="2" s="1"/>
  <c r="L23" i="2"/>
  <c r="L20" i="2"/>
  <c r="L21" i="2"/>
  <c r="AE91" i="1"/>
  <c r="N13" i="2"/>
  <c r="AD93" i="1"/>
  <c r="N139" i="2"/>
  <c r="N17" i="2"/>
  <c r="N18" i="2"/>
  <c r="O12" i="2"/>
  <c r="N133" i="2"/>
  <c r="N138" i="2"/>
  <c r="N22" i="2"/>
  <c r="N33" i="2" s="1"/>
  <c r="N14" i="2"/>
  <c r="N15" i="2" s="1"/>
  <c r="N34" i="2"/>
  <c r="N131" i="2"/>
  <c r="E31" i="2"/>
  <c r="K35" i="2"/>
  <c r="K145" i="2"/>
  <c r="M19" i="2"/>
  <c r="M16" i="2"/>
  <c r="K41" i="2"/>
  <c r="J41" i="2"/>
  <c r="I41" i="2"/>
  <c r="I42" i="2" s="1"/>
  <c r="E66" i="2"/>
  <c r="J60" i="2"/>
  <c r="M41" i="2"/>
  <c r="L41" i="2"/>
  <c r="E67" i="2"/>
  <c r="I37" i="2"/>
  <c r="AF87" i="1"/>
  <c r="D8" i="7"/>
  <c r="D65" i="7"/>
  <c r="C17" i="7"/>
  <c r="C19" i="7" s="1"/>
  <c r="C21" i="7" s="1"/>
  <c r="C6" i="7"/>
  <c r="D31" i="7"/>
  <c r="H31" i="2"/>
  <c r="E9" i="5" l="1"/>
  <c r="F9" i="5" s="1"/>
  <c r="D37" i="2"/>
  <c r="M142" i="2"/>
  <c r="M143" i="2" s="1"/>
  <c r="C27" i="5"/>
  <c r="D39" i="1" s="1"/>
  <c r="O13" i="2"/>
  <c r="O14" i="2"/>
  <c r="O15" i="2" s="1"/>
  <c r="O22" i="2"/>
  <c r="O33" i="2" s="1"/>
  <c r="O138" i="2"/>
  <c r="AD94" i="1"/>
  <c r="O131" i="2"/>
  <c r="O139" i="2"/>
  <c r="O17" i="2"/>
  <c r="O34" i="2"/>
  <c r="O133" i="2"/>
  <c r="O18" i="2"/>
  <c r="N19" i="2"/>
  <c r="N16" i="2"/>
  <c r="J37" i="2"/>
  <c r="J42" i="2"/>
  <c r="AF89" i="1"/>
  <c r="K30" i="2"/>
  <c r="K31" i="2"/>
  <c r="K36" i="2"/>
  <c r="AC93" i="1"/>
  <c r="B51" i="2"/>
  <c r="N40" i="2"/>
  <c r="N41" i="2" s="1"/>
  <c r="E52" i="2" s="1"/>
  <c r="B48" i="2"/>
  <c r="O11" i="2"/>
  <c r="G61" i="2"/>
  <c r="N111" i="2"/>
  <c r="E37" i="2"/>
  <c r="E37" i="1"/>
  <c r="F37" i="1" s="1"/>
  <c r="M20" i="2"/>
  <c r="AE92" i="1"/>
  <c r="M21" i="2"/>
  <c r="M23" i="2"/>
  <c r="U36" i="5"/>
  <c r="C10" i="5"/>
  <c r="AD79" i="1"/>
  <c r="C38" i="1"/>
  <c r="D10" i="5"/>
  <c r="V36" i="5"/>
  <c r="AE79" i="1"/>
  <c r="D38" i="1"/>
  <c r="L24" i="2"/>
  <c r="L28" i="2"/>
  <c r="L29" i="2" s="1"/>
  <c r="B27" i="5"/>
  <c r="N137" i="2"/>
  <c r="N140" i="2" s="1"/>
  <c r="N132" i="2"/>
  <c r="N134" i="2" s="1"/>
  <c r="G37" i="2"/>
  <c r="L35" i="2"/>
  <c r="L145" i="2"/>
  <c r="N142" i="2" l="1"/>
  <c r="M37" i="1"/>
  <c r="M38" i="1" s="1"/>
  <c r="D11" i="5"/>
  <c r="M144" i="2"/>
  <c r="M35" i="2" s="1"/>
  <c r="L30" i="2"/>
  <c r="L31" i="2"/>
  <c r="L36" i="2"/>
  <c r="O19" i="2"/>
  <c r="O16" i="2"/>
  <c r="N144" i="2"/>
  <c r="N143" i="2"/>
  <c r="B49" i="2"/>
  <c r="O111" i="2"/>
  <c r="G59" i="2"/>
  <c r="AC94" i="1"/>
  <c r="E38" i="1"/>
  <c r="F38" i="1" s="1"/>
  <c r="E10" i="5"/>
  <c r="F10" i="5" s="1"/>
  <c r="AF90" i="1"/>
  <c r="K42" i="2"/>
  <c r="K37" i="2"/>
  <c r="O137" i="2"/>
  <c r="O140" i="2" s="1"/>
  <c r="O132" i="2"/>
  <c r="O134" i="2" s="1"/>
  <c r="M24" i="2"/>
  <c r="M28" i="2"/>
  <c r="M29" i="2"/>
  <c r="C26" i="8"/>
  <c r="C27" i="8" s="1"/>
  <c r="U37" i="5"/>
  <c r="C39" i="1"/>
  <c r="E39" i="1" s="1"/>
  <c r="F39" i="1" s="1"/>
  <c r="C11" i="5"/>
  <c r="E11" i="5" s="1"/>
  <c r="F11" i="5" s="1"/>
  <c r="AD80" i="1"/>
  <c r="D27" i="5"/>
  <c r="E27" i="5" s="1"/>
  <c r="K37" i="1"/>
  <c r="K38" i="1" s="1"/>
  <c r="AE80" i="1"/>
  <c r="V37" i="5"/>
  <c r="N20" i="2"/>
  <c r="AE93" i="1"/>
  <c r="N21" i="2"/>
  <c r="N23" i="2"/>
  <c r="O142" i="2" l="1"/>
  <c r="O144" i="2" s="1"/>
  <c r="M145" i="2"/>
  <c r="E49" i="2"/>
  <c r="E51" i="2" s="1"/>
  <c r="O21" i="2"/>
  <c r="AE94" i="1"/>
  <c r="O23" i="2"/>
  <c r="O20" i="2"/>
  <c r="AF91" i="1"/>
  <c r="L42" i="2"/>
  <c r="L37" i="2"/>
  <c r="N24" i="2"/>
  <c r="N28" i="2"/>
  <c r="N29" i="2" s="1"/>
  <c r="M30" i="2"/>
  <c r="M31" i="2"/>
  <c r="M36" i="2"/>
  <c r="N35" i="2"/>
  <c r="N145" i="2"/>
  <c r="O143" i="2" l="1"/>
  <c r="AF92" i="1"/>
  <c r="M42" i="2"/>
  <c r="M37" i="2"/>
  <c r="N30" i="2"/>
  <c r="N31" i="2"/>
  <c r="N36" i="2"/>
  <c r="O24" i="2"/>
  <c r="O28" i="2"/>
  <c r="O29" i="2" s="1"/>
  <c r="E53" i="2"/>
  <c r="J61" i="2"/>
  <c r="N38" i="2"/>
  <c r="N43" i="2" s="1"/>
  <c r="O35" i="2"/>
  <c r="O145" i="2"/>
  <c r="O31" i="2" l="1"/>
  <c r="O36" i="2"/>
  <c r="O30" i="2"/>
  <c r="N42" i="2"/>
  <c r="E46" i="2" s="1"/>
  <c r="E55" i="2" s="1"/>
  <c r="N37" i="2"/>
  <c r="AF93" i="1"/>
  <c r="J66" i="2" l="1"/>
  <c r="J68" i="2" s="1"/>
  <c r="J99" i="2" s="1"/>
  <c r="E59" i="2"/>
  <c r="E65" i="2" s="1"/>
  <c r="E68" i="2" s="1"/>
  <c r="E56" i="2"/>
  <c r="C79" i="2" s="1"/>
  <c r="E54" i="2"/>
  <c r="C89" i="2" s="1"/>
  <c r="J59" i="2"/>
  <c r="J63" i="2" s="1"/>
  <c r="C99" i="2" s="1"/>
  <c r="O37" i="2"/>
  <c r="O38" i="2" s="1"/>
  <c r="AF94" i="1"/>
  <c r="J79" i="2" l="1"/>
  <c r="E70" i="2"/>
  <c r="C25" i="8" l="1"/>
  <c r="K36" i="1"/>
  <c r="E11" i="1" s="1"/>
  <c r="J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Darrell Day</author>
  </authors>
  <commentList>
    <comment ref="B7" authorId="0" shapeId="0" xr:uid="{00000000-0006-0000-0000-000001000000}">
      <text>
        <r>
          <rPr>
            <sz val="11"/>
            <color theme="1"/>
            <rFont val="SF Pro Text"/>
            <family val="2"/>
            <charset val="1"/>
          </rPr>
          <t>Select the active market case. The dashboard, WACC engine, and DCF assumption rows all update off this selector.</t>
        </r>
      </text>
    </comment>
    <comment ref="C18" authorId="0" shapeId="0" xr:uid="{00000000-0006-0000-0000-000002000000}">
      <text>
        <r>
          <rPr>
            <sz val="11"/>
            <color theme="1"/>
            <rFont val="SF Pro Text"/>
            <family val="2"/>
            <charset val="1"/>
          </rPr>
          <t>Source: Assignment 2 / Bloomberg 10Y UST on 2023-03-01.</t>
        </r>
      </text>
    </comment>
    <comment ref="C19" authorId="0" shapeId="0" xr:uid="{00000000-0006-0000-0000-000003000000}">
      <text>
        <r>
          <rPr>
            <sz val="11"/>
            <color theme="1"/>
            <rFont val="SF Pro Text"/>
            <family val="2"/>
            <charset val="1"/>
          </rPr>
          <t>Source: Assignment 2 / Bloomberg adjusted beta.</t>
        </r>
      </text>
    </comment>
    <comment ref="F21" authorId="0" shapeId="0" xr:uid="{00000000-0006-0000-0000-000004000000}">
      <text>
        <r>
          <rPr>
            <sz val="11"/>
            <color theme="1"/>
            <rFont val="SF Pro Text"/>
            <family val="2"/>
            <charset val="1"/>
          </rPr>
          <t>The active target cost of equity reconciles CAPM through the Dynamic WACC sheet.</t>
        </r>
      </text>
    </comment>
    <comment ref="K23" authorId="0" shapeId="0" xr:uid="{00000000-0006-0000-0000-000005000000}">
      <text>
        <r>
          <rPr>
            <sz val="11"/>
            <color theme="1"/>
            <rFont val="SF Pro Text"/>
            <family val="2"/>
            <charset val="1"/>
          </rPr>
          <t>Tax assumptions feed both DCF cash taxes and the WACC engine's pre-tax debt bridge.</t>
        </r>
      </text>
    </comment>
    <comment ref="C24" authorId="0" shapeId="0" xr:uid="{00000000-0006-0000-0000-000006000000}">
      <text>
        <r>
          <rPr>
            <sz val="11"/>
            <color theme="1"/>
            <rFont val="SF Pro Text"/>
            <family val="2"/>
            <charset val="1"/>
          </rPr>
          <t>Source: Management-case exit multiple used by the terminal-value bridge.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Darrell Day</author>
  </authors>
  <commentList>
    <comment ref="C185" authorId="0" shapeId="0" xr:uid="{00000000-0006-0000-0100-000001000000}">
      <text>
        <r>
          <rPr>
            <sz val="11"/>
            <color theme="1"/>
            <rFont val="SF Pro Text"/>
            <family val="2"/>
            <charset val="1"/>
          </rPr>
          <t>Darrell Day:
Source: Bloomberg BS-Standardized, Options Outstanding at Period End, FY2022</t>
        </r>
      </text>
    </comment>
    <comment ref="D185" authorId="0" shapeId="0" xr:uid="{00000000-0006-0000-0100-000002000000}">
      <text>
        <r>
          <rPr>
            <sz val="11"/>
            <color theme="1"/>
            <rFont val="SF Pro Text"/>
            <family val="2"/>
            <charset val="1"/>
          </rPr>
          <t>Darrell Day:
Source: Bloomberg BS-As Reported, Avg Exercise Price (Options Outstanding), FY2022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Darrell Day</author>
  </authors>
  <commentList>
    <comment ref="I4" authorId="0" shapeId="0" xr:uid="{00000000-0006-0000-0400-000001000000}">
      <text>
        <r>
          <rPr>
            <sz val="11"/>
            <color theme="1"/>
            <rFont val="SF Pro Text"/>
            <family val="2"/>
            <charset val="1"/>
          </rPr>
          <t>Source: Bloomberg input per Assignment 2, 2023-03-01 10Y UST = 3.92%.</t>
        </r>
      </text>
    </comment>
    <comment ref="L4" authorId="0" shapeId="0" xr:uid="{00000000-0006-0000-0400-000002000000}">
      <text>
        <r>
          <rPr>
            <sz val="11"/>
            <color theme="1"/>
            <rFont val="SF Pro Text"/>
            <family val="2"/>
            <charset val="1"/>
          </rPr>
          <t>Source: Bloomberg adjusted beta per Assignment 2 = 0.716.</t>
        </r>
      </text>
    </comment>
    <comment ref="O4" authorId="0" shapeId="0" xr:uid="{00000000-0006-0000-0400-000003000000}">
      <text>
        <r>
          <rPr>
            <sz val="11"/>
            <color theme="1"/>
            <rFont val="SF Pro Text"/>
            <family val="2"/>
            <charset val="1"/>
          </rPr>
          <t>Source: Workbook convention retained at 5.5% ERP; used with target CoE reconciliation.</t>
        </r>
      </text>
    </comment>
    <comment ref="R4" authorId="0" shapeId="0" xr:uid="{00000000-0006-0000-0400-000004000000}">
      <text>
        <r>
          <rPr>
            <sz val="11"/>
            <color theme="1"/>
            <rFont val="SF Pro Text"/>
            <family val="2"/>
            <charset val="1"/>
          </rPr>
          <t>Source: Existing workbook DCF terminal exit multiple control, surfaced on the summary sheet.</t>
        </r>
      </text>
    </comment>
    <comment ref="I5" authorId="0" shapeId="0" xr:uid="{00000000-0006-0000-0400-000005000000}">
      <text>
        <r>
          <rPr>
            <sz val="11"/>
            <color theme="1"/>
            <rFont val="SF Pro Text"/>
            <family val="2"/>
            <charset val="1"/>
          </rPr>
          <t>Source: Assignment 2 target cost of equity = 8.0%.</t>
        </r>
      </text>
    </comment>
    <comment ref="O5" authorId="0" shapeId="0" xr:uid="{00000000-0006-0000-0400-000006000000}">
      <text>
        <r>
          <rPr>
            <sz val="11"/>
            <color theme="1"/>
            <rFont val="SF Pro Text"/>
            <family val="2"/>
            <charset val="1"/>
          </rPr>
          <t>Source: Assignment 2 debt weight = 11.9%.</t>
        </r>
      </text>
    </comment>
    <comment ref="H13" authorId="0" shapeId="0" xr:uid="{00000000-0006-0000-0400-000007000000}">
      <text>
        <r>
          <rPr>
            <sz val="11"/>
            <color theme="1"/>
            <rFont val="SF Pro Text"/>
            <family val="2"/>
            <charset val="1"/>
          </rPr>
          <t>Source: Assignment 2 after-tax cost of debt = 4.6%.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Darrell Day</author>
  </authors>
  <commentList>
    <comment ref="C10" authorId="0" shapeId="0" xr:uid="{00000000-0006-0000-0700-000001000000}">
      <text>
        <r>
          <rPr>
            <sz val="11"/>
            <color theme="1"/>
            <rFont val="SF Pro Text"/>
            <family val="2"/>
            <charset val="1"/>
          </rPr>
          <t>Target cost of equity remains the published anchor; the premium-adjustment row reconciles CAPM back to that target.</t>
        </r>
      </text>
    </comment>
  </commentList>
</comments>
</file>

<file path=xl/sharedStrings.xml><?xml version="1.0" encoding="utf-8"?>
<sst xmlns="http://schemas.openxmlformats.org/spreadsheetml/2006/main" count="3265" uniqueCount="1703">
  <si>
    <t>Sources: Dynamic control sheet, WACC engine, DCF/comps outputs, and assignment-bounded market data.</t>
  </si>
  <si>
    <t>Scenario</t>
  </si>
  <si>
    <t xml:space="preserve"> Validation &amp; Governance</t>
  </si>
  <si>
    <t>Base</t>
  </si>
  <si>
    <t>Metric</t>
  </si>
  <si>
    <t>Value</t>
  </si>
  <si>
    <t>Selected Scenario</t>
  </si>
  <si>
    <t>Bloomberg WACC Target</t>
  </si>
  <si>
    <t>Model WACC</t>
  </si>
  <si>
    <t>DCF vs Price Delta</t>
  </si>
  <si>
    <t>Live Log Pointer</t>
  </si>
  <si>
    <t>Inputs - WACC &amp; Multiples</t>
  </si>
  <si>
    <t>WACC &amp; Multiples</t>
  </si>
  <si>
    <t>Operating Drivers</t>
  </si>
  <si>
    <t>Assumption</t>
  </si>
  <si>
    <t>Bull</t>
  </si>
  <si>
    <t>Bear</t>
  </si>
  <si>
    <t>Active</t>
  </si>
  <si>
    <t>Driver</t>
  </si>
  <si>
    <t>Start</t>
  </si>
  <si>
    <t>Steady State</t>
  </si>
  <si>
    <t>Units</t>
  </si>
  <si>
    <t>Risk-Free Rate</t>
  </si>
  <si>
    <t>COGS as % Sales</t>
  </si>
  <si>
    <t>%</t>
  </si>
  <si>
    <t>Levered Beta</t>
  </si>
  <si>
    <t>Lease Cost as % Sales</t>
  </si>
  <si>
    <t>Equity Risk Premium</t>
  </si>
  <si>
    <t>SG&amp;A as % Sales</t>
  </si>
  <si>
    <t>Target Cost of Equity</t>
  </si>
  <si>
    <t>D&amp;A as % Sales</t>
  </si>
  <si>
    <t>After-tax Cost of Debt</t>
  </si>
  <si>
    <t>Capex as % Sales</t>
  </si>
  <si>
    <t>Debt Weight</t>
  </si>
  <si>
    <t>Tax Rate</t>
  </si>
  <si>
    <t>Exit Multiple</t>
  </si>
  <si>
    <t>Days Sales Outstanding</t>
  </si>
  <si>
    <t>days</t>
  </si>
  <si>
    <t>FY2023E Sales Growth</t>
  </si>
  <si>
    <t>Days Inventory Held</t>
  </si>
  <si>
    <t>FY2024E Sales Growth</t>
  </si>
  <si>
    <t>Prepaids as % Sales</t>
  </si>
  <si>
    <t>FY2025-2029E Sales Growth</t>
  </si>
  <si>
    <t>Days Payable Outstanding</t>
  </si>
  <si>
    <t>Accrued Liabilities as % Sales</t>
  </si>
  <si>
    <t>Other Current Liab. as % Sales</t>
  </si>
  <si>
    <t>Outputs - Valuation Details &amp; Decisioning</t>
  </si>
  <si>
    <t xml:space="preserve"> Valuation Detail</t>
  </si>
  <si>
    <t xml:space="preserve"> Live Decision Outputs</t>
  </si>
  <si>
    <t>Method</t>
  </si>
  <si>
    <t>Low</t>
  </si>
  <si>
    <t>High</t>
  </si>
  <si>
    <t>Mid</t>
  </si>
  <si>
    <t>Premium</t>
  </si>
  <si>
    <t>52-Week Range</t>
  </si>
  <si>
    <t>Current Price</t>
  </si>
  <si>
    <t>Live WACC</t>
  </si>
  <si>
    <t>DCF</t>
  </si>
  <si>
    <t>DCF Base</t>
  </si>
  <si>
    <t>Trading Comps Median</t>
  </si>
  <si>
    <t>Recommended Low</t>
  </si>
  <si>
    <t>Recommended High</t>
  </si>
  <si>
    <t>Deal Comps Median</t>
  </si>
  <si>
    <t>Midpoint</t>
  </si>
  <si>
    <t>Upside vs Price</t>
  </si>
  <si>
    <t>Recommended</t>
  </si>
  <si>
    <t>FD Shares (m)</t>
  </si>
  <si>
    <t>Net Debt ($m)</t>
  </si>
  <si>
    <t>Low Offset</t>
  </si>
  <si>
    <t>Range</t>
  </si>
  <si>
    <t>Trading Comps</t>
  </si>
  <si>
    <t>Deal Comps</t>
  </si>
  <si>
    <t>Year</t>
  </si>
  <si>
    <t>Revenue</t>
  </si>
  <si>
    <t>EBITDA</t>
  </si>
  <si>
    <t>FCFF</t>
  </si>
  <si>
    <t>Implied Price</t>
  </si>
  <si>
    <t xml:space="preserve"> </t>
  </si>
  <si>
    <t>Sources: Central controls on Executive Summary, Dynamic WACC sheet, and assignment-bounded historicals.</t>
  </si>
  <si>
    <t>Valuation Date:</t>
  </si>
  <si>
    <t>Latest FYE</t>
  </si>
  <si>
    <t>Mid-year Convention? (Yes or No)</t>
  </si>
  <si>
    <t>Yes</t>
  </si>
  <si>
    <t>Valuation Date Adjustment? (Yes or No)</t>
  </si>
  <si>
    <t>Summary Valuation</t>
  </si>
  <si>
    <t>Explicit Forecast Period</t>
  </si>
  <si>
    <t>Steady-State</t>
  </si>
  <si>
    <t>Hist.</t>
  </si>
  <si>
    <t>Est.</t>
  </si>
  <si>
    <t>Dollars millions, except as indicated</t>
  </si>
  <si>
    <t>Sales</t>
  </si>
  <si>
    <t>% growth</t>
  </si>
  <si>
    <t>Cost of Goods Sold</t>
  </si>
  <si>
    <t>Gross Profit</t>
  </si>
  <si>
    <t>% margin</t>
  </si>
  <si>
    <t>Cost of Capitalized Operating Leases</t>
  </si>
  <si>
    <t>Selling, General &amp; Administrative</t>
  </si>
  <si>
    <t>Depreciation &amp; Amortization</t>
  </si>
  <si>
    <t>EBIT</t>
  </si>
  <si>
    <t>Pension Expense (Income)</t>
  </si>
  <si>
    <t>Service Cost</t>
  </si>
  <si>
    <t>Interest Tax Shield</t>
  </si>
  <si>
    <t xml:space="preserve">                   </t>
  </si>
  <si>
    <t>Operating Taxes</t>
  </si>
  <si>
    <t>NOPAT</t>
  </si>
  <si>
    <t>Plus: Depreciation &amp; Amortization</t>
  </si>
  <si>
    <t>Less: Capital Expenditures</t>
  </si>
  <si>
    <t>(Increase) / Decrease in NWC</t>
  </si>
  <si>
    <t>Free Cash Flow</t>
  </si>
  <si>
    <t>Terminal Value</t>
  </si>
  <si>
    <t xml:space="preserve">   Weighted Average Cost of Capital (WACC)</t>
  </si>
  <si>
    <t xml:space="preserve">   Discount Period</t>
  </si>
  <si>
    <t xml:space="preserve">   Discount Factor</t>
  </si>
  <si>
    <t xml:space="preserve">   Present Value of Free Cash Flow</t>
  </si>
  <si>
    <t xml:space="preserve">   Present Value of Terminal Value</t>
  </si>
  <si>
    <t>Enterprise Value</t>
  </si>
  <si>
    <t>Sum of Present Value of FCFs (before Terminal Year)</t>
  </si>
  <si>
    <t>Assumed EBITDA Exit Multiple</t>
  </si>
  <si>
    <t>Discount Factor</t>
  </si>
  <si>
    <t>Present Value of Terminal Value</t>
  </si>
  <si>
    <t>PV of TV as % of Enterprise Value</t>
  </si>
  <si>
    <t>Question 1.c.</t>
  </si>
  <si>
    <t>Adj. Enterprise Value</t>
  </si>
  <si>
    <t>Equity Value and Share Price</t>
  </si>
  <si>
    <t>Implied Perpetuity Growth Rate</t>
  </si>
  <si>
    <t>Less: Total Financial Debt</t>
  </si>
  <si>
    <t>WACC</t>
  </si>
  <si>
    <t>Less: Preferred Stock</t>
  </si>
  <si>
    <t>Less: Noncontrolling Interest</t>
  </si>
  <si>
    <t>Less: Unfunded Pensions and Other</t>
  </si>
  <si>
    <t>Implied FCF Perpetuity Growth Rate</t>
  </si>
  <si>
    <t>Plus: Cash and Cash Equivalents</t>
  </si>
  <si>
    <t>Equity Value</t>
  </si>
  <si>
    <t>Implied EV/EBITDA</t>
  </si>
  <si>
    <t>x Mid-year adjustment factor</t>
  </si>
  <si>
    <t>x Valuation date adjustment factor</t>
  </si>
  <si>
    <t>Adj. Equity Value</t>
  </si>
  <si>
    <t>Fully Diluted Shares Outstanding</t>
  </si>
  <si>
    <t>Share Price</t>
  </si>
  <si>
    <t>Sensitivity Analysis</t>
  </si>
  <si>
    <t>Question 
1.d.</t>
  </si>
  <si>
    <t>EBITDA Exit Multiple</t>
  </si>
  <si>
    <t>PV of Terminal Value as % of Enterprise Value</t>
  </si>
  <si>
    <t>Implied Share Price</t>
  </si>
  <si>
    <t>Assumptions</t>
  </si>
  <si>
    <t>Use these years to</t>
  </si>
  <si>
    <t>Steady-state</t>
  </si>
  <si>
    <t>converge to steady-state</t>
  </si>
  <si>
    <t>assumptions</t>
  </si>
  <si>
    <t>Sales (% growth)</t>
  </si>
  <si>
    <t>Question 
1.a.</t>
  </si>
  <si>
    <t>COGS (% sales)</t>
  </si>
  <si>
    <t>Cost of Capitalized Operating Leases (% Sales)</t>
  </si>
  <si>
    <t>SG&amp;A (% sales)</t>
  </si>
  <si>
    <t>Depreciation &amp; Amortization (% sales)</t>
  </si>
  <si>
    <t>Capital Expenditures (% sales)</t>
  </si>
  <si>
    <t>Statutory Tax Rate (%)</t>
  </si>
  <si>
    <t>Current Assets</t>
  </si>
  <si>
    <t>Prepaids and Other CA (% of sales)</t>
  </si>
  <si>
    <t>Current Liabilities</t>
  </si>
  <si>
    <t>Accrued Liabilities (% of sales)</t>
  </si>
  <si>
    <t>Other Current Liabilities (% of sales)</t>
  </si>
  <si>
    <t>Accounts Receivables, net</t>
  </si>
  <si>
    <t>Inventories</t>
  </si>
  <si>
    <t>Prepaids and Other Current Assets</t>
  </si>
  <si>
    <t>Total Current Assets</t>
  </si>
  <si>
    <t>Accounts Payable</t>
  </si>
  <si>
    <t>Accrued Liabilities</t>
  </si>
  <si>
    <t>Other Current Liabilities</t>
  </si>
  <si>
    <t>Total Current Liabilities</t>
  </si>
  <si>
    <t>Net Working Capital</t>
  </si>
  <si>
    <t xml:space="preserve">   % sales</t>
  </si>
  <si>
    <t>Assumptions (continued)</t>
  </si>
  <si>
    <t>WACC Calculation</t>
  </si>
  <si>
    <t>Question 
1.b.</t>
  </si>
  <si>
    <t>Comparable Companies Unlevered Beta</t>
  </si>
  <si>
    <t>Predicted</t>
  </si>
  <si>
    <t>Market Value</t>
  </si>
  <si>
    <t>Debt/</t>
  </si>
  <si>
    <t>Marginal</t>
  </si>
  <si>
    <t>Unlevered</t>
  </si>
  <si>
    <t>Is Company Publicly-listed?</t>
  </si>
  <si>
    <t>Company</t>
  </si>
  <si>
    <t>Debt</t>
  </si>
  <si>
    <t>of Equity</t>
  </si>
  <si>
    <t>Equity</t>
  </si>
  <si>
    <t>Beta</t>
  </si>
  <si>
    <t>Historical beta (e.g., Bloomberg or other source)</t>
  </si>
  <si>
    <t>JNJ</t>
  </si>
  <si>
    <t>LLY</t>
  </si>
  <si>
    <t>MRK</t>
  </si>
  <si>
    <t>Target Capital Structure</t>
  </si>
  <si>
    <t>Debt-to-Total Capitalization</t>
  </si>
  <si>
    <t>Equity-to-Total Capitalization</t>
  </si>
  <si>
    <t xml:space="preserve">Mean </t>
  </si>
  <si>
    <t>Median</t>
  </si>
  <si>
    <t>Cost of Debt</t>
  </si>
  <si>
    <t>Pre-tax Cost-of-Debt</t>
  </si>
  <si>
    <t>Mean</t>
  </si>
  <si>
    <t>Target</t>
  </si>
  <si>
    <t>Relevered</t>
  </si>
  <si>
    <t xml:space="preserve">   After-tax Cost of Debt</t>
  </si>
  <si>
    <t>Relevered Beta</t>
  </si>
  <si>
    <t>Cost of Equity</t>
  </si>
  <si>
    <t>WACC Sensitivity Analysis</t>
  </si>
  <si>
    <t>Risk-free Rate</t>
  </si>
  <si>
    <t>Pre-tax Cost of Debt</t>
  </si>
  <si>
    <t>Market Risk Premium</t>
  </si>
  <si>
    <t>Other Premium Adjustment (e.g., Size)</t>
  </si>
  <si>
    <t xml:space="preserve">   Cost of Equity</t>
  </si>
  <si>
    <t xml:space="preserve">   WACC</t>
  </si>
  <si>
    <t>Fully Diluted Shares Outstanding Calculation</t>
  </si>
  <si>
    <t>Current Share Price</t>
  </si>
  <si>
    <t>Number of</t>
  </si>
  <si>
    <t>Exercise</t>
  </si>
  <si>
    <t>In-the-Money</t>
  </si>
  <si>
    <t>Options and Warrants</t>
  </si>
  <si>
    <t>Shares</t>
  </si>
  <si>
    <t>Price</t>
  </si>
  <si>
    <t>Proceeds</t>
  </si>
  <si>
    <t>Tranche 1</t>
  </si>
  <si>
    <t>Tranche 2</t>
  </si>
  <si>
    <t>Tranche 3</t>
  </si>
  <si>
    <t>Tranche 4</t>
  </si>
  <si>
    <t>Tranche 5</t>
  </si>
  <si>
    <t xml:space="preserve">   Total</t>
  </si>
  <si>
    <t>Basic Shares Outstanding</t>
  </si>
  <si>
    <t>Plus: Shares from In-the-Money Options</t>
  </si>
  <si>
    <t>Less: Shares Repurchased</t>
  </si>
  <si>
    <t xml:space="preserve">   Net New Shares from Options</t>
  </si>
  <si>
    <t>Plus: Shares from Convertible Securities</t>
  </si>
  <si>
    <t xml:space="preserve">   Fully Diluted Shares Outstanding</t>
  </si>
  <si>
    <t>Sources: Peer set MRK / JNJ / LLY, assignment constraints, and linked trading metrics.</t>
  </si>
  <si>
    <t>Use Fully Diluted Shares? (Yes or No)</t>
  </si>
  <si>
    <t>Comparable Companies Analysis</t>
  </si>
  <si>
    <t>Enterprise Value /</t>
  </si>
  <si>
    <t>LTM</t>
  </si>
  <si>
    <t>Total</t>
  </si>
  <si>
    <t>Price /</t>
  </si>
  <si>
    <t>Current</t>
  </si>
  <si>
    <t>Weighted Avg.</t>
  </si>
  <si>
    <t>Shares from</t>
  </si>
  <si>
    <t xml:space="preserve">Fully Diluted </t>
  </si>
  <si>
    <t>Fiscal Year</t>
  </si>
  <si>
    <t>Latest</t>
  </si>
  <si>
    <t>Latest Fiscal Year</t>
  </si>
  <si>
    <t>Prior</t>
  </si>
  <si>
    <t>Prior Stub</t>
  </si>
  <si>
    <t>Latest Stub</t>
  </si>
  <si>
    <t>Last Twelve Months</t>
  </si>
  <si>
    <t>FY + 1</t>
  </si>
  <si>
    <t>Forecasted Fiscal Year + 1</t>
  </si>
  <si>
    <t>FY + 2</t>
  </si>
  <si>
    <t>Forecasted Fiscal Year + 2</t>
  </si>
  <si>
    <t>FY + 3</t>
  </si>
  <si>
    <t>Forecasted Fiscal Year + 3</t>
  </si>
  <si>
    <t>CY + 1</t>
  </si>
  <si>
    <t>Forecasted Calendar Year + 1</t>
  </si>
  <si>
    <t>CY + 2</t>
  </si>
  <si>
    <t>Forecasted Calendar Year + 2</t>
  </si>
  <si>
    <t xml:space="preserve">Equity </t>
  </si>
  <si>
    <t>Enterprise</t>
  </si>
  <si>
    <t>CY+1</t>
  </si>
  <si>
    <t>CY 24E</t>
  </si>
  <si>
    <t>CY 23E</t>
  </si>
  <si>
    <t>Debt /</t>
  </si>
  <si>
    <t>Share</t>
  </si>
  <si>
    <t>Most Recent</t>
  </si>
  <si>
    <t>Basic Shares</t>
  </si>
  <si>
    <t>Options</t>
  </si>
  <si>
    <t>ITM Options</t>
  </si>
  <si>
    <t>Repurchased</t>
  </si>
  <si>
    <t xml:space="preserve">Shares </t>
  </si>
  <si>
    <t>Net Debt</t>
  </si>
  <si>
    <t>End</t>
  </si>
  <si>
    <t>Stub</t>
  </si>
  <si>
    <t>Forecast</t>
  </si>
  <si>
    <t>Value ($m)</t>
  </si>
  <si>
    <t>Margin</t>
  </si>
  <si>
    <t>EPS</t>
  </si>
  <si>
    <t>Company Name</t>
  </si>
  <si>
    <t>Ticker</t>
  </si>
  <si>
    <t>Price ($)</t>
  </si>
  <si>
    <t>Date for Data</t>
  </si>
  <si>
    <t>Outstanding (m)</t>
  </si>
  <si>
    <t>Outstanding</t>
  </si>
  <si>
    <t>Total Debt</t>
  </si>
  <si>
    <t>NCI</t>
  </si>
  <si>
    <t>Pref Stock</t>
  </si>
  <si>
    <t>Cash</t>
  </si>
  <si>
    <t>Month</t>
  </si>
  <si>
    <t>OpExp</t>
  </si>
  <si>
    <t>D&amp;A</t>
  </si>
  <si>
    <t>Dil. EPS</t>
  </si>
  <si>
    <t>Period</t>
  </si>
  <si>
    <t>Johnson &amp; Johnson</t>
  </si>
  <si>
    <t>Eli Lilly and Company</t>
  </si>
  <si>
    <t>Merck &amp; Co.</t>
  </si>
  <si>
    <t>Min</t>
  </si>
  <si>
    <t>Max</t>
  </si>
  <si>
    <t>Adj. Mean (excl. min and max)</t>
  </si>
  <si>
    <t>Implied EV (mean mult)</t>
  </si>
  <si>
    <t>Implied EV (adj. mean mult)</t>
  </si>
  <si>
    <t>Implied EV (median mult)</t>
  </si>
  <si>
    <t>Less: Net Debt</t>
  </si>
  <si>
    <t>Implied Equity Value (mean mult)</t>
  </si>
  <si>
    <t>Implied Equity Value (adj. mean mult)</t>
  </si>
  <si>
    <t>Implied Equity Value (median mult)</t>
  </si>
  <si>
    <t>Implied Share Price (mean mult)</t>
  </si>
  <si>
    <t>Implied Share Price (adj. mean mult)</t>
  </si>
  <si>
    <t>Implied Share Price (median mult)</t>
  </si>
  <si>
    <t>Sources: Assignment precedent ranges, precedent-transaction workbook support, and shared share-count bridge from Trading Comps.</t>
  </si>
  <si>
    <t>Use Fully Diluted Shares?</t>
  </si>
  <si>
    <t>Comparable Precedent Transactions Analysis</t>
  </si>
  <si>
    <t>SDC Enterprise Value /</t>
  </si>
  <si>
    <t>SDC Equity Value /</t>
  </si>
  <si>
    <t>Premiums Paid</t>
  </si>
  <si>
    <t>Date</t>
  </si>
  <si>
    <t>Deal</t>
  </si>
  <si>
    <t>Purchase</t>
  </si>
  <si>
    <t>SDC Deal</t>
  </si>
  <si>
    <t>Days Prior to Announcement</t>
  </si>
  <si>
    <t>At Offer</t>
  </si>
  <si>
    <t>SDC Data</t>
  </si>
  <si>
    <t>SDC Price /</t>
  </si>
  <si>
    <t>SDC Premium</t>
  </si>
  <si>
    <t>Acquirer</t>
  </si>
  <si>
    <t>Announced</t>
  </si>
  <si>
    <t>Status</t>
  </si>
  <si>
    <t>Consideration</t>
  </si>
  <si>
    <t>Net Income</t>
  </si>
  <si>
    <t>1 day</t>
  </si>
  <si>
    <t>7 days</t>
  </si>
  <si>
    <t>30 days</t>
  </si>
  <si>
    <t>Acquirer Name</t>
  </si>
  <si>
    <t>Target Name</t>
  </si>
  <si>
    <t>Date Announced</t>
  </si>
  <si>
    <t>Deal Status</t>
  </si>
  <si>
    <t>Purchase Consideration</t>
  </si>
  <si>
    <t>SDC Deal Value</t>
  </si>
  <si>
    <t>LTM Sales</t>
  </si>
  <si>
    <t>LTM EBITDA</t>
  </si>
  <si>
    <t>LTM EBIT</t>
  </si>
  <si>
    <t>LTM Net Income</t>
  </si>
  <si>
    <t>LTM EPS</t>
  </si>
  <si>
    <t>1 week</t>
  </si>
  <si>
    <t>4 week</t>
  </si>
  <si>
    <t>copied from trading comps</t>
  </si>
  <si>
    <t>basic shares</t>
  </si>
  <si>
    <t>fd shares</t>
  </si>
  <si>
    <t>FD shares</t>
  </si>
  <si>
    <t>Source: Archie Toff's provided multiple ranges</t>
  </si>
  <si>
    <t>LTM EBITDA: 15-20x; LTM P/E: 18-25x</t>
  </si>
  <si>
    <t>EV/Sales and EV/EBIT ranges derived from pharma M&amp;A benchmarks</t>
  </si>
  <si>
    <t>Link to Valuations</t>
  </si>
  <si>
    <t>Sources: Dynamic WACC engine, DCF output sheet, trading comps, and precedent-transaction ranges.</t>
  </si>
  <si>
    <t>Comparable Companies</t>
  </si>
  <si>
    <t>Valuation Bridge</t>
  </si>
  <si>
    <t>Premium / Discount</t>
  </si>
  <si>
    <t>Discounted Cash Flow</t>
  </si>
  <si>
    <t>Recommended Range</t>
  </si>
  <si>
    <t>Live Assumptions</t>
  </si>
  <si>
    <t>Active Scenario</t>
  </si>
  <si>
    <t>52-Week Trading Range</t>
  </si>
  <si>
    <t>Recommendation</t>
  </si>
  <si>
    <t>Discounted Cash Flows</t>
  </si>
  <si>
    <t>Implied EV ($m)</t>
  </si>
  <si>
    <t>Comparable Companies (adj. mean)</t>
  </si>
  <si>
    <t>Comparable Companies (median)</t>
  </si>
  <si>
    <t>Precedent Transactions (adj. mean)</t>
  </si>
  <si>
    <t>Precedent Transactions (median)</t>
  </si>
  <si>
    <t>Sources: Statement tabs, Bloomberg pulls, and FMP stable API cross-checks.</t>
  </si>
  <si>
    <t>x</t>
  </si>
  <si>
    <t>Company Name:</t>
  </si>
  <si>
    <t>Pfizer Inc</t>
  </si>
  <si>
    <t>Pulled From</t>
  </si>
  <si>
    <t>Selected Market data</t>
  </si>
  <si>
    <t>Current share price</t>
  </si>
  <si>
    <t>Basic shares outstanding (m)</t>
  </si>
  <si>
    <t>Shares under employee options</t>
  </si>
  <si>
    <t>Weighted avg. exercise price of options</t>
  </si>
  <si>
    <t xml:space="preserve">Income Statement </t>
  </si>
  <si>
    <t>In Millions, USD</t>
  </si>
  <si>
    <t>Operating Income</t>
  </si>
  <si>
    <t>Other Non-Operating Expenses</t>
  </si>
  <si>
    <t>Interest Income/(Expense)</t>
  </si>
  <si>
    <t>Income Before Taxes</t>
  </si>
  <si>
    <t>Taxes</t>
  </si>
  <si>
    <t>Consolidated Net Income/(Loss)</t>
  </si>
  <si>
    <t>Net Extraordinary Losses (Gains)</t>
  </si>
  <si>
    <t>Preferred Dividends</t>
  </si>
  <si>
    <t>NCI share in income</t>
  </si>
  <si>
    <t>Net Income/(Loss) to Company</t>
  </si>
  <si>
    <t>Basic EPS</t>
  </si>
  <si>
    <t>Diluted EPS</t>
  </si>
  <si>
    <t xml:space="preserve">Balance Sheet </t>
  </si>
  <si>
    <t>Assets</t>
  </si>
  <si>
    <t>Fixed Assets</t>
  </si>
  <si>
    <t>LT Investments</t>
  </si>
  <si>
    <t>Other LT Assets</t>
  </si>
  <si>
    <t>Total Non-Current Assets</t>
  </si>
  <si>
    <t>Total Assets</t>
  </si>
  <si>
    <t>Liabilities</t>
  </si>
  <si>
    <t>Short term debt</t>
  </si>
  <si>
    <t>Long term Debt</t>
  </si>
  <si>
    <t>Other LT Liabilities</t>
  </si>
  <si>
    <t>Total Non-Current Liabilities</t>
  </si>
  <si>
    <t>Total Liabilities</t>
  </si>
  <si>
    <t>Common Stockholders' Equity</t>
  </si>
  <si>
    <t>Non-controlling interest</t>
  </si>
  <si>
    <t>Total Equity</t>
  </si>
  <si>
    <t>Total Liabilities and Equity</t>
  </si>
  <si>
    <t>Cash Flows: Selected Data</t>
  </si>
  <si>
    <t>Add back: Depreciation &amp; Amort.</t>
  </si>
  <si>
    <t>Cash Flow from Operations</t>
  </si>
  <si>
    <t>Capital Expenditures</t>
  </si>
  <si>
    <t>Ratios and checks</t>
  </si>
  <si>
    <t>Sales growth</t>
  </si>
  <si>
    <t>Gross margin</t>
  </si>
  <si>
    <t>SG&amp;A as % of sales</t>
  </si>
  <si>
    <t>Net margin</t>
  </si>
  <si>
    <t>Net working capital</t>
  </si>
  <si>
    <t>Change in NWC as % of sales</t>
  </si>
  <si>
    <t>Return on Equity</t>
  </si>
  <si>
    <t>Balance sheet check</t>
  </si>
  <si>
    <t>Sources: Historical ratios derived from the Data hub and statement-support tabs.</t>
  </si>
  <si>
    <t>Calculate yearly sales growth from 2018 to 2022.</t>
  </si>
  <si>
    <t>Current Period</t>
  </si>
  <si>
    <t>Sales ($ million)</t>
  </si>
  <si>
    <t>Prior Period</t>
  </si>
  <si>
    <t>Calculate compound annual growth rate of sales from 2017 to 2022.</t>
  </si>
  <si>
    <t>Number of periods</t>
  </si>
  <si>
    <t>Sales CAGR</t>
  </si>
  <si>
    <t>Calculate Return on Equity for 2018 to 2022 at the Company level (i.e., exclude NCI) and Consolidated level.</t>
  </si>
  <si>
    <t>Net income/(Loss) to Company ($ million)</t>
  </si>
  <si>
    <t>Consolidated Equity ($ million)</t>
  </si>
  <si>
    <t>Company Equity ($ million)</t>
  </si>
  <si>
    <t>ROE Consolidated</t>
  </si>
  <si>
    <t>ROE Company</t>
  </si>
  <si>
    <t>Conduct an ROE decomposition (i.e., DuPont analysis) for 2018 to 2022 at Consolidated level.</t>
  </si>
  <si>
    <t>Consolidated Net income ($ million)</t>
  </si>
  <si>
    <t>Profitability (NI/Sales)</t>
  </si>
  <si>
    <t>Efficiency (Sales/Avg. Assets)</t>
  </si>
  <si>
    <t>Leverage (Avg. Assets/Avg. Equity)</t>
  </si>
  <si>
    <t>ROA</t>
  </si>
  <si>
    <t>Calculate the Cash Conversion Cycle for 2018 to 2022.</t>
  </si>
  <si>
    <t>Cost of goods sold ($ million)</t>
  </si>
  <si>
    <t>Receivables</t>
  </si>
  <si>
    <t>Inventory</t>
  </si>
  <si>
    <t>Payables</t>
  </si>
  <si>
    <t>Receivables Turnover</t>
  </si>
  <si>
    <t>Inventory Turnover</t>
  </si>
  <si>
    <t>Payables Turnover</t>
  </si>
  <si>
    <t>Days Inventory Outstanding (DIO)</t>
  </si>
  <si>
    <t>Days Sales Outstanding (DSO)</t>
  </si>
  <si>
    <t>Days Payables Outstanding (DPO)</t>
  </si>
  <si>
    <t>Cash Conversion Cycle (CCC)</t>
  </si>
  <si>
    <t>Bloomberg</t>
  </si>
  <si>
    <t>Difference</t>
  </si>
  <si>
    <t>Sources: Executive Summary scenario controls, assignment WACC inputs, and model-linked valuation outputs.</t>
  </si>
  <si>
    <t>Active Capital Inputs</t>
  </si>
  <si>
    <t>WACC Engine</t>
  </si>
  <si>
    <t>Raw CAPM</t>
  </si>
  <si>
    <t>Premium Adjustment</t>
  </si>
  <si>
    <t>Equity Weight</t>
  </si>
  <si>
    <t>Peer Beta Cross-Check</t>
  </si>
  <si>
    <t>Peer</t>
  </si>
  <si>
    <t>Debt ($m)</t>
  </si>
  <si>
    <t>Equity Value ($m)</t>
  </si>
  <si>
    <t>D/E</t>
  </si>
  <si>
    <t>Tax</t>
  </si>
  <si>
    <t>Unlevered Beta</t>
  </si>
  <si>
    <t>Output Bridge</t>
  </si>
  <si>
    <t>DCF Price</t>
  </si>
  <si>
    <t>Recommended Midpoint</t>
  </si>
  <si>
    <t>Upside / (Downside)</t>
  </si>
  <si>
    <t>Sources: Bloomberg history block, assignment WACC inputs, and archived capital-structure support.</t>
  </si>
  <si>
    <t>WACC History</t>
  </si>
  <si>
    <t>FY 2025</t>
  </si>
  <si>
    <t>FY 2024</t>
  </si>
  <si>
    <t>FY 2023</t>
  </si>
  <si>
    <t>FY 2022</t>
  </si>
  <si>
    <t>FY 2021</t>
  </si>
  <si>
    <t>FY 2020</t>
  </si>
  <si>
    <t>FY 2019</t>
  </si>
  <si>
    <t>FY 2018</t>
  </si>
  <si>
    <t>FY 2017</t>
  </si>
  <si>
    <t>FY 2016</t>
  </si>
  <si>
    <t>12 Months Ending</t>
  </si>
  <si>
    <t>12/31/2025</t>
  </si>
  <si>
    <t>12/31/2024</t>
  </si>
  <si>
    <t>12/31/2023</t>
  </si>
  <si>
    <t>12/31/2022</t>
  </si>
  <si>
    <t>12/31/2021</t>
  </si>
  <si>
    <t>12/31/2020</t>
  </si>
  <si>
    <t>12/31/2019</t>
  </si>
  <si>
    <t>12/31/2018</t>
  </si>
  <si>
    <t>12/31/2017</t>
  </si>
  <si>
    <t>12/31/2016</t>
  </si>
  <si>
    <t>WACC_COST_EQUITY</t>
  </si>
  <si>
    <t>Weight of Equity</t>
  </si>
  <si>
    <t>WACC_WEIGHT_OF_EQUITY</t>
  </si>
  <si>
    <t>+ Debt</t>
  </si>
  <si>
    <t>WACC_COST_DEBT</t>
  </si>
  <si>
    <t>Weight of Debt</t>
  </si>
  <si>
    <t>WACC_WEIGHT_OF_DEBT</t>
  </si>
  <si>
    <t>+ Preferred Equity</t>
  </si>
  <si>
    <t>Cost of Pref. Equity</t>
  </si>
  <si>
    <t>WACC_COST_PFD</t>
  </si>
  <si>
    <t>Weight of Pref. Equity</t>
  </si>
  <si>
    <t>WACC_WEIGHT_OF_PREFERRED_EQUITY</t>
  </si>
  <si>
    <t>Capital Structure</t>
  </si>
  <si>
    <t>+ Historical Market Cap</t>
  </si>
  <si>
    <t>HISTORICAL_MARKET_CAP</t>
  </si>
  <si>
    <t>+ Short Term Debt</t>
  </si>
  <si>
    <t>BS_ST_BORROW</t>
  </si>
  <si>
    <t>+ Long Term Debt</t>
  </si>
  <si>
    <t>BS_LT_BORROW</t>
  </si>
  <si>
    <t>+ Preferred Equity and Hybrid Capital</t>
  </si>
  <si>
    <t>PFD_EQTY_HYBRID_CAPITAL</t>
  </si>
  <si>
    <t>Total Capital</t>
  </si>
  <si>
    <t>WACC_TOTAL_CAPITAL</t>
  </si>
  <si>
    <t>EVA</t>
  </si>
  <si>
    <t>+ Net Op. Profit</t>
  </si>
  <si>
    <t>WACC_NET_OPER_PROFIT</t>
  </si>
  <si>
    <t>- Cash Op. Taxes</t>
  </si>
  <si>
    <t>WACC_CASH_OPER_TAXES</t>
  </si>
  <si>
    <t>+ NOPAT</t>
  </si>
  <si>
    <t>WACC_NOPAT</t>
  </si>
  <si>
    <t>Total Invested Capital</t>
  </si>
  <si>
    <t>WACC_TOTAL_INV_CAPITAL</t>
  </si>
  <si>
    <t>- Capital Charge</t>
  </si>
  <si>
    <t>WACC_CAPITAL_CHARGE</t>
  </si>
  <si>
    <t>Economic Value Added</t>
  </si>
  <si>
    <t>WACC_ECON_VALUE_ADDED</t>
  </si>
  <si>
    <t>ROIC</t>
  </si>
  <si>
    <t>WACC_RETURN_ON_INV_CAPITAL</t>
  </si>
  <si>
    <t>EVA Spread</t>
  </si>
  <si>
    <t>WACC_EVA_SPREAD</t>
  </si>
  <si>
    <t>Source: Bloomberg</t>
  </si>
  <si>
    <t>Right click to show data transparency (not supported for all values)</t>
  </si>
  <si>
    <t>Sources: Historical cash-flow statements retained as the FCF bridge support.</t>
  </si>
  <si>
    <t>In Millions of USD except Per Share</t>
  </si>
  <si>
    <t>Cash from Operating Activities</t>
  </si>
  <si>
    <t xml:space="preserve">  Net Income</t>
  </si>
  <si>
    <t>CF_NET_INC</t>
  </si>
  <si>
    <t xml:space="preserve">  Depreciation &amp; Amortization</t>
  </si>
  <si>
    <t>CF_DEPR_AMORT</t>
  </si>
  <si>
    <t xml:space="preserve">  Non-Cash Items</t>
  </si>
  <si>
    <t>NON_CASH_ITEMS_DETAILED</t>
  </si>
  <si>
    <t xml:space="preserve">    Stock-Based Compensation</t>
  </si>
  <si>
    <t>CF_STOCK_BASED_COMPENSATION</t>
  </si>
  <si>
    <t xml:space="preserve">    Deferred Income Taxes</t>
  </si>
  <si>
    <t>CF_DEF_INC_TAX</t>
  </si>
  <si>
    <t xml:space="preserve">    Other Non-Cash Adj</t>
  </si>
  <si>
    <t>OTHER_NON_CASH_ADJ_LESS_DETAILED</t>
  </si>
  <si>
    <t xml:space="preserve">  Chg in Non-Cash Work Cap</t>
  </si>
  <si>
    <t>CF_CHNG_NON_CASH_WORK_CAP</t>
  </si>
  <si>
    <t xml:space="preserve">    (Inc) Dec in Accts Receiv</t>
  </si>
  <si>
    <t>CF_ACCT_RCV_UNBILLED_REV</t>
  </si>
  <si>
    <t xml:space="preserve">    (Inc) Dec in Inventories</t>
  </si>
  <si>
    <t>CF_CHANGE_IN_INVENTORIES</t>
  </si>
  <si>
    <t xml:space="preserve">    Inc (Dec) in Accts Payable</t>
  </si>
  <si>
    <t>CF_CHANGE_IN_ACCOUNTS_PAYABLE</t>
  </si>
  <si>
    <t xml:space="preserve">    Inc (Dec) in Other</t>
  </si>
  <si>
    <t>INC_DEC_IN_OT_OP_AST_LIAB_DETAIL</t>
  </si>
  <si>
    <t xml:space="preserve">  Net Cash From Disc Ops</t>
  </si>
  <si>
    <t>CF_NET_CASH_DISCONT_OPS_OPER</t>
  </si>
  <si>
    <t>—</t>
  </si>
  <si>
    <t>CF_CASH_FROM_OPER</t>
  </si>
  <si>
    <t>Cash from Investing Activities</t>
  </si>
  <si>
    <t xml:space="preserve">  Change in Fixed &amp; Intang</t>
  </si>
  <si>
    <t>FIXED_INTANG_ASST_CHANGE</t>
  </si>
  <si>
    <t xml:space="preserve">    Disp in Fixed &amp; Intang</t>
  </si>
  <si>
    <t>DISPOSAL_OF_FIXED_INTANG</t>
  </si>
  <si>
    <t xml:space="preserve">    Disp of Fixed Prod Assets</t>
  </si>
  <si>
    <t>CF_DISPOSAL_OF_FIXED_PROD_ASSETS</t>
  </si>
  <si>
    <t xml:space="preserve">    Disp of Intangible Assets</t>
  </si>
  <si>
    <t>CF_DISPOSAL_OF_INTANGIBLE_ASSETS</t>
  </si>
  <si>
    <t xml:space="preserve">    Acq of Fixed &amp; Intang</t>
  </si>
  <si>
    <t>ACQUIS_OF_FIXED_INTANG</t>
  </si>
  <si>
    <t xml:space="preserve">    Acq of Fixed Prod Assets</t>
  </si>
  <si>
    <t>CF_PURCHASE_OF_FIXED_PROD_ASSETS</t>
  </si>
  <si>
    <t xml:space="preserve">    Acq of Intangible Assets</t>
  </si>
  <si>
    <t>CF_ACQUISITION_OF_INTANG_ASSETS</t>
  </si>
  <si>
    <t xml:space="preserve">  Net Change in LT Investment</t>
  </si>
  <si>
    <t>NET_CHG_IN_LT_INVEST_DETAILED</t>
  </si>
  <si>
    <t xml:space="preserve">    Dec in LT Investment</t>
  </si>
  <si>
    <t>CF_DECR_INVEST</t>
  </si>
  <si>
    <t xml:space="preserve">    Inc in LT Investment</t>
  </si>
  <si>
    <t>CF_INCR_INVEST</t>
  </si>
  <si>
    <t xml:space="preserve">  Net Cash From Acq &amp; Div</t>
  </si>
  <si>
    <t>CF_NT_CSH_RCVD_PD_FOR_ACQUIS_DIV</t>
  </si>
  <si>
    <t xml:space="preserve">    Cash from Divestitures</t>
  </si>
  <si>
    <t>CF_CASH_FOR_DIVESTITURES</t>
  </si>
  <si>
    <t xml:space="preserve">    Cash for Acq of Subs</t>
  </si>
  <si>
    <t>CF_CASH_FOR_ACQUIS_SUBSIDIARIES</t>
  </si>
  <si>
    <t xml:space="preserve">    Cash for JVs</t>
  </si>
  <si>
    <t>CF_CASH_FOR_JOINT_VENTURES_ASSOC</t>
  </si>
  <si>
    <t xml:space="preserve">  Other Investing Activities</t>
  </si>
  <si>
    <t>OTHER_INVESTING_ACT_DETAILED</t>
  </si>
  <si>
    <t>CF_NET_CASH_DISCONTINUED_OPS_INV</t>
  </si>
  <si>
    <t>CF_CASH_FROM_INV_ACT</t>
  </si>
  <si>
    <t>Cash from Financing Activities</t>
  </si>
  <si>
    <t xml:space="preserve">  Dividends Paid</t>
  </si>
  <si>
    <t>CF_DVD_PAID</t>
  </si>
  <si>
    <t xml:space="preserve">  Cash From (Repayment) Debt</t>
  </si>
  <si>
    <t>PROC_FR_REPAYMNTS_BOR_DETAILED</t>
  </si>
  <si>
    <t xml:space="preserve">    Cash From (Repay) ST Debt</t>
  </si>
  <si>
    <t>CF_NET_CHG_ST_DEBT_CPTL_LEAS</t>
  </si>
  <si>
    <t xml:space="preserve">    Cash From LT Debt</t>
  </si>
  <si>
    <t>CF_LT_DEBT_CAP_LEAS_PROCEEDS</t>
  </si>
  <si>
    <t xml:space="preserve">    Repayments of LT Debt</t>
  </si>
  <si>
    <t>CF_LT_DEBT_CAP_LEAS_PAYMENT</t>
  </si>
  <si>
    <t xml:space="preserve">  Cash (Repurchase) of Equity</t>
  </si>
  <si>
    <t>PROC_FR_REPURCH_EQTY_DETAILED</t>
  </si>
  <si>
    <t xml:space="preserve">    Increase in Capital Stock</t>
  </si>
  <si>
    <t>CF_INCR_CAP_STOCK</t>
  </si>
  <si>
    <t xml:space="preserve">    Decrease in Capital Stock</t>
  </si>
  <si>
    <t>CF_DECR_CAP_STOCK</t>
  </si>
  <si>
    <t xml:space="preserve">  Other Financing Activities</t>
  </si>
  <si>
    <t>OTHER_FIN_AND_DEC_CAP</t>
  </si>
  <si>
    <t>CF_NET_CASH_DISCONTINUED_OPS_FIN</t>
  </si>
  <si>
    <t>CFF_ACTIVITIES_DETAILED</t>
  </si>
  <si>
    <t xml:space="preserve">  Effect of Foreign Exchange Rates</t>
  </si>
  <si>
    <t>CF_EFFECT_FOREIGN_EXCHANGES</t>
  </si>
  <si>
    <t>Net Changes in Cash</t>
  </si>
  <si>
    <t>CF_NET_CHNG_CASH</t>
  </si>
  <si>
    <t>Cash Paid for Taxes</t>
  </si>
  <si>
    <t>CF_CASH_PAID_FOR_TAX</t>
  </si>
  <si>
    <t>Cash Paid for Interest</t>
  </si>
  <si>
    <t>CF_ACT_CASH_PAID_FOR_INT_DEBT</t>
  </si>
  <si>
    <t>Reference Items</t>
  </si>
  <si>
    <t>Trailing 12M EBITDA Margin</t>
  </si>
  <si>
    <t>EBITDA_MARGIN</t>
  </si>
  <si>
    <t>Net Cash Paid for Acquisitions</t>
  </si>
  <si>
    <t>CF_NET_CASH_PAID_FOR_AQUIS</t>
  </si>
  <si>
    <t>CF_FREE_CASH_FLOW</t>
  </si>
  <si>
    <t>Free Cash Flow to Firm</t>
  </si>
  <si>
    <t>CF_FREE_CASH_FLOW_FIRM</t>
  </si>
  <si>
    <t>Free Cash Flow to Equity</t>
  </si>
  <si>
    <t>FREE_CASH_FLOW_EQUITY</t>
  </si>
  <si>
    <t>Free Cash Flow per Basic Share</t>
  </si>
  <si>
    <t>FREE_CASH_FLOW_PER_SH</t>
  </si>
  <si>
    <t>Price to Free Cash Flow</t>
  </si>
  <si>
    <t>PX_TO_FREE_CASH_FLOW</t>
  </si>
  <si>
    <t>Cash Flow to Net Income</t>
  </si>
  <si>
    <t>CASH_FLOW_TO_NET_INC</t>
  </si>
  <si>
    <t>Sources: Standardized historical statement pull used for valuation support.</t>
  </si>
  <si>
    <t>SALES_REV_TURN</t>
  </si>
  <si>
    <t xml:space="preserve">    Sales &amp; Services Revenue</t>
  </si>
  <si>
    <t>IS_SALES_AND_SERVICES_REVENUES</t>
  </si>
  <si>
    <t xml:space="preserve">    Other Revenue</t>
  </si>
  <si>
    <t>IS_OTHER_REVENUE</t>
  </si>
  <si>
    <t xml:space="preserve">  Cost of Revenue</t>
  </si>
  <si>
    <t>IS_COGS_TO_FE_AND_PP_AND_G</t>
  </si>
  <si>
    <t xml:space="preserve">    Cost of Goods &amp; Services</t>
  </si>
  <si>
    <t>IS_COG_AND_SERVICES_SOLD</t>
  </si>
  <si>
    <t>GROSS_PROFIT</t>
  </si>
  <si>
    <t xml:space="preserve">  Other Operating Income</t>
  </si>
  <si>
    <t>IS_OTHER_OPER_INC</t>
  </si>
  <si>
    <t xml:space="preserve">  Operating Expenses</t>
  </si>
  <si>
    <t>IS_OPERATING_EXPN</t>
  </si>
  <si>
    <t xml:space="preserve">    Selling, General &amp; Admin</t>
  </si>
  <si>
    <t>IS_SGA_EXPENSE</t>
  </si>
  <si>
    <t xml:space="preserve">    Research &amp; Development</t>
  </si>
  <si>
    <t>IS_OPER_EXPENSES_RD_GAAP</t>
  </si>
  <si>
    <t xml:space="preserve">    Other Operating Expense</t>
  </si>
  <si>
    <t>OTHER_OPERATING_EXPENSES_RATIO</t>
  </si>
  <si>
    <t>Operating Income (Loss)</t>
  </si>
  <si>
    <t>IS_OPER_INC</t>
  </si>
  <si>
    <t xml:space="preserve">  Non-Operating (Income) Loss</t>
  </si>
  <si>
    <t>NONOP_INCOME_LOSS</t>
  </si>
  <si>
    <t xml:space="preserve">    Interest Expense, Net</t>
  </si>
  <si>
    <t>IS_NET_INTEREST_EXPENSE</t>
  </si>
  <si>
    <t xml:space="preserve">    Interest Expense</t>
  </si>
  <si>
    <t>IS_INT_EXPENSE</t>
  </si>
  <si>
    <t xml:space="preserve">    Interest Income</t>
  </si>
  <si>
    <t>IS_INT_INC</t>
  </si>
  <si>
    <t xml:space="preserve">    Foreign Exch (Gain) Loss</t>
  </si>
  <si>
    <t>IS_FOREIGN_EXCH_LOSS</t>
  </si>
  <si>
    <t xml:space="preserve">    Other Non-Op (Income) Loss</t>
  </si>
  <si>
    <t>OTHER_NONOP_INCOME_LOSS</t>
  </si>
  <si>
    <t>Pretax Income</t>
  </si>
  <si>
    <t>PRETAX_INC</t>
  </si>
  <si>
    <t xml:space="preserve">  Income Tax Expense (Benefit)</t>
  </si>
  <si>
    <t>IS_INC_TAX_EXP</t>
  </si>
  <si>
    <t xml:space="preserve">    Current Income Tax</t>
  </si>
  <si>
    <t>IS_CURRENT_INCOME_TAX_BENEFIT</t>
  </si>
  <si>
    <t xml:space="preserve">    Deferred Income Tax</t>
  </si>
  <si>
    <t>IS_DEFERRED_INCOME_TAX_BENEFIT</t>
  </si>
  <si>
    <t>Income (Loss) from Cont Ops</t>
  </si>
  <si>
    <t>IS_INC_BEF_XO_ITEM</t>
  </si>
  <si>
    <t xml:space="preserve">  Net Extraordinary Losses (Gains)</t>
  </si>
  <si>
    <t>XO_GL_NET_OF_TAX</t>
  </si>
  <si>
    <t xml:space="preserve">    Discontinued Operations</t>
  </si>
  <si>
    <t>IS_DISCONTINUED_OPERATIONS</t>
  </si>
  <si>
    <t xml:space="preserve">    XO &amp; Accounting Changes</t>
  </si>
  <si>
    <t>EXTRAORD_ITEMS_ACCOUNTING_CHANGS</t>
  </si>
  <si>
    <t>Income (Loss) Incl. MI</t>
  </si>
  <si>
    <t>NI_INCLUDING_MINORITY_INT_RATIO</t>
  </si>
  <si>
    <t xml:space="preserve">  Minority Interest</t>
  </si>
  <si>
    <t>MIN_NONCONTROL_INTEREST_CREDITS</t>
  </si>
  <si>
    <t>Net Income, GAAP</t>
  </si>
  <si>
    <t>NET_INCOME</t>
  </si>
  <si>
    <t xml:space="preserve">  Preferred Dividends</t>
  </si>
  <si>
    <t>IS_TOT_CASH_PFD_DVD</t>
  </si>
  <si>
    <t xml:space="preserve">  Other Adjustments</t>
  </si>
  <si>
    <t>OTHER_ADJUSTMENTS</t>
  </si>
  <si>
    <t>Net Income Avail to Common, GAAP</t>
  </si>
  <si>
    <t>EARN_FOR_COMMON</t>
  </si>
  <si>
    <t>Net Income Avail to Common, Adj</t>
  </si>
  <si>
    <t xml:space="preserve">  Net Abnormal Losses (Gains)</t>
  </si>
  <si>
    <t>IS_NET_ABNORMAL_ITEMS</t>
  </si>
  <si>
    <t>Basic Weighted Avg Shares</t>
  </si>
  <si>
    <t>IS_AVG_NUM_SH_FOR_EPS</t>
  </si>
  <si>
    <t>Basic EPS, GAAP</t>
  </si>
  <si>
    <t>IS_EPS</t>
  </si>
  <si>
    <t>Basic EPS from Cont Ops, GAAP</t>
  </si>
  <si>
    <t>IS_EARN_BEF_XO_ITEMS_PER_SH</t>
  </si>
  <si>
    <t>Basic EPS from Cont Ops, Adjusted</t>
  </si>
  <si>
    <t>IS_BASIC_EPS_CONT_OPS</t>
  </si>
  <si>
    <t>Diluted Weighted Avg Shares</t>
  </si>
  <si>
    <t>IS_SH_FOR_DILUTED_EPS</t>
  </si>
  <si>
    <t>Diluted EPS, GAAP</t>
  </si>
  <si>
    <t>IS_DILUTED_EPS</t>
  </si>
  <si>
    <t>Diluted EPS from Cont Ops, GAAP</t>
  </si>
  <si>
    <t>IS_DIL_EPS_BEF_XO</t>
  </si>
  <si>
    <t>Diluted EPS from Cont Ops, Adjusted</t>
  </si>
  <si>
    <t>IS_DIL_EPS_CONT_OPS</t>
  </si>
  <si>
    <t>Accounting Standard</t>
  </si>
  <si>
    <t>ACCOUNTING_STANDARD</t>
  </si>
  <si>
    <t>US GAAP</t>
  </si>
  <si>
    <t>EBITDA Margin (T12M)</t>
  </si>
  <si>
    <t>EBITA</t>
  </si>
  <si>
    <t>Gross Margin</t>
  </si>
  <si>
    <t>GROSS_MARGIN</t>
  </si>
  <si>
    <t>Operating Margin</t>
  </si>
  <si>
    <t>OPER_MARGIN</t>
  </si>
  <si>
    <t>Profit Margin</t>
  </si>
  <si>
    <t>PROF_MARGIN</t>
  </si>
  <si>
    <t>Sales per Employee</t>
  </si>
  <si>
    <t>ACTUAL_SALES_PER_EMPL</t>
  </si>
  <si>
    <t>Dividends per Share</t>
  </si>
  <si>
    <t>EQY_DPS</t>
  </si>
  <si>
    <t>Total Cash Common Dividends</t>
  </si>
  <si>
    <t>IS_TOT_CASH_COM_DVD</t>
  </si>
  <si>
    <t>Capitalized Interest Expense</t>
  </si>
  <si>
    <t>IS_CAP_INT_EXP</t>
  </si>
  <si>
    <t>Depreciation Expense</t>
  </si>
  <si>
    <t>IS_DEPR_EXP</t>
  </si>
  <si>
    <t>Rental Expense</t>
  </si>
  <si>
    <t>BS_CURR_RENTAL_EXPENSE</t>
  </si>
  <si>
    <t>Sources: As-reported income statement history retained for auditability and reconciliation.</t>
  </si>
  <si>
    <t>Income Statement</t>
  </si>
  <si>
    <t xml:space="preserve">  Revenues</t>
  </si>
  <si>
    <t>Revenues</t>
  </si>
  <si>
    <t>ARD_REVENUES</t>
  </si>
  <si>
    <t>Other Revenue</t>
  </si>
  <si>
    <t>ARD_OTHER_REV</t>
  </si>
  <si>
    <t>Royalty Revenue</t>
  </si>
  <si>
    <t>ARD_ROYALTY_REVENUE</t>
  </si>
  <si>
    <t>Product Revenue</t>
  </si>
  <si>
    <t>ARD_PRODUCT_REVENUE</t>
  </si>
  <si>
    <t>Total Revenue</t>
  </si>
  <si>
    <t>ARD_TOTAL_REVENUES</t>
  </si>
  <si>
    <t>ARD_COST_OF_GOODS_SOLD</t>
  </si>
  <si>
    <t>Amortization Expense</t>
  </si>
  <si>
    <t>ARD_AMORT_EXP</t>
  </si>
  <si>
    <t>R &amp; D Expenditures</t>
  </si>
  <si>
    <t>ARD_R&amp;D_EXPENDITURES</t>
  </si>
  <si>
    <t>Selling General and Administrative Expenses</t>
  </si>
  <si>
    <t>ARD_SELLING_GENERAL_ADMIN_EXP</t>
  </si>
  <si>
    <t>Acquired In-Process R&amp;D</t>
  </si>
  <si>
    <t>ARD_ACQUIRED_IN_PROCESS_R&amp;D</t>
  </si>
  <si>
    <t>Restructuring Charges</t>
  </si>
  <si>
    <t>ARD_RESTRUCTURING_CHARGES</t>
  </si>
  <si>
    <t>Other One-Time Charges</t>
  </si>
  <si>
    <t>ARD_OTHER_ONE_TIME_CHARGES</t>
  </si>
  <si>
    <t>ARD_GROSS_PROFITS</t>
  </si>
  <si>
    <t>Amortization of Intangible Assets</t>
  </si>
  <si>
    <t>ARD_AMORT_OF_INTANGIBLE_ASSETS</t>
  </si>
  <si>
    <t>(Gain)/Loss On Sale of Business</t>
  </si>
  <si>
    <t>ARD_GL_ON_SALE_OF_BUSINESS</t>
  </si>
  <si>
    <t xml:space="preserve">  Non-Operating Expenses</t>
  </si>
  <si>
    <t>Income Tax Expense (Benefit)</t>
  </si>
  <si>
    <t>ARD_INCOME_TAX_EXP_BENEFIT</t>
  </si>
  <si>
    <t>Income Before Income Taxes</t>
  </si>
  <si>
    <t>ARD_INCOME_BEFORE_INCOME_TAXES</t>
  </si>
  <si>
    <t>Income Before XO Items</t>
  </si>
  <si>
    <t>ARD_INCOME_BEFORE_XO_ITEMS</t>
  </si>
  <si>
    <t>Other Non-Operating (Income)/Expense - Net</t>
  </si>
  <si>
    <t>ARD_OTH_NON_OPER_INC_EXP_NET</t>
  </si>
  <si>
    <t xml:space="preserve">  Extraordinary Items</t>
  </si>
  <si>
    <t>Discontinued Operations Loss/(Benefit) - Net</t>
  </si>
  <si>
    <t>ARD_DISC_OPS_LOSS_BEN_NET</t>
  </si>
  <si>
    <t xml:space="preserve">  Earnings</t>
  </si>
  <si>
    <t>Minority/Non Controlling Interest</t>
  </si>
  <si>
    <t>ARD_MINORITY_NONCONTROL_INTEREST</t>
  </si>
  <si>
    <t>Dividends Per Share</t>
  </si>
  <si>
    <t>ARD_DVD_PER_SH</t>
  </si>
  <si>
    <t>Basic EPS Before XO Items</t>
  </si>
  <si>
    <t>ARD_BASIC_EPS_BEF_XO_ITEMS</t>
  </si>
  <si>
    <t>ARD_BASIC_EPS</t>
  </si>
  <si>
    <t>Weighted Avg. Shares - Basic</t>
  </si>
  <si>
    <t>ARD_WEIGHTED_AVG_SHARES_BASIC</t>
  </si>
  <si>
    <t>Diluted EPS Before XO Items</t>
  </si>
  <si>
    <t>ARD_DILUTED_EPS_BEF_XO_ITEMS</t>
  </si>
  <si>
    <t>ARD_DILUTED_EPS</t>
  </si>
  <si>
    <t>Weighted Avg. Shares - Diluted</t>
  </si>
  <si>
    <t>ARD_WEIGHTED_AVG_SHARE_DILUTED</t>
  </si>
  <si>
    <t>Net Income Available For Common Shareholders</t>
  </si>
  <si>
    <t>ARD_NET_INC_AVAIL_COM_SHRHLDR</t>
  </si>
  <si>
    <t>Discontinued Operations Per Share - Basic</t>
  </si>
  <si>
    <t>ARD_DISCONTINUE_OPS_PER_SH_BASIC</t>
  </si>
  <si>
    <t>Discontinued Operations Per Share - Diluted</t>
  </si>
  <si>
    <t>ARD_DISCONTINUE_OPS_PER_SH_DIL</t>
  </si>
  <si>
    <t>Profit After Taxation Before Minority</t>
  </si>
  <si>
    <t>ARD_PROF_AFTER_TAX_BEF_MINORITY</t>
  </si>
  <si>
    <t>Cumulative Net Income</t>
  </si>
  <si>
    <t>ARD_CUMULATIVE_NET_INCOME</t>
  </si>
  <si>
    <t>Total Cash Dividend Per Share</t>
  </si>
  <si>
    <t>ARD_TOTAL_CASH_DPS</t>
  </si>
  <si>
    <t>ARD_NET_INC</t>
  </si>
  <si>
    <t xml:space="preserve">  Comprehensive Income</t>
  </si>
  <si>
    <t>Net Income - Comprehensive Income</t>
  </si>
  <si>
    <t>ARDR_COMPR_INCOME_NET_INC</t>
  </si>
  <si>
    <t xml:space="preserve">  Others</t>
  </si>
  <si>
    <t xml:space="preserve">  Reference Items</t>
  </si>
  <si>
    <t>ARDR_COST_OF_GOODS_SOLD</t>
  </si>
  <si>
    <t>ARDR_AMORT_EXP</t>
  </si>
  <si>
    <t>ARDR_R&amp;D_EXPENDITURES</t>
  </si>
  <si>
    <t>ARDR_DEPRECIATION_EXP</t>
  </si>
  <si>
    <t>Selling General and Administrative Expense</t>
  </si>
  <si>
    <t>ARDR_SELLING_GENERAL_ADMIN_EXP</t>
  </si>
  <si>
    <t>Depreciation and Amortization</t>
  </si>
  <si>
    <t>ARDR_DEPRECIATION_AMORTIZATION</t>
  </si>
  <si>
    <t>Interest Expense</t>
  </si>
  <si>
    <t>ARDR_INT_EXP</t>
  </si>
  <si>
    <t>Foreign Exchange</t>
  </si>
  <si>
    <t>ARDR_FOREIGN_EXCHANGE</t>
  </si>
  <si>
    <t>ARDR_ACQUIRED_IN_PROCESS_R&amp;D</t>
  </si>
  <si>
    <t>Write-Down/Impairment of Assets</t>
  </si>
  <si>
    <t>ARDR_WRITEDOWN_IMPAIR_OF_ASSETS</t>
  </si>
  <si>
    <t>ARDR_RESTRUCTURING_CHARGES</t>
  </si>
  <si>
    <t>ARDR_OTHER_ONE_TIME_CHARGES</t>
  </si>
  <si>
    <t>Interest Income</t>
  </si>
  <si>
    <t>ARDR_INT_INCOME</t>
  </si>
  <si>
    <t>Interest Expense - Net</t>
  </si>
  <si>
    <t>ARDR_INT_EXP_NET</t>
  </si>
  <si>
    <t>ARDR_INCOME_TAX_EXP_BENEFIT</t>
  </si>
  <si>
    <t>Discontinued Operations Loss/(Benefit)-Net</t>
  </si>
  <si>
    <t>ARDR_DISC_OPS_LOSS_BEN_NET</t>
  </si>
  <si>
    <t>Foreign Currency Translation Adjustments</t>
  </si>
  <si>
    <t>ARDR_FOR_CRNCY_TRANSLATION_ADJ</t>
  </si>
  <si>
    <t>Unrealized Gain (Loss) On Securities</t>
  </si>
  <si>
    <t>ARDR_UNREALIZED_GL_ON_SECS</t>
  </si>
  <si>
    <t>Change In Fair Value of Derivatives</t>
  </si>
  <si>
    <t>ARDR_CHG_FAIR_VAL_OF_DERIVATIVES</t>
  </si>
  <si>
    <t>ARDR Pension Related Adjustments</t>
  </si>
  <si>
    <t>ARDR_PENSION_RELATED_ADJUSTMENTS</t>
  </si>
  <si>
    <t>Reclassification Adjustments</t>
  </si>
  <si>
    <t>ARDR_RECLASS_ADJUSTMENTS</t>
  </si>
  <si>
    <t>Inc Tax Exp Related to Comprehensive Inc</t>
  </si>
  <si>
    <t>ARDR_INC_TAX_RELATE_TO_COMP_INC</t>
  </si>
  <si>
    <t>Other Comprehensive Income</t>
  </si>
  <si>
    <t>ARDR_OTHER_COMPREHENSIVE_INCOME</t>
  </si>
  <si>
    <t>Capitalized Interest</t>
  </si>
  <si>
    <t>ARDR_CAPITALIZED_INTEREST</t>
  </si>
  <si>
    <t>ARDR_OTHER_REV</t>
  </si>
  <si>
    <t>ARDR_TOTAL_CASH_COMMON_DVD</t>
  </si>
  <si>
    <t>Total Cash Preferred Dividends</t>
  </si>
  <si>
    <t>ARDR_TOTAL_CASH_PREFERRED_DVD</t>
  </si>
  <si>
    <t>Projected Benefit Obligation</t>
  </si>
  <si>
    <t>ARDR_PROJECTED_BENEFIT_OBLIG</t>
  </si>
  <si>
    <t>Fair Value of Plan Assets</t>
  </si>
  <si>
    <t>ARDR_FAIR_VALUE_OF_PLAN_ASSETS</t>
  </si>
  <si>
    <t>ARDR_DVD_PER_SH</t>
  </si>
  <si>
    <t>ARDR_BASIC_EPS_BEF_XO_ITEMS</t>
  </si>
  <si>
    <t>ARDR_BASIC_EPS</t>
  </si>
  <si>
    <t>ARDR_WEIGHTED_AVG_SHARES_BASIC</t>
  </si>
  <si>
    <t>ARDR_DILUTED_EPS_BEF_XO_ITEMS</t>
  </si>
  <si>
    <t>ARDR_DILUTED_EPS</t>
  </si>
  <si>
    <t>ARDR_WEIGHTED_AVG_SHARE_DILUTED</t>
  </si>
  <si>
    <t>ARDR_PENSION_EXP_INCOME</t>
  </si>
  <si>
    <t>ARDR_SRVC_COST</t>
  </si>
  <si>
    <t>Overfunded (Underfunded) Pension</t>
  </si>
  <si>
    <t>ARDR_OVER_UNDERFUNDED_PENSION</t>
  </si>
  <si>
    <t>(Over/Underfunded) Post Retirement Benefit</t>
  </si>
  <si>
    <t>ARDR_OVER_UNDER_POST_RETIRE_BEN</t>
  </si>
  <si>
    <t>Expected Return On Plan Assets - Pension %</t>
  </si>
  <si>
    <t>ARDR_EXP_RET_ON_PLAN_ASSET_PENS</t>
  </si>
  <si>
    <t>Discount Rate Used On Plan Liabs-Pension %</t>
  </si>
  <si>
    <t>ARDR_DISC_RATE_USED_LIAB_PENS</t>
  </si>
  <si>
    <t>Rate of Compensation Increase(Pension) - %</t>
  </si>
  <si>
    <t>ARDR_RATE_OF_COMP_INCR_PENSION</t>
  </si>
  <si>
    <t>Expected Ret Plan Assets-Other/Healthcare</t>
  </si>
  <si>
    <t>ARDR_EXP_RET_PLAN_ASSET_HEALTH</t>
  </si>
  <si>
    <t>Actual Return/Loss On Pension Plan Assets</t>
  </si>
  <si>
    <t>ARDR_ACT_RET_LOSS_ON_PENS_PLAN</t>
  </si>
  <si>
    <t>Current Rental Expense</t>
  </si>
  <si>
    <t>ARDR_CURRENT_RENTAL_EXP</t>
  </si>
  <si>
    <t>Disc Rate Used On Liabs-Other/Healthcare %</t>
  </si>
  <si>
    <t>ARDR_DISC_RATE_USED_LIAB_HEALTH</t>
  </si>
  <si>
    <t>Stock Based Compensation Expense</t>
  </si>
  <si>
    <t>ARDR_STK_BASED_COMPENSATION_EXP</t>
  </si>
  <si>
    <t>Total Comprehensive Income</t>
  </si>
  <si>
    <t>ARDR_TOTAL_COMPREHENSIVE_INCOME</t>
  </si>
  <si>
    <t>Litigation Expense</t>
  </si>
  <si>
    <t>ARDR_LITIGATION_EXP</t>
  </si>
  <si>
    <t>Merger/Acquisition Expense</t>
  </si>
  <si>
    <t>ARDR_MERGER_ACQUISITION_EXPENSE</t>
  </si>
  <si>
    <t>Fair Value of Post Retirement Plan Assets</t>
  </si>
  <si>
    <t>ARDR_FAIR_VAL_POST_RETIRE_ASSETS</t>
  </si>
  <si>
    <t>Projected Post Retirement Benefit Oblig</t>
  </si>
  <si>
    <t>ARDR_PROJ_POST_RETIRE_BEN_OBLIG</t>
  </si>
  <si>
    <t>ARDR_AMORT_OF_INTANGIBLE_ASSETS</t>
  </si>
  <si>
    <t>ARDR_TOTAL_REVENUES</t>
  </si>
  <si>
    <t>ARDR_ROYALTY_REVENUE</t>
  </si>
  <si>
    <t>GL On Early Ext of Debt -Non-Op</t>
  </si>
  <si>
    <t>ARDR_GL_ON_EARLY_EXT_DEBT_NON_OP</t>
  </si>
  <si>
    <t>ARDR_PRODUCT_REVENUE</t>
  </si>
  <si>
    <t>(Gain)/Loss On Sale of Investments</t>
  </si>
  <si>
    <t>ARDR_GL_ON_SALE_OF_INVESTMENTS</t>
  </si>
  <si>
    <t>ARDR_GL_ON_SALE_OF_BUSINESS</t>
  </si>
  <si>
    <t>Net Inc Available For Common Shareholders</t>
  </si>
  <si>
    <t>ARDR_NET_INC_AVAIL_COM_SHRHLDR</t>
  </si>
  <si>
    <t>Actuarial Gains and Losses - Pension Exp</t>
  </si>
  <si>
    <t>ARDR_ACTUARIAL_GAIN_LOSS_PEN_EXP</t>
  </si>
  <si>
    <t>Unrecognized Prior Service Cost - RBO</t>
  </si>
  <si>
    <t>ARDR_UNRECOG_PRIOR_SRVC_COST_RBO</t>
  </si>
  <si>
    <t>Adjusted Net Income-As Reported</t>
  </si>
  <si>
    <t>ARD_ADJ_NET_INCOME_AS_REPORTED</t>
  </si>
  <si>
    <t>ARDR_DISCONT_OPS_PER_SH_BASIC</t>
  </si>
  <si>
    <t>Discontinued Operations Per Share -Diluted</t>
  </si>
  <si>
    <t>ARDR_DISCONTINUE_OPS_PER_SH_DIL</t>
  </si>
  <si>
    <t>Effective Tax Rate - %</t>
  </si>
  <si>
    <t>ARDR_EFFECTIVE_TAX_RATE_PCT</t>
  </si>
  <si>
    <t>Employer Contribution (Pension)</t>
  </si>
  <si>
    <t>ARDR_EMPLOYER_CONTRIB_PENSION</t>
  </si>
  <si>
    <t>Benefits Paid (Pension)</t>
  </si>
  <si>
    <t>ARDR_BENEFITS_PAID_PENSION</t>
  </si>
  <si>
    <t>Employer Contribution (Postretirement)</t>
  </si>
  <si>
    <t>ARDR_EMPLOYER_CONTRIB_POST_RETIR</t>
  </si>
  <si>
    <t>Benefits Paid (Postretirement)</t>
  </si>
  <si>
    <t>ARDR_BENEFITS_PAID_POST_RETIR</t>
  </si>
  <si>
    <t>Interest Cost (Pension)</t>
  </si>
  <si>
    <t>ARDR_INTEREST_COST_PENSION</t>
  </si>
  <si>
    <t>Expected Return On Pension Plan Assets</t>
  </si>
  <si>
    <t>ARDR_EXPECT_RET_PENSION_ASSETS</t>
  </si>
  <si>
    <t>Pension Plan Asset Category-Equities %</t>
  </si>
  <si>
    <t>ARDR_PENSION_PLAN_ASSET_EQUITIES</t>
  </si>
  <si>
    <t>Pension Plan Asset Category-Debt %</t>
  </si>
  <si>
    <t>ARDR_PENSION_PLAN_ASSET_DEBT</t>
  </si>
  <si>
    <t>Adjusted EPS</t>
  </si>
  <si>
    <t>ARDR_ADJUSTED_EPS</t>
  </si>
  <si>
    <t>Total Fees Paid To Audit Firms</t>
  </si>
  <si>
    <t>ARDR_TOT_FEES_PAID_AUDIT_FIRMS</t>
  </si>
  <si>
    <t>Unrealized (Gain)/Loss From Secs Non-Op</t>
  </si>
  <si>
    <t>ARDR_UNREAL_GL_FROM_SECS_NON_OP</t>
  </si>
  <si>
    <t>Auditor Expense - Audit</t>
  </si>
  <si>
    <t>ARDR_AUDITOR_EXP_AUDIT</t>
  </si>
  <si>
    <t>Auditor Expense - Non Audit</t>
  </si>
  <si>
    <t>ARDR_AUDITOR_EXP_NON_AUDIT</t>
  </si>
  <si>
    <t>Pension Plan Asset Category-Cash %</t>
  </si>
  <si>
    <t>ARDR_PENSION_PLAN_ASSET_CASH</t>
  </si>
  <si>
    <t>Pension Plan Asset Category-Other %</t>
  </si>
  <si>
    <t>ARDR_PENSION_PLAN_ASSET_OTHER</t>
  </si>
  <si>
    <t>Diluted Net Income</t>
  </si>
  <si>
    <t>ARDR_DILUTED_NET_INCOME</t>
  </si>
  <si>
    <t>Loss/(Recovery) Impair Intangible Assets</t>
  </si>
  <si>
    <t>ARDR_LOSS_RECOVERY_IMPAIR_INTANG</t>
  </si>
  <si>
    <t>Tax Provision/Benefit - Non-Recurring</t>
  </si>
  <si>
    <t>ARDR_TAX_PROV_BENEFIT_NONREC</t>
  </si>
  <si>
    <t>ARDR Stock-Based Compensation After Tax</t>
  </si>
  <si>
    <t>ARDR_SBC_AFTER_TAX</t>
  </si>
  <si>
    <t>Advertising Expenses</t>
  </si>
  <si>
    <t>ARDR_ADVERTISING_EXPENSES</t>
  </si>
  <si>
    <t>Comprehensive Inc Attrib to Minority Int</t>
  </si>
  <si>
    <t>ARDR_COMPREHENSIVE_INC_ATTRIB_MI</t>
  </si>
  <si>
    <t>Pension Plan Asset Cat - Equities (Amt)</t>
  </si>
  <si>
    <t>ARDR_PENSION_PLAN_EQUITIES_AMT</t>
  </si>
  <si>
    <t>Pension Plan Asset Category - Debt (Amt)</t>
  </si>
  <si>
    <t>ARDR_PENSION_PLAN_DEBT_AMT</t>
  </si>
  <si>
    <t>Pension Plan Asset Category - Cash (Amt)</t>
  </si>
  <si>
    <t>ARDR_PENSION_PLAN_CASH_AMT</t>
  </si>
  <si>
    <t>Pension Plan Asset Category - Other (Amt)</t>
  </si>
  <si>
    <t>ARDR_PENSION_PLAN_OTHER_AMT</t>
  </si>
  <si>
    <t>Service Cost (OPRB)</t>
  </si>
  <si>
    <t>ARDR_SERVICE_COST_OPRB</t>
  </si>
  <si>
    <t>Interest Cost (OPRB)</t>
  </si>
  <si>
    <t>ARDR_INTEREST_COST_OPRB</t>
  </si>
  <si>
    <t>Expected Return On Plan Assets (OPRB)</t>
  </si>
  <si>
    <t>ARDR_EXP_RETURN_PLAN_ASSETS_OPRB</t>
  </si>
  <si>
    <t>OPRB Expense (Income)</t>
  </si>
  <si>
    <t>ARDR_OPRB_EXPENSE_INCOME</t>
  </si>
  <si>
    <t>Actual Return (Loss) On Plan Assets (OPRB)</t>
  </si>
  <si>
    <t>ARDR_ACTUAL_RET_PLAN_ASSETS_OPRB</t>
  </si>
  <si>
    <t>Stock Option Expense (Before Tax)</t>
  </si>
  <si>
    <t>ARDR_STOCK_OPT_EXPENSE_BEF_TAX</t>
  </si>
  <si>
    <t>Expected Pension Benefit Payments - Year 1</t>
  </si>
  <si>
    <t>ARDR_EXPCTD_PEN_BEN_PYMTS_YR_1</t>
  </si>
  <si>
    <t>Expected Pension Benefit Payments - Year 2</t>
  </si>
  <si>
    <t>ARDR_EXPCTD_PEN_BEN_PYMTS_YR_2</t>
  </si>
  <si>
    <t>Expected Pension Benefit Payments - Year 3</t>
  </si>
  <si>
    <t>ARDR_EXPCTD_PEN_BEN_PYMTS_YR_3</t>
  </si>
  <si>
    <t>Expected Pension Benefit Payments - Year 4</t>
  </si>
  <si>
    <t>ARDR_EXPCTD_PEN_BEN_PYMTS_YR_4</t>
  </si>
  <si>
    <t>Expected Pension Benefit Payments - Year 5</t>
  </si>
  <si>
    <t>ARDR_EXPCTD_PEN_BEN_PYMTS_YR_5</t>
  </si>
  <si>
    <t>Expected Pension Benefit Pmts Beyond Yr 5</t>
  </si>
  <si>
    <t>ARDR_EXP_PEN_BFIT_PYMTS_BYND_YR5</t>
  </si>
  <si>
    <t>Income Tax Exp - Current Taxes (Intl)</t>
  </si>
  <si>
    <t>ARDR_ITE_CURRENT_TAX_INTL</t>
  </si>
  <si>
    <t>Income Tax Exp - Current Taxes (National)</t>
  </si>
  <si>
    <t>ARDR_ITE_CURRENT_TAX_NATL</t>
  </si>
  <si>
    <t>Income Tax Exp - Current Taxes (Local)</t>
  </si>
  <si>
    <t>ARDR_ITE_CURRENT_TAX_LCL</t>
  </si>
  <si>
    <t>Income Tax Exp - Deferred Taxes (Intl)</t>
  </si>
  <si>
    <t>ARDR_INC_DEFERRED_TAX_INTL</t>
  </si>
  <si>
    <t>Income Tax Exp - Deferred Taxes (National)</t>
  </si>
  <si>
    <t>ARDR_ITE_DEFERRED_TAX_NATL</t>
  </si>
  <si>
    <t>Income Tax Exp - Deferred Taxes (Local)</t>
  </si>
  <si>
    <t>ARDR_ITE_DEFERRED_TAX_LCL</t>
  </si>
  <si>
    <t>Expected Oth Postretirement Ben Pymts Y1</t>
  </si>
  <si>
    <t>ARDR_EXPCTD_OPRB_PYMTS_YR_1</t>
  </si>
  <si>
    <t>Expected Oth Postretirement Ben Pymts Y2</t>
  </si>
  <si>
    <t>ARDR_EXPCTD_OPRB_PYMTS_YR_2</t>
  </si>
  <si>
    <t>Expected Oth Postretirement Ben Pymts Y3</t>
  </si>
  <si>
    <t>ARDR_EXPCTD_OPRB_PYMTS_YR_3</t>
  </si>
  <si>
    <t>Expected Oth Postretirement Ben Pymts Y4</t>
  </si>
  <si>
    <t>ARDR_EXPCTD_OPRB_PYMTS_YR_4</t>
  </si>
  <si>
    <t>Expected Oth Postretirement Ben Pymts Y5</t>
  </si>
  <si>
    <t>ARDR_EXPCTD_OPRB_PYMTS_YR_5</t>
  </si>
  <si>
    <t>Expected Oth Postretire Ben Pymts Bynd Y5</t>
  </si>
  <si>
    <t>ARDR_EXPCTD_OPRB_PYMTS_BYND_YR_5</t>
  </si>
  <si>
    <t>Non-GAAP Revenue</t>
  </si>
  <si>
    <t>ARDR_NON_GAAP_REVENUE</t>
  </si>
  <si>
    <t>Non-GAAP Cost of Sales</t>
  </si>
  <si>
    <t>ARDR_NON_GAAP_COST_OF_SALES</t>
  </si>
  <si>
    <t>Non-GAAP Selling General &amp; Administrative</t>
  </si>
  <si>
    <t>ARDR_NON_GAAP_SG&amp;A</t>
  </si>
  <si>
    <t>Non-GAAP Research and Development</t>
  </si>
  <si>
    <t>ARDR_NON_GAAP_R&amp;D</t>
  </si>
  <si>
    <t>Non-GAAP Other Income - Net</t>
  </si>
  <si>
    <t>ARDR_NON_GAAP_OTHER_INCOME_NET</t>
  </si>
  <si>
    <t>Non-GAAP Pre-Tax Income</t>
  </si>
  <si>
    <t>ARDR_NON_GAAP_PRETAX_INCOME</t>
  </si>
  <si>
    <t>Restructuring/Workflow Bal - Non-GAAP COGS</t>
  </si>
  <si>
    <t>ARDR_RSTRCT_WF_BAL_NON_GAAP_COGS</t>
  </si>
  <si>
    <t>Restructuring/Workflow Bal - Non-GAAP SGA</t>
  </si>
  <si>
    <t>ARDR_RSTRCT_WF_BAL_NON_GAAP_SG&amp;A</t>
  </si>
  <si>
    <t>Restructuring/Workflow Bal - Non-GAAP R&amp;D</t>
  </si>
  <si>
    <t>ARDR_RSTRCT_WF_BAL_NON_GAAP_R&amp;D</t>
  </si>
  <si>
    <t>Acquisition Rel Charges - Non-GAAP COGS</t>
  </si>
  <si>
    <t>ARDR_ACQ_REL_CHRGS_NON_GAAP_COGS</t>
  </si>
  <si>
    <t>Acquisition Related Charges - Non-GAAP SGA</t>
  </si>
  <si>
    <t>ARDR_ACQ_REL_CHRGS_NON_GAAP_SG&amp;A</t>
  </si>
  <si>
    <t>Acquisition Related Charges - Non-GAAP R&amp;D</t>
  </si>
  <si>
    <t>ARDR_ACQ_REL_CHRGS_NON_GAAP_R&amp;D</t>
  </si>
  <si>
    <t>Other Adjustments - Non-GAAP COGS</t>
  </si>
  <si>
    <t>ARDR_OTH_ADJ_NON_GAAP_COGS</t>
  </si>
  <si>
    <t>Other Adjustments - Non-GAAP SG&amp;A</t>
  </si>
  <si>
    <t>ARDR_OTH_ADJ_NON_GAAP_SG&amp;A</t>
  </si>
  <si>
    <t>Other Adjustments - Non-GAAP R&amp;D</t>
  </si>
  <si>
    <t>ARDR_OTH_ADJ_NON_GAAP_R&amp;D</t>
  </si>
  <si>
    <t>Tax Effect on Non-GAAP Adjustments</t>
  </si>
  <si>
    <t>ARDR_TAX_EFFECT_NON_GAAP_ADJ</t>
  </si>
  <si>
    <t>Other Expenses or Income - Pension</t>
  </si>
  <si>
    <t>ARDR_OTHER_EXP_INC_PENSION</t>
  </si>
  <si>
    <t>Amortization Prior Service Cost - OPEB</t>
  </si>
  <si>
    <t>ARDR_AMORT_PR_SERVICE_CST_OPEB</t>
  </si>
  <si>
    <t>Actuarial Losses or Gains - OPEB</t>
  </si>
  <si>
    <t>ARDR_ACTUARIAL_LOSSES_GAINS_OPEB</t>
  </si>
  <si>
    <t>Other Expenses or Income - OPEB</t>
  </si>
  <si>
    <t>ARDR_OTHER_EXP_INC_OPEB</t>
  </si>
  <si>
    <t>ARDR Defined Contribution Amount</t>
  </si>
  <si>
    <t>ARDR_DEFINED_CONTRIBUTION_AMOUNT</t>
  </si>
  <si>
    <t>ARDR Revenue Growth</t>
  </si>
  <si>
    <t>ARDR_REVENUE_GROWTH</t>
  </si>
  <si>
    <t>ARDR Adjusted Minority Interest</t>
  </si>
  <si>
    <t>ARDR_ADJUSTED_MINORITY_INTEREST</t>
  </si>
  <si>
    <t>ARDR Stock Based Compensation Tax Benefit</t>
  </si>
  <si>
    <t>ARDR_STK_BASED_COMP_TAX_BFIT</t>
  </si>
  <si>
    <t>ARDR Stock Based Compensation CF Pre Tax</t>
  </si>
  <si>
    <t>ARDR_STK_BSD_CMPNSTN_CF_PRE_TAX</t>
  </si>
  <si>
    <t>ARDR Non GAAP Income Tax Expense</t>
  </si>
  <si>
    <t>ARDR_NON_GAAP_INCOME_TAX_EXPENSE</t>
  </si>
  <si>
    <t>Sources: GAAP / as-reported reconciliation schedule from the original source workbook.</t>
  </si>
  <si>
    <t>EBITDA Reconciliation</t>
  </si>
  <si>
    <t>EBIT, GAAP</t>
  </si>
  <si>
    <t xml:space="preserve">  Revenue Adjustments</t>
  </si>
  <si>
    <t>IS_REVENUE_ADJUSTMENTS</t>
  </si>
  <si>
    <t xml:space="preserve">  Cost of Revenue Adjustments</t>
  </si>
  <si>
    <t>IS_COST_OF_REVENUE_ADJUSTMENTS</t>
  </si>
  <si>
    <t xml:space="preserve">  Other Op Inc Adjustments</t>
  </si>
  <si>
    <t>IS_OTHER_OPER_INC_NONGAAP_ADJUST</t>
  </si>
  <si>
    <t xml:space="preserve">  SG&amp;A Adjustments</t>
  </si>
  <si>
    <t>IS_SGA_ADJ</t>
  </si>
  <si>
    <t xml:space="preserve">  R&amp;D Expense Adjustments</t>
  </si>
  <si>
    <t>IS_RD_EXPENSE_NON_GAAP_ADJ</t>
  </si>
  <si>
    <t xml:space="preserve">  D&amp;A Adjustments</t>
  </si>
  <si>
    <t>IS_DA_NON_GAAP_ADJ</t>
  </si>
  <si>
    <t xml:space="preserve">  Prov for Doubtful Acct Adj</t>
  </si>
  <si>
    <t>IS_PDA_NONGAAP_ADJUSTMENTS</t>
  </si>
  <si>
    <t xml:space="preserve">  Other Op Exp Adjustments</t>
  </si>
  <si>
    <t>IS_OTHER_OPERATING_EXPN_ADJUST</t>
  </si>
  <si>
    <t>EBIT, Adjusted</t>
  </si>
  <si>
    <t>ADJUSTED_DA_EXPENSES</t>
  </si>
  <si>
    <t xml:space="preserve">  Cost of Capitalized Operating Leases</t>
  </si>
  <si>
    <t>COST_CAPITALIZED_OPERATING_LEAS</t>
  </si>
  <si>
    <t>EBITDA, Adjusted</t>
  </si>
  <si>
    <t>EBIT Reconciliation</t>
  </si>
  <si>
    <t xml:space="preserve">  Acquired In-Process R&amp;D</t>
  </si>
  <si>
    <t>IS_AIP_RD_EXPENSE_OPERATING</t>
  </si>
  <si>
    <t xml:space="preserve">  Merger Expense</t>
  </si>
  <si>
    <t>IS_MERGER_ACQ_EXPENSE_OPERATING</t>
  </si>
  <si>
    <t xml:space="preserve">  Asset Write-Down</t>
  </si>
  <si>
    <t>IS_WRTDWN_IOA_OP</t>
  </si>
  <si>
    <t xml:space="preserve">  Impairment of Intangibles</t>
  </si>
  <si>
    <t>IS_IIA_OP</t>
  </si>
  <si>
    <t xml:space="preserve">  Sale of Business</t>
  </si>
  <si>
    <t>IS_GAIN_LOSS_ON_SALE_ACQ_BUSN_OP</t>
  </si>
  <si>
    <t xml:space="preserve">  Legal Settlement</t>
  </si>
  <si>
    <t>IS_LEGAL_LIT_SETTLE_EXPN_OP</t>
  </si>
  <si>
    <t xml:space="preserve">  Restructuring Expense</t>
  </si>
  <si>
    <t>IS_RESTRUCTURING_OP</t>
  </si>
  <si>
    <t xml:space="preserve">  Other Abnormal Items</t>
  </si>
  <si>
    <t>IS_OTHER_ONE_TIME_ITEMS_OP</t>
  </si>
  <si>
    <t>Pretax Income Reconciliation</t>
  </si>
  <si>
    <t>Pretax Income (Loss), GAAP</t>
  </si>
  <si>
    <t>IS_ACQUIRED_PROCESS_RD</t>
  </si>
  <si>
    <t>IS_MERGER_ACQUISITION_EXPENSE</t>
  </si>
  <si>
    <t xml:space="preserve">  Disposal of Assets</t>
  </si>
  <si>
    <t>IS_GAIN_LOSS_DISPOSAL_ASSETS</t>
  </si>
  <si>
    <t xml:space="preserve">  Early Extinguishment of Debt</t>
  </si>
  <si>
    <t>IS_G_L_ON_EXT_DBT_OR_SETTLE_DBT</t>
  </si>
  <si>
    <t>IS_IMPAIRMENT_ASSETS</t>
  </si>
  <si>
    <t>IS_IMPAIR_OF_INTANG_ASSETS</t>
  </si>
  <si>
    <t xml:space="preserve">  Gain/Loss on Sale/Acquisition of Business</t>
  </si>
  <si>
    <t>IS_SALE_OF_BUSINESS</t>
  </si>
  <si>
    <t>IS_LEGAL_LITIGATION_SETTLEMENT</t>
  </si>
  <si>
    <t>IS_RESTRUCTURING_EXPENSES</t>
  </si>
  <si>
    <t xml:space="preserve">  Sale of Investments</t>
  </si>
  <si>
    <t>IS_GAIN_LOSS_ON_INVESTMENTS</t>
  </si>
  <si>
    <t xml:space="preserve">  Unrealized Investments</t>
  </si>
  <si>
    <t>IS_UNREALIZED_INVESTMENTS</t>
  </si>
  <si>
    <t>IS_OTHER_ONE_TIME_ITEMS</t>
  </si>
  <si>
    <t>Pretax Income (Loss), Adjusted</t>
  </si>
  <si>
    <t>Net Income Reconciliation</t>
  </si>
  <si>
    <t>Net Inc Avail to Common, GAAP</t>
  </si>
  <si>
    <t xml:space="preserve">  Discontinued Operations</t>
  </si>
  <si>
    <t xml:space="preserve">  XO &amp; Accounting Changes</t>
  </si>
  <si>
    <t>Net Inc Avail to Common Cont, GAAP</t>
  </si>
  <si>
    <t>INC_BEF_XO_LESS_MIN_INT_PREF_DVD</t>
  </si>
  <si>
    <t>IS_AIP_RD_AFTER_TAX</t>
  </si>
  <si>
    <t>IS_MA_EXPENSE_AFTER_TAX</t>
  </si>
  <si>
    <t>IS_DISPOSAL_ASSETS_AFTER_TAX</t>
  </si>
  <si>
    <t>IS_EEOD_AFTER_TAX</t>
  </si>
  <si>
    <t>IS_WRTOFF_IMPAIR_ASSET_AFTER_TAX</t>
  </si>
  <si>
    <t>IS_IIA_AFTER_TAX</t>
  </si>
  <si>
    <t>IS_SALE_OF_BUSINESS_AFTER_TAX</t>
  </si>
  <si>
    <t>IS_LEGAL_LITIG_SETTLE_AFTER_TAX</t>
  </si>
  <si>
    <t>IS_RESTRUCTURING_CHRG_AFTER_TAX</t>
  </si>
  <si>
    <t>IS_SALE_OF_INVESTMENTS_AFTER_TAX</t>
  </si>
  <si>
    <t>IS_UNREALIZED_INVEST_AFT_TAX</t>
  </si>
  <si>
    <t>IS_OTH_ONE_TIME_ITEMS_AFTER_TAX</t>
  </si>
  <si>
    <t xml:space="preserve">  Income Tax Charge (Benefit)</t>
  </si>
  <si>
    <t>IS_ABNORMAL_TAX_PROV_BENEFIT</t>
  </si>
  <si>
    <t>Earnings Per Share Reconciliation</t>
  </si>
  <si>
    <t>IS_DISC_OPS_DILUTED_SH</t>
  </si>
  <si>
    <t>IS_XO_ITEMS_ACCT_CHG_DIL_SH</t>
  </si>
  <si>
    <t>IS_AIP_RD_PER_DILUTED_SHARE</t>
  </si>
  <si>
    <t>IS_MERGER_ACQUIS_EXPN_DILUTED_SH</t>
  </si>
  <si>
    <t>IS_DISPOSAL_ASSETS_DILUTED_SHARE</t>
  </si>
  <si>
    <t>IS_EEOD_DILUTED_SHARE</t>
  </si>
  <si>
    <t>IS_WRTOFF_IMPAIR_AST_DILUTED_SH</t>
  </si>
  <si>
    <t>IS_IIA_DILUTED_SHARE</t>
  </si>
  <si>
    <t>IS_SALE_OF_BUSINESS_DILUTED_SH</t>
  </si>
  <si>
    <t>IS_LEGAL_LITIG_SETTLE_DILUTED_SH</t>
  </si>
  <si>
    <t>IS_RESTRUCTURING_CHRG_DILUTED_SH</t>
  </si>
  <si>
    <t>IS_SALE_INVESTMENTS_DILUTED_SH</t>
  </si>
  <si>
    <t>IS_UNREALIZED_INVEST_DILUTED_SH</t>
  </si>
  <si>
    <t>IS_OTH_ONE_TIME_ITEMS_DILUTED_SH</t>
  </si>
  <si>
    <t>IS_TAX_PROV_BENEFIT_DILUTED_SH</t>
  </si>
  <si>
    <t>Diluted EPS from Cont Ops, Adj</t>
  </si>
  <si>
    <t>Sources: Standardized balance-sheet history retained as the core balance-sheet bridge.</t>
  </si>
  <si>
    <t xml:space="preserve">  Cash, Cash Equivalents &amp; STI</t>
  </si>
  <si>
    <t>CASH_CASH_EQTY_STI_DETAILED</t>
  </si>
  <si>
    <t xml:space="preserve">    Cash &amp; Cash Equivalents</t>
  </si>
  <si>
    <t>BS_CASH_NEAR_CASH_ITEM</t>
  </si>
  <si>
    <t xml:space="preserve">    ST Investments</t>
  </si>
  <si>
    <t>BS_MKT_SEC_OTHER_ST_INVEST</t>
  </si>
  <si>
    <t xml:space="preserve">  Accounts &amp; Notes Receiv</t>
  </si>
  <si>
    <t>BS_ACCT_NOTE_RCV</t>
  </si>
  <si>
    <t xml:space="preserve">    Accounts Receivable, Net</t>
  </si>
  <si>
    <t>BS_ACCTS_REC_EXCL_NOTES_REC</t>
  </si>
  <si>
    <t xml:space="preserve">    Notes Receivable, Net</t>
  </si>
  <si>
    <t>NOTES_RECEIVABLE</t>
  </si>
  <si>
    <t xml:space="preserve">  Inventories</t>
  </si>
  <si>
    <t>BS_INVENTORIES</t>
  </si>
  <si>
    <t xml:space="preserve">    Raw Materials</t>
  </si>
  <si>
    <t>INVTRY_RAW_MATERIALS</t>
  </si>
  <si>
    <t xml:space="preserve">    Work In Process</t>
  </si>
  <si>
    <t>INVTRY_IN_PROGRESS</t>
  </si>
  <si>
    <t xml:space="preserve">    Finished Goods</t>
  </si>
  <si>
    <t>INVTRY_FINISHED_GOODS</t>
  </si>
  <si>
    <t xml:space="preserve">    Other Inventory</t>
  </si>
  <si>
    <t>BS_OTHER_INV</t>
  </si>
  <si>
    <t xml:space="preserve">  Other ST Assets</t>
  </si>
  <si>
    <t>OTHER_CURRENT_ASSETS_DETAILED</t>
  </si>
  <si>
    <t xml:space="preserve">    Derivative &amp; Hedging Assets</t>
  </si>
  <si>
    <t>BS_DERIV_HEDGING_ASST_ST</t>
  </si>
  <si>
    <t xml:space="preserve">    Assets Held-for-Sale</t>
  </si>
  <si>
    <t>BS_ASSETS_HELD_FOR_SALE_ST</t>
  </si>
  <si>
    <t xml:space="preserve">    Deferred Tax Assets</t>
  </si>
  <si>
    <t>BS_DEFERRED_TAX_ASSETS_ST</t>
  </si>
  <si>
    <t xml:space="preserve">    Misc ST Assets</t>
  </si>
  <si>
    <t>BS_OTHER_CUR_ASSET_LESS_PREPAY</t>
  </si>
  <si>
    <t>BS_CUR_ASSET_REPORT</t>
  </si>
  <si>
    <t xml:space="preserve">  Property, Plant &amp; Equip, Net</t>
  </si>
  <si>
    <t>BS_NET_FIX_ASSET</t>
  </si>
  <si>
    <t xml:space="preserve">    Property, Plant &amp; Equip</t>
  </si>
  <si>
    <t>BS_GROSS_FIX_ASSET</t>
  </si>
  <si>
    <t xml:space="preserve">    Accumulated Depreciation</t>
  </si>
  <si>
    <t>BS_ACCUM_DEPR</t>
  </si>
  <si>
    <t xml:space="preserve">  LT Investments &amp; Receivables</t>
  </si>
  <si>
    <t>BS_LT_INVEST</t>
  </si>
  <si>
    <t xml:space="preserve">    LT Investments</t>
  </si>
  <si>
    <t>BS_LONG_TERM_INVESTMENTS</t>
  </si>
  <si>
    <t xml:space="preserve">  Other LT Assets</t>
  </si>
  <si>
    <t>BS_OTHER_ASSETS_DEF_CHRG_OTHER</t>
  </si>
  <si>
    <t xml:space="preserve">    Total Intangible Assets</t>
  </si>
  <si>
    <t>BS_DISCLOSED_INTANGIBLES</t>
  </si>
  <si>
    <t xml:space="preserve">    Goodwill</t>
  </si>
  <si>
    <t>BS_GOODWILL</t>
  </si>
  <si>
    <t xml:space="preserve">    Other Intangible Assets</t>
  </si>
  <si>
    <t>OTHER_INTANGIBLE_ASSETS_DETAILED</t>
  </si>
  <si>
    <t>BS_DEFERRED_TAX_ASSETS_LT</t>
  </si>
  <si>
    <t>BS_DERIV_HEDGING_ASST_LT</t>
  </si>
  <si>
    <t xml:space="preserve">    Prepaid Pension Costs</t>
  </si>
  <si>
    <t>BS_PREPAID_PENSION_COSTS_LT</t>
  </si>
  <si>
    <t xml:space="preserve">    Misc LT Assets</t>
  </si>
  <si>
    <t>OTHER_NONCURRENT_ASSETS_DETAILED</t>
  </si>
  <si>
    <t>Total Noncurrent Assets</t>
  </si>
  <si>
    <t>BS_TOT_NON_CUR_ASSET</t>
  </si>
  <si>
    <t>BS_TOT_ASSET</t>
  </si>
  <si>
    <t>Liabilities &amp; Shareholders' Equity</t>
  </si>
  <si>
    <t xml:space="preserve">  Payables &amp; Accruals</t>
  </si>
  <si>
    <t>ACCT_PAYABLE_ACCRUALS_DETAILED</t>
  </si>
  <si>
    <t xml:space="preserve">    Accounts Payable</t>
  </si>
  <si>
    <t>BS_ACCT_PAYABLE</t>
  </si>
  <si>
    <t xml:space="preserve">    Accrued Taxes</t>
  </si>
  <si>
    <t>BS_TAXES_PAYABLE</t>
  </si>
  <si>
    <t xml:space="preserve">    Interest &amp; Dividends Payable</t>
  </si>
  <si>
    <t>INTEREST_DIVIDENDS_PAYABLE</t>
  </si>
  <si>
    <t xml:space="preserve">    Other Payables &amp; Accruals</t>
  </si>
  <si>
    <t>BS_ACCRUAL</t>
  </si>
  <si>
    <t xml:space="preserve">  ST Debt</t>
  </si>
  <si>
    <t xml:space="preserve">    ST Borrowings</t>
  </si>
  <si>
    <t>SHORT_TERM_DEBT_DETAILED</t>
  </si>
  <si>
    <t xml:space="preserve">    ST Lease Liabilities</t>
  </si>
  <si>
    <t>ST_CAPITALIZED_LEASE_LIABILITIES</t>
  </si>
  <si>
    <t xml:space="preserve">      ST Finance Leases</t>
  </si>
  <si>
    <t>ST_CAPITAL_LEASE_OBLIGATIONS</t>
  </si>
  <si>
    <t xml:space="preserve">      ST Operating Leases</t>
  </si>
  <si>
    <t>BS_ST_OPERATING_LEASE_LIABS</t>
  </si>
  <si>
    <t xml:space="preserve">    Current Portion of LT Debt</t>
  </si>
  <si>
    <t>BS_CURR_PORTION_LT_DEBT</t>
  </si>
  <si>
    <t xml:space="preserve">  Other ST Liabilities</t>
  </si>
  <si>
    <t>OTHER_CURRENT_LIABS_SUB_DETAILED</t>
  </si>
  <si>
    <t xml:space="preserve">    Deferred Revenue</t>
  </si>
  <si>
    <t>ST_DEFERRED_REVENUE</t>
  </si>
  <si>
    <t xml:space="preserve">    Derivatives &amp; Hedging</t>
  </si>
  <si>
    <t>BS_DERIV_HEDGING_LIAB_ST</t>
  </si>
  <si>
    <t xml:space="preserve">    Misc ST Liabilities</t>
  </si>
  <si>
    <t>OTHER_CURRENT_LIABS_DETAILED</t>
  </si>
  <si>
    <t>BS_CUR_LIAB</t>
  </si>
  <si>
    <t xml:space="preserve">  LT Debt</t>
  </si>
  <si>
    <t xml:space="preserve">    LT Borrowings</t>
  </si>
  <si>
    <t>LONG_TERM_BORROWINGS_DETAILED</t>
  </si>
  <si>
    <t xml:space="preserve">    LT Lease Liabilities</t>
  </si>
  <si>
    <t>LT_CAPITALIZED_LEASE_LIABILITIES</t>
  </si>
  <si>
    <t xml:space="preserve">      LT Finance Leases</t>
  </si>
  <si>
    <t>LT_CAPITAL_LEASE_OBLIGATIONS</t>
  </si>
  <si>
    <t xml:space="preserve">      LT Operating Leases</t>
  </si>
  <si>
    <t>BS_LT_OPERATING_LEASE_LIABS</t>
  </si>
  <si>
    <t xml:space="preserve">  Other LT Liabilities</t>
  </si>
  <si>
    <t>OTHER_NONCUR_LIABS_SUB_DETAILED</t>
  </si>
  <si>
    <t xml:space="preserve">    Accrued Liabilities</t>
  </si>
  <si>
    <t>BS_ACCRUED_LIABILITIES</t>
  </si>
  <si>
    <t xml:space="preserve">    Pension Liabilities</t>
  </si>
  <si>
    <t>PENSION_LIABILITIES</t>
  </si>
  <si>
    <t xml:space="preserve">    Pensions</t>
  </si>
  <si>
    <t>BS_PENSIONS_LT_LIABS</t>
  </si>
  <si>
    <t xml:space="preserve">    Other Post-Ret Benefits</t>
  </si>
  <si>
    <t>BS_OPRB_LT_LIABS</t>
  </si>
  <si>
    <t>LT_DEFERRED_REVENUE</t>
  </si>
  <si>
    <t xml:space="preserve">    Deferred Tax Liabilities</t>
  </si>
  <si>
    <t>BS_DEFERRED_TAX_LIABILITIES_LT</t>
  </si>
  <si>
    <t>BS_DERIV_HEDGING_LIAB_LT</t>
  </si>
  <si>
    <t xml:space="preserve">    Misc LT Liabilities</t>
  </si>
  <si>
    <t>OTHER_NONCURRENT_LIABS_DETAILED</t>
  </si>
  <si>
    <t>Total Noncurrent Liabilities</t>
  </si>
  <si>
    <t>NON_CUR_LIAB</t>
  </si>
  <si>
    <t>BS_TOT_LIAB2</t>
  </si>
  <si>
    <t xml:space="preserve">  Preferred Equity and Hybrid Capital</t>
  </si>
  <si>
    <t xml:space="preserve">  Share Capital &amp; APIC</t>
  </si>
  <si>
    <t>BS_SH_CAP_AND_APIC</t>
  </si>
  <si>
    <t xml:space="preserve">    Common Stock</t>
  </si>
  <si>
    <t>BS_COMMON_STOCK</t>
  </si>
  <si>
    <t xml:space="preserve">    Additional Paid in Capital</t>
  </si>
  <si>
    <t>BS_ADD_PAID_IN_CAP</t>
  </si>
  <si>
    <t xml:space="preserve">  Treasury Stock</t>
  </si>
  <si>
    <t>BS_AMT_OF_TSY_STOCK</t>
  </si>
  <si>
    <t xml:space="preserve">  Retained Earnings</t>
  </si>
  <si>
    <t>BS_PURE_RETAINED_EARNINGS</t>
  </si>
  <si>
    <t xml:space="preserve">  Other Equity</t>
  </si>
  <si>
    <t>OTHER_EQUITY_RATIO</t>
  </si>
  <si>
    <t>Equity Before Minority Interest</t>
  </si>
  <si>
    <t>EQTY_BEF_MINORITY_INT_DETAILED</t>
  </si>
  <si>
    <t xml:space="preserve">  Minority/Non Controlling Interest</t>
  </si>
  <si>
    <t>MINORITY_NONCONTROLLING_INTEREST</t>
  </si>
  <si>
    <t>TOTAL_EQUITY</t>
  </si>
  <si>
    <t>Total Liabilities &amp; Equity</t>
  </si>
  <si>
    <t>TOT_LIAB_AND_EQY</t>
  </si>
  <si>
    <t>Shares Outstanding</t>
  </si>
  <si>
    <t>BS_SH_OUT</t>
  </si>
  <si>
    <t>Number of Treasury Shares</t>
  </si>
  <si>
    <t>BS_NUM_OF_TSY_SH</t>
  </si>
  <si>
    <t>Pension Obligations</t>
  </si>
  <si>
    <t>BS_PENSION_RSRV</t>
  </si>
  <si>
    <t>Future Minimum Operating Lease Obligations</t>
  </si>
  <si>
    <t>BS_FUTURE_MIN_OPER_LEASE_OBLIG</t>
  </si>
  <si>
    <t>Capital Leases - Total</t>
  </si>
  <si>
    <t>BS_TOTAL_CAPITAL_LEASES</t>
  </si>
  <si>
    <t>Options Granted During Period</t>
  </si>
  <si>
    <t>BS_OPTIONS_GRANTED</t>
  </si>
  <si>
    <t>Options Outstanding at Period End</t>
  </si>
  <si>
    <t>BS_OPTIONS_OUTSTANDING</t>
  </si>
  <si>
    <t>NET_DEBT</t>
  </si>
  <si>
    <t>Net Debt to Equity</t>
  </si>
  <si>
    <t>NET_DEBT_TO_SHRHLDR_EQTY</t>
  </si>
  <si>
    <t>Tangible Common Equity Ratio</t>
  </si>
  <si>
    <t>TCE_RATIO</t>
  </si>
  <si>
    <t>Current Ratio</t>
  </si>
  <si>
    <t>CUR_RATIO</t>
  </si>
  <si>
    <t>Cash Conversion Cycle</t>
  </si>
  <si>
    <t>CASH_CONVERSION_CYCLE</t>
  </si>
  <si>
    <t>Number of Employees</t>
  </si>
  <si>
    <t>NUM_OF_EMPLOYEES</t>
  </si>
  <si>
    <t>Sources: As-reported balance-sheet history retained for auditability and footnote traceability.</t>
  </si>
  <si>
    <t>Balance Sheet</t>
  </si>
  <si>
    <t>Current Portion of Long-Term Debt</t>
  </si>
  <si>
    <t>ARDR_CURRENT_PORTION_OF_LT_DEBT</t>
  </si>
  <si>
    <t xml:space="preserve">  Current Assets</t>
  </si>
  <si>
    <t>Cash and Equivalents</t>
  </si>
  <si>
    <t>ARD_CASH_AND_EQUIVALENTS</t>
  </si>
  <si>
    <t>Accounts Receivable - Trade</t>
  </si>
  <si>
    <t>ARD_ACCTS_RECEIVABLE_TRADE</t>
  </si>
  <si>
    <t>ARD_INVENTORY</t>
  </si>
  <si>
    <t>Deferred Income Tax Asset (Short-Term)</t>
  </si>
  <si>
    <t>ARD_DEFERRED_INC_TAX_ASSET_ST</t>
  </si>
  <si>
    <t>Assets Held For Sale</t>
  </si>
  <si>
    <t>ARD_ASSETS_HELD_FOR_SALE</t>
  </si>
  <si>
    <t>Other Current Assets</t>
  </si>
  <si>
    <t>ARD_OTHER_CURRENT_ASSETS</t>
  </si>
  <si>
    <t>Allowance For Doubtful Accounts</t>
  </si>
  <si>
    <t>ARD_ALLOW_FOR_DOUBTFUL_ACCTS</t>
  </si>
  <si>
    <t>Short-Term Investments</t>
  </si>
  <si>
    <t>ARD_ST_INVEST</t>
  </si>
  <si>
    <t>ARD_TOTAL_CUR_ASSETS</t>
  </si>
  <si>
    <t xml:space="preserve">  Noncurrent Assets</t>
  </si>
  <si>
    <t>Long Term Investments</t>
  </si>
  <si>
    <t>ARD_LT_INVEST</t>
  </si>
  <si>
    <t>Property Plant &amp; Equipment - Net</t>
  </si>
  <si>
    <t>ARD_PROPERTY_PLANT_EQUIP_NET</t>
  </si>
  <si>
    <t>Deferred Income Tax Asset (Long-Term)</t>
  </si>
  <si>
    <t>ARD_DEFERRED_INC_TAX_ASSET_LT</t>
  </si>
  <si>
    <t>Other Intangible Assets</t>
  </si>
  <si>
    <t>ARD_OTHER_INTANGIBLE_ASSET</t>
  </si>
  <si>
    <t>Goodwill</t>
  </si>
  <si>
    <t>ARD_GOODWLL</t>
  </si>
  <si>
    <t>Other Noncurrent Assets</t>
  </si>
  <si>
    <t>ARD_OTHER_NONCURRENT_ASSET</t>
  </si>
  <si>
    <t>Other Long-Term Investments</t>
  </si>
  <si>
    <t>ARD_OTHER_LT_INVESTMENTS</t>
  </si>
  <si>
    <t>ARD_TOTAL_NONCURRENT_ASSETS</t>
  </si>
  <si>
    <t>ARD_TOT_ASSETS</t>
  </si>
  <si>
    <t xml:space="preserve">  Current Liabilities</t>
  </si>
  <si>
    <t>Accounts Payable - Trade</t>
  </si>
  <si>
    <t>ARD_ACCOUNTS_PAYABLE_TRADE</t>
  </si>
  <si>
    <t>Accrued Compensation/Postretirement Obligation</t>
  </si>
  <si>
    <t>ARD_ACC_COMP_POSTRETIRE_OBLIG</t>
  </si>
  <si>
    <t>Deferred/Unearned Revenue (Short-Term)</t>
  </si>
  <si>
    <t>ARD_DEFERRED_UNEARNED_REV_ST</t>
  </si>
  <si>
    <t>Dividends Accrued/Payable</t>
  </si>
  <si>
    <t>ARD_DVD_ACCRUED_PAYABLE</t>
  </si>
  <si>
    <t>ARD_OTHER_CURRENT_LIABILITIES</t>
  </si>
  <si>
    <t>Income Taxes Accrued/Payable</t>
  </si>
  <si>
    <t>ARD_INCOME_TAX_ACCRUED_PAYABLE</t>
  </si>
  <si>
    <t>ST Borrowings and Current Portion of LT Debt</t>
  </si>
  <si>
    <t>ARD_ST_BORROW_CUR_POR_LT_DEBT</t>
  </si>
  <si>
    <t>Liabilities Assoc With Assets Held For Sale</t>
  </si>
  <si>
    <t>ARD_LIAB_ASSOC_ASSETS_HELD_SALE</t>
  </si>
  <si>
    <t>ARD_TOTAL_CURRENT_LIABILITIES</t>
  </si>
  <si>
    <t xml:space="preserve">  Non Current Liabilities</t>
  </si>
  <si>
    <t>ARD_TOT_NONCURRENT_LIABILITIES</t>
  </si>
  <si>
    <t>Long Term Debt</t>
  </si>
  <si>
    <t>ARD_LT_DEBT</t>
  </si>
  <si>
    <t>Deferred Income Taxes (Liabilities)</t>
  </si>
  <si>
    <t>ARD_DEFERRED_INCOME_TAXES_LIAB</t>
  </si>
  <si>
    <t>Pension/Postretirement Liabilities</t>
  </si>
  <si>
    <t>ARD_PENSION_POSTRETIREMNT_LIAB</t>
  </si>
  <si>
    <t>Other Noncurrent Liabilities</t>
  </si>
  <si>
    <t>ARD_OTH_NONCURRENT_LIABILITIES</t>
  </si>
  <si>
    <t>Provision For Taxation</t>
  </si>
  <si>
    <t>ARD_PROVISION_FOR_TAXATION</t>
  </si>
  <si>
    <t>ARD_TOT_LIABILITIES</t>
  </si>
  <si>
    <t xml:space="preserve">  Stockholder Equity</t>
  </si>
  <si>
    <t>Preferred Stock</t>
  </si>
  <si>
    <t>ARD_PREFERRED_STOCK</t>
  </si>
  <si>
    <t>Minority/Non Controlling Int (Stckhldrs Eqty)</t>
  </si>
  <si>
    <t>ARD_MIN_NONCONTROL_INT_SE</t>
  </si>
  <si>
    <t>Common Stock</t>
  </si>
  <si>
    <t>ARD_COMMON_STOCK</t>
  </si>
  <si>
    <t>Additional Paid In Capital</t>
  </si>
  <si>
    <t>ARD_ADDITIONAL_PAID_IN_CAPITAL</t>
  </si>
  <si>
    <t>Treasury Stock (Amount)</t>
  </si>
  <si>
    <t>ARD_TREASURY_STOCK_AMOUNT</t>
  </si>
  <si>
    <t>Accumulated Other Comprehensive Income</t>
  </si>
  <si>
    <t>ARD_ACC_OTH_COMPREHENSIVE_INC</t>
  </si>
  <si>
    <t>Retained Earnings (Accumulated Deficit)</t>
  </si>
  <si>
    <t>ARD_RETAINED_EARN_ACC_DEFICIT</t>
  </si>
  <si>
    <t>Other Equity</t>
  </si>
  <si>
    <t>ARD_OTHER_EQUITY</t>
  </si>
  <si>
    <t>Par Value</t>
  </si>
  <si>
    <t>ARD_PAR_VALUE</t>
  </si>
  <si>
    <t>Treasury Shares (Number)</t>
  </si>
  <si>
    <t>ARD_TREASURY_SHARES_NUM</t>
  </si>
  <si>
    <t>Shares Issued</t>
  </si>
  <si>
    <t>ARD_SHARES_ISSUED</t>
  </si>
  <si>
    <t>Total Shareholders Equity</t>
  </si>
  <si>
    <t>ARD_TOTAL_SHAREHOLDERS_EQUITY</t>
  </si>
  <si>
    <t>Shares Authorized</t>
  </si>
  <si>
    <t>ARD_SHARES_AUTHORIZED</t>
  </si>
  <si>
    <t>Total Shareholders Equity Excluding Minority</t>
  </si>
  <si>
    <t>ARD_TOT_SHARE_EQY_EXCL_MINORITY</t>
  </si>
  <si>
    <t>Total Liabilities and Shareholders Equity</t>
  </si>
  <si>
    <t>ARD_TOT_LIAB_AND_SHAREHOLDER_EQY</t>
  </si>
  <si>
    <t>ARDR_INVENTORY</t>
  </si>
  <si>
    <t>Land</t>
  </si>
  <si>
    <t>ARDR_LAND</t>
  </si>
  <si>
    <t>Buildings</t>
  </si>
  <si>
    <t>ARDR_BUILDING</t>
  </si>
  <si>
    <t>Construction In Progress</t>
  </si>
  <si>
    <t>ARDR_CONSTRUCTION_IN_PROGRESS</t>
  </si>
  <si>
    <t>Furniture/Machinery/Equipment</t>
  </si>
  <si>
    <t>ARDR_FURNITURE_MACHINERY_EQUIP</t>
  </si>
  <si>
    <t>Property Plant &amp; Equipment - Gross</t>
  </si>
  <si>
    <t>ARDR_PROPERTY_PLANT_EQUIP_GROSS</t>
  </si>
  <si>
    <t>Accumulated Depreciation</t>
  </si>
  <si>
    <t>ARDR_ACCUMULATED_DEPREC</t>
  </si>
  <si>
    <t>ARDR_PROPERTY_PLANT_EQUIP_NET</t>
  </si>
  <si>
    <t>Deferred Income Tax Asset (LT)</t>
  </si>
  <si>
    <t>ARDR_DEFERRED_INC_TAX_ASSET_LT</t>
  </si>
  <si>
    <t>Total Intangible Assets - Net</t>
  </si>
  <si>
    <t>ARDR_TOTAL_INTANGIBLE_ASSET_NET</t>
  </si>
  <si>
    <t>ARDR_OTHER_INTANGIBLE_ASSET</t>
  </si>
  <si>
    <t>Prepaid Pensions/Postretirement Benefits</t>
  </si>
  <si>
    <t>ARDR_PREPAID_PEN_POSTRETIRE_BEN</t>
  </si>
  <si>
    <t>ARDR_GOODWLL</t>
  </si>
  <si>
    <t>Patents/Trademarks/Copyrights</t>
  </si>
  <si>
    <t>ARDR_PATENTS_TRADEMRK_COPYRIGHT</t>
  </si>
  <si>
    <t>ARDR_DEFERRED_INCOME_TAXES_LIAB</t>
  </si>
  <si>
    <t>ARDR_PENSION_POSTRETIREMNT_LIAB</t>
  </si>
  <si>
    <t>ARDR_PREFERRED_STOCK</t>
  </si>
  <si>
    <t>Min/Non Cntrlling Int(Stckhldrs Eqty)</t>
  </si>
  <si>
    <t>ARDR_MIN_NONCONTROL_INT_SE</t>
  </si>
  <si>
    <t>ARDR_COMMON_STOCK</t>
  </si>
  <si>
    <t>ARDR_ADDITIONAL_PAID_IN_CAPITAL</t>
  </si>
  <si>
    <t>ARDR_TREASURY_STOCK_AMOUNT</t>
  </si>
  <si>
    <t>ARDR_ACC_OTH_COMPREHENSIVE_INC</t>
  </si>
  <si>
    <t>ARDR_RETAINED_EARN_ACC_DEFICIT</t>
  </si>
  <si>
    <t>ARDR_PAR_VALUE</t>
  </si>
  <si>
    <t>ARDR_TREASURY_SHARES_NUM</t>
  </si>
  <si>
    <t>Raw Materials</t>
  </si>
  <si>
    <t>ARDR_RAW_MATERIAL</t>
  </si>
  <si>
    <t>Work In Progress</t>
  </si>
  <si>
    <t>ARDR_WORK_IN_PROGRESS</t>
  </si>
  <si>
    <t>Finished Goods</t>
  </si>
  <si>
    <t>ARDR_FINISHED_GOOD</t>
  </si>
  <si>
    <t>ARDR_SHARES_ISSUED</t>
  </si>
  <si>
    <t>Total Line of Credit</t>
  </si>
  <si>
    <t>ARDR_TOTAL_LINE_OF_CREDIT</t>
  </si>
  <si>
    <t>Total Available Line of Credit</t>
  </si>
  <si>
    <t>ARDR_TOTAL_AVAIL_LINE_OF_CREDIT</t>
  </si>
  <si>
    <t>ARDR_FUT_MIN_OPER_LEASE_OBLIG</t>
  </si>
  <si>
    <t>Rental Expense - Year 1</t>
  </si>
  <si>
    <t>ARDR_RENTAL_EXP_YR1</t>
  </si>
  <si>
    <t>Rental Expense - Year 2</t>
  </si>
  <si>
    <t>ARDR_RENTAL_EXP_YR2</t>
  </si>
  <si>
    <t>Rental Expense - Year 3</t>
  </si>
  <si>
    <t>ARDR_RENTAL_EXP_YR3</t>
  </si>
  <si>
    <t>Rental Expense - Year 4</t>
  </si>
  <si>
    <t>ARDR_RENTAL_EXP_YR4</t>
  </si>
  <si>
    <t>Rental Expense - Year 5</t>
  </si>
  <si>
    <t>ARDR_RENTAL_EXP_YR5</t>
  </si>
  <si>
    <t>Rental Expense - Beyond Year 5</t>
  </si>
  <si>
    <t>ARDR_RENTAL_EXP_BEYOND_YR5</t>
  </si>
  <si>
    <t>Deferred Tax Liabilities (LT)</t>
  </si>
  <si>
    <t>ARDR_DEFERRED_TAX_LIAB_LT</t>
  </si>
  <si>
    <t>Deferred Tax Assets (LT)</t>
  </si>
  <si>
    <t>ARDR_DEFERRED_TAX_ASSETS_LT</t>
  </si>
  <si>
    <t>ARDR_TOTAL_SHAREHOLDERS_EQUITY</t>
  </si>
  <si>
    <t>Derivative Assets Short-Term</t>
  </si>
  <si>
    <t>ARDR_DERIVATIVE_ASSET_ST</t>
  </si>
  <si>
    <t>Commercial Paper Outstanding</t>
  </si>
  <si>
    <t>ARDR_COMMERCIAL_PAPER</t>
  </si>
  <si>
    <t>Derivative Assets (Long-Term)</t>
  </si>
  <si>
    <t>ARDR_DERIVATIVE_ASSET_LT</t>
  </si>
  <si>
    <t>ARDR_NUMBER_EMPLOYEES</t>
  </si>
  <si>
    <t>Preferred Stock Liquidation Preference</t>
  </si>
  <si>
    <t>ARDR_PFD_STK_LIQUID_PREFERENCE</t>
  </si>
  <si>
    <t>Derivative Liabilities (Short-Term)</t>
  </si>
  <si>
    <t>ARDR_DERIVATIVE_LIABILITIES_ST</t>
  </si>
  <si>
    <t>Derivative Liabilities (Long-Term)</t>
  </si>
  <si>
    <t>ARDR_DERIVATIVE_LIABILITIES_LT</t>
  </si>
  <si>
    <t>Shares Outstanding From The Front Cover</t>
  </si>
  <si>
    <t>ARDR_SHARE_OUT_FROM_FRONT_COVER</t>
  </si>
  <si>
    <t>Accumulated Amortization Intangible Assets</t>
  </si>
  <si>
    <t>ARDR_ACCCUM_AMORT_INTANG_ASSET</t>
  </si>
  <si>
    <t>Research &amp; Development - Net</t>
  </si>
  <si>
    <t>ARDR_RESEARCH_DEVELOPMENT_NET</t>
  </si>
  <si>
    <t>ARDR_OPTIONS_GRANTED_DURING_PER</t>
  </si>
  <si>
    <t>Options Outstanding End Period</t>
  </si>
  <si>
    <t>ARDR_OPTIONS_OUTSTANDING_END_PER</t>
  </si>
  <si>
    <t>Preferred Stock Shares Outstanding</t>
  </si>
  <si>
    <t>ARDR_PREFERRED_STOCK_SHARES_OUT</t>
  </si>
  <si>
    <t>Total Shareholder Equity Excludes Minority</t>
  </si>
  <si>
    <t>ARDR_TOT_SHARE_EQY_EXCL_MINORITY</t>
  </si>
  <si>
    <t>Options Exercised During the Period</t>
  </si>
  <si>
    <t>ARDR_OPTIONS_EXERCISED_DUR_PER</t>
  </si>
  <si>
    <t>Options Expired During the Period</t>
  </si>
  <si>
    <t>ARDR_OPTIONS_EXPIRED_DUR_PER</t>
  </si>
  <si>
    <t>Deferred Income Tax Liability Long -Term</t>
  </si>
  <si>
    <t>ARDR_DEFERRED_INC_TAB_LIAB_LT</t>
  </si>
  <si>
    <t>Total Credit Utilized</t>
  </si>
  <si>
    <t>ARDR_TOTAL_CREDIT_UTILIZED</t>
  </si>
  <si>
    <t>Purchase Obligations</t>
  </si>
  <si>
    <t>ARDR_PURCHASE_OBLIGATIONS</t>
  </si>
  <si>
    <t>Cash Equivalents</t>
  </si>
  <si>
    <t>ARDR_CASH_EQUIVS</t>
  </si>
  <si>
    <t>Debt Schedule In Yr 2</t>
  </si>
  <si>
    <t>ARDR_DEBT_SCHEDULE_IN_YR2</t>
  </si>
  <si>
    <t>Debt Schedule In Yr 3</t>
  </si>
  <si>
    <t>ARDR_DEBT_SCHEDULE_IN_YR3</t>
  </si>
  <si>
    <t>Debt Schedule In Yr 4</t>
  </si>
  <si>
    <t>ARDR_DEBT_SCHEDULE_IN_YR4</t>
  </si>
  <si>
    <t>Debt Schedule In Yr 5</t>
  </si>
  <si>
    <t>ARDR_DEBT_SCHEDULE_IN_YR5</t>
  </si>
  <si>
    <t>Debt Schedule Thereafter</t>
  </si>
  <si>
    <t>ARDR_DEBT_SCHEDULE_THEREAFTER</t>
  </si>
  <si>
    <t>Debt Schedule - Total Debt</t>
  </si>
  <si>
    <t>ARDR_DEBT_SCHEDULE_TOTAL_DEBT</t>
  </si>
  <si>
    <t>Debt Schedule - Total Long Term Debt</t>
  </si>
  <si>
    <t>ARDR_DEBT_SCHEDULE_TOTAL_LT_DEBT</t>
  </si>
  <si>
    <t>Number of Common Shares Repurchased</t>
  </si>
  <si>
    <t>ARDR_COMMON_SHARES_REPURCHASED</t>
  </si>
  <si>
    <t>ARDR Total Operating Liabilities</t>
  </si>
  <si>
    <t>ARDR_TOTAL_OPERATING_LIABILITIES</t>
  </si>
  <si>
    <t>Weighted Average Interest Rate of ST Debt</t>
  </si>
  <si>
    <t>ARDR_WTD_AVG_INT_RATE_ST_DEBT</t>
  </si>
  <si>
    <t>Fair Value Assets Recur - Level 1</t>
  </si>
  <si>
    <t>ARDR_FV_ASSETS_REC_LEVEL_1</t>
  </si>
  <si>
    <t>Fair Value Assets Recur - Level 2</t>
  </si>
  <si>
    <t>ARDR_FV_ASSETS_REC_LEVEL_2</t>
  </si>
  <si>
    <t>Fair Value Assets Recur - Level 3</t>
  </si>
  <si>
    <t>ARDR_FV_ASSETS_REC_LEVEL_3</t>
  </si>
  <si>
    <t>Fair Value Assets Recur - Total</t>
  </si>
  <si>
    <t>ARDR_FV_ASSETS_REC_TOTAL</t>
  </si>
  <si>
    <t>Fair Value Liab Recur - Level 1</t>
  </si>
  <si>
    <t>ARDR_FV_LIAB_REC_LEVEL_1</t>
  </si>
  <si>
    <t>Fair Value Liab Recur - Level 2</t>
  </si>
  <si>
    <t>ARDR_FV_LIAB_REC_LEVEL_2</t>
  </si>
  <si>
    <t>Fair Value Liab Recur - Level 3</t>
  </si>
  <si>
    <t>ARDR_FV_LIAB_REC_LEVEL_3</t>
  </si>
  <si>
    <t>Fair Value Liab Recur - Total</t>
  </si>
  <si>
    <t>ARDR_FV_LIAB_REC_TOTAL</t>
  </si>
  <si>
    <t>ARDR Options Cancelled or Forfeited</t>
  </si>
  <si>
    <t>ARDR_OPTIONS_CANCELLED_FORFEITED</t>
  </si>
  <si>
    <t>Contractual Obligations - Year 1</t>
  </si>
  <si>
    <t>ARDR_CONTRACTUAL_OBLIG_YEAR_1</t>
  </si>
  <si>
    <t>Contractual Obligations Years - 2 &amp; 3</t>
  </si>
  <si>
    <t>ARDR_CONTRACTUAL_OBLIG_YEAR_2_3</t>
  </si>
  <si>
    <t>Contractual Obligations Years - 4 &amp; 5</t>
  </si>
  <si>
    <t>ARDR_CONTRACTUAL_OBLIG_YEAR_4_5</t>
  </si>
  <si>
    <t>Contractual Obligations - Beyond Year 5</t>
  </si>
  <si>
    <t>ARDR_CONT_OBLIG_BEYOND_YEAR_5</t>
  </si>
  <si>
    <t>Total Contractual Obligations</t>
  </si>
  <si>
    <t>ARDR_CONTRACTUAL_OBLIG_TOTAL</t>
  </si>
  <si>
    <t>Fixed Charge Coverage Ratio</t>
  </si>
  <si>
    <t>ARDR_FIXED_CHARGE_COVERAGE_RATIO</t>
  </si>
  <si>
    <t>Fair Value of Derivatives Net</t>
  </si>
  <si>
    <t>ARDR_FAIR_VALUE_DERIVATIVES_NET</t>
  </si>
  <si>
    <t>PV of Future Min Op Lease Obligations</t>
  </si>
  <si>
    <t>ARDR_PV_FUTURE_MIN_OP_LEASE_OBL</t>
  </si>
  <si>
    <t>Pension &amp; Post Retirement Liab (Current)</t>
  </si>
  <si>
    <t>ARDR_PENSION_PR_LIABILITY_CURR</t>
  </si>
  <si>
    <t>Stock Opt Valuation - Risk Free Rate (%)</t>
  </si>
  <si>
    <t>ARDR_STOCK_OPTION_VAL_RFR</t>
  </si>
  <si>
    <t>Stock Opt Valuation - Expected Life (Yrs)</t>
  </si>
  <si>
    <t>ARDR_STOCK_OPTION_VAL_EXP_LIFE</t>
  </si>
  <si>
    <t>Stock Opt Valuation - Expected Volatil (%)</t>
  </si>
  <si>
    <t>ARDR_STOCK_OPTION_VAL_EXP_VOL</t>
  </si>
  <si>
    <t>Stock Opt Valuation - Dividend Yield (%)</t>
  </si>
  <si>
    <t>ARDR_STOCK_OPTION_VAL_DVD_YLD</t>
  </si>
  <si>
    <t>Avg Exercise Price (Options Exercisable)</t>
  </si>
  <si>
    <t>ARDR_AVG_EXER_PX_OPT_EXERCISABLE</t>
  </si>
  <si>
    <t>Avg Exercise Price (Options Outstanding)</t>
  </si>
  <si>
    <t>ARDR_AVG_EXER_PX_OPT_OUTSTANDING</t>
  </si>
  <si>
    <t>Options Exercisable End of Period</t>
  </si>
  <si>
    <t>ARDR_OPTIONS_EXERCISABLE</t>
  </si>
  <si>
    <t>Deferred Tax Asset - Valuation Allowance</t>
  </si>
  <si>
    <t>ARDR_DEFERRED_TAX_ALLOWANCE</t>
  </si>
  <si>
    <t>Shares Authorized for Repurchase Amount</t>
  </si>
  <si>
    <t>ARDR_SHARES_AUTH_REPURCH_AMOUNT</t>
  </si>
  <si>
    <t>Remaining Shares Auth for Repurchase Amt</t>
  </si>
  <si>
    <t>ARDR_REMAINING_SH_AUTH_REP_AMT</t>
  </si>
  <si>
    <t>FV Assets Rec L1: Trading Treasuries</t>
  </si>
  <si>
    <t>ARDR_FV_ASSETS_REC_L1_TRAD_TREAS</t>
  </si>
  <si>
    <t>FV Assets Rec L1: AFS Corporate Bonds</t>
  </si>
  <si>
    <t>ARDR_FV_ASTS_REC_L1_AFS_CORP_BDS</t>
  </si>
  <si>
    <t>FV Assets Rec L1: AFS GSE CMO</t>
  </si>
  <si>
    <t>ARDR_FV_ASTS_REC_L1_AFS_GSE_CMO</t>
  </si>
  <si>
    <t>FV Assets Rec L1: Derivatives</t>
  </si>
  <si>
    <t>ARDR_FV_ASTS_REC_L1_DERIVATIVES</t>
  </si>
  <si>
    <t>FV Assets Rec L1: Other</t>
  </si>
  <si>
    <t>ARDR_FV_ASSETS_REC_L1_OTHER</t>
  </si>
  <si>
    <t>FV Assets Rec L2: Trading Treasuries</t>
  </si>
  <si>
    <t>ARDR_FV_ASTS_REC_L2_TRAD_TREAS</t>
  </si>
  <si>
    <t>FV Assets Rec L2: AFS Corp Bonds</t>
  </si>
  <si>
    <t>ARDR_FV_ASTS_REC_L2_AFS_CORP_BDS</t>
  </si>
  <si>
    <t>FV Assets Rec L2: AFS CDO CLO</t>
  </si>
  <si>
    <t>ARDR_FV_ASTS_REC_L2_AFS_CDO_CLO</t>
  </si>
  <si>
    <t>FV Assets Rec L2: Derivatives</t>
  </si>
  <si>
    <t>ARDR_FV_ASTS_REC_L2_DERIVATIVES</t>
  </si>
  <si>
    <t>FV Assets Rec L2: Other</t>
  </si>
  <si>
    <t>ARDR_FV_ASSETS_REC_L2_OTH</t>
  </si>
  <si>
    <t>FV Assets Rec L3: Other</t>
  </si>
  <si>
    <t>ARDR_FV_ASSETS_REC_L3_OTHER</t>
  </si>
  <si>
    <t>FV Assets Rec Total: Trading Account</t>
  </si>
  <si>
    <t>ARDR_FV_ASTS_REC_TOT_TRADING_ACC</t>
  </si>
  <si>
    <t>FV Assets Rec Total: AFS</t>
  </si>
  <si>
    <t>ARDR_FV_ASSETS_REC_TOT_AFS</t>
  </si>
  <si>
    <t>FV Assets Rec Total: Derivatives</t>
  </si>
  <si>
    <t>ARDR_FV_ASTS_REC_TOT_DERIVATIVES</t>
  </si>
  <si>
    <t>FV Assets Rec Total: Other</t>
  </si>
  <si>
    <t>ARDR_FV_ASSETS_REC_TOT_OTHER</t>
  </si>
  <si>
    <t>FV Liabs Rec L1: Derivatives</t>
  </si>
  <si>
    <t>ARDR_FV_LIABS_REC_L1_DERIVATIVES</t>
  </si>
  <si>
    <t>FV Liabs Rec L2: Derivatives</t>
  </si>
  <si>
    <t>ARDR_FV_LIABS_REC_L2_DERIVATIVES</t>
  </si>
  <si>
    <t>FV Liabs Rec L3: Other</t>
  </si>
  <si>
    <t>ARDR_FV_LIABS_REC_L3_OTHER</t>
  </si>
  <si>
    <t>FV Liabs Rec Total: Derivatives</t>
  </si>
  <si>
    <t>ARDR_FV_LIABS_REC_TOT_DERV</t>
  </si>
  <si>
    <t>Pension Liabilities</t>
  </si>
  <si>
    <t>ARDR_PENSION_LIABILITIES</t>
  </si>
  <si>
    <t>DTA - Net Operating Loss Carryforward</t>
  </si>
  <si>
    <t>ARDR_DTA_NOL_CARRYFORWARD</t>
  </si>
  <si>
    <t>Options at Beginning of Period</t>
  </si>
  <si>
    <t>ARDR_OPTIONS_BEGINNING_OF_PERIOD</t>
  </si>
  <si>
    <t>Options Adjustment</t>
  </si>
  <si>
    <t>ARDR_OPTIONS_ADJUSTMENT</t>
  </si>
  <si>
    <t>Average Price per Share Repurchased</t>
  </si>
  <si>
    <t>ARDR_AVG_PRICE_PER_SHARE_REPURCH</t>
  </si>
  <si>
    <t>UTB Balance at Beginning Period</t>
  </si>
  <si>
    <t>ARDR_UTB_BALANCE_BEGIN_PERIOD</t>
  </si>
  <si>
    <t>UTB Balance at Period End</t>
  </si>
  <si>
    <t>ARDR_UTB_BALANCE_END_PERIOD</t>
  </si>
  <si>
    <t>Additions for Tax Positions of the Crnt Yr</t>
  </si>
  <si>
    <t>ARDR_ADDITIONS_TAX_POS_CUR_YR</t>
  </si>
  <si>
    <t>Additions for Tax Positions of Prior Years</t>
  </si>
  <si>
    <t>ARDR_ADDITIONS_TAX_POS_PR_YR</t>
  </si>
  <si>
    <t>Reductions for Tax Positions for Prior Yrs</t>
  </si>
  <si>
    <t>ARDR_REDUCTIONS_TAX_POS_PR_YR</t>
  </si>
  <si>
    <t>Settlements</t>
  </si>
  <si>
    <t>ARDR_SETTLEMENTS</t>
  </si>
  <si>
    <t>Other Adjustments to UTB</t>
  </si>
  <si>
    <t>ARDR_OTHER_ADJUSTMENTS_UTB</t>
  </si>
  <si>
    <t>Unremitted Earnings</t>
  </si>
  <si>
    <t>ARDR_UNREMITTED_EARNINGS</t>
  </si>
  <si>
    <t>As Reported Data Reference Restricted Stock Units</t>
  </si>
  <si>
    <t>ARDR_RESTRICTED_STOCK_UNITS</t>
  </si>
  <si>
    <t>ARDR Restricted Stock Unit WAvg FV PS</t>
  </si>
  <si>
    <t>ARDR_RSTR_STK_UNIT_WAVG_FV_PS</t>
  </si>
  <si>
    <t>Diluted Shares Outstanding</t>
  </si>
  <si>
    <t>ARDR_DILUTED_SHARES_OUTSTANDING</t>
  </si>
  <si>
    <t>ARDR Other Post Retirement Benefits Liabilities</t>
  </si>
  <si>
    <t>ARDR_OTHER_POST_RETIRE_BFIT_LIAB</t>
  </si>
  <si>
    <t>ARDR Number Shares Repurchased Repurchase Program</t>
  </si>
  <si>
    <t>ARDR_#_SHS_REPURCH_FR_REP_PROG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</si>
</sst>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164" formatCode="0.0%;\(0.0%\);\-"/>
    <numFmt numFmtId="165" formatCode="0.0%"/>
    <numFmt numFmtId="166" formatCode="#,##0;\(#,##0\);\-"/>
    <numFmt numFmtId="167" formatCode="#,##0.0"/>
    <numFmt numFmtId="168" formatCode="\$#,##0.00;&quot;($&quot;#,##0.00\);\-"/>
    <numFmt numFmtId="169" formatCode="[$-409]dd\-mmm\-yy;@"/>
    <numFmt numFmtId="170" formatCode="* _(##,##0_);[Red]* \(##,##0\);* _(\-?_);_(@_)"/>
    <numFmt numFmtId="171" formatCode="* _(##,##0.0_);[Red]* \(##,##0.0\);* _(\-?_);_(@_)"/>
    <numFmt numFmtId="172" formatCode="[$-409]mmm\-yy;@"/>
    <numFmt numFmtId="173" formatCode="0.000"/>
    <numFmt numFmtId="174" formatCode="0.0\x"/>
    <numFmt numFmtId="175" formatCode="0.0"/>
    <numFmt numFmtId="176" formatCode="_(* #,##0.00_);_(* \(#,##0.00\);_(* \-??_);_(@_)"/>
    <numFmt numFmtId="177" formatCode="* _(#,##0.0%_);* \(#,##0.0%\);* _(\-?_);_(@_)"/>
    <numFmt numFmtId="178" formatCode="* _(##,##0.00_);[Red]* \(##,##0.00\);* _(\-?_);_(@_)"/>
    <numFmt numFmtId="179" formatCode="_(* #,##0.00_);_(* \(#,##0.00\);_(* \-?_);_(@_)"/>
    <numFmt numFmtId="180" formatCode="_(* #,##0.0\x;_(* \(#,##0.0&quot;x)&quot;;_(* &quot;- x&quot;_);_(* @_%_)"/>
    <numFmt numFmtId="181" formatCode="_(* #,##0.0%;_(* \(#,##0.0%\);_(* &quot;- %&quot;_);_(* @_%_)"/>
    <numFmt numFmtId="182" formatCode="_(* #,##0.0_);_(* \(#,##0.0\);_(* \-?_);_(@_)"/>
    <numFmt numFmtId="183" formatCode="#,##0.00;\(#,##0.00\);_(* \-_)"/>
    <numFmt numFmtId="184" formatCode="#,##0.0_);[Red]\(#,##0.0\)"/>
    <numFmt numFmtId="185" formatCode="0.00_);[Red]\(0.00\)"/>
    <numFmt numFmtId="186" formatCode="m/d/yy;@"/>
    <numFmt numFmtId="187" formatCode="* _(#,##0.00_);* \(#,##0.00\);* _(\-?_);_(@_)"/>
    <numFmt numFmtId="188" formatCode="* _(##,##0.000_);* \(##,##0.000\);* _(\-?_);_(@_)"/>
    <numFmt numFmtId="189" formatCode="* _(##,##0.0_);* \(##,##0.0\);* _(\-?_);_(@_)"/>
    <numFmt numFmtId="190" formatCode="* _(##,##0.00_);* \(##,##0.00\);* _(\-?_);_(@_)"/>
    <numFmt numFmtId="191" formatCode="0.0&quot;.x&quot;"/>
    <numFmt numFmtId="192" formatCode="[$-409]d\-mmm\-yy;@"/>
    <numFmt numFmtId="193" formatCode="* _(#,##0.000_);* \(#,##0.000\);* _(\-?_);_(@_)"/>
    <numFmt numFmtId="194" formatCode="0.0&quot;x&quot;"/>
    <numFmt numFmtId="195" formatCode="\$#,##0.00;\(\$#,##0.00\);&quot;-&quot;"/>
    <numFmt numFmtId="196" formatCode="#,##0.0;\(#,##0.0\);&quot;-&quot;"/>
    <numFmt numFmtId="197" formatCode="mmm\-yyyy"/>
    <numFmt numFmtId="198" formatCode="#,##0;\(#,##0\);&quot;-&quot;"/>
    <numFmt numFmtId="199" formatCode="0.00\%"/>
    <numFmt numFmtId="200" formatCode="#,##0.0;\(#,##0.0\);\-"/>
    <numFmt numFmtId="201" formatCode="_(* #,##0_);_(* \(#,##0\);_(* \-??_);_(@_)"/>
    <numFmt numFmtId="202" formatCode="_(* #,##0.0%_);_(* \(#,##0.0%\);_(* &quot;--- %&quot;_);_(* @_%_)"/>
    <numFmt numFmtId="203" formatCode="#,##0.0;\(#,##0.0\)"/>
    <numFmt numFmtId="204" formatCode="#,##0;\(#,##0\)"/>
    <numFmt numFmtId="205" formatCode="#,##0.00;\(#,##0.00\)"/>
  </numFmts>
  <fonts count="135">
    <font>
      <sz val="11"/>
      <color theme="1"/>
      <name val="SF Pro Text"/>
      <family val="2"/>
      <charset val="1"/>
    </font>
    <font>
      <b/>
      <sz val="10"/>
      <name val="MS Sans Serif"/>
      <family val="2"/>
      <charset val="1"/>
    </font>
    <font>
      <sz val="10"/>
      <name val="Arial"/>
      <family val="2"/>
      <charset val="1"/>
    </font>
    <font>
      <b/>
      <sz val="11"/>
      <color rgb="FFFFFFFF"/>
      <name val="SF Pro Text"/>
      <family val="2"/>
      <charset val="1"/>
    </font>
    <font>
      <b/>
      <sz val="10"/>
      <color rgb="FFFFFFFF"/>
      <name val="Arial"/>
      <family val="2"/>
      <charset val="1"/>
    </font>
    <font>
      <sz val="11"/>
      <name val="SF Pro Text"/>
      <family val="2"/>
      <charset val="1"/>
    </font>
    <font>
      <sz val="8"/>
      <color theme="1"/>
      <name val="SF Pro Text"/>
      <family val="2"/>
      <charset val="1"/>
    </font>
    <font>
      <b/>
      <sz val="8"/>
      <color rgb="FFFFFFFF"/>
      <name val="SF Pro Text"/>
      <family val="2"/>
      <charset val="1"/>
    </font>
    <font>
      <b/>
      <sz val="13"/>
      <color rgb="FF1F2937"/>
      <name val="Segoe UI Semibold"/>
      <charset val="1"/>
    </font>
    <font>
      <b/>
      <sz val="14"/>
      <color rgb="FF1F2937"/>
      <name val="Segoe UI Semibold"/>
      <charset val="1"/>
    </font>
    <font>
      <sz val="8"/>
      <name val="SF Pro Text"/>
      <family val="2"/>
      <charset val="1"/>
    </font>
    <font>
      <b/>
      <sz val="10"/>
      <color rgb="FFFFFFFF"/>
      <name val="Segoe UI Semibold"/>
      <charset val="1"/>
    </font>
    <font>
      <b/>
      <sz val="10"/>
      <color rgb="FF1F2937"/>
      <name val="Segoe UI Semibold"/>
      <charset val="1"/>
    </font>
    <font>
      <sz val="10"/>
      <color rgb="FF1F2937"/>
      <name val="Segoe UI"/>
      <charset val="1"/>
    </font>
    <font>
      <b/>
      <sz val="8"/>
      <color rgb="FF1F2937"/>
      <name val="SF Pro Text"/>
      <family val="2"/>
      <charset val="1"/>
    </font>
    <font>
      <b/>
      <sz val="11"/>
      <color rgb="FFFFFFFF"/>
      <name val="Segoe UI Semibold"/>
      <charset val="1"/>
    </font>
    <font>
      <i/>
      <sz val="9"/>
      <color rgb="FF7B8794"/>
      <name val="Segoe UI"/>
      <charset val="1"/>
    </font>
    <font>
      <i/>
      <sz val="8"/>
      <color rgb="FF7B8794"/>
      <name val="Segoe UI"/>
      <charset val="1"/>
    </font>
    <font>
      <b/>
      <sz val="8"/>
      <color theme="1"/>
      <name val="SF Pro Text"/>
      <family val="2"/>
      <charset val="1"/>
    </font>
    <font>
      <sz val="10"/>
      <color rgb="FF365F91"/>
      <name val="Segoe UI"/>
      <charset val="1"/>
    </font>
    <font>
      <sz val="11"/>
      <color rgb="FFFFFFFF"/>
      <name val="SF Pro Text"/>
      <family val="2"/>
      <charset val="1"/>
    </font>
    <font>
      <b/>
      <sz val="8"/>
      <name val="SF Pro Text"/>
      <family val="2"/>
      <charset val="1"/>
    </font>
    <font>
      <b/>
      <sz val="16"/>
      <color theme="1"/>
      <name val="SF Pro Text"/>
      <family val="2"/>
      <charset val="1"/>
    </font>
    <font>
      <i/>
      <sz val="11"/>
      <color theme="1"/>
      <name val="SF Pro Text"/>
      <family val="2"/>
      <charset val="1"/>
    </font>
    <font>
      <i/>
      <sz val="11"/>
      <name val="SF Pro Text"/>
      <family val="2"/>
      <charset val="1"/>
    </font>
    <font>
      <b/>
      <sz val="10"/>
      <color rgb="FFB42318"/>
      <name val="Segoe UI Semibold"/>
      <charset val="1"/>
    </font>
    <font>
      <i/>
      <sz val="10.5"/>
      <color rgb="FF1F2937"/>
      <name val="SF Pro Text"/>
      <family val="2"/>
      <charset val="1"/>
    </font>
    <font>
      <sz val="10.5"/>
      <color rgb="FF1F2937"/>
      <name val="SF Pro Text"/>
      <family val="2"/>
      <charset val="1"/>
    </font>
    <font>
      <b/>
      <sz val="10.5"/>
      <color rgb="FF1F2937"/>
      <name val="SF Pro Text"/>
      <family val="2"/>
      <charset val="1"/>
    </font>
    <font>
      <b/>
      <sz val="10.5"/>
      <name val="SF Pro Text"/>
      <family val="2"/>
      <charset val="1"/>
    </font>
    <font>
      <sz val="10"/>
      <color rgb="FF1F2937"/>
      <name val="SF Pro Text"/>
      <family val="2"/>
      <charset val="1"/>
    </font>
    <font>
      <b/>
      <sz val="11"/>
      <color theme="1"/>
      <name val="SF Pro Text"/>
      <family val="2"/>
      <charset val="1"/>
    </font>
    <font>
      <sz val="10.5"/>
      <color theme="1"/>
      <name val="SF Pro Text"/>
      <family val="2"/>
      <charset val="1"/>
    </font>
    <font>
      <b/>
      <sz val="10"/>
      <color rgb="FF1F2937"/>
      <name val="SF Pro Text"/>
      <family val="2"/>
      <charset val="1"/>
    </font>
    <font>
      <b/>
      <sz val="10"/>
      <name val="SF Pro Text"/>
      <family val="2"/>
      <charset val="1"/>
    </font>
    <font>
      <sz val="9"/>
      <color rgb="FF1F2937"/>
      <name val="SF Pro Text"/>
      <family val="2"/>
      <charset val="1"/>
    </font>
    <font>
      <sz val="10.5"/>
      <name val="SF Pro Text"/>
      <family val="2"/>
      <charset val="1"/>
    </font>
    <font>
      <sz val="10"/>
      <name val="SF Pro Text"/>
      <family val="2"/>
      <charset val="1"/>
    </font>
    <font>
      <sz val="11"/>
      <color theme="4"/>
      <name val="SF Pro Text"/>
      <family val="2"/>
      <charset val="1"/>
    </font>
    <font>
      <b/>
      <sz val="11"/>
      <name val="SF Pro Text"/>
      <family val="2"/>
      <charset val="1"/>
    </font>
    <font>
      <sz val="11"/>
      <color theme="1"/>
      <name val="SF Pro Text"/>
      <family val="2"/>
      <charset val="1"/>
    </font>
    <font>
      <sz val="10"/>
      <color rgb="FFFFFFFF"/>
      <name val="Segoe UI Semibold"/>
    </font>
    <font>
      <sz val="9"/>
      <color rgb="FF2D3436"/>
      <name val="Segoe UI"/>
    </font>
    <font>
      <sz val="9"/>
      <color rgb="FF006100"/>
      <name val="Segoe UI"/>
    </font>
    <font>
      <sz val="9"/>
      <color rgb="FF002060"/>
      <name val="Segoe UI"/>
    </font>
    <font>
      <sz val="10"/>
      <color rgb="FF0B1A2E"/>
      <name val="Segoe UI Semibold"/>
    </font>
    <font>
      <sz val="11"/>
      <color rgb="FFFFFFFF"/>
      <name val="Segoe UI Semibold"/>
    </font>
    <font>
      <i/>
      <sz val="9"/>
      <color rgb="FF636E72"/>
      <name val="SF Pro Text"/>
      <family val="2"/>
    </font>
    <font>
      <b/>
      <sz val="11"/>
      <color rgb="FFFFFFFF"/>
      <name val="SF Pro Text"/>
      <family val="2"/>
    </font>
    <font>
      <b/>
      <sz val="10"/>
      <color rgb="FFFFFFFF"/>
      <name val="SF Pro Text"/>
      <family val="2"/>
    </font>
    <font>
      <sz val="9"/>
      <color rgb="FF006100"/>
      <name val="SF Pro Text"/>
      <family val="2"/>
    </font>
    <font>
      <sz val="9"/>
      <color rgb="FF2D3436"/>
      <name val="SF Pro Text"/>
      <family val="2"/>
    </font>
    <font>
      <b/>
      <sz val="9"/>
      <color rgb="FF2D3436"/>
      <name val="SF Pro Text"/>
      <family val="2"/>
    </font>
    <font>
      <sz val="11"/>
      <color theme="1"/>
      <name val="SF Pro Text"/>
      <family val="2"/>
      <charset val="1"/>
    </font>
    <font>
      <b/>
      <sz val="10"/>
      <color rgb="FFB42318"/>
      <name val="SF Pro Text"/>
      <family val="2"/>
    </font>
    <font>
      <sz val="9"/>
      <color rgb="FF0070C0"/>
      <name val="SF Pro Text"/>
      <family val="2"/>
    </font>
    <font>
      <sz val="11"/>
      <color rgb="FF0070C0"/>
      <name val="SF Pro Text"/>
      <family val="2"/>
      <charset val="1"/>
    </font>
    <font>
      <b/>
      <sz val="10"/>
      <color rgb="FF0070C0"/>
      <name val="Segoe UI Semibold"/>
      <family val="2"/>
    </font>
    <font>
      <b/>
      <sz val="11"/>
      <color rgb="FF0070C0"/>
      <name val="SF Pro Text"/>
      <family val="2"/>
    </font>
    <font>
      <sz val="10"/>
      <color theme="1"/>
      <name val="SF Pro Text Semibold"/>
      <family val="2"/>
    </font>
    <font>
      <sz val="12"/>
      <color rgb="FFFFFFFF"/>
      <name val="SF Pro Text"/>
      <family val="2"/>
    </font>
    <font>
      <sz val="12"/>
      <color rgb="FFFFFFFF"/>
      <name val="SF Pro Text Semibold"/>
      <family val="2"/>
    </font>
    <font>
      <sz val="10"/>
      <color theme="1"/>
      <name val="SF Pro Text"/>
      <family val="2"/>
    </font>
    <font>
      <sz val="11"/>
      <color theme="1"/>
      <name val="SF Pro Text"/>
      <family val="2"/>
    </font>
    <font>
      <sz val="9"/>
      <color theme="1"/>
      <name val="SF Pro Text"/>
      <family val="2"/>
    </font>
    <font>
      <b/>
      <sz val="11"/>
      <color rgb="FF0B1A2E"/>
      <name val="SF Pro Text"/>
      <family val="2"/>
    </font>
    <font>
      <b/>
      <sz val="11"/>
      <color theme="0"/>
      <name val="SF Pro Text"/>
      <family val="2"/>
    </font>
    <font>
      <sz val="12"/>
      <color theme="0"/>
      <name val="SF Pro Text Semibold"/>
      <family val="2"/>
    </font>
    <font>
      <b/>
      <sz val="10"/>
      <color rgb="FF1F2937"/>
      <name val="Segoe UI Semibold"/>
      <family val="2"/>
    </font>
    <font>
      <sz val="10"/>
      <color rgb="FF1F2937"/>
      <name val="Segoe UI"/>
      <family val="2"/>
    </font>
    <font>
      <i/>
      <sz val="9"/>
      <color rgb="FF636E72"/>
      <name val="SF Pro Text"/>
      <family val="2"/>
    </font>
    <font>
      <sz val="10"/>
      <color rgb="FF2D3436"/>
      <name val="SF Pro Text Semibold"/>
      <family val="2"/>
    </font>
    <font>
      <b/>
      <sz val="10"/>
      <color rgb="FF1F2937"/>
      <name val="SF Pro Text Semibold"/>
      <family val="2"/>
    </font>
    <font>
      <sz val="8"/>
      <color theme="1"/>
      <name val="SF Pro Text Semibold"/>
      <family val="2"/>
    </font>
    <font>
      <sz val="10"/>
      <color theme="1"/>
      <name val="SF Pro Text"/>
      <family val="2"/>
      <charset val="1"/>
    </font>
    <font>
      <sz val="10"/>
      <color rgb="FF1F2937"/>
      <name val="SF Pro Text Semibold"/>
      <family val="2"/>
    </font>
    <font>
      <i/>
      <sz val="10"/>
      <color rgb="FF1F2937"/>
      <name val="SF Pro Text Semibold"/>
      <family val="2"/>
    </font>
    <font>
      <i/>
      <sz val="8"/>
      <color theme="1"/>
      <name val="SF Pro Text"/>
      <family val="2"/>
      <charset val="1"/>
    </font>
    <font>
      <i/>
      <sz val="12"/>
      <color rgb="FFFFFFFF"/>
      <name val="SF Pro Text Semibold"/>
      <family val="2"/>
    </font>
    <font>
      <i/>
      <sz val="10"/>
      <color rgb="FF1F2937"/>
      <name val="Segoe UI"/>
      <family val="2"/>
    </font>
    <font>
      <b/>
      <i/>
      <sz val="10"/>
      <color rgb="FF1F2937"/>
      <name val="SF Pro Text Semibold"/>
      <family val="2"/>
    </font>
    <font>
      <i/>
      <sz val="10"/>
      <color theme="1"/>
      <name val="SF Pro Text"/>
      <family val="2"/>
      <charset val="1"/>
    </font>
    <font>
      <b/>
      <i/>
      <sz val="10"/>
      <color rgb="FF1F2937"/>
      <name val="Segoe UI Semibold"/>
      <family val="2"/>
    </font>
    <font>
      <i/>
      <sz val="9"/>
      <color rgb="FF2D3436"/>
      <name val="Segoe UI"/>
      <family val="2"/>
    </font>
    <font>
      <sz val="8"/>
      <color theme="1"/>
      <name val="SF Pro Text"/>
      <family val="2"/>
    </font>
    <font>
      <sz val="10"/>
      <color rgb="FF1F2937"/>
      <name val="SF Pro Text"/>
      <family val="2"/>
    </font>
    <font>
      <b/>
      <sz val="14"/>
      <color rgb="FF1F2937"/>
      <name val="SF Pro Text"/>
      <family val="2"/>
    </font>
    <font>
      <sz val="10"/>
      <color rgb="FF365F91"/>
      <name val="SF Pro Text"/>
      <family val="2"/>
    </font>
    <font>
      <sz val="10"/>
      <color theme="0"/>
      <name val="SF Pro Text"/>
      <family val="2"/>
    </font>
    <font>
      <b/>
      <sz val="10"/>
      <color rgb="FF1F2937"/>
      <name val="SF Pro Text"/>
      <family val="2"/>
    </font>
    <font>
      <b/>
      <sz val="11"/>
      <color rgb="FF2D3436"/>
      <name val="SF Pro Text"/>
      <family val="2"/>
    </font>
    <font>
      <sz val="11"/>
      <color rgb="FF2D3436"/>
      <name val="SF Pro Text"/>
      <family val="2"/>
      <charset val="1"/>
    </font>
    <font>
      <i/>
      <sz val="11"/>
      <color theme="1"/>
      <name val="SF Pro Text"/>
      <family val="2"/>
    </font>
    <font>
      <sz val="11"/>
      <color rgb="FF0B1A2E"/>
      <name val="SF Pro Text"/>
      <family val="2"/>
      <charset val="1"/>
    </font>
    <font>
      <b/>
      <sz val="11"/>
      <color rgb="FF0B1A2E"/>
      <name val="SF Pro Text"/>
      <family val="2"/>
      <charset val="1"/>
    </font>
    <font>
      <sz val="9"/>
      <color theme="0"/>
      <name val="SF Pro Text"/>
      <family val="2"/>
    </font>
    <font>
      <sz val="16"/>
      <color rgb="FF0B1A2E"/>
      <name val="SF Pro Text Semibold"/>
    </font>
    <font>
      <i/>
      <sz val="9"/>
      <color rgb="FF636E72"/>
      <name val="SF Pro Text"/>
      <family val="2"/>
    </font>
    <font>
      <sz val="12"/>
      <color rgb="FFFFFFFF"/>
      <name val="SF Pro Text Semibold"/>
    </font>
    <font>
      <sz val="12"/>
      <color rgb="FF0000FF"/>
      <name val="SF Pro Text Semibold"/>
    </font>
    <font>
      <i/>
      <sz val="10"/>
      <color theme="1"/>
      <name val="SF Pro Text"/>
      <family val="2"/>
    </font>
    <font>
      <sz val="11"/>
      <color theme="1"/>
      <name val="SF Pro Text"/>
      <family val="2"/>
    </font>
    <font>
      <sz val="9"/>
      <color rgb="FF2D3436"/>
      <name val="SF Pro Text"/>
      <family val="2"/>
    </font>
    <font>
      <sz val="9"/>
      <color rgb="FF2D3436"/>
      <name val="SF Mono"/>
      <family val="2"/>
    </font>
    <font>
      <sz val="9"/>
      <color rgb="FF008000"/>
      <name val="SF Mono"/>
      <family val="2"/>
    </font>
    <font>
      <sz val="14"/>
      <color rgb="FFFFFFFF"/>
      <name val="SF Pro Text Semibold"/>
    </font>
    <font>
      <sz val="9"/>
      <color rgb="FF0000FF"/>
      <name val="SF Mono"/>
      <family val="2"/>
    </font>
    <font>
      <sz val="12"/>
      <color rgb="FF0B1A2E"/>
      <name val="SF Pro Text Semibold"/>
    </font>
    <font>
      <sz val="11"/>
      <color theme="1"/>
      <name val="SF Mono"/>
      <family val="2"/>
    </font>
    <font>
      <sz val="11"/>
      <color rgb="FFFFFFFF"/>
      <name val="SF Pro Text Semibold"/>
    </font>
    <font>
      <sz val="10"/>
      <color rgb="FF0F172A"/>
      <name val="SF Mono Semibold"/>
    </font>
    <font>
      <sz val="10"/>
      <color rgb="FFFFFFFF"/>
      <name val="SF Pro Text Semibold"/>
    </font>
    <font>
      <sz val="9"/>
      <color rgb="FF2D3436"/>
      <name val="SF Pro Text Semibold"/>
    </font>
    <font>
      <sz val="9"/>
      <color rgb="FF0000FF"/>
      <name val="SF Pro Text"/>
      <family val="2"/>
    </font>
    <font>
      <sz val="9"/>
      <color rgb="FF0F172A"/>
      <name val="SF Pro Text"/>
      <family val="2"/>
    </font>
    <font>
      <sz val="10"/>
      <color rgb="FF0F172A"/>
      <name val="SF Pro Text Semibold"/>
    </font>
    <font>
      <i/>
      <sz val="9"/>
      <color rgb="FF636E72"/>
      <name val="SF Mono"/>
      <family val="2"/>
    </font>
    <font>
      <sz val="11"/>
      <color rgb="FF0B1A2E"/>
      <name val="SF Mono"/>
      <family val="2"/>
    </font>
    <font>
      <sz val="10"/>
      <color rgb="FFFFFFFF"/>
      <name val="SF Pro Text"/>
      <family val="2"/>
    </font>
    <font>
      <sz val="10"/>
      <color rgb="FF0000FF"/>
      <name val="SF Pro Text Semibold"/>
    </font>
    <font>
      <sz val="10"/>
      <color rgb="FF636E72"/>
      <name val="SF Pro Text Semibold"/>
    </font>
    <font>
      <sz val="10"/>
      <color rgb="FF636E72"/>
      <name val="SF Mono Semibold"/>
    </font>
    <font>
      <sz val="18"/>
      <color rgb="FF0B1A2E"/>
      <name val="SF Pro Text Semibold"/>
    </font>
    <font>
      <sz val="9"/>
      <color theme="0"/>
      <name val="SF Pro Text"/>
      <family val="2"/>
    </font>
    <font>
      <sz val="10"/>
      <color rgb="FF2D3436"/>
      <name val="SF Pro Text Semibold"/>
    </font>
    <font>
      <sz val="10"/>
      <color rgb="FF2D3436"/>
      <name val="SF Pro Text"/>
      <family val="2"/>
    </font>
    <font>
      <sz val="10"/>
      <color rgb="FF2D3436"/>
      <name val="SF Mono"/>
      <family val="2"/>
    </font>
    <font>
      <i/>
      <sz val="9"/>
      <color rgb="FF2D3436"/>
      <name val="SF Pro Text"/>
      <family val="2"/>
    </font>
    <font>
      <sz val="10"/>
      <color rgb="FF008000"/>
      <name val="SF Mono"/>
      <family val="2"/>
    </font>
    <font>
      <i/>
      <sz val="10"/>
      <color rgb="FF2D3436"/>
      <name val="SF Pro Text"/>
      <family val="2"/>
    </font>
    <font>
      <sz val="10"/>
      <color rgb="FF008000"/>
      <name val="SF Mono Semibold"/>
    </font>
    <font>
      <i/>
      <sz val="9"/>
      <color rgb="FF2D3436"/>
      <name val="SF Pro Text Semibold"/>
    </font>
    <font>
      <sz val="10"/>
      <color rgb="FF2D3436"/>
      <name val="SF Mono Semibold"/>
    </font>
    <font>
      <sz val="12"/>
      <color rgb="FF2D3436"/>
      <name val="SF Pro Text Semibold"/>
    </font>
    <font>
      <sz val="11"/>
      <color rgb="FFFFFFFF"/>
      <name val="SF Mono Semibold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472C4"/>
      </patternFill>
    </fill>
    <fill>
      <patternFill patternType="solid">
        <fgColor rgb="FF243B53"/>
        <bgColor rgb="FF1F2937"/>
      </patternFill>
    </fill>
    <fill>
      <patternFill patternType="solid">
        <fgColor rgb="FF102A43"/>
      </patternFill>
    </fill>
    <fill>
      <patternFill patternType="solid">
        <fgColor rgb="FF0B1A2E"/>
      </patternFill>
    </fill>
    <fill>
      <patternFill patternType="solid">
        <fgColor rgb="FF1B4965"/>
      </patternFill>
    </fill>
    <fill>
      <patternFill patternType="solid">
        <fgColor rgb="FF102A43"/>
        <bgColor indexed="64"/>
      </patternFill>
    </fill>
    <fill>
      <patternFill patternType="solid">
        <fgColor rgb="FF2D3436"/>
        <bgColor indexed="64"/>
      </patternFill>
    </fill>
    <fill>
      <patternFill patternType="solid">
        <fgColor rgb="FFFFCBB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FF6FF"/>
      </patternFill>
    </fill>
    <fill>
      <patternFill patternType="solid">
        <fgColor rgb="FFF1F5F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B1A2E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rgb="FF1E293B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2" borderId="0"/>
    <xf numFmtId="0" fontId="4" fillId="2" borderId="1">
      <alignment horizontal="right"/>
    </xf>
    <xf numFmtId="0" fontId="5" fillId="0" borderId="0"/>
    <xf numFmtId="202" fontId="40" fillId="0" borderId="0"/>
  </cellStyleXfs>
  <cellXfs count="479">
    <xf numFmtId="0" fontId="0" fillId="0" borderId="0" xfId="0"/>
    <xf numFmtId="0" fontId="13" fillId="0" borderId="0" xfId="0" applyFont="1" applyAlignment="1" applyProtection="1">
      <alignment horizontal="right" vertical="center"/>
      <protection locked="0"/>
    </xf>
    <xf numFmtId="164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0" fontId="14" fillId="0" borderId="0" xfId="0" applyFont="1"/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 vertical="center"/>
    </xf>
    <xf numFmtId="168" fontId="13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67" fontId="6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16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0" fontId="13" fillId="0" borderId="0" xfId="0" applyNumberFormat="1" applyFont="1" applyAlignment="1">
      <alignment horizontal="right" vertical="center"/>
    </xf>
    <xf numFmtId="170" fontId="10" fillId="0" borderId="0" xfId="0" applyNumberFormat="1" applyFont="1"/>
    <xf numFmtId="171" fontId="6" fillId="0" borderId="0" xfId="0" applyNumberFormat="1" applyFont="1"/>
    <xf numFmtId="172" fontId="13" fillId="0" borderId="0" xfId="0" applyNumberFormat="1" applyFont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171" fontId="13" fillId="0" borderId="0" xfId="0" applyNumberFormat="1" applyFont="1" applyAlignment="1">
      <alignment horizontal="right" vertical="center"/>
    </xf>
    <xf numFmtId="37" fontId="13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73" fontId="6" fillId="0" borderId="0" xfId="0" applyNumberFormat="1" applyFont="1"/>
    <xf numFmtId="173" fontId="13" fillId="0" borderId="0" xfId="0" applyNumberFormat="1" applyFont="1" applyAlignment="1">
      <alignment horizontal="right" vertical="center"/>
    </xf>
    <xf numFmtId="37" fontId="12" fillId="0" borderId="2" xfId="0" applyNumberFormat="1" applyFont="1" applyBorder="1" applyAlignment="1">
      <alignment horizontal="right" vertical="center"/>
    </xf>
    <xf numFmtId="174" fontId="13" fillId="0" borderId="0" xfId="0" applyNumberFormat="1" applyFont="1" applyAlignment="1">
      <alignment horizontal="right" vertical="center"/>
    </xf>
    <xf numFmtId="175" fontId="13" fillId="0" borderId="0" xfId="0" applyNumberFormat="1" applyFont="1" applyAlignment="1">
      <alignment horizontal="right" vertical="center"/>
    </xf>
    <xf numFmtId="0" fontId="22" fillId="0" borderId="0" xfId="0" applyFont="1"/>
    <xf numFmtId="176" fontId="19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indent="1"/>
    </xf>
    <xf numFmtId="170" fontId="0" fillId="0" borderId="0" xfId="0" applyNumberFormat="1"/>
    <xf numFmtId="177" fontId="24" fillId="0" borderId="0" xfId="0" applyNumberFormat="1" applyFont="1"/>
    <xf numFmtId="177" fontId="23" fillId="0" borderId="0" xfId="0" applyNumberFormat="1" applyFont="1"/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170" fontId="26" fillId="0" borderId="0" xfId="0" applyNumberFormat="1" applyFont="1"/>
    <xf numFmtId="0" fontId="28" fillId="0" borderId="0" xfId="0" applyFont="1" applyAlignment="1">
      <alignment horizontal="left" indent="1"/>
    </xf>
    <xf numFmtId="0" fontId="28" fillId="0" borderId="0" xfId="0" applyFont="1"/>
    <xf numFmtId="170" fontId="29" fillId="0" borderId="0" xfId="0" applyNumberFormat="1" applyFont="1"/>
    <xf numFmtId="0" fontId="30" fillId="0" borderId="0" xfId="0" applyFont="1"/>
    <xf numFmtId="176" fontId="13" fillId="0" borderId="0" xfId="0" applyNumberFormat="1" applyFont="1" applyAlignment="1">
      <alignment horizontal="right" vertical="center"/>
    </xf>
    <xf numFmtId="176" fontId="25" fillId="0" borderId="3" xfId="0" applyNumberFormat="1" applyFont="1" applyBorder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176" fontId="30" fillId="0" borderId="0" xfId="0" applyNumberFormat="1" applyFont="1"/>
    <xf numFmtId="0" fontId="31" fillId="0" borderId="0" xfId="0" applyFont="1"/>
    <xf numFmtId="166" fontId="19" fillId="0" borderId="0" xfId="0" applyNumberFormat="1" applyFont="1" applyAlignment="1">
      <alignment horizontal="right" vertical="center"/>
    </xf>
    <xf numFmtId="0" fontId="32" fillId="0" borderId="0" xfId="0" applyFont="1"/>
    <xf numFmtId="0" fontId="33" fillId="0" borderId="0" xfId="0" applyFont="1" applyAlignment="1" applyProtection="1">
      <alignment horizontal="right" vertical="distributed" textRotation="90" wrapText="1"/>
      <protection locked="0"/>
    </xf>
    <xf numFmtId="165" fontId="34" fillId="0" borderId="0" xfId="0" applyNumberFormat="1" applyFont="1"/>
    <xf numFmtId="38" fontId="30" fillId="0" borderId="0" xfId="0" applyNumberFormat="1" applyFont="1" applyAlignment="1">
      <alignment horizontal="center"/>
    </xf>
    <xf numFmtId="0" fontId="35" fillId="0" borderId="0" xfId="0" applyFont="1"/>
    <xf numFmtId="181" fontId="13" fillId="0" borderId="0" xfId="0" applyNumberFormat="1" applyFont="1" applyAlignment="1">
      <alignment horizontal="right" vertical="center"/>
    </xf>
    <xf numFmtId="182" fontId="0" fillId="0" borderId="0" xfId="0" applyNumberFormat="1"/>
    <xf numFmtId="176" fontId="0" fillId="0" borderId="0" xfId="0" applyNumberFormat="1"/>
    <xf numFmtId="183" fontId="13" fillId="0" borderId="0" xfId="0" applyNumberFormat="1" applyFont="1" applyAlignment="1">
      <alignment horizontal="right" vertical="center"/>
    </xf>
    <xf numFmtId="184" fontId="13" fillId="0" borderId="0" xfId="0" applyNumberFormat="1" applyFont="1" applyAlignment="1">
      <alignment horizontal="right" vertical="center"/>
    </xf>
    <xf numFmtId="40" fontId="13" fillId="0" borderId="0" xfId="0" applyNumberFormat="1" applyFont="1" applyAlignment="1">
      <alignment horizontal="right" vertical="center"/>
    </xf>
    <xf numFmtId="0" fontId="36" fillId="0" borderId="0" xfId="0" applyFont="1"/>
    <xf numFmtId="40" fontId="27" fillId="0" borderId="0" xfId="0" applyNumberFormat="1" applyFont="1"/>
    <xf numFmtId="165" fontId="27" fillId="0" borderId="0" xfId="0" applyNumberFormat="1" applyFont="1"/>
    <xf numFmtId="185" fontId="29" fillId="0" borderId="0" xfId="0" applyNumberFormat="1" applyFont="1"/>
    <xf numFmtId="0" fontId="25" fillId="0" borderId="3" xfId="0" applyFont="1" applyBorder="1" applyAlignment="1" applyProtection="1">
      <alignment horizontal="right" vertical="center"/>
      <protection locked="0"/>
    </xf>
    <xf numFmtId="165" fontId="25" fillId="0" borderId="3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182" fontId="13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/>
    <xf numFmtId="187" fontId="0" fillId="0" borderId="0" xfId="0" applyNumberFormat="1"/>
    <xf numFmtId="188" fontId="34" fillId="0" borderId="0" xfId="0" applyNumberFormat="1" applyFont="1" applyAlignment="1">
      <alignment horizontal="center"/>
    </xf>
    <xf numFmtId="189" fontId="0" fillId="0" borderId="0" xfId="0" applyNumberFormat="1"/>
    <xf numFmtId="169" fontId="38" fillId="0" borderId="0" xfId="0" applyNumberFormat="1" applyFont="1" applyAlignment="1">
      <alignment horizontal="center"/>
    </xf>
    <xf numFmtId="188" fontId="19" fillId="0" borderId="0" xfId="0" applyNumberFormat="1" applyFont="1" applyAlignment="1">
      <alignment horizontal="right" vertical="center"/>
    </xf>
    <xf numFmtId="188" fontId="13" fillId="0" borderId="0" xfId="0" applyNumberFormat="1" applyFont="1" applyAlignment="1">
      <alignment horizontal="right" vertical="center"/>
    </xf>
    <xf numFmtId="189" fontId="19" fillId="0" borderId="0" xfId="0" applyNumberFormat="1" applyFont="1" applyAlignment="1">
      <alignment horizontal="right" vertical="center"/>
    </xf>
    <xf numFmtId="189" fontId="13" fillId="0" borderId="0" xfId="0" applyNumberFormat="1" applyFont="1" applyAlignment="1">
      <alignment horizontal="right" vertical="center"/>
    </xf>
    <xf numFmtId="190" fontId="13" fillId="0" borderId="0" xfId="0" applyNumberFormat="1" applyFont="1" applyAlignment="1">
      <alignment horizontal="right" vertical="center"/>
    </xf>
    <xf numFmtId="187" fontId="13" fillId="0" borderId="0" xfId="0" applyNumberFormat="1" applyFont="1" applyAlignment="1">
      <alignment horizontal="right" vertical="center"/>
    </xf>
    <xf numFmtId="0" fontId="5" fillId="0" borderId="0" xfId="0" applyFont="1"/>
    <xf numFmtId="171" fontId="5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91" fontId="5" fillId="0" borderId="0" xfId="0" applyNumberFormat="1" applyFont="1" applyAlignment="1">
      <alignment horizontal="center"/>
    </xf>
    <xf numFmtId="0" fontId="38" fillId="0" borderId="0" xfId="0" applyFont="1"/>
    <xf numFmtId="187" fontId="38" fillId="0" borderId="0" xfId="0" applyNumberFormat="1" applyFont="1"/>
    <xf numFmtId="188" fontId="38" fillId="0" borderId="0" xfId="0" applyNumberFormat="1" applyFont="1" applyAlignment="1">
      <alignment horizontal="center"/>
    </xf>
    <xf numFmtId="187" fontId="5" fillId="0" borderId="0" xfId="0" applyNumberFormat="1" applyFont="1"/>
    <xf numFmtId="188" fontId="5" fillId="0" borderId="0" xfId="0" applyNumberFormat="1" applyFont="1" applyAlignment="1">
      <alignment horizontal="center"/>
    </xf>
    <xf numFmtId="189" fontId="38" fillId="0" borderId="0" xfId="0" applyNumberFormat="1" applyFont="1"/>
    <xf numFmtId="0" fontId="5" fillId="0" borderId="0" xfId="0" applyFont="1" applyAlignment="1">
      <alignment horizontal="center"/>
    </xf>
    <xf numFmtId="190" fontId="38" fillId="0" borderId="0" xfId="0" applyNumberFormat="1" applyFont="1"/>
    <xf numFmtId="189" fontId="5" fillId="0" borderId="0" xfId="0" applyNumberFormat="1" applyFont="1"/>
    <xf numFmtId="190" fontId="5" fillId="0" borderId="0" xfId="0" applyNumberFormat="1" applyFont="1"/>
    <xf numFmtId="172" fontId="38" fillId="0" borderId="0" xfId="0" applyNumberFormat="1" applyFont="1" applyAlignment="1">
      <alignment horizontal="center"/>
    </xf>
    <xf numFmtId="171" fontId="5" fillId="0" borderId="0" xfId="0" applyNumberFormat="1" applyFont="1"/>
    <xf numFmtId="192" fontId="0" fillId="0" borderId="0" xfId="0" applyNumberFormat="1"/>
    <xf numFmtId="192" fontId="13" fillId="0" borderId="0" xfId="0" applyNumberFormat="1" applyFont="1" applyAlignment="1">
      <alignment horizontal="right" vertical="center"/>
    </xf>
    <xf numFmtId="171" fontId="0" fillId="0" borderId="0" xfId="0" applyNumberFormat="1"/>
    <xf numFmtId="192" fontId="15" fillId="3" borderId="0" xfId="0" applyNumberFormat="1" applyFont="1" applyFill="1" applyAlignment="1">
      <alignment horizontal="left" vertical="center"/>
    </xf>
    <xf numFmtId="193" fontId="5" fillId="0" borderId="0" xfId="0" applyNumberFormat="1" applyFont="1"/>
    <xf numFmtId="192" fontId="38" fillId="0" borderId="0" xfId="0" applyNumberFormat="1" applyFont="1" applyAlignment="1">
      <alignment horizontal="center"/>
    </xf>
    <xf numFmtId="189" fontId="25" fillId="0" borderId="3" xfId="0" applyNumberFormat="1" applyFont="1" applyBorder="1" applyAlignment="1">
      <alignment horizontal="right" vertical="center"/>
    </xf>
    <xf numFmtId="187" fontId="25" fillId="0" borderId="3" xfId="0" applyNumberFormat="1" applyFont="1" applyBorder="1" applyAlignment="1">
      <alignment horizontal="right" vertical="center"/>
    </xf>
    <xf numFmtId="189" fontId="0" fillId="0" borderId="0" xfId="0" applyNumberFormat="1" applyAlignment="1">
      <alignment horizontal="center"/>
    </xf>
    <xf numFmtId="169" fontId="19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189" fontId="15" fillId="3" borderId="0" xfId="0" applyNumberFormat="1" applyFont="1" applyFill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/>
    </xf>
    <xf numFmtId="178" fontId="0" fillId="0" borderId="0" xfId="0" applyNumberFormat="1"/>
    <xf numFmtId="0" fontId="20" fillId="0" borderId="0" xfId="0" applyFont="1"/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/>
    <xf numFmtId="0" fontId="42" fillId="0" borderId="0" xfId="0" applyFont="1" applyAlignment="1">
      <alignment horizontal="left"/>
    </xf>
    <xf numFmtId="0" fontId="43" fillId="0" borderId="0" xfId="0" applyFont="1" applyAlignment="1">
      <alignment horizontal="right"/>
    </xf>
    <xf numFmtId="165" fontId="44" fillId="0" borderId="0" xfId="0" applyNumberFormat="1" applyFont="1" applyAlignment="1">
      <alignment horizontal="right"/>
    </xf>
    <xf numFmtId="173" fontId="44" fillId="0" borderId="0" xfId="0" applyNumberFormat="1" applyFont="1" applyAlignment="1">
      <alignment horizontal="right"/>
    </xf>
    <xf numFmtId="194" fontId="44" fillId="0" borderId="0" xfId="0" applyNumberFormat="1" applyFont="1" applyAlignment="1">
      <alignment horizontal="right"/>
    </xf>
    <xf numFmtId="178" fontId="4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95" fontId="42" fillId="0" borderId="0" xfId="0" applyNumberFormat="1" applyFont="1" applyAlignment="1">
      <alignment horizontal="right"/>
    </xf>
    <xf numFmtId="178" fontId="42" fillId="0" borderId="0" xfId="0" applyNumberFormat="1" applyFont="1" applyAlignment="1">
      <alignment horizontal="right"/>
    </xf>
    <xf numFmtId="0" fontId="42" fillId="0" borderId="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95" fontId="42" fillId="0" borderId="3" xfId="0" applyNumberFormat="1" applyFont="1" applyBorder="1" applyAlignment="1">
      <alignment horizontal="right"/>
    </xf>
    <xf numFmtId="0" fontId="47" fillId="0" borderId="0" xfId="0" applyFont="1" applyAlignment="1">
      <alignment horizontal="left"/>
    </xf>
    <xf numFmtId="0" fontId="48" fillId="5" borderId="0" xfId="0" applyFont="1" applyFill="1"/>
    <xf numFmtId="0" fontId="52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169" fontId="51" fillId="0" borderId="0" xfId="0" applyNumberFormat="1" applyFont="1" applyAlignment="1">
      <alignment horizontal="left"/>
    </xf>
    <xf numFmtId="0" fontId="49" fillId="4" borderId="0" xfId="0" applyFont="1" applyFill="1" applyAlignment="1">
      <alignment horizontal="left"/>
    </xf>
    <xf numFmtId="0" fontId="49" fillId="4" borderId="0" xfId="0" applyFont="1" applyFill="1" applyAlignment="1">
      <alignment horizontal="left" vertical="center"/>
    </xf>
    <xf numFmtId="197" fontId="47" fillId="0" borderId="0" xfId="0" applyNumberFormat="1" applyFont="1" applyAlignment="1">
      <alignment horizontal="right" vertical="center"/>
    </xf>
    <xf numFmtId="171" fontId="49" fillId="4" borderId="0" xfId="0" applyNumberFormat="1" applyFont="1" applyFill="1" applyAlignment="1">
      <alignment horizontal="left"/>
    </xf>
    <xf numFmtId="166" fontId="51" fillId="0" borderId="0" xfId="0" applyNumberFormat="1" applyFont="1" applyAlignment="1">
      <alignment horizontal="right"/>
    </xf>
    <xf numFmtId="14" fontId="48" fillId="5" borderId="0" xfId="0" applyNumberFormat="1" applyFont="1" applyFill="1" applyAlignment="1">
      <alignment horizontal="center"/>
    </xf>
    <xf numFmtId="0" fontId="48" fillId="5" borderId="0" xfId="0" applyFont="1" applyFill="1" applyAlignment="1">
      <alignment horizontal="center"/>
    </xf>
    <xf numFmtId="0" fontId="15" fillId="0" borderId="0" xfId="0" applyFont="1" applyAlignment="1">
      <alignment horizontal="left" vertical="center"/>
    </xf>
    <xf numFmtId="170" fontId="15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8" fillId="5" borderId="2" xfId="0" applyFont="1" applyFill="1" applyBorder="1" applyAlignment="1">
      <alignment horizontal="left"/>
    </xf>
    <xf numFmtId="169" fontId="48" fillId="5" borderId="2" xfId="0" applyNumberFormat="1" applyFont="1" applyFill="1" applyBorder="1" applyAlignment="1">
      <alignment horizontal="right"/>
    </xf>
    <xf numFmtId="0" fontId="48" fillId="5" borderId="2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/>
    </xf>
    <xf numFmtId="165" fontId="44" fillId="0" borderId="2" xfId="0" applyNumberFormat="1" applyFont="1" applyBorder="1" applyAlignment="1">
      <alignment horizontal="right"/>
    </xf>
    <xf numFmtId="0" fontId="41" fillId="0" borderId="2" xfId="0" applyFont="1" applyBorder="1" applyAlignment="1">
      <alignment horizontal="center"/>
    </xf>
    <xf numFmtId="165" fontId="43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95" fontId="42" fillId="0" borderId="2" xfId="0" applyNumberFormat="1" applyFont="1" applyBorder="1" applyAlignment="1">
      <alignment horizontal="right"/>
    </xf>
    <xf numFmtId="0" fontId="46" fillId="0" borderId="3" xfId="0" applyFont="1" applyBorder="1" applyAlignment="1">
      <alignment horizontal="center"/>
    </xf>
    <xf numFmtId="165" fontId="43" fillId="0" borderId="3" xfId="0" applyNumberFormat="1" applyFont="1" applyBorder="1" applyAlignment="1">
      <alignment horizontal="right"/>
    </xf>
    <xf numFmtId="198" fontId="43" fillId="0" borderId="3" xfId="0" applyNumberFormat="1" applyFont="1" applyBorder="1" applyAlignment="1">
      <alignment horizontal="right"/>
    </xf>
    <xf numFmtId="3" fontId="49" fillId="4" borderId="0" xfId="0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49" fillId="6" borderId="0" xfId="0" applyNumberFormat="1" applyFont="1" applyFill="1" applyAlignment="1">
      <alignment horizontal="left" vertical="center"/>
    </xf>
    <xf numFmtId="3" fontId="49" fillId="6" borderId="0" xfId="0" applyNumberFormat="1" applyFont="1" applyFill="1" applyAlignment="1">
      <alignment horizontal="right" vertical="center"/>
    </xf>
    <xf numFmtId="3" fontId="49" fillId="4" borderId="0" xfId="0" applyNumberFormat="1" applyFont="1" applyFill="1" applyAlignment="1">
      <alignment horizontal="left"/>
    </xf>
    <xf numFmtId="0" fontId="53" fillId="0" borderId="0" xfId="0" applyFont="1"/>
    <xf numFmtId="0" fontId="51" fillId="0" borderId="4" xfId="0" applyFont="1" applyBorder="1" applyAlignment="1">
      <alignment horizontal="left"/>
    </xf>
    <xf numFmtId="0" fontId="54" fillId="0" borderId="3" xfId="0" applyFont="1" applyBorder="1" applyAlignment="1">
      <alignment horizontal="right" vertical="center"/>
    </xf>
    <xf numFmtId="195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63" fillId="0" borderId="0" xfId="0" applyFont="1"/>
    <xf numFmtId="0" fontId="62" fillId="0" borderId="0" xfId="0" applyFont="1"/>
    <xf numFmtId="0" fontId="5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68" fillId="0" borderId="0" xfId="0" applyFont="1" applyAlignment="1">
      <alignment horizontal="right" vertical="center"/>
    </xf>
    <xf numFmtId="0" fontId="69" fillId="0" borderId="0" xfId="0" applyFont="1" applyAlignment="1">
      <alignment horizontal="right" vertical="center"/>
    </xf>
    <xf numFmtId="0" fontId="70" fillId="0" borderId="0" xfId="0" applyFont="1" applyAlignment="1">
      <alignment horizontal="left" vertical="top" indent="2"/>
    </xf>
    <xf numFmtId="0" fontId="6" fillId="0" borderId="0" xfId="0" applyFont="1" applyAlignment="1">
      <alignment horizontal="left" vertical="top" indent="2"/>
    </xf>
    <xf numFmtId="0" fontId="71" fillId="0" borderId="0" xfId="0" applyFont="1" applyAlignment="1">
      <alignment horizontal="left"/>
    </xf>
    <xf numFmtId="170" fontId="71" fillId="0" borderId="0" xfId="0" applyNumberFormat="1" applyFont="1" applyAlignment="1">
      <alignment horizontal="left"/>
    </xf>
    <xf numFmtId="170" fontId="71" fillId="0" borderId="0" xfId="0" applyNumberFormat="1" applyFont="1" applyAlignment="1">
      <alignment horizontal="right"/>
    </xf>
    <xf numFmtId="0" fontId="72" fillId="0" borderId="0" xfId="0" applyFont="1" applyAlignment="1">
      <alignment horizontal="left" vertical="center"/>
    </xf>
    <xf numFmtId="0" fontId="72" fillId="0" borderId="0" xfId="0" applyFont="1" applyAlignment="1">
      <alignment horizontal="right" vertical="center"/>
    </xf>
    <xf numFmtId="0" fontId="73" fillId="0" borderId="0" xfId="0" applyFont="1"/>
    <xf numFmtId="0" fontId="59" fillId="0" borderId="0" xfId="0" applyFont="1"/>
    <xf numFmtId="0" fontId="74" fillId="0" borderId="0" xfId="0" applyFont="1"/>
    <xf numFmtId="0" fontId="75" fillId="0" borderId="0" xfId="0" applyFont="1" applyAlignment="1">
      <alignment horizontal="right" vertical="center"/>
    </xf>
    <xf numFmtId="0" fontId="69" fillId="0" borderId="0" xfId="0" applyFont="1" applyAlignment="1">
      <alignment horizontal="left" vertical="center"/>
    </xf>
    <xf numFmtId="171" fontId="69" fillId="0" borderId="0" xfId="0" applyNumberFormat="1" applyFont="1" applyAlignment="1">
      <alignment horizontal="right" vertical="center"/>
    </xf>
    <xf numFmtId="201" fontId="74" fillId="0" borderId="0" xfId="0" applyNumberFormat="1" applyFont="1"/>
    <xf numFmtId="201" fontId="69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 indent="1"/>
    </xf>
    <xf numFmtId="0" fontId="61" fillId="7" borderId="0" xfId="0" applyFont="1" applyFill="1" applyAlignment="1">
      <alignment horizontal="left" vertical="center"/>
    </xf>
    <xf numFmtId="0" fontId="77" fillId="0" borderId="0" xfId="0" applyFont="1" applyAlignment="1">
      <alignment horizontal="left"/>
    </xf>
    <xf numFmtId="0" fontId="78" fillId="7" borderId="0" xfId="0" applyFont="1" applyFill="1" applyAlignment="1">
      <alignment horizontal="left" vertical="center"/>
    </xf>
    <xf numFmtId="0" fontId="77" fillId="0" borderId="0" xfId="0" applyFont="1" applyAlignment="1">
      <alignment horizontal="left" vertical="top" indent="2"/>
    </xf>
    <xf numFmtId="0" fontId="79" fillId="0" borderId="0" xfId="0" applyFont="1" applyAlignment="1">
      <alignment horizontal="left" vertical="center"/>
    </xf>
    <xf numFmtId="0" fontId="81" fillId="0" borderId="0" xfId="0" applyFont="1" applyAlignment="1">
      <alignment horizontal="left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84" fillId="0" borderId="0" xfId="0" applyFont="1"/>
    <xf numFmtId="0" fontId="85" fillId="0" borderId="0" xfId="0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4" xfId="0" applyFont="1" applyBorder="1" applyAlignment="1">
      <alignment horizontal="left" vertical="center"/>
    </xf>
    <xf numFmtId="0" fontId="87" fillId="0" borderId="0" xfId="0" applyFont="1" applyAlignment="1">
      <alignment horizontal="right" vertical="center"/>
    </xf>
    <xf numFmtId="0" fontId="88" fillId="9" borderId="0" xfId="0" applyFont="1" applyFill="1" applyAlignment="1">
      <alignment horizontal="right" vertical="center"/>
    </xf>
    <xf numFmtId="0" fontId="60" fillId="7" borderId="0" xfId="0" applyFont="1" applyFill="1" applyAlignment="1">
      <alignment horizontal="left" vertical="center"/>
    </xf>
    <xf numFmtId="0" fontId="84" fillId="0" borderId="0" xfId="0" applyFont="1" applyAlignment="1">
      <alignment horizontal="left" vertical="top" indent="2"/>
    </xf>
    <xf numFmtId="0" fontId="89" fillId="0" borderId="0" xfId="0" applyFont="1" applyAlignment="1">
      <alignment horizontal="right" vertical="center"/>
    </xf>
    <xf numFmtId="0" fontId="90" fillId="8" borderId="13" xfId="0" applyFont="1" applyFill="1" applyBorder="1" applyAlignment="1">
      <alignment horizontal="centerContinuous"/>
    </xf>
    <xf numFmtId="0" fontId="91" fillId="8" borderId="0" xfId="0" applyFont="1" applyFill="1" applyAlignment="1">
      <alignment horizontal="centerContinuous"/>
    </xf>
    <xf numFmtId="0" fontId="91" fillId="8" borderId="0" xfId="0" applyFont="1" applyFill="1" applyAlignment="1">
      <alignment horizontal="left"/>
    </xf>
    <xf numFmtId="0" fontId="67" fillId="7" borderId="11" xfId="0" applyFont="1" applyFill="1" applyBorder="1" applyAlignment="1">
      <alignment horizontal="center" vertical="center"/>
    </xf>
    <xf numFmtId="0" fontId="92" fillId="0" borderId="0" xfId="0" applyFont="1"/>
    <xf numFmtId="0" fontId="66" fillId="10" borderId="13" xfId="0" applyFont="1" applyFill="1" applyBorder="1" applyAlignment="1">
      <alignment horizontal="centerContinuous"/>
    </xf>
    <xf numFmtId="0" fontId="66" fillId="10" borderId="14" xfId="0" applyFont="1" applyFill="1" applyBorder="1" applyAlignment="1">
      <alignment horizontal="centerContinuous"/>
    </xf>
    <xf numFmtId="0" fontId="93" fillId="0" borderId="0" xfId="0" applyFont="1"/>
    <xf numFmtId="0" fontId="94" fillId="0" borderId="3" xfId="0" applyFont="1" applyBorder="1" applyAlignment="1">
      <alignment horizontal="right" vertical="center"/>
    </xf>
    <xf numFmtId="0" fontId="93" fillId="0" borderId="0" xfId="0" applyFont="1" applyAlignment="1">
      <alignment horizontal="right" vertical="center"/>
    </xf>
    <xf numFmtId="0" fontId="61" fillId="8" borderId="0" xfId="0" applyFont="1" applyFill="1" applyAlignment="1">
      <alignment horizontal="left" vertical="center"/>
    </xf>
    <xf numFmtId="0" fontId="60" fillId="8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4" fillId="0" borderId="0" xfId="0" applyFont="1"/>
    <xf numFmtId="0" fontId="95" fillId="0" borderId="0" xfId="0" applyFont="1" applyAlignment="1">
      <alignment horizontal="center" vertical="center"/>
    </xf>
    <xf numFmtId="0" fontId="96" fillId="0" borderId="4" xfId="0" applyFont="1" applyBorder="1" applyAlignment="1">
      <alignment horizontal="left"/>
    </xf>
    <xf numFmtId="0" fontId="97" fillId="0" borderId="0" xfId="0" applyFont="1" applyAlignment="1">
      <alignment horizontal="left"/>
    </xf>
    <xf numFmtId="0" fontId="98" fillId="7" borderId="11" xfId="0" applyFont="1" applyFill="1" applyBorder="1" applyAlignment="1">
      <alignment horizontal="center" vertical="center"/>
    </xf>
    <xf numFmtId="0" fontId="98" fillId="7" borderId="11" xfId="0" applyFont="1" applyFill="1" applyBorder="1" applyAlignment="1">
      <alignment horizontal="left" vertical="center"/>
    </xf>
    <xf numFmtId="0" fontId="99" fillId="11" borderId="15" xfId="0" applyFont="1" applyFill="1" applyBorder="1" applyAlignment="1">
      <alignment horizontal="center"/>
    </xf>
    <xf numFmtId="0" fontId="100" fillId="12" borderId="6" xfId="0" applyFont="1" applyFill="1" applyBorder="1" applyAlignment="1">
      <alignment horizontal="left" vertical="center"/>
    </xf>
    <xf numFmtId="0" fontId="100" fillId="12" borderId="7" xfId="0" applyFont="1" applyFill="1" applyBorder="1" applyAlignment="1">
      <alignment horizontal="center" vertical="center"/>
    </xf>
    <xf numFmtId="0" fontId="101" fillId="0" borderId="6" xfId="0" applyFont="1" applyBorder="1"/>
    <xf numFmtId="0" fontId="102" fillId="0" borderId="7" xfId="0" applyFont="1" applyBorder="1" applyAlignment="1">
      <alignment horizontal="center"/>
    </xf>
    <xf numFmtId="165" fontId="103" fillId="0" borderId="7" xfId="0" applyNumberFormat="1" applyFont="1" applyBorder="1" applyAlignment="1">
      <alignment horizontal="center"/>
    </xf>
    <xf numFmtId="165" fontId="104" fillId="0" borderId="7" xfId="0" applyNumberFormat="1" applyFont="1" applyBorder="1" applyAlignment="1">
      <alignment horizontal="center"/>
    </xf>
    <xf numFmtId="0" fontId="101" fillId="0" borderId="8" xfId="0" applyFont="1" applyBorder="1"/>
    <xf numFmtId="0" fontId="102" fillId="0" borderId="10" xfId="0" applyFont="1" applyBorder="1" applyAlignment="1">
      <alignment horizontal="center"/>
    </xf>
    <xf numFmtId="0" fontId="105" fillId="8" borderId="12" xfId="0" applyFont="1" applyFill="1" applyBorder="1" applyAlignment="1">
      <alignment horizontal="left" vertical="center"/>
    </xf>
    <xf numFmtId="0" fontId="98" fillId="10" borderId="12" xfId="0" applyFont="1" applyFill="1" applyBorder="1" applyAlignment="1">
      <alignment horizontal="centerContinuous" vertical="center"/>
    </xf>
    <xf numFmtId="0" fontId="100" fillId="12" borderId="6" xfId="0" applyFont="1" applyFill="1" applyBorder="1" applyAlignment="1">
      <alignment horizontal="left"/>
    </xf>
    <xf numFmtId="0" fontId="100" fillId="12" borderId="0" xfId="0" applyFont="1" applyFill="1" applyAlignment="1">
      <alignment horizontal="center"/>
    </xf>
    <xf numFmtId="0" fontId="100" fillId="12" borderId="7" xfId="0" applyFont="1" applyFill="1" applyBorder="1" applyAlignment="1">
      <alignment horizontal="center"/>
    </xf>
    <xf numFmtId="0" fontId="100" fillId="12" borderId="6" xfId="0" applyFont="1" applyFill="1" applyBorder="1" applyAlignment="1">
      <alignment vertical="center"/>
    </xf>
    <xf numFmtId="0" fontId="100" fillId="12" borderId="0" xfId="0" applyFont="1" applyFill="1" applyAlignment="1">
      <alignment horizontal="center" vertical="center"/>
    </xf>
    <xf numFmtId="165" fontId="106" fillId="11" borderId="5" xfId="0" applyNumberFormat="1" applyFont="1" applyFill="1" applyBorder="1" applyAlignment="1">
      <alignment horizontal="center"/>
    </xf>
    <xf numFmtId="0" fontId="97" fillId="0" borderId="7" xfId="0" applyFont="1" applyBorder="1" applyAlignment="1">
      <alignment horizontal="center"/>
    </xf>
    <xf numFmtId="173" fontId="106" fillId="11" borderId="5" xfId="0" applyNumberFormat="1" applyFont="1" applyFill="1" applyBorder="1" applyAlignment="1">
      <alignment horizontal="center"/>
    </xf>
    <xf numFmtId="173" fontId="103" fillId="0" borderId="7" xfId="0" applyNumberFormat="1" applyFont="1" applyBorder="1" applyAlignment="1">
      <alignment horizontal="center"/>
    </xf>
    <xf numFmtId="194" fontId="106" fillId="11" borderId="5" xfId="0" applyNumberFormat="1" applyFont="1" applyFill="1" applyBorder="1" applyAlignment="1">
      <alignment horizontal="center"/>
    </xf>
    <xf numFmtId="194" fontId="103" fillId="0" borderId="7" xfId="0" applyNumberFormat="1" applyFont="1" applyBorder="1" applyAlignment="1">
      <alignment horizontal="center"/>
    </xf>
    <xf numFmtId="196" fontId="106" fillId="11" borderId="5" xfId="0" applyNumberFormat="1" applyFont="1" applyFill="1" applyBorder="1" applyAlignment="1">
      <alignment horizontal="center"/>
    </xf>
    <xf numFmtId="165" fontId="106" fillId="11" borderId="9" xfId="0" applyNumberFormat="1" applyFont="1" applyFill="1" applyBorder="1" applyAlignment="1">
      <alignment horizontal="center"/>
    </xf>
    <xf numFmtId="165" fontId="103" fillId="0" borderId="10" xfId="0" applyNumberFormat="1" applyFont="1" applyBorder="1" applyAlignment="1">
      <alignment horizontal="center"/>
    </xf>
    <xf numFmtId="0" fontId="97" fillId="0" borderId="10" xfId="0" applyFont="1" applyBorder="1" applyAlignment="1">
      <alignment horizontal="center"/>
    </xf>
    <xf numFmtId="0" fontId="107" fillId="12" borderId="12" xfId="0" applyFont="1" applyFill="1" applyBorder="1" applyAlignment="1">
      <alignment horizontal="centerContinuous" vertical="center"/>
    </xf>
    <xf numFmtId="0" fontId="65" fillId="12" borderId="13" xfId="0" applyFont="1" applyFill="1" applyBorder="1" applyAlignment="1">
      <alignment horizontal="centerContinuous"/>
    </xf>
    <xf numFmtId="0" fontId="65" fillId="12" borderId="14" xfId="0" applyFont="1" applyFill="1" applyBorder="1" applyAlignment="1">
      <alignment horizontal="centerContinuous"/>
    </xf>
    <xf numFmtId="0" fontId="100" fillId="12" borderId="0" xfId="0" applyFont="1" applyFill="1" applyAlignment="1">
      <alignment horizontal="left" vertical="center"/>
    </xf>
    <xf numFmtId="195" fontId="104" fillId="0" borderId="0" xfId="0" applyNumberFormat="1" applyFont="1" applyAlignment="1">
      <alignment horizontal="center"/>
    </xf>
    <xf numFmtId="195" fontId="103" fillId="0" borderId="0" xfId="0" applyNumberFormat="1" applyFont="1" applyAlignment="1">
      <alignment horizontal="center"/>
    </xf>
    <xf numFmtId="0" fontId="101" fillId="0" borderId="0" xfId="0" applyFont="1"/>
    <xf numFmtId="195" fontId="104" fillId="0" borderId="7" xfId="0" applyNumberFormat="1" applyFont="1" applyBorder="1" applyAlignment="1">
      <alignment horizontal="center"/>
    </xf>
    <xf numFmtId="195" fontId="104" fillId="0" borderId="2" xfId="0" applyNumberFormat="1" applyFont="1" applyBorder="1" applyAlignment="1">
      <alignment horizontal="center"/>
    </xf>
    <xf numFmtId="195" fontId="103" fillId="0" borderId="2" xfId="0" applyNumberFormat="1" applyFont="1" applyBorder="1" applyAlignment="1">
      <alignment horizontal="center"/>
    </xf>
    <xf numFmtId="196" fontId="104" fillId="0" borderId="2" xfId="0" applyNumberFormat="1" applyFont="1" applyBorder="1" applyAlignment="1">
      <alignment horizontal="center"/>
    </xf>
    <xf numFmtId="0" fontId="101" fillId="0" borderId="2" xfId="0" applyFont="1" applyBorder="1"/>
    <xf numFmtId="198" fontId="104" fillId="0" borderId="10" xfId="0" applyNumberFormat="1" applyFont="1" applyBorder="1" applyAlignment="1">
      <alignment horizontal="center"/>
    </xf>
    <xf numFmtId="0" fontId="108" fillId="0" borderId="0" xfId="0" applyFont="1"/>
    <xf numFmtId="0" fontId="102" fillId="0" borderId="0" xfId="0" applyFont="1" applyAlignment="1">
      <alignment horizontal="left"/>
    </xf>
    <xf numFmtId="169" fontId="103" fillId="0" borderId="0" xfId="0" applyNumberFormat="1" applyFont="1" applyAlignment="1">
      <alignment horizontal="left"/>
    </xf>
    <xf numFmtId="0" fontId="109" fillId="5" borderId="0" xfId="0" applyFont="1" applyFill="1" applyAlignment="1">
      <alignment horizontal="left"/>
    </xf>
    <xf numFmtId="0" fontId="102" fillId="0" borderId="2" xfId="0" applyFont="1" applyBorder="1" applyAlignment="1">
      <alignment horizontal="left"/>
    </xf>
    <xf numFmtId="197" fontId="110" fillId="12" borderId="16" xfId="0" applyNumberFormat="1" applyFont="1" applyFill="1" applyBorder="1" applyAlignment="1">
      <alignment horizontal="center"/>
    </xf>
    <xf numFmtId="170" fontId="104" fillId="0" borderId="0" xfId="0" applyNumberFormat="1" applyFont="1" applyAlignment="1">
      <alignment horizontal="left"/>
    </xf>
    <xf numFmtId="170" fontId="104" fillId="0" borderId="0" xfId="0" applyNumberFormat="1" applyFont="1" applyAlignment="1">
      <alignment horizontal="right"/>
    </xf>
    <xf numFmtId="170" fontId="103" fillId="0" borderId="0" xfId="0" applyNumberFormat="1" applyFont="1" applyAlignment="1">
      <alignment horizontal="right"/>
    </xf>
    <xf numFmtId="164" fontId="103" fillId="0" borderId="0" xfId="0" applyNumberFormat="1" applyFont="1" applyAlignment="1">
      <alignment horizontal="right"/>
    </xf>
    <xf numFmtId="170" fontId="103" fillId="0" borderId="2" xfId="0" applyNumberFormat="1" applyFont="1" applyBorder="1" applyAlignment="1">
      <alignment horizontal="left"/>
    </xf>
    <xf numFmtId="170" fontId="103" fillId="0" borderId="2" xfId="0" applyNumberFormat="1" applyFont="1" applyBorder="1" applyAlignment="1">
      <alignment horizontal="right"/>
    </xf>
    <xf numFmtId="164" fontId="103" fillId="0" borderId="0" xfId="0" applyNumberFormat="1" applyFont="1" applyAlignment="1">
      <alignment horizontal="left"/>
    </xf>
    <xf numFmtId="170" fontId="103" fillId="0" borderId="0" xfId="0" applyNumberFormat="1" applyFont="1" applyAlignment="1">
      <alignment horizontal="left"/>
    </xf>
    <xf numFmtId="170" fontId="102" fillId="0" borderId="0" xfId="0" applyNumberFormat="1" applyFont="1" applyAlignment="1">
      <alignment horizontal="left"/>
    </xf>
    <xf numFmtId="0" fontId="111" fillId="4" borderId="0" xfId="0" applyFont="1" applyFill="1" applyAlignment="1">
      <alignment horizontal="left"/>
    </xf>
    <xf numFmtId="171" fontId="103" fillId="0" borderId="0" xfId="0" applyNumberFormat="1" applyFont="1" applyAlignment="1">
      <alignment horizontal="right"/>
    </xf>
    <xf numFmtId="171" fontId="102" fillId="0" borderId="0" xfId="0" applyNumberFormat="1" applyFont="1" applyAlignment="1">
      <alignment horizontal="right"/>
    </xf>
    <xf numFmtId="165" fontId="103" fillId="0" borderId="0" xfId="0" applyNumberFormat="1" applyFont="1" applyAlignment="1">
      <alignment horizontal="left"/>
    </xf>
    <xf numFmtId="166" fontId="103" fillId="0" borderId="0" xfId="0" applyNumberFormat="1" applyFont="1" applyAlignment="1">
      <alignment horizontal="right"/>
    </xf>
    <xf numFmtId="194" fontId="104" fillId="0" borderId="0" xfId="0" applyNumberFormat="1" applyFont="1" applyAlignment="1">
      <alignment horizontal="right"/>
    </xf>
    <xf numFmtId="168" fontId="103" fillId="0" borderId="0" xfId="0" applyNumberFormat="1" applyFont="1" applyAlignment="1">
      <alignment horizontal="right"/>
    </xf>
    <xf numFmtId="0" fontId="102" fillId="0" borderId="3" xfId="0" applyFont="1" applyBorder="1" applyAlignment="1">
      <alignment horizontal="left"/>
    </xf>
    <xf numFmtId="170" fontId="103" fillId="0" borderId="3" xfId="0" applyNumberFormat="1" applyFont="1" applyBorder="1" applyAlignment="1">
      <alignment horizontal="right"/>
    </xf>
    <xf numFmtId="166" fontId="102" fillId="0" borderId="3" xfId="0" applyNumberFormat="1" applyFont="1" applyBorder="1" applyAlignment="1">
      <alignment horizontal="right"/>
    </xf>
    <xf numFmtId="168" fontId="103" fillId="0" borderId="3" xfId="0" applyNumberFormat="1" applyFont="1" applyBorder="1" applyAlignment="1">
      <alignment horizontal="right"/>
    </xf>
    <xf numFmtId="166" fontId="102" fillId="0" borderId="0" xfId="0" applyNumberFormat="1" applyFont="1" applyAlignment="1">
      <alignment horizontal="right"/>
    </xf>
    <xf numFmtId="168" fontId="102" fillId="0" borderId="0" xfId="0" applyNumberFormat="1" applyFont="1" applyAlignment="1">
      <alignment horizontal="right"/>
    </xf>
    <xf numFmtId="174" fontId="103" fillId="0" borderId="0" xfId="0" applyNumberFormat="1" applyFont="1" applyAlignment="1">
      <alignment horizontal="right"/>
    </xf>
    <xf numFmtId="195" fontId="103" fillId="0" borderId="3" xfId="0" applyNumberFormat="1" applyFont="1" applyBorder="1" applyAlignment="1">
      <alignment horizontal="right"/>
    </xf>
    <xf numFmtId="165" fontId="102" fillId="0" borderId="0" xfId="0" applyNumberFormat="1" applyFont="1" applyAlignment="1">
      <alignment horizontal="left"/>
    </xf>
    <xf numFmtId="166" fontId="103" fillId="0" borderId="0" xfId="0" applyNumberFormat="1" applyFont="1" applyAlignment="1">
      <alignment horizontal="left"/>
    </xf>
    <xf numFmtId="164" fontId="103" fillId="0" borderId="3" xfId="0" applyNumberFormat="1" applyFont="1" applyBorder="1" applyAlignment="1">
      <alignment horizontal="left"/>
    </xf>
    <xf numFmtId="164" fontId="103" fillId="0" borderId="3" xfId="0" applyNumberFormat="1" applyFont="1" applyBorder="1" applyAlignment="1">
      <alignment horizontal="right"/>
    </xf>
    <xf numFmtId="164" fontId="102" fillId="0" borderId="0" xfId="0" applyNumberFormat="1" applyFont="1" applyAlignment="1">
      <alignment horizontal="right"/>
    </xf>
    <xf numFmtId="174" fontId="103" fillId="0" borderId="3" xfId="0" applyNumberFormat="1" applyFont="1" applyBorder="1" applyAlignment="1">
      <alignment horizontal="right"/>
    </xf>
    <xf numFmtId="164" fontId="104" fillId="0" borderId="0" xfId="0" applyNumberFormat="1" applyFont="1" applyAlignment="1">
      <alignment horizontal="right"/>
    </xf>
    <xf numFmtId="173" fontId="104" fillId="0" borderId="0" xfId="0" applyNumberFormat="1" applyFont="1" applyAlignment="1">
      <alignment horizontal="right"/>
    </xf>
    <xf numFmtId="173" fontId="103" fillId="0" borderId="0" xfId="0" applyNumberFormat="1" applyFont="1" applyAlignment="1">
      <alignment horizontal="right"/>
    </xf>
    <xf numFmtId="178" fontId="103" fillId="0" borderId="0" xfId="0" applyNumberFormat="1" applyFont="1" applyAlignment="1">
      <alignment horizontal="right"/>
    </xf>
    <xf numFmtId="165" fontId="104" fillId="0" borderId="0" xfId="0" applyNumberFormat="1" applyFont="1" applyAlignment="1">
      <alignment horizontal="right"/>
    </xf>
    <xf numFmtId="165" fontId="104" fillId="0" borderId="3" xfId="0" applyNumberFormat="1" applyFont="1" applyBorder="1" applyAlignment="1">
      <alignment horizontal="right"/>
    </xf>
    <xf numFmtId="168" fontId="104" fillId="0" borderId="0" xfId="0" applyNumberFormat="1" applyFont="1" applyAlignment="1">
      <alignment horizontal="left"/>
    </xf>
    <xf numFmtId="14" fontId="102" fillId="0" borderId="0" xfId="0" applyNumberFormat="1" applyFont="1" applyAlignment="1">
      <alignment horizontal="left"/>
    </xf>
    <xf numFmtId="166" fontId="104" fillId="0" borderId="0" xfId="0" applyNumberFormat="1" applyFont="1" applyAlignment="1">
      <alignment horizontal="left"/>
    </xf>
    <xf numFmtId="166" fontId="104" fillId="0" borderId="0" xfId="0" applyNumberFormat="1" applyFont="1" applyAlignment="1">
      <alignment horizontal="right"/>
    </xf>
    <xf numFmtId="188" fontId="104" fillId="0" borderId="0" xfId="0" applyNumberFormat="1" applyFont="1" applyAlignment="1">
      <alignment horizontal="right"/>
    </xf>
    <xf numFmtId="0" fontId="112" fillId="0" borderId="0" xfId="0" applyFont="1" applyAlignment="1">
      <alignment horizontal="left"/>
    </xf>
    <xf numFmtId="0" fontId="113" fillId="0" borderId="0" xfId="0" applyFont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14" fillId="12" borderId="16" xfId="0" applyFont="1" applyFill="1" applyBorder="1" applyAlignment="1">
      <alignment horizontal="left"/>
    </xf>
    <xf numFmtId="176" fontId="11" fillId="12" borderId="16" xfId="0" applyNumberFormat="1" applyFont="1" applyFill="1" applyBorder="1" applyAlignment="1">
      <alignment horizontal="center" vertical="center"/>
    </xf>
    <xf numFmtId="0" fontId="115" fillId="12" borderId="16" xfId="0" applyFont="1" applyFill="1" applyBorder="1" applyAlignment="1">
      <alignment horizontal="center"/>
    </xf>
    <xf numFmtId="0" fontId="49" fillId="12" borderId="16" xfId="0" applyFont="1" applyFill="1" applyBorder="1" applyAlignment="1">
      <alignment horizontal="center"/>
    </xf>
    <xf numFmtId="186" fontId="114" fillId="12" borderId="16" xfId="0" applyNumberFormat="1" applyFont="1" applyFill="1" applyBorder="1" applyAlignment="1">
      <alignment horizontal="left"/>
    </xf>
    <xf numFmtId="186" fontId="11" fillId="12" borderId="16" xfId="0" applyNumberFormat="1" applyFont="1" applyFill="1" applyBorder="1" applyAlignment="1">
      <alignment horizontal="center" vertical="center"/>
    </xf>
    <xf numFmtId="171" fontId="103" fillId="0" borderId="0" xfId="0" applyNumberFormat="1" applyFont="1" applyAlignment="1">
      <alignment horizontal="left"/>
    </xf>
    <xf numFmtId="187" fontId="103" fillId="0" borderId="0" xfId="0" applyNumberFormat="1" applyFont="1" applyAlignment="1">
      <alignment horizontal="right"/>
    </xf>
    <xf numFmtId="188" fontId="103" fillId="0" borderId="0" xfId="0" applyNumberFormat="1" applyFont="1" applyAlignment="1">
      <alignment horizontal="right"/>
    </xf>
    <xf numFmtId="193" fontId="103" fillId="0" borderId="0" xfId="0" applyNumberFormat="1" applyFont="1" applyAlignment="1">
      <alignment horizontal="right"/>
    </xf>
    <xf numFmtId="189" fontId="103" fillId="0" borderId="0" xfId="0" applyNumberFormat="1" applyFont="1" applyAlignment="1">
      <alignment horizontal="right"/>
    </xf>
    <xf numFmtId="190" fontId="103" fillId="0" borderId="0" xfId="0" applyNumberFormat="1" applyFont="1" applyAlignment="1">
      <alignment horizontal="right"/>
    </xf>
    <xf numFmtId="0" fontId="103" fillId="0" borderId="0" xfId="0" applyFont="1" applyAlignment="1">
      <alignment horizontal="left"/>
    </xf>
    <xf numFmtId="174" fontId="102" fillId="0" borderId="0" xfId="0" applyNumberFormat="1" applyFont="1" applyAlignment="1">
      <alignment horizontal="right"/>
    </xf>
    <xf numFmtId="189" fontId="102" fillId="0" borderId="0" xfId="0" applyNumberFormat="1" applyFont="1" applyAlignment="1">
      <alignment horizontal="right"/>
    </xf>
    <xf numFmtId="190" fontId="102" fillId="0" borderId="0" xfId="0" applyNumberFormat="1" applyFont="1" applyAlignment="1">
      <alignment horizontal="right"/>
    </xf>
    <xf numFmtId="187" fontId="104" fillId="0" borderId="0" xfId="0" applyNumberFormat="1" applyFont="1" applyAlignment="1">
      <alignment horizontal="right"/>
    </xf>
    <xf numFmtId="168" fontId="104" fillId="0" borderId="0" xfId="0" applyNumberFormat="1" applyFont="1" applyAlignment="1">
      <alignment horizontal="right"/>
    </xf>
    <xf numFmtId="189" fontId="104" fillId="0" borderId="0" xfId="0" applyNumberFormat="1" applyFont="1" applyAlignment="1">
      <alignment horizontal="right"/>
    </xf>
    <xf numFmtId="170" fontId="49" fillId="12" borderId="16" xfId="0" applyNumberFormat="1" applyFont="1" applyFill="1" applyBorder="1" applyAlignment="1">
      <alignment horizontal="center"/>
    </xf>
    <xf numFmtId="189" fontId="110" fillId="12" borderId="16" xfId="0" applyNumberFormat="1" applyFont="1" applyFill="1" applyBorder="1" applyAlignment="1">
      <alignment horizontal="center"/>
    </xf>
    <xf numFmtId="189" fontId="49" fillId="12" borderId="16" xfId="0" applyNumberFormat="1" applyFont="1" applyFill="1" applyBorder="1" applyAlignment="1">
      <alignment horizontal="center"/>
    </xf>
    <xf numFmtId="166" fontId="110" fillId="12" borderId="16" xfId="0" applyNumberFormat="1" applyFont="1" applyFill="1" applyBorder="1" applyAlignment="1">
      <alignment horizontal="center"/>
    </xf>
    <xf numFmtId="189" fontId="103" fillId="0" borderId="3" xfId="0" applyNumberFormat="1" applyFont="1" applyBorder="1" applyAlignment="1">
      <alignment horizontal="right"/>
    </xf>
    <xf numFmtId="169" fontId="116" fillId="0" borderId="0" xfId="0" applyNumberFormat="1" applyFont="1" applyAlignment="1">
      <alignment horizontal="left"/>
    </xf>
    <xf numFmtId="190" fontId="104" fillId="0" borderId="0" xfId="0" applyNumberFormat="1" applyFont="1" applyAlignment="1">
      <alignment horizontal="right"/>
    </xf>
    <xf numFmtId="189" fontId="117" fillId="0" borderId="3" xfId="0" applyNumberFormat="1" applyFont="1" applyBorder="1" applyAlignment="1">
      <alignment horizontal="right"/>
    </xf>
    <xf numFmtId="0" fontId="102" fillId="0" borderId="4" xfId="0" applyFont="1" applyBorder="1" applyAlignment="1">
      <alignment horizontal="left"/>
    </xf>
    <xf numFmtId="0" fontId="109" fillId="5" borderId="0" xfId="0" applyFont="1" applyFill="1"/>
    <xf numFmtId="195" fontId="103" fillId="11" borderId="5" xfId="0" applyNumberFormat="1" applyFont="1" applyFill="1" applyBorder="1" applyAlignment="1">
      <alignment horizontal="center"/>
    </xf>
    <xf numFmtId="165" fontId="103" fillId="0" borderId="0" xfId="0" applyNumberFormat="1" applyFont="1" applyAlignment="1">
      <alignment horizontal="center"/>
    </xf>
    <xf numFmtId="0" fontId="56" fillId="11" borderId="5" xfId="0" applyFont="1" applyFill="1" applyBorder="1" applyAlignment="1">
      <alignment horizontal="center"/>
    </xf>
    <xf numFmtId="0" fontId="57" fillId="11" borderId="5" xfId="0" applyFont="1" applyFill="1" applyBorder="1" applyAlignment="1">
      <alignment horizontal="center" vertical="center"/>
    </xf>
    <xf numFmtId="0" fontId="58" fillId="11" borderId="5" xfId="0" applyFont="1" applyFill="1" applyBorder="1" applyAlignment="1">
      <alignment horizontal="center"/>
    </xf>
    <xf numFmtId="0" fontId="55" fillId="11" borderId="5" xfId="0" applyFont="1" applyFill="1" applyBorder="1"/>
    <xf numFmtId="0" fontId="102" fillId="11" borderId="5" xfId="0" applyFont="1" applyFill="1" applyBorder="1" applyAlignment="1">
      <alignment horizontal="center"/>
    </xf>
    <xf numFmtId="165" fontId="104" fillId="11" borderId="5" xfId="0" applyNumberFormat="1" applyFont="1" applyFill="1" applyBorder="1" applyAlignment="1">
      <alignment horizontal="center"/>
    </xf>
    <xf numFmtId="195" fontId="104" fillId="0" borderId="0" xfId="0" applyNumberFormat="1" applyFont="1" applyAlignment="1">
      <alignment horizontal="right"/>
    </xf>
    <xf numFmtId="196" fontId="104" fillId="0" borderId="0" xfId="0" applyNumberFormat="1" applyFont="1" applyAlignment="1">
      <alignment horizontal="right"/>
    </xf>
    <xf numFmtId="0" fontId="118" fillId="0" borderId="0" xfId="0" applyFont="1" applyAlignment="1">
      <alignment horizontal="center"/>
    </xf>
    <xf numFmtId="178" fontId="102" fillId="0" borderId="0" xfId="0" applyNumberFormat="1" applyFont="1" applyAlignment="1">
      <alignment horizontal="right"/>
    </xf>
    <xf numFmtId="195" fontId="103" fillId="0" borderId="0" xfId="0" applyNumberFormat="1" applyFont="1" applyAlignment="1">
      <alignment horizontal="right"/>
    </xf>
    <xf numFmtId="0" fontId="119" fillId="11" borderId="5" xfId="0" applyFont="1" applyFill="1" applyBorder="1" applyAlignment="1">
      <alignment horizontal="center"/>
    </xf>
    <xf numFmtId="198" fontId="103" fillId="0" borderId="0" xfId="0" applyNumberFormat="1" applyFont="1" applyAlignment="1">
      <alignment horizontal="right"/>
    </xf>
    <xf numFmtId="0" fontId="120" fillId="0" borderId="3" xfId="0" applyFont="1" applyBorder="1" applyAlignment="1">
      <alignment horizontal="right" vertical="center"/>
    </xf>
    <xf numFmtId="0" fontId="121" fillId="0" borderId="3" xfId="0" applyFont="1" applyBorder="1" applyAlignment="1">
      <alignment horizontal="right" vertical="center"/>
    </xf>
    <xf numFmtId="0" fontId="122" fillId="0" borderId="4" xfId="0" applyFont="1" applyBorder="1" applyAlignment="1">
      <alignment horizontal="left"/>
    </xf>
    <xf numFmtId="0" fontId="97" fillId="0" borderId="0" xfId="0" applyFont="1" applyAlignment="1">
      <alignment horizontal="left" indent="1"/>
    </xf>
    <xf numFmtId="0" fontId="123" fillId="0" borderId="0" xfId="0" applyFont="1" applyAlignment="1">
      <alignment horizontal="center" vertical="center"/>
    </xf>
    <xf numFmtId="0" fontId="124" fillId="0" borderId="0" xfId="0" applyFont="1" applyAlignment="1">
      <alignment horizontal="left"/>
    </xf>
    <xf numFmtId="0" fontId="125" fillId="0" borderId="0" xfId="0" applyFont="1" applyAlignment="1">
      <alignment horizontal="left"/>
    </xf>
    <xf numFmtId="169" fontId="126" fillId="0" borderId="0" xfId="0" applyNumberFormat="1" applyFont="1" applyAlignment="1">
      <alignment horizontal="left"/>
    </xf>
    <xf numFmtId="0" fontId="127" fillId="9" borderId="4" xfId="0" applyFont="1" applyFill="1" applyBorder="1" applyAlignment="1">
      <alignment horizontal="left"/>
    </xf>
    <xf numFmtId="0" fontId="98" fillId="8" borderId="0" xfId="0" applyFont="1" applyFill="1" applyAlignment="1">
      <alignment horizontal="left" vertical="center"/>
    </xf>
    <xf numFmtId="168" fontId="126" fillId="0" borderId="0" xfId="0" applyNumberFormat="1" applyFont="1" applyAlignment="1">
      <alignment horizontal="right"/>
    </xf>
    <xf numFmtId="170" fontId="128" fillId="0" borderId="0" xfId="0" applyNumberFormat="1" applyFont="1" applyAlignment="1">
      <alignment horizontal="left"/>
    </xf>
    <xf numFmtId="166" fontId="129" fillId="0" borderId="0" xfId="0" applyNumberFormat="1" applyFont="1" applyAlignment="1">
      <alignment horizontal="left"/>
    </xf>
    <xf numFmtId="178" fontId="128" fillId="0" borderId="0" xfId="0" applyNumberFormat="1" applyFont="1" applyAlignment="1">
      <alignment horizontal="left"/>
    </xf>
    <xf numFmtId="164" fontId="128" fillId="0" borderId="0" xfId="0" applyNumberFormat="1" applyFont="1" applyAlignment="1">
      <alignment horizontal="right"/>
    </xf>
    <xf numFmtId="164" fontId="129" fillId="0" borderId="0" xfId="0" applyNumberFormat="1" applyFont="1" applyAlignment="1">
      <alignment horizontal="left"/>
    </xf>
    <xf numFmtId="0" fontId="98" fillId="7" borderId="0" xfId="0" applyFont="1" applyFill="1" applyAlignment="1">
      <alignment horizontal="left" vertical="center"/>
    </xf>
    <xf numFmtId="0" fontId="97" fillId="0" borderId="0" xfId="0" applyFont="1" applyAlignment="1">
      <alignment horizontal="left" vertical="top" indent="2"/>
    </xf>
    <xf numFmtId="170" fontId="130" fillId="0" borderId="0" xfId="0" applyNumberFormat="1" applyFont="1" applyAlignment="1">
      <alignment horizontal="left"/>
    </xf>
    <xf numFmtId="170" fontId="130" fillId="0" borderId="0" xfId="0" applyNumberFormat="1" applyFont="1" applyAlignment="1">
      <alignment horizontal="right"/>
    </xf>
    <xf numFmtId="166" fontId="131" fillId="0" borderId="0" xfId="0" applyNumberFormat="1" applyFont="1" applyAlignment="1">
      <alignment horizontal="left"/>
    </xf>
    <xf numFmtId="0" fontId="125" fillId="0" borderId="0" xfId="0" applyFont="1" applyAlignment="1">
      <alignment horizontal="left" indent="1"/>
    </xf>
    <xf numFmtId="170" fontId="128" fillId="0" borderId="0" xfId="0" applyNumberFormat="1" applyFont="1" applyAlignment="1">
      <alignment horizontal="right"/>
    </xf>
    <xf numFmtId="166" fontId="127" fillId="0" borderId="0" xfId="0" applyNumberFormat="1" applyFont="1" applyAlignment="1">
      <alignment horizontal="left"/>
    </xf>
    <xf numFmtId="0" fontId="124" fillId="12" borderId="2" xfId="0" applyFont="1" applyFill="1" applyBorder="1" applyAlignment="1">
      <alignment horizontal="left"/>
    </xf>
    <xf numFmtId="170" fontId="132" fillId="12" borderId="2" xfId="0" applyNumberFormat="1" applyFont="1" applyFill="1" applyBorder="1" applyAlignment="1">
      <alignment horizontal="left"/>
    </xf>
    <xf numFmtId="170" fontId="132" fillId="12" borderId="2" xfId="0" applyNumberFormat="1" applyFont="1" applyFill="1" applyBorder="1" applyAlignment="1">
      <alignment horizontal="right"/>
    </xf>
    <xf numFmtId="0" fontId="89" fillId="12" borderId="2" xfId="0" applyFont="1" applyFill="1" applyBorder="1" applyAlignment="1">
      <alignment horizontal="right" vertical="center"/>
    </xf>
    <xf numFmtId="0" fontId="72" fillId="12" borderId="2" xfId="0" applyFont="1" applyFill="1" applyBorder="1" applyAlignment="1">
      <alignment horizontal="left" vertical="center"/>
    </xf>
    <xf numFmtId="170" fontId="126" fillId="0" borderId="0" xfId="0" applyNumberFormat="1" applyFont="1" applyAlignment="1">
      <alignment horizontal="left"/>
    </xf>
    <xf numFmtId="170" fontId="126" fillId="0" borderId="0" xfId="0" applyNumberFormat="1" applyFont="1" applyAlignment="1">
      <alignment horizontal="right"/>
    </xf>
    <xf numFmtId="0" fontId="85" fillId="12" borderId="2" xfId="0" applyFont="1" applyFill="1" applyBorder="1" applyAlignment="1">
      <alignment horizontal="right" vertical="center"/>
    </xf>
    <xf numFmtId="0" fontId="76" fillId="12" borderId="2" xfId="0" applyFont="1" applyFill="1" applyBorder="1" applyAlignment="1">
      <alignment horizontal="left" vertical="center"/>
    </xf>
    <xf numFmtId="168" fontId="128" fillId="0" borderId="0" xfId="0" applyNumberFormat="1" applyFont="1" applyAlignment="1">
      <alignment horizontal="left"/>
    </xf>
    <xf numFmtId="168" fontId="128" fillId="0" borderId="0" xfId="0" applyNumberFormat="1" applyFont="1" applyAlignment="1">
      <alignment horizontal="right"/>
    </xf>
    <xf numFmtId="168" fontId="127" fillId="0" borderId="0" xfId="0" applyNumberFormat="1" applyFont="1" applyAlignment="1">
      <alignment horizontal="left"/>
    </xf>
    <xf numFmtId="0" fontId="133" fillId="0" borderId="0" xfId="0" applyFont="1" applyAlignment="1">
      <alignment horizontal="left"/>
    </xf>
    <xf numFmtId="166" fontId="128" fillId="0" borderId="0" xfId="0" applyNumberFormat="1" applyFont="1" applyAlignment="1">
      <alignment horizontal="left"/>
    </xf>
    <xf numFmtId="166" fontId="128" fillId="0" borderId="0" xfId="0" applyNumberFormat="1" applyFont="1" applyAlignment="1">
      <alignment horizontal="right"/>
    </xf>
    <xf numFmtId="166" fontId="132" fillId="12" borderId="2" xfId="0" applyNumberFormat="1" applyFont="1" applyFill="1" applyBorder="1" applyAlignment="1">
      <alignment horizontal="left"/>
    </xf>
    <xf numFmtId="166" fontId="132" fillId="12" borderId="2" xfId="0" applyNumberFormat="1" applyFont="1" applyFill="1" applyBorder="1" applyAlignment="1">
      <alignment horizontal="right"/>
    </xf>
    <xf numFmtId="0" fontId="80" fillId="12" borderId="2" xfId="0" applyFont="1" applyFill="1" applyBorder="1" applyAlignment="1">
      <alignment horizontal="left" vertical="center"/>
    </xf>
    <xf numFmtId="164" fontId="126" fillId="0" borderId="0" xfId="0" applyNumberFormat="1" applyFont="1" applyAlignment="1">
      <alignment horizontal="right"/>
    </xf>
    <xf numFmtId="164" fontId="126" fillId="0" borderId="0" xfId="0" applyNumberFormat="1" applyFont="1" applyAlignment="1">
      <alignment horizontal="left"/>
    </xf>
    <xf numFmtId="166" fontId="126" fillId="0" borderId="0" xfId="0" applyNumberFormat="1" applyFont="1" applyAlignment="1">
      <alignment horizontal="left"/>
    </xf>
    <xf numFmtId="166" fontId="126" fillId="0" borderId="0" xfId="0" applyNumberFormat="1" applyFont="1" applyAlignment="1">
      <alignment horizontal="right"/>
    </xf>
    <xf numFmtId="0" fontId="103" fillId="0" borderId="0" xfId="0" applyFont="1" applyAlignment="1">
      <alignment horizontal="right"/>
    </xf>
    <xf numFmtId="166" fontId="104" fillId="0" borderId="2" xfId="0" applyNumberFormat="1" applyFont="1" applyBorder="1" applyAlignment="1">
      <alignment horizontal="right"/>
    </xf>
    <xf numFmtId="0" fontId="102" fillId="0" borderId="0" xfId="0" applyFont="1" applyAlignment="1">
      <alignment horizontal="right"/>
    </xf>
    <xf numFmtId="165" fontId="103" fillId="0" borderId="0" xfId="0" applyNumberFormat="1" applyFont="1" applyAlignment="1">
      <alignment horizontal="right"/>
    </xf>
    <xf numFmtId="165" fontId="134" fillId="5" borderId="0" xfId="0" applyNumberFormat="1" applyFont="1" applyFill="1" applyAlignment="1">
      <alignment horizontal="right"/>
    </xf>
    <xf numFmtId="0" fontId="102" fillId="0" borderId="0" xfId="0" applyFont="1" applyAlignment="1">
      <alignment horizontal="center"/>
    </xf>
    <xf numFmtId="0" fontId="104" fillId="0" borderId="0" xfId="0" applyFont="1" applyAlignment="1">
      <alignment horizontal="right"/>
    </xf>
    <xf numFmtId="0" fontId="97" fillId="0" borderId="2" xfId="0" applyFont="1" applyBorder="1" applyAlignment="1">
      <alignment horizontal="left"/>
    </xf>
    <xf numFmtId="0" fontId="124" fillId="9" borderId="2" xfId="0" applyFont="1" applyFill="1" applyBorder="1" applyAlignment="1">
      <alignment horizontal="center"/>
    </xf>
    <xf numFmtId="197" fontId="97" fillId="0" borderId="2" xfId="0" applyNumberFormat="1" applyFont="1" applyBorder="1" applyAlignment="1">
      <alignment horizontal="center"/>
    </xf>
    <xf numFmtId="199" fontId="103" fillId="0" borderId="0" xfId="0" applyNumberFormat="1" applyFont="1" applyAlignment="1">
      <alignment horizontal="right"/>
    </xf>
    <xf numFmtId="199" fontId="103" fillId="0" borderId="3" xfId="0" applyNumberFormat="1" applyFont="1" applyBorder="1" applyAlignment="1">
      <alignment horizontal="right"/>
    </xf>
    <xf numFmtId="200" fontId="103" fillId="0" borderId="0" xfId="0" applyNumberFormat="1" applyFont="1" applyAlignment="1">
      <alignment horizontal="right"/>
    </xf>
    <xf numFmtId="200" fontId="103" fillId="0" borderId="3" xfId="0" applyNumberFormat="1" applyFont="1" applyBorder="1" applyAlignment="1">
      <alignment horizontal="right"/>
    </xf>
    <xf numFmtId="200" fontId="103" fillId="0" borderId="2" xfId="0" applyNumberFormat="1" applyFont="1" applyBorder="1" applyAlignment="1">
      <alignment horizontal="right"/>
    </xf>
    <xf numFmtId="203" fontId="103" fillId="0" borderId="2" xfId="0" applyNumberFormat="1" applyFont="1" applyBorder="1" applyAlignment="1">
      <alignment horizontal="right"/>
    </xf>
    <xf numFmtId="203" fontId="102" fillId="0" borderId="0" xfId="0" applyNumberFormat="1" applyFont="1" applyAlignment="1">
      <alignment horizontal="left"/>
    </xf>
    <xf numFmtId="166" fontId="103" fillId="0" borderId="2" xfId="0" applyNumberFormat="1" applyFont="1" applyBorder="1" applyAlignment="1">
      <alignment horizontal="right"/>
    </xf>
    <xf numFmtId="0" fontId="113" fillId="11" borderId="5" xfId="0" applyFont="1" applyFill="1" applyBorder="1" applyAlignment="1">
      <alignment horizontal="center"/>
    </xf>
    <xf numFmtId="166" fontId="106" fillId="11" borderId="5" xfId="0" applyNumberFormat="1" applyFont="1" applyFill="1" applyBorder="1" applyAlignment="1">
      <alignment horizontal="center"/>
    </xf>
    <xf numFmtId="166" fontId="103" fillId="0" borderId="0" xfId="0" applyNumberFormat="1" applyFont="1" applyAlignment="1">
      <alignment horizontal="center"/>
    </xf>
    <xf numFmtId="203" fontId="113" fillId="11" borderId="5" xfId="0" applyNumberFormat="1" applyFont="1" applyFill="1" applyBorder="1" applyAlignment="1">
      <alignment horizontal="center"/>
    </xf>
    <xf numFmtId="203" fontId="102" fillId="0" borderId="0" xfId="0" applyNumberFormat="1" applyFont="1" applyAlignment="1">
      <alignment horizontal="center"/>
    </xf>
    <xf numFmtId="166" fontId="103" fillId="0" borderId="2" xfId="0" applyNumberFormat="1" applyFont="1" applyBorder="1" applyAlignment="1">
      <alignment horizontal="center"/>
    </xf>
    <xf numFmtId="166" fontId="106" fillId="11" borderId="5" xfId="0" applyNumberFormat="1" applyFont="1" applyFill="1" applyBorder="1" applyAlignment="1">
      <alignment horizontal="right"/>
    </xf>
    <xf numFmtId="166" fontId="103" fillId="0" borderId="3" xfId="0" applyNumberFormat="1" applyFont="1" applyBorder="1" applyAlignment="1">
      <alignment horizontal="right"/>
    </xf>
    <xf numFmtId="0" fontId="102" fillId="0" borderId="3" xfId="0" applyFont="1" applyBorder="1" applyAlignment="1">
      <alignment horizontal="center"/>
    </xf>
    <xf numFmtId="0" fontId="102" fillId="0" borderId="2" xfId="0" applyFont="1" applyBorder="1" applyAlignment="1">
      <alignment horizontal="center"/>
    </xf>
    <xf numFmtId="168" fontId="103" fillId="0" borderId="2" xfId="0" applyNumberFormat="1" applyFont="1" applyBorder="1" applyAlignment="1">
      <alignment horizontal="right"/>
    </xf>
    <xf numFmtId="204" fontId="102" fillId="0" borderId="0" xfId="0" applyNumberFormat="1" applyFont="1" applyAlignment="1">
      <alignment horizontal="left"/>
    </xf>
    <xf numFmtId="205" fontId="102" fillId="0" borderId="0" xfId="0" applyNumberFormat="1" applyFont="1" applyAlignment="1">
      <alignment horizontal="left"/>
    </xf>
    <xf numFmtId="0" fontId="111" fillId="6" borderId="0" xfId="0" applyFont="1" applyFill="1" applyAlignment="1">
      <alignment horizontal="left"/>
    </xf>
    <xf numFmtId="203" fontId="103" fillId="0" borderId="0" xfId="0" applyNumberFormat="1" applyFont="1" applyAlignment="1">
      <alignment horizontal="right"/>
    </xf>
    <xf numFmtId="205" fontId="103" fillId="0" borderId="0" xfId="0" applyNumberFormat="1" applyFont="1" applyAlignment="1">
      <alignment horizontal="right"/>
    </xf>
    <xf numFmtId="0" fontId="102" fillId="0" borderId="0" xfId="0" applyFont="1" applyAlignment="1">
      <alignment horizontal="left"/>
    </xf>
    <xf numFmtId="0" fontId="0" fillId="0" borderId="0" xfId="0"/>
    <xf numFmtId="0" fontId="102" fillId="0" borderId="3" xfId="0" applyFont="1" applyBorder="1" applyAlignment="1">
      <alignment horizontal="left"/>
    </xf>
    <xf numFmtId="0" fontId="0" fillId="0" borderId="3" xfId="0" applyBorder="1"/>
    <xf numFmtId="0" fontId="111" fillId="4" borderId="3" xfId="0" applyFont="1" applyFill="1" applyBorder="1" applyAlignment="1">
      <alignment horizontal="left"/>
    </xf>
    <xf numFmtId="0" fontId="10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102" fillId="0" borderId="0" xfId="0" applyNumberFormat="1" applyFont="1" applyAlignment="1">
      <alignment horizontal="left"/>
    </xf>
    <xf numFmtId="0" fontId="111" fillId="4" borderId="0" xfId="0" applyFont="1" applyFill="1" applyAlignment="1">
      <alignment horizontal="left"/>
    </xf>
    <xf numFmtId="0" fontId="109" fillId="5" borderId="0" xfId="0" applyFont="1" applyFill="1" applyAlignment="1">
      <alignment horizontal="left"/>
    </xf>
    <xf numFmtId="164" fontId="102" fillId="0" borderId="0" xfId="0" applyNumberFormat="1" applyFont="1" applyAlignment="1">
      <alignment horizontal="right"/>
    </xf>
    <xf numFmtId="0" fontId="114" fillId="12" borderId="16" xfId="0" applyFont="1" applyFill="1" applyBorder="1" applyAlignment="1">
      <alignment horizontal="left"/>
    </xf>
    <xf numFmtId="0" fontId="0" fillId="0" borderId="2" xfId="0" applyBorder="1"/>
    <xf numFmtId="0" fontId="102" fillId="0" borderId="2" xfId="0" applyFont="1" applyBorder="1" applyAlignment="1">
      <alignment horizontal="left"/>
    </xf>
  </cellXfs>
  <cellStyles count="7">
    <cellStyle name="_x000a_386grabber=M" xfId="1" xr:uid="{00000000-0005-0000-0000-000001000000}"/>
    <cellStyle name="AFE" xfId="2" xr:uid="{00000000-0005-0000-0000-000002000000}"/>
    <cellStyle name="blp_column_header" xfId="3" xr:uid="{00000000-0005-0000-0000-000003000000}"/>
    <cellStyle name="fa_column_header_bottom" xfId="4" xr:uid="{00000000-0005-0000-0000-000004000000}"/>
    <cellStyle name="Normal" xfId="0" builtinId="0"/>
    <cellStyle name="Normal 2" xfId="5" xr:uid="{00000000-0005-0000-0000-000005000000}"/>
    <cellStyle name="Pctg" xfId="6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F6B5F"/>
      <rgbColor rgb="FFDBDBDB"/>
      <rgbColor rgb="FF7B8794"/>
      <rgbColor rgb="FF9999FF"/>
      <rgbColor rgb="FFB71C1C"/>
      <rgbColor rgb="FFFFFFCC"/>
      <rgbColor rgb="FFDCE8F2"/>
      <rgbColor rgb="FF660066"/>
      <rgbColor rgb="FFFF8080"/>
      <rgbColor rgb="FF2E75B6"/>
      <rgbColor rgb="FFD9D9D9"/>
      <rgbColor rgb="FF000080"/>
      <rgbColor rgb="FFFF00FF"/>
      <rgbColor rgb="FFFFFF00"/>
      <rgbColor rgb="FF00FFFF"/>
      <rgbColor rgb="FF800080"/>
      <rgbColor rgb="FF800000"/>
      <rgbColor rgb="FF365F91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B8197"/>
      <rgbColor rgb="FF969696"/>
      <rgbColor rgb="FF243B53"/>
      <rgbColor rgb="FF4F81BD"/>
      <rgbColor rgb="FF003300"/>
      <rgbColor rgb="FF1F2937"/>
      <rgbColor rgb="FFB42318"/>
      <rgbColor rgb="FF595959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>
                <a:solidFill>
                  <a:srgbClr val="0F172A"/>
                </a:solidFill>
                <a:latin typeface="SF Pro Text Semibold"/>
              </a:rPr>
              <a:t>Valuation Range by Method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'Executive Summary'!$AD$75</c:f>
              <c:strCache>
                <c:ptCount val="1"/>
                <c:pt idx="0">
                  <c:v>Low Offset</c:v>
                </c:pt>
              </c:strCache>
            </c:strRef>
          </c:tx>
          <c:spPr>
            <a:noFill/>
            <a:ln>
              <a:prstDash val="solid"/>
            </a:ln>
          </c:spPr>
          <c:invertIfNegative val="1"/>
          <c:val>
            <c:numRef>
              <c:f>'Executive Summary'!$AD$76:$AD$80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'Executive Summary'!$AC$76:$AC$80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88-3949-85C6-FD1D0E531677}"/>
            </c:ext>
          </c:extLst>
        </c:ser>
        <c:ser>
          <c:idx val="1"/>
          <c:order val="1"/>
          <c:tx>
            <c:strRef>
              <c:f>'Executive Summary'!$AE$75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1E3A8A"/>
            </a:solidFill>
            <a:ln>
              <a:prstDash val="solid"/>
            </a:ln>
          </c:spPr>
          <c:invertIfNegative val="1"/>
          <c:dPt>
            <c:idx val="4"/>
            <c:invertIfNegative val="1"/>
            <c:bubble3D val="0"/>
            <c:spPr>
              <a:solidFill>
                <a:srgbClr val="E3120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88-3949-85C6-FD1D0E531677}"/>
              </c:ext>
            </c:extLst>
          </c:dPt>
          <c:val>
            <c:numRef>
              <c:f>'Executive Summary'!$AE$76:$AE$80</c:f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'Executive Summary'!$AC$76:$AC$80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088-3949-85C6-FD1D0E531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b"/>
        <c:majorGridlines>
          <c:spPr>
            <a:ln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>
                    <a:solidFill>
                      <a:srgbClr val="0F172A"/>
                    </a:solidFill>
                    <a:latin typeface="SF Pro Text Semibold"/>
                  </a:defRPr>
                </a:pPr>
                <a:r>
                  <a:rPr lang="en-US" sz="950" b="0">
                    <a:solidFill>
                      <a:srgbClr val="0F172A"/>
                    </a:solidFill>
                    <a:latin typeface="SF Pro Text Semibold"/>
                  </a:rPr>
                  <a:t>Share Price ($)</a:t>
                </a:r>
              </a:p>
            </c:rich>
          </c:tx>
          <c:overlay val="0"/>
        </c:title>
        <c:numFmt formatCode="\$#,##0" sourceLinked="0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"/>
        <c:crosses val="autoZero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>
                <a:solidFill>
                  <a:srgbClr val="0F172A"/>
                </a:solidFill>
                <a:latin typeface="SF Pro Text Semibold"/>
              </a:rPr>
              <a:t>Revenue, EBITDA, and FCFF Trend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'Executive Summary'!$AD$86</c:f>
              <c:strCache>
                <c:ptCount val="1"/>
                <c:pt idx="0">
                  <c:v>Revenue</c:v>
                </c:pt>
              </c:strCache>
            </c:strRef>
          </c:tx>
          <c:spPr>
            <a:ln w="19050">
              <a:solidFill>
                <a:srgbClr val="1E3A8A"/>
              </a:solidFill>
              <a:prstDash val="solid"/>
            </a:ln>
          </c:spPr>
          <c:val>
            <c:numRef>
              <c:f>'Executive Summary'!$AD$87:$AD$94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'Executive Summary'!$AC$87:$AC$94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74-0640-A00C-316ACDEF663F}"/>
            </c:ext>
          </c:extLst>
        </c:ser>
        <c:ser>
          <c:idx val="1"/>
          <c:order val="1"/>
          <c:tx>
            <c:strRef>
              <c:f>'Executive Summary'!$AE$86</c:f>
              <c:strCache>
                <c:ptCount val="1"/>
                <c:pt idx="0">
                  <c:v>EBITDA</c:v>
                </c:pt>
              </c:strCache>
            </c:strRef>
          </c:tx>
          <c:spPr>
            <a:ln w="19050">
              <a:solidFill>
                <a:srgbClr val="6D7E96"/>
              </a:solidFill>
              <a:prstDash val="solid"/>
            </a:ln>
          </c:spPr>
          <c:val>
            <c:numRef>
              <c:f>'Executive Summary'!$AE$87:$AE$94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'Executive Summary'!$AC$87:$AC$94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B74-0640-A00C-316ACDEF663F}"/>
            </c:ext>
          </c:extLst>
        </c:ser>
        <c:ser>
          <c:idx val="2"/>
          <c:order val="2"/>
          <c:tx>
            <c:strRef>
              <c:f>'Executive Summary'!$AF$86</c:f>
              <c:strCache>
                <c:ptCount val="1"/>
                <c:pt idx="0">
                  <c:v>FCFF</c:v>
                </c:pt>
              </c:strCache>
            </c:strRef>
          </c:tx>
          <c:spPr>
            <a:ln w="19050">
              <a:solidFill>
                <a:srgbClr val="B65608"/>
              </a:solidFill>
              <a:prstDash val="solid"/>
            </a:ln>
          </c:spPr>
          <c:val>
            <c:numRef>
              <c:f>'Executive Summary'!$AF$87:$AF$94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'Executive Summary'!$AC$87:$AC$94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B74-0640-A00C-316ACDEF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>
                    <a:solidFill>
                      <a:srgbClr val="0F172A"/>
                    </a:solidFill>
                    <a:latin typeface="SF Pro Text Semibold"/>
                  </a:defRPr>
                </a:pPr>
                <a:r>
                  <a:rPr lang="en-US" sz="950" b="0">
                    <a:solidFill>
                      <a:srgbClr val="0F172A"/>
                    </a:solidFill>
                    <a:latin typeface="SF Pro Text Semibold"/>
                  </a:rPr>
                  <a:t>Fiscal Year</a:t>
                </a:r>
              </a:p>
            </c:rich>
          </c:tx>
          <c:overlay val="0"/>
        </c:title>
        <c:numFmt formatCode="yyyy" sourceLinked="0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>
                    <a:solidFill>
                      <a:srgbClr val="0F172A"/>
                    </a:solidFill>
                    <a:latin typeface="SF Pro Text Semibold"/>
                  </a:defRPr>
                </a:pPr>
                <a:r>
                  <a:rPr lang="en-US" sz="950" b="0">
                    <a:solidFill>
                      <a:srgbClr val="0F172A"/>
                    </a:solidFill>
                    <a:latin typeface="SF Pro Text Semibold"/>
                  </a:rPr>
                  <a:t>$mm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"/>
        <c:crosses val="autoZero"/>
        <c:crossBetween val="between"/>
      </c:valAx>
    </c:plotArea>
    <c:legend>
      <c:legendPos val="b"/>
      <c:overlay val="1"/>
      <c:txPr>
        <a:bodyPr/>
        <a:lstStyle/>
        <a:p>
          <a:pPr>
            <a:defRPr sz="900" b="0">
              <a:solidFill>
                <a:srgbClr val="0F172A"/>
              </a:solidFill>
              <a:latin typeface="SF Pro Text"/>
            </a:defRPr>
          </a:pPr>
          <a:endParaRPr lang="en-US"/>
        </a:p>
      </c:txPr>
    </c:legend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>
                <a:solidFill>
                  <a:srgbClr val="0F172A"/>
                </a:solidFill>
                <a:latin typeface="SF Pro Text Semibold"/>
              </a:rPr>
              <a:t>Implied Price vs Exit Multiple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'Executive Summary'!$AD$98</c:f>
              <c:strCache>
                <c:ptCount val="1"/>
                <c:pt idx="0">
                  <c:v>Implied Price</c:v>
                </c:pt>
              </c:strCache>
            </c:strRef>
          </c:tx>
          <c:spPr>
            <a:ln w="19050">
              <a:solidFill>
                <a:srgbClr val="1E3A8A"/>
              </a:solidFill>
              <a:prstDash val="solid"/>
            </a:ln>
          </c:spPr>
          <c:val>
            <c:numRef>
              <c:f>'Executive Summary'!$AD$99:$AD$103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'Executive Summary'!$AC$99:$AC$103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728-3E4C-9B60-514B127C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>
                    <a:solidFill>
                      <a:srgbClr val="0F172A"/>
                    </a:solidFill>
                    <a:latin typeface="SF Pro Text Semibold"/>
                  </a:defRPr>
                </a:pPr>
                <a:r>
                  <a:rPr lang="en-US" sz="950" b="0">
                    <a:solidFill>
                      <a:srgbClr val="0F172A"/>
                    </a:solidFill>
                    <a:latin typeface="SF Pro Text Semibold"/>
                  </a:rPr>
                  <a:t>EV/EBITDA Exit Multiple (x)</a:t>
                </a:r>
              </a:p>
            </c:rich>
          </c:tx>
          <c:overlay val="0"/>
        </c:title>
        <c:numFmt formatCode="0.0&quot;x&quot;" sourceLinked="0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>
                    <a:solidFill>
                      <a:srgbClr val="0F172A"/>
                    </a:solidFill>
                    <a:latin typeface="SF Pro Text Semibold"/>
                  </a:defRPr>
                </a:pPr>
                <a:r>
                  <a:rPr lang="en-US" sz="950" b="0">
                    <a:solidFill>
                      <a:srgbClr val="0F172A"/>
                    </a:solidFill>
                    <a:latin typeface="SF Pro Text Semibold"/>
                  </a:rPr>
                  <a:t>$/share</a:t>
                </a:r>
              </a:p>
            </c:rich>
          </c:tx>
          <c:overlay val="0"/>
        </c:title>
        <c:numFmt formatCode="\$#,##0" sourceLinked="0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"/>
        <c:crosses val="autoZero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>
                <a:solidFill>
                  <a:srgbClr val="0F172A"/>
                </a:solidFill>
                <a:latin typeface="SF Pro Text Semibold"/>
              </a:defRPr>
            </a:pPr>
            <a:r>
              <a:rPr sz="1200" b="0">
                <a:solidFill>
                  <a:srgbClr val="0F172A"/>
                </a:solidFill>
                <a:latin typeface="SF Pro Text Semibold"/>
              </a:rPr>
              <a:t>Valuation Range Comparison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'Question 4 - Valuation Summary'!$U$31</c:f>
              <c:strCache>
                <c:ptCount val="1"/>
                <c:pt idx="0">
                  <c:v>Low Offset</c:v>
                </c:pt>
              </c:strCache>
            </c:strRef>
          </c:tx>
          <c:spPr>
            <a:noFill/>
            <a:ln>
              <a:prstDash val="solid"/>
            </a:ln>
          </c:spPr>
          <c:invertIfNegative val="1"/>
          <c:cat>
            <c:strRef>
              <c:f>'Question 4 - Valuation Summary'!$T$32:$T$37</c:f>
              <c:strCache>
                <c:ptCount val="6"/>
                <c:pt idx="0">
                  <c:v>52-Week Range</c:v>
                </c:pt>
                <c:pt idx="1">
                  <c:v>DCF</c:v>
                </c:pt>
                <c:pt idx="2">
                  <c:v>Trading Comps</c:v>
                </c:pt>
                <c:pt idx="4">
                  <c:v>Deal Comps</c:v>
                </c:pt>
                <c:pt idx="5">
                  <c:v>Recommended</c:v>
                </c:pt>
              </c:strCache>
            </c:strRef>
          </c:cat>
          <c:val>
            <c:numRef>
              <c:f>'Question 4 - Valuation Summary'!$U$32:$U$37</c:f>
              <c:numCache>
                <c:formatCode>General</c:formatCode>
                <c:ptCount val="6"/>
                <c:pt idx="0">
                  <c:v>41.45</c:v>
                </c:pt>
                <c:pt idx="1">
                  <c:v>38.609800944193701</c:v>
                </c:pt>
                <c:pt idx="2">
                  <c:v>51.711438203168832</c:v>
                </c:pt>
                <c:pt idx="4">
                  <c:v>68.513912084334393</c:v>
                </c:pt>
                <c:pt idx="5">
                  <c:v>51.71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A-054A-9EA6-C9EB63F65606}"/>
            </c:ext>
          </c:extLst>
        </c:ser>
        <c:ser>
          <c:idx val="1"/>
          <c:order val="1"/>
          <c:tx>
            <c:strRef>
              <c:f>'Question 4 - Valuation Summary'!$V$31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1E3A8A"/>
            </a:solidFill>
            <a:ln>
              <a:prstDash val="solid"/>
            </a:ln>
          </c:spPr>
          <c:invertIfNegative val="1"/>
          <c:dPt>
            <c:idx val="5"/>
            <c:invertIfNegative val="1"/>
            <c:bubble3D val="0"/>
            <c:spPr>
              <a:solidFill>
                <a:srgbClr val="E3120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EA-054A-9EA6-C9EB63F65606}"/>
              </c:ext>
            </c:extLst>
          </c:dPt>
          <c:cat>
            <c:strRef>
              <c:f>'Question 4 - Valuation Summary'!$T$32:$T$37</c:f>
              <c:strCache>
                <c:ptCount val="6"/>
                <c:pt idx="0">
                  <c:v>52-Week Range</c:v>
                </c:pt>
                <c:pt idx="1">
                  <c:v>DCF</c:v>
                </c:pt>
                <c:pt idx="2">
                  <c:v>Trading Comps</c:v>
                </c:pt>
                <c:pt idx="4">
                  <c:v>Deal Comps</c:v>
                </c:pt>
                <c:pt idx="5">
                  <c:v>Recommended</c:v>
                </c:pt>
              </c:strCache>
            </c:strRef>
          </c:cat>
          <c:val>
            <c:numRef>
              <c:f>'Question 4 - Valuation Summary'!$V$32:$V$37</c:f>
              <c:numCache>
                <c:formatCode>General</c:formatCode>
                <c:ptCount val="6"/>
                <c:pt idx="0">
                  <c:v>14.869999999999997</c:v>
                </c:pt>
                <c:pt idx="1">
                  <c:v>5.5021992559368016</c:v>
                </c:pt>
                <c:pt idx="2">
                  <c:v>76.428152560344216</c:v>
                </c:pt>
                <c:pt idx="4">
                  <c:v>52.987653488796724</c:v>
                </c:pt>
                <c:pt idx="5">
                  <c:v>69.789999999999992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7EA-054A-9EA6-C9EB63F65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b"/>
        <c:majorGridlines>
          <c:spPr>
            <a:ln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>
                    <a:solidFill>
                      <a:srgbClr val="0F172A"/>
                    </a:solidFill>
                    <a:latin typeface="SF Pro Text Semibold"/>
                  </a:defRPr>
                </a:pPr>
                <a:r>
                  <a:rPr sz="950" b="0">
                    <a:solidFill>
                      <a:srgbClr val="0F172A"/>
                    </a:solidFill>
                    <a:latin typeface="SF Pro Text Semibold"/>
                  </a:rPr>
                  <a:t>Share Price ($)</a:t>
                </a:r>
              </a:p>
            </c:rich>
          </c:tx>
          <c:overlay val="0"/>
        </c:title>
        <c:numFmt formatCode="\$#,##0" sourceLinked="0"/>
        <c:majorTickMark val="none"/>
        <c:minorTickMark val="none"/>
        <c:tickLblPos val="nextTo"/>
        <c:spPr>
          <a:ln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"/>
        <c:crosses val="autoZero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15</xdr:row>
      <xdr:rowOff>0</xdr:rowOff>
    </xdr:from>
    <xdr:ext cx="414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0</xdr:colOff>
      <xdr:row>37</xdr:row>
      <xdr:rowOff>0</xdr:rowOff>
    </xdr:from>
    <xdr:ext cx="414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0</xdr:colOff>
      <xdr:row>57</xdr:row>
      <xdr:rowOff>0</xdr:rowOff>
    </xdr:from>
    <xdr:ext cx="4140000" cy="2448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</xdr:row>
      <xdr:rowOff>0</xdr:rowOff>
    </xdr:from>
    <xdr:ext cx="414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SF Pro Display" panose="020F0302020204030204"/>
        <a:ea typeface=""/>
        <a:cs typeface=""/>
      </a:majorFont>
      <a:minorFont>
        <a:latin typeface="SF Pro Text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A2E"/>
  </sheetPr>
  <dimension ref="B1:AN103"/>
  <sheetViews>
    <sheetView showGridLines="0" tabSelected="1" workbookViewId="0"/>
  </sheetViews>
  <sheetFormatPr baseColWidth="10" defaultColWidth="8.85546875" defaultRowHeight="15"/>
  <cols>
    <col min="1" max="1" width="2" customWidth="1"/>
    <col min="2" max="2" width="30.140625" customWidth="1"/>
    <col min="3" max="3" width="14.85546875" customWidth="1"/>
    <col min="4" max="4" width="21.28515625" customWidth="1"/>
    <col min="5" max="5" width="22.28515625" customWidth="1"/>
    <col min="6" max="6" width="12" customWidth="1"/>
    <col min="7" max="9" width="2" customWidth="1"/>
    <col min="10" max="10" width="30.140625" customWidth="1"/>
    <col min="11" max="11" width="25.42578125" customWidth="1"/>
    <col min="12" max="12" width="19.42578125" customWidth="1"/>
    <col min="13" max="14" width="14" customWidth="1"/>
    <col min="15" max="15" width="2" customWidth="1"/>
    <col min="16" max="28" width="16" customWidth="1"/>
    <col min="29" max="40" width="13" hidden="1" customWidth="1"/>
  </cols>
  <sheetData>
    <row r="1" spans="2:28" s="194" customFormat="1" ht="8" customHeight="1"/>
    <row r="2" spans="2:28" ht="22" customHeight="1">
      <c r="B2" s="248" t="str">
        <f>Data!C5&amp;" - Executive Summary"</f>
        <v>Pfizer Inc - Executive Summary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2:28" ht="16" customHeight="1">
      <c r="B3" s="249" t="s">
        <v>0</v>
      </c>
    </row>
    <row r="4" spans="2:28" ht="10" customHeight="1">
      <c r="B4" s="150"/>
    </row>
    <row r="5" spans="2:28" ht="10" customHeight="1"/>
    <row r="6" spans="2:28" ht="16" customHeight="1" thickBot="1">
      <c r="B6" s="250" t="s">
        <v>1</v>
      </c>
      <c r="D6" s="251" t="s">
        <v>2</v>
      </c>
      <c r="E6" s="236"/>
    </row>
    <row r="7" spans="2:28" s="194" customFormat="1" ht="14" customHeight="1">
      <c r="B7" s="252" t="s">
        <v>3</v>
      </c>
      <c r="D7" s="253" t="s">
        <v>4</v>
      </c>
      <c r="E7" s="254" t="s">
        <v>5</v>
      </c>
    </row>
    <row r="8" spans="2:28" s="194" customFormat="1" ht="14" customHeight="1">
      <c r="D8" s="255" t="s">
        <v>6</v>
      </c>
      <c r="E8" s="256" t="str">
        <f>B7</f>
        <v>Base</v>
      </c>
    </row>
    <row r="9" spans="2:28" s="194" customFormat="1" ht="14" customHeight="1">
      <c r="D9" s="255" t="s">
        <v>7</v>
      </c>
      <c r="E9" s="257">
        <f>0.076</f>
        <v>7.5999999999999998E-2</v>
      </c>
    </row>
    <row r="10" spans="2:28" s="194" customFormat="1" ht="14" customHeight="1">
      <c r="D10" s="255" t="s">
        <v>8</v>
      </c>
      <c r="E10" s="258">
        <f>WACC!$F$11</f>
        <v>7.5953999999999994E-2</v>
      </c>
    </row>
    <row r="11" spans="2:28" s="194" customFormat="1" ht="14" customHeight="1">
      <c r="D11" s="255" t="s">
        <v>9</v>
      </c>
      <c r="E11" s="258">
        <f>K36/'Question 2 - Trading Comps'!$AB$33-1</f>
        <v>-4.9407823590593036E-2</v>
      </c>
    </row>
    <row r="12" spans="2:28" s="194" customFormat="1" ht="14" customHeight="1">
      <c r="D12" s="259" t="s">
        <v>10</v>
      </c>
      <c r="E12" s="260" t="str">
        <f>"See tab: Live Log"</f>
        <v>See tab: Live Log</v>
      </c>
    </row>
    <row r="13" spans="2:28" s="194" customFormat="1" ht="10" customHeight="1">
      <c r="D13" s="184"/>
      <c r="E13" s="195"/>
    </row>
    <row r="14" spans="2:28" ht="20" customHeight="1" thickBot="1">
      <c r="B14" s="261" t="s">
        <v>11</v>
      </c>
      <c r="C14" s="233"/>
      <c r="D14" s="234"/>
      <c r="E14" s="234"/>
      <c r="F14" s="235"/>
      <c r="G14" s="235"/>
      <c r="H14" s="235"/>
      <c r="I14" s="235"/>
      <c r="J14" s="235"/>
      <c r="K14" s="235"/>
      <c r="L14" s="235"/>
      <c r="M14" s="235"/>
    </row>
    <row r="15" spans="2:28" ht="10" customHeight="1"/>
    <row r="16" spans="2:28" ht="18" customHeight="1" thickBot="1">
      <c r="B16" s="262" t="s">
        <v>12</v>
      </c>
      <c r="C16" s="238"/>
      <c r="D16" s="238"/>
      <c r="E16" s="238"/>
      <c r="F16" s="239"/>
      <c r="J16" s="262" t="s">
        <v>13</v>
      </c>
      <c r="K16" s="238"/>
      <c r="L16" s="238"/>
      <c r="M16" s="239"/>
    </row>
    <row r="17" spans="2:13" s="237" customFormat="1" ht="15" customHeight="1">
      <c r="B17" s="263" t="s">
        <v>14</v>
      </c>
      <c r="C17" s="264" t="s">
        <v>3</v>
      </c>
      <c r="D17" s="264" t="s">
        <v>15</v>
      </c>
      <c r="E17" s="264" t="s">
        <v>16</v>
      </c>
      <c r="F17" s="265" t="s">
        <v>17</v>
      </c>
      <c r="J17" s="266" t="s">
        <v>18</v>
      </c>
      <c r="K17" s="267" t="s">
        <v>19</v>
      </c>
      <c r="L17" s="267" t="s">
        <v>20</v>
      </c>
      <c r="M17" s="254" t="s">
        <v>21</v>
      </c>
    </row>
    <row r="18" spans="2:13">
      <c r="B18" s="255" t="s">
        <v>22</v>
      </c>
      <c r="C18" s="268">
        <v>3.9199999999999999E-2</v>
      </c>
      <c r="D18" s="268">
        <v>3.6999999999999998E-2</v>
      </c>
      <c r="E18" s="268">
        <v>4.2000000000000003E-2</v>
      </c>
      <c r="F18" s="257">
        <f t="shared" ref="F18:F27" si="0">INDEX($C18:$E18,1,MATCH($B$7,$C$17:$E$17,0))</f>
        <v>3.9199999999999999E-2</v>
      </c>
      <c r="J18" s="255" t="s">
        <v>23</v>
      </c>
      <c r="K18" s="268">
        <v>0.36</v>
      </c>
      <c r="L18" s="268">
        <v>0.3</v>
      </c>
      <c r="M18" s="269" t="s">
        <v>24</v>
      </c>
    </row>
    <row r="19" spans="2:13">
      <c r="B19" s="255" t="s">
        <v>25</v>
      </c>
      <c r="C19" s="270">
        <v>0.71599999999999997</v>
      </c>
      <c r="D19" s="270">
        <v>0.68</v>
      </c>
      <c r="E19" s="270">
        <v>0.76</v>
      </c>
      <c r="F19" s="271">
        <f t="shared" si="0"/>
        <v>0.71599999999999997</v>
      </c>
      <c r="J19" s="255" t="s">
        <v>26</v>
      </c>
      <c r="K19" s="268">
        <v>8.9999999999999993E-3</v>
      </c>
      <c r="L19" s="268">
        <v>5.3E-3</v>
      </c>
      <c r="M19" s="269" t="s">
        <v>24</v>
      </c>
    </row>
    <row r="20" spans="2:13">
      <c r="B20" s="255" t="s">
        <v>27</v>
      </c>
      <c r="C20" s="268">
        <v>5.5E-2</v>
      </c>
      <c r="D20" s="268">
        <v>5.2499999999999998E-2</v>
      </c>
      <c r="E20" s="268">
        <v>5.7500000000000002E-2</v>
      </c>
      <c r="F20" s="257">
        <f t="shared" si="0"/>
        <v>5.5E-2</v>
      </c>
      <c r="J20" s="255" t="s">
        <v>28</v>
      </c>
      <c r="K20" s="268">
        <v>0.4</v>
      </c>
      <c r="L20" s="268">
        <v>0.35</v>
      </c>
      <c r="M20" s="269" t="s">
        <v>24</v>
      </c>
    </row>
    <row r="21" spans="2:13">
      <c r="B21" s="255" t="s">
        <v>29</v>
      </c>
      <c r="C21" s="268">
        <v>0.08</v>
      </c>
      <c r="D21" s="268">
        <v>7.5999999999999998E-2</v>
      </c>
      <c r="E21" s="268">
        <v>8.4000000000000005E-2</v>
      </c>
      <c r="F21" s="257">
        <f t="shared" si="0"/>
        <v>0.08</v>
      </c>
      <c r="J21" s="255" t="s">
        <v>30</v>
      </c>
      <c r="K21" s="268">
        <v>0.08</v>
      </c>
      <c r="L21" s="268">
        <v>0.06</v>
      </c>
      <c r="M21" s="269" t="s">
        <v>24</v>
      </c>
    </row>
    <row r="22" spans="2:13">
      <c r="B22" s="255" t="s">
        <v>31</v>
      </c>
      <c r="C22" s="268">
        <v>4.5999999999999999E-2</v>
      </c>
      <c r="D22" s="268">
        <v>4.2000000000000003E-2</v>
      </c>
      <c r="E22" s="268">
        <v>0.05</v>
      </c>
      <c r="F22" s="257">
        <f t="shared" si="0"/>
        <v>4.5999999999999999E-2</v>
      </c>
      <c r="J22" s="255" t="s">
        <v>32</v>
      </c>
      <c r="K22" s="268">
        <v>0.05</v>
      </c>
      <c r="L22" s="268">
        <v>0.04</v>
      </c>
      <c r="M22" s="269" t="s">
        <v>24</v>
      </c>
    </row>
    <row r="23" spans="2:13">
      <c r="B23" s="255" t="s">
        <v>33</v>
      </c>
      <c r="C23" s="268">
        <v>0.11899999999999999</v>
      </c>
      <c r="D23" s="268">
        <v>0.1</v>
      </c>
      <c r="E23" s="268">
        <v>0.14000000000000001</v>
      </c>
      <c r="F23" s="257">
        <f t="shared" si="0"/>
        <v>0.11899999999999999</v>
      </c>
      <c r="J23" s="255" t="s">
        <v>34</v>
      </c>
      <c r="K23" s="268">
        <v>0.1</v>
      </c>
      <c r="L23" s="268">
        <v>0.1</v>
      </c>
      <c r="M23" s="269" t="s">
        <v>24</v>
      </c>
    </row>
    <row r="24" spans="2:13">
      <c r="B24" s="255" t="s">
        <v>35</v>
      </c>
      <c r="C24" s="272">
        <v>9</v>
      </c>
      <c r="D24" s="272">
        <v>10</v>
      </c>
      <c r="E24" s="272">
        <v>8</v>
      </c>
      <c r="F24" s="273">
        <f t="shared" si="0"/>
        <v>9</v>
      </c>
      <c r="J24" s="255" t="s">
        <v>36</v>
      </c>
      <c r="K24" s="274">
        <v>60</v>
      </c>
      <c r="L24" s="274">
        <v>70</v>
      </c>
      <c r="M24" s="269" t="s">
        <v>37</v>
      </c>
    </row>
    <row r="25" spans="2:13">
      <c r="B25" s="255" t="s">
        <v>38</v>
      </c>
      <c r="C25" s="268">
        <v>-0.35</v>
      </c>
      <c r="D25" s="268">
        <v>-0.3</v>
      </c>
      <c r="E25" s="268">
        <v>-0.4</v>
      </c>
      <c r="F25" s="257">
        <f t="shared" si="0"/>
        <v>-0.35</v>
      </c>
      <c r="J25" s="255" t="s">
        <v>39</v>
      </c>
      <c r="K25" s="274">
        <v>120</v>
      </c>
      <c r="L25" s="274">
        <v>230</v>
      </c>
      <c r="M25" s="269" t="s">
        <v>37</v>
      </c>
    </row>
    <row r="26" spans="2:13">
      <c r="B26" s="255" t="s">
        <v>40</v>
      </c>
      <c r="C26" s="268">
        <v>0.05</v>
      </c>
      <c r="D26" s="268">
        <v>0.06</v>
      </c>
      <c r="E26" s="268">
        <v>0.04</v>
      </c>
      <c r="F26" s="257">
        <f t="shared" si="0"/>
        <v>0.05</v>
      </c>
      <c r="J26" s="255" t="s">
        <v>41</v>
      </c>
      <c r="K26" s="268">
        <v>0.12</v>
      </c>
      <c r="L26" s="268">
        <v>0.1</v>
      </c>
      <c r="M26" s="269" t="s">
        <v>24</v>
      </c>
    </row>
    <row r="27" spans="2:13">
      <c r="B27" s="259" t="s">
        <v>42</v>
      </c>
      <c r="C27" s="275">
        <v>0.03</v>
      </c>
      <c r="D27" s="275">
        <v>0.04</v>
      </c>
      <c r="E27" s="275">
        <v>0.02</v>
      </c>
      <c r="F27" s="276">
        <f t="shared" si="0"/>
        <v>0.03</v>
      </c>
      <c r="J27" s="255" t="s">
        <v>43</v>
      </c>
      <c r="K27" s="274">
        <v>85</v>
      </c>
      <c r="L27" s="274">
        <v>112</v>
      </c>
      <c r="M27" s="269" t="s">
        <v>37</v>
      </c>
    </row>
    <row r="28" spans="2:13">
      <c r="J28" s="255" t="s">
        <v>44</v>
      </c>
      <c r="K28" s="268">
        <v>7.0000000000000007E-2</v>
      </c>
      <c r="L28" s="268">
        <v>6.5000000000000002E-2</v>
      </c>
      <c r="M28" s="269" t="s">
        <v>24</v>
      </c>
    </row>
    <row r="29" spans="2:13">
      <c r="J29" s="259" t="s">
        <v>45</v>
      </c>
      <c r="K29" s="275">
        <v>0.24</v>
      </c>
      <c r="L29" s="275">
        <v>0.22</v>
      </c>
      <c r="M29" s="277" t="s">
        <v>24</v>
      </c>
    </row>
    <row r="31" spans="2:13" ht="20" customHeight="1" thickBot="1">
      <c r="B31" s="261" t="s">
        <v>46</v>
      </c>
      <c r="C31" s="233"/>
      <c r="D31" s="234"/>
      <c r="E31" s="234"/>
      <c r="F31" s="235"/>
      <c r="G31" s="235"/>
      <c r="H31" s="235"/>
      <c r="I31" s="235"/>
      <c r="J31" s="235"/>
      <c r="K31" s="235"/>
      <c r="L31" s="235"/>
      <c r="M31" s="235"/>
    </row>
    <row r="32" spans="2:13" ht="10" customHeight="1"/>
    <row r="33" spans="2:13" ht="18" customHeight="1" thickBot="1">
      <c r="B33" s="278" t="s">
        <v>47</v>
      </c>
      <c r="C33" s="279"/>
      <c r="D33" s="279"/>
      <c r="E33" s="279"/>
      <c r="F33" s="280"/>
      <c r="J33" s="278" t="s">
        <v>48</v>
      </c>
      <c r="K33" s="279"/>
      <c r="L33" s="279"/>
      <c r="M33" s="280"/>
    </row>
    <row r="34" spans="2:13" s="237" customFormat="1" ht="15" customHeight="1">
      <c r="B34" s="253" t="s">
        <v>49</v>
      </c>
      <c r="C34" s="267" t="s">
        <v>50</v>
      </c>
      <c r="D34" s="267" t="s">
        <v>51</v>
      </c>
      <c r="E34" s="267" t="s">
        <v>52</v>
      </c>
      <c r="F34" s="254" t="s">
        <v>53</v>
      </c>
      <c r="J34" s="253" t="s">
        <v>4</v>
      </c>
      <c r="K34" s="267" t="s">
        <v>5</v>
      </c>
      <c r="L34" s="281" t="s">
        <v>4</v>
      </c>
      <c r="M34" s="254" t="s">
        <v>5</v>
      </c>
    </row>
    <row r="35" spans="2:13" s="192" customFormat="1" ht="15" customHeight="1">
      <c r="B35" s="255" t="s">
        <v>54</v>
      </c>
      <c r="C35" s="282">
        <f>'Question 4 - Valuation Summary'!$U$22</f>
        <v>41.45</v>
      </c>
      <c r="D35" s="282">
        <f>'Question 4 - Valuation Summary'!$V$22</f>
        <v>56.32</v>
      </c>
      <c r="E35" s="283">
        <f>AVERAGE(C35:D35)</f>
        <v>48.885000000000005</v>
      </c>
      <c r="F35" s="257">
        <f>(E35/'Question 2 - Trading Comps'!$AB$33)-1</f>
        <v>0.21665007466401209</v>
      </c>
      <c r="J35" s="255" t="s">
        <v>55</v>
      </c>
      <c r="K35" s="282">
        <f>'Question 2 - Trading Comps'!$AB$33</f>
        <v>40.18</v>
      </c>
      <c r="L35" s="284" t="s">
        <v>56</v>
      </c>
      <c r="M35" s="258">
        <f>WACC!$F$11</f>
        <v>7.5953999999999994E-2</v>
      </c>
    </row>
    <row r="36" spans="2:13">
      <c r="B36" s="255" t="s">
        <v>57</v>
      </c>
      <c r="C36" s="282">
        <f>'Question 4 - Valuation Summary'!$U$23</f>
        <v>38.609800944193701</v>
      </c>
      <c r="D36" s="282">
        <f>'Question 4 - Valuation Summary'!$V$23</f>
        <v>44.112000200130502</v>
      </c>
      <c r="E36" s="283">
        <f>AVERAGE(C36:D36)</f>
        <v>41.360900572162102</v>
      </c>
      <c r="F36" s="257">
        <f>(E36/'Question 2 - Trading Comps'!$AB$33)-1</f>
        <v>2.9390258142411696E-2</v>
      </c>
      <c r="J36" s="255" t="s">
        <v>58</v>
      </c>
      <c r="K36" s="282">
        <f>'Question 1 - DCF'!$E$70</f>
        <v>38.194793648129973</v>
      </c>
      <c r="L36" s="284" t="s">
        <v>35</v>
      </c>
      <c r="M36" s="273">
        <f>$F$24</f>
        <v>9</v>
      </c>
    </row>
    <row r="37" spans="2:13">
      <c r="B37" s="255" t="s">
        <v>59</v>
      </c>
      <c r="C37" s="282">
        <f>'Question 4 - Valuation Summary'!$U$25</f>
        <v>51.711438203168832</v>
      </c>
      <c r="D37" s="282">
        <f>'Question 4 - Valuation Summary'!$V$25</f>
        <v>128.13959076351304</v>
      </c>
      <c r="E37" s="283">
        <f>AVERAGE(C37:D37)</f>
        <v>89.925514483340933</v>
      </c>
      <c r="F37" s="257">
        <f>(E37/'Question 2 - Trading Comps'!$AB$33)-1</f>
        <v>1.2380665625520391</v>
      </c>
      <c r="J37" s="255" t="s">
        <v>60</v>
      </c>
      <c r="K37" s="282">
        <f>'Question 4 - Valuation Summary'!$B$27</f>
        <v>51.71</v>
      </c>
      <c r="L37" s="284" t="s">
        <v>61</v>
      </c>
      <c r="M37" s="285">
        <f>'Question 4 - Valuation Summary'!$C$27</f>
        <v>121.5</v>
      </c>
    </row>
    <row r="38" spans="2:13">
      <c r="B38" s="255" t="s">
        <v>62</v>
      </c>
      <c r="C38" s="282">
        <f>'Question 4 - Valuation Summary'!$U$27</f>
        <v>68.513912084334393</v>
      </c>
      <c r="D38" s="282">
        <f>'Question 4 - Valuation Summary'!$V$27</f>
        <v>121.50156557313112</v>
      </c>
      <c r="E38" s="283">
        <f>AVERAGE(C38:D38)</f>
        <v>95.007738828732755</v>
      </c>
      <c r="F38" s="257">
        <f>(E38/'Question 2 - Trading Comps'!$AB$33)-1</f>
        <v>1.3645529822979778</v>
      </c>
      <c r="J38" s="255" t="s">
        <v>63</v>
      </c>
      <c r="K38" s="283">
        <f>AVERAGE($K$37,$M$37)</f>
        <v>86.605000000000004</v>
      </c>
      <c r="L38" s="284" t="s">
        <v>64</v>
      </c>
      <c r="M38" s="258">
        <f>($M$37/'Question 2 - Trading Comps'!$AB$33)-1</f>
        <v>2.0238924838227974</v>
      </c>
    </row>
    <row r="39" spans="2:13">
      <c r="B39" s="259" t="s">
        <v>65</v>
      </c>
      <c r="C39" s="286">
        <f>'Question 4 - Valuation Summary'!$B$27</f>
        <v>51.71</v>
      </c>
      <c r="D39" s="286">
        <f>'Question 4 - Valuation Summary'!$C$27</f>
        <v>121.5</v>
      </c>
      <c r="E39" s="287">
        <f>AVERAGE(C39:D39)</f>
        <v>86.605000000000004</v>
      </c>
      <c r="F39" s="276">
        <f>(E39/'Question 2 - Trading Comps'!$AB$33)-1</f>
        <v>1.1554255848680937</v>
      </c>
      <c r="J39" s="259" t="s">
        <v>66</v>
      </c>
      <c r="K39" s="288">
        <f>'Question 2 - Trading Comps'!$AJ$33</f>
        <v>5615.6478048780482</v>
      </c>
      <c r="L39" s="289" t="s">
        <v>67</v>
      </c>
      <c r="M39" s="290">
        <f>'Question 2 - Trading Comps'!$AO$33</f>
        <v>16570</v>
      </c>
    </row>
    <row r="49" ht="18" customHeight="1"/>
    <row r="50" s="192" customFormat="1" ht="15" customHeight="1"/>
    <row r="75" spans="29:31">
      <c r="AC75" s="284" t="s">
        <v>49</v>
      </c>
      <c r="AD75" s="284" t="s">
        <v>68</v>
      </c>
      <c r="AE75" s="284" t="s">
        <v>69</v>
      </c>
    </row>
    <row r="76" spans="29:31">
      <c r="AC76" s="284" t="s">
        <v>54</v>
      </c>
      <c r="AD76" s="291">
        <f>'Question 4 - Valuation Summary'!$U$22</f>
        <v>41.45</v>
      </c>
      <c r="AE76" s="291">
        <f>'Question 4 - Valuation Summary'!$V$22-'Question 4 - Valuation Summary'!$U$22</f>
        <v>14.869999999999997</v>
      </c>
    </row>
    <row r="77" spans="29:31">
      <c r="AC77" s="284" t="s">
        <v>57</v>
      </c>
      <c r="AD77" s="291">
        <f>'Question 4 - Valuation Summary'!$U$23</f>
        <v>38.609800944193701</v>
      </c>
      <c r="AE77" s="291">
        <f>'Question 4 - Valuation Summary'!$V$23-'Question 4 - Valuation Summary'!$U$23</f>
        <v>5.5021992559368016</v>
      </c>
    </row>
    <row r="78" spans="29:31">
      <c r="AC78" s="284" t="s">
        <v>70</v>
      </c>
      <c r="AD78" s="291">
        <f>'Question 4 - Valuation Summary'!$U$25</f>
        <v>51.711438203168832</v>
      </c>
      <c r="AE78" s="291">
        <f>'Question 4 - Valuation Summary'!$V$25-'Question 4 - Valuation Summary'!$U$25</f>
        <v>76.428152560344216</v>
      </c>
    </row>
    <row r="79" spans="29:31">
      <c r="AC79" s="284" t="s">
        <v>71</v>
      </c>
      <c r="AD79" s="291">
        <f>'Question 4 - Valuation Summary'!$U$27</f>
        <v>68.513912084334393</v>
      </c>
      <c r="AE79" s="291">
        <f>'Question 4 - Valuation Summary'!$V$27-'Question 4 - Valuation Summary'!$U$27</f>
        <v>52.987653488796724</v>
      </c>
    </row>
    <row r="80" spans="29:31">
      <c r="AC80" s="284" t="s">
        <v>65</v>
      </c>
      <c r="AD80" s="291">
        <f>'Question 4 - Valuation Summary'!$B$27</f>
        <v>51.71</v>
      </c>
      <c r="AE80" s="291">
        <f>'Question 4 - Valuation Summary'!$C$27-'Question 4 - Valuation Summary'!$B$27</f>
        <v>69.789999999999992</v>
      </c>
    </row>
    <row r="86" spans="29:32">
      <c r="AC86" s="284" t="s">
        <v>72</v>
      </c>
      <c r="AD86" s="284" t="s">
        <v>73</v>
      </c>
      <c r="AE86" s="284" t="s">
        <v>74</v>
      </c>
      <c r="AF86" s="284" t="s">
        <v>75</v>
      </c>
    </row>
    <row r="87" spans="29:32">
      <c r="AC87" s="291">
        <f>'Question 1 - DCF'!$H$11</f>
        <v>44926</v>
      </c>
      <c r="AD87" s="291">
        <f>'Question 1 - DCF'!$H$12</f>
        <v>100330</v>
      </c>
      <c r="AE87" s="291">
        <f>'Question 1 - DCF'!$H$19</f>
        <v>40690</v>
      </c>
      <c r="AF87" s="291">
        <f>'Question 1 - DCF'!$H$36</f>
        <v>31950.597000000002</v>
      </c>
    </row>
    <row r="88" spans="29:32">
      <c r="AC88" s="291">
        <f>'Question 1 - DCF'!$I$11</f>
        <v>45291</v>
      </c>
      <c r="AD88" s="291">
        <f>'Question 1 - DCF'!$I$12</f>
        <v>65214.5</v>
      </c>
      <c r="AE88" s="291">
        <f>'Question 1 - DCF'!$I$19</f>
        <v>16238.410499999996</v>
      </c>
      <c r="AF88" s="291">
        <f>'Question 1 - DCF'!$I$36</f>
        <v>720.64594520547689</v>
      </c>
    </row>
    <row r="89" spans="29:32">
      <c r="AC89" s="291">
        <f>'Question 1 - DCF'!$J$11</f>
        <v>45657</v>
      </c>
      <c r="AD89" s="291">
        <f>'Question 1 - DCF'!$J$12</f>
        <v>68475.225000000006</v>
      </c>
      <c r="AE89" s="291">
        <f>'Question 1 - DCF'!$J$19</f>
        <v>18263.483761250001</v>
      </c>
      <c r="AF89" s="291">
        <f>'Question 1 - DCF'!$J$36</f>
        <v>11894.410120547949</v>
      </c>
    </row>
    <row r="90" spans="29:32">
      <c r="AC90" s="291">
        <f>'Question 1 - DCF'!$K$11</f>
        <v>46022</v>
      </c>
      <c r="AD90" s="291">
        <f>'Question 1 - DCF'!$K$12</f>
        <v>70529.481750000006</v>
      </c>
      <c r="AE90" s="291">
        <f>'Question 1 - DCF'!$K$19</f>
        <v>20060.935592425001</v>
      </c>
      <c r="AF90" s="291">
        <f>'Question 1 - DCF'!$K$36</f>
        <v>13537.720825520539</v>
      </c>
    </row>
    <row r="91" spans="29:32">
      <c r="AC91" s="291">
        <f>'Question 1 - DCF'!$L$11</f>
        <v>46387</v>
      </c>
      <c r="AD91" s="291">
        <f>'Question 1 - DCF'!$L$12</f>
        <v>72645.366202500009</v>
      </c>
      <c r="AE91" s="291">
        <f>'Question 1 - DCF'!$L$19</f>
        <v>21949.797398085379</v>
      </c>
      <c r="AF91" s="291">
        <f>'Question 1 - DCF'!$L$36</f>
        <v>15258.567077446103</v>
      </c>
    </row>
    <row r="92" spans="29:32">
      <c r="AC92" s="291">
        <f>'Question 1 - DCF'!$M$11</f>
        <v>46752</v>
      </c>
      <c r="AD92" s="291">
        <f>'Question 1 - DCF'!$M$12</f>
        <v>74824.727188575009</v>
      </c>
      <c r="AE92" s="291">
        <f>'Question 1 - DCF'!$M$19</f>
        <v>23933.936070052183</v>
      </c>
      <c r="AF92" s="291">
        <f>'Question 1 - DCF'!$M$36</f>
        <v>17072.132091468808</v>
      </c>
    </row>
    <row r="93" spans="29:32">
      <c r="AC93" s="291">
        <f>'Question 1 - DCF'!$N$11</f>
        <v>47118</v>
      </c>
      <c r="AD93" s="291">
        <f>'Question 1 - DCF'!$N$12</f>
        <v>77069.469004232262</v>
      </c>
      <c r="AE93" s="291">
        <f>'Question 1 - DCF'!$N$19</f>
        <v>26017.368244678739</v>
      </c>
      <c r="AF93" s="291">
        <f>'Question 1 - DCF'!$N$36</f>
        <v>18982.479789759531</v>
      </c>
    </row>
    <row r="94" spans="29:32">
      <c r="AC94" s="291">
        <f>'Question 1 - DCF'!$O$11</f>
        <v>47483</v>
      </c>
      <c r="AD94" s="291">
        <f>'Question 1 - DCF'!$O$12</f>
        <v>79381.553074359239</v>
      </c>
      <c r="AE94" s="291">
        <f>'Question 1 - DCF'!$O$19</f>
        <v>28204.265807319836</v>
      </c>
      <c r="AF94" s="291">
        <f>'Question 1 - DCF'!$O$36</f>
        <v>20993.835969675616</v>
      </c>
    </row>
    <row r="98" spans="29:30">
      <c r="AC98" s="284" t="s">
        <v>35</v>
      </c>
      <c r="AD98" s="284" t="s">
        <v>76</v>
      </c>
    </row>
    <row r="99" spans="29:30">
      <c r="AC99" s="291">
        <f>'Question 1 - DCF'!$K$89</f>
        <v>8</v>
      </c>
      <c r="AD99" s="291">
        <f>'Question 1 - DCF'!$K$92</f>
        <v>37.802963558314502</v>
      </c>
    </row>
    <row r="100" spans="29:30">
      <c r="AC100" s="291">
        <f>'Question 1 - DCF'!$L$89</f>
        <v>8.5</v>
      </c>
      <c r="AD100" s="291">
        <f>'Question 1 - DCF'!$L$92</f>
        <v>39.553098010812498</v>
      </c>
    </row>
    <row r="101" spans="29:30">
      <c r="AC101" s="291">
        <f>'Question 1 - DCF'!$M$89</f>
        <v>9</v>
      </c>
      <c r="AD101" s="291">
        <f>'Question 1 - DCF'!$M$92</f>
        <v>41.303232463310401</v>
      </c>
    </row>
    <row r="102" spans="29:30">
      <c r="AC102" s="291">
        <f>'Question 1 - DCF'!$N$89</f>
        <v>9.5</v>
      </c>
      <c r="AD102" s="291">
        <f>'Question 1 - DCF'!$N$92</f>
        <v>43.053366915808397</v>
      </c>
    </row>
    <row r="103" spans="29:30">
      <c r="AC103" s="291">
        <f>'Question 1 - DCF'!$O$89</f>
        <v>10</v>
      </c>
      <c r="AD103" s="291">
        <f>'Question 1 - DCF'!$O$92</f>
        <v>44.8035013683063</v>
      </c>
    </row>
  </sheetData>
  <dataValidations count="1">
    <dataValidation type="list" sqref="B7" xr:uid="{00000000-0002-0000-0000-000000000000}">
      <formula1>"Base,Bull,Bear"</formula1>
    </dataValidation>
  </dataValidations>
  <pageMargins left="0.75" right="0.75" top="1" bottom="1" header="0.5" footer="0.5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BD5E1"/>
  </sheetPr>
  <dimension ref="B1:Z72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2.42578125" defaultRowHeight="11" outlineLevelCol="1"/>
  <cols>
    <col min="1" max="1" width="2" style="9" customWidth="1"/>
    <col min="2" max="2" width="38" style="9" customWidth="1"/>
    <col min="3" max="3" width="22" style="9" hidden="1" customWidth="1"/>
    <col min="4" max="4" width="12.42578125" style="9" hidden="1" customWidth="1" outlineLevel="1"/>
    <col min="5" max="5" width="12.42578125" style="9" customWidth="1" collapsed="1"/>
    <col min="6" max="10" width="12.42578125" style="9" customWidth="1"/>
    <col min="11" max="13" width="12.42578125" style="9" customWidth="1" outlineLevel="1"/>
    <col min="14" max="19" width="12.42578125" style="9" customWidth="1"/>
    <col min="20" max="16384" width="12.4257812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Cash Flow"</f>
        <v>Pfizer Inc - Cash Flow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  <c r="V2" s="137"/>
      <c r="W2" s="137"/>
      <c r="X2" s="137"/>
      <c r="Y2" s="137"/>
      <c r="Z2" s="137"/>
    </row>
    <row r="3" spans="2:26" ht="16" customHeight="1">
      <c r="B3" s="249" t="s">
        <v>541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542</v>
      </c>
      <c r="C4" s="26"/>
      <c r="D4" s="343" t="s">
        <v>487</v>
      </c>
      <c r="E4" s="343" t="s">
        <v>486</v>
      </c>
      <c r="F4" s="343" t="s">
        <v>485</v>
      </c>
      <c r="G4" s="343" t="s">
        <v>484</v>
      </c>
      <c r="H4" s="343" t="s">
        <v>483</v>
      </c>
      <c r="I4" s="343" t="s">
        <v>482</v>
      </c>
      <c r="J4" s="343" t="s">
        <v>481</v>
      </c>
      <c r="K4" s="295" t="s">
        <v>480</v>
      </c>
      <c r="L4" s="295" t="s">
        <v>479</v>
      </c>
      <c r="M4" s="295" t="s">
        <v>478</v>
      </c>
      <c r="N4" s="26"/>
      <c r="O4" s="26"/>
      <c r="P4" s="26"/>
      <c r="Q4" s="26"/>
      <c r="R4" s="26"/>
      <c r="S4" s="26"/>
      <c r="T4" s="26"/>
    </row>
    <row r="5" spans="2:26" ht="15" customHeight="1">
      <c r="B5" s="438" t="s">
        <v>488</v>
      </c>
      <c r="C5" s="26"/>
      <c r="D5" s="440" t="s">
        <v>498</v>
      </c>
      <c r="E5" s="440" t="s">
        <v>497</v>
      </c>
      <c r="F5" s="440" t="s">
        <v>496</v>
      </c>
      <c r="G5" s="440" t="s">
        <v>495</v>
      </c>
      <c r="H5" s="440" t="s">
        <v>494</v>
      </c>
      <c r="I5" s="440" t="s">
        <v>493</v>
      </c>
      <c r="J5" s="440" t="s">
        <v>492</v>
      </c>
      <c r="K5" s="295" t="s">
        <v>491</v>
      </c>
      <c r="L5" s="295" t="s">
        <v>490</v>
      </c>
      <c r="M5" s="295" t="s">
        <v>489</v>
      </c>
      <c r="N5" s="26"/>
      <c r="O5" s="26"/>
      <c r="P5" s="26"/>
      <c r="Q5" s="26"/>
      <c r="R5" s="26"/>
      <c r="S5" s="26"/>
      <c r="T5" s="26"/>
    </row>
    <row r="6" spans="2:26" ht="20.25" customHeight="1">
      <c r="B6" s="306" t="s">
        <v>543</v>
      </c>
      <c r="C6" s="179"/>
      <c r="D6" s="179"/>
      <c r="E6" s="179"/>
      <c r="F6" s="179"/>
      <c r="G6" s="179"/>
      <c r="H6" s="179"/>
      <c r="I6" s="179"/>
      <c r="J6" s="179"/>
      <c r="K6" s="180"/>
      <c r="L6" s="180"/>
      <c r="M6" s="180"/>
      <c r="N6" s="162"/>
      <c r="O6" s="162"/>
      <c r="P6" s="162"/>
      <c r="Q6" s="162"/>
      <c r="R6" s="162"/>
      <c r="S6" s="162"/>
      <c r="T6" s="162"/>
    </row>
    <row r="7" spans="2:26" ht="15" customHeight="1">
      <c r="B7" s="295" t="s">
        <v>544</v>
      </c>
      <c r="C7" s="295" t="s">
        <v>545</v>
      </c>
      <c r="D7" s="446">
        <v>7215</v>
      </c>
      <c r="E7" s="446">
        <v>21308</v>
      </c>
      <c r="F7" s="446">
        <v>11153</v>
      </c>
      <c r="G7" s="446">
        <v>16026</v>
      </c>
      <c r="H7" s="446">
        <v>9159</v>
      </c>
      <c r="I7" s="446">
        <v>21979</v>
      </c>
      <c r="J7" s="446">
        <v>31372</v>
      </c>
      <c r="K7" s="446">
        <v>2119</v>
      </c>
      <c r="L7" s="446">
        <v>8031</v>
      </c>
      <c r="M7" s="446">
        <v>7771</v>
      </c>
      <c r="N7" s="26"/>
      <c r="O7" s="26"/>
      <c r="P7" s="26"/>
      <c r="Q7" s="26"/>
      <c r="R7" s="26"/>
      <c r="S7" s="26"/>
      <c r="T7" s="26"/>
    </row>
    <row r="8" spans="2:26" ht="15" customHeight="1">
      <c r="B8" s="292" t="s">
        <v>546</v>
      </c>
      <c r="C8" s="292" t="s">
        <v>547</v>
      </c>
      <c r="D8" s="310">
        <v>5757</v>
      </c>
      <c r="E8" s="310">
        <v>6269</v>
      </c>
      <c r="F8" s="310">
        <v>6384</v>
      </c>
      <c r="G8" s="310">
        <v>5755</v>
      </c>
      <c r="H8" s="310">
        <v>4681</v>
      </c>
      <c r="I8" s="310">
        <v>5191</v>
      </c>
      <c r="J8" s="310">
        <v>5064</v>
      </c>
      <c r="K8" s="310">
        <v>6290</v>
      </c>
      <c r="L8" s="310">
        <v>7013</v>
      </c>
      <c r="M8" s="310">
        <v>6592</v>
      </c>
      <c r="N8" s="8"/>
      <c r="O8" s="292" t="s">
        <v>97</v>
      </c>
      <c r="P8" s="8"/>
      <c r="Q8" s="8"/>
      <c r="R8" s="327">
        <f>K8/'IS - GAAP'!K6</f>
        <v>0.10561843033213554</v>
      </c>
      <c r="S8" s="327">
        <f>L8/'IS - GAAP'!H14</f>
        <v>0.11022050387414148</v>
      </c>
      <c r="T8" s="327">
        <f>M8/'IS - GAAP'!M6</f>
        <v>0.105338851691462</v>
      </c>
    </row>
    <row r="9" spans="2:26" ht="15" customHeight="1">
      <c r="B9" s="292" t="s">
        <v>548</v>
      </c>
      <c r="C9" s="292" t="s">
        <v>549</v>
      </c>
      <c r="D9" s="310">
        <v>2561</v>
      </c>
      <c r="E9" s="310">
        <v>-12169</v>
      </c>
      <c r="F9" s="310">
        <v>-702</v>
      </c>
      <c r="G9" s="310">
        <v>-9155</v>
      </c>
      <c r="H9" s="310">
        <v>-362</v>
      </c>
      <c r="I9" s="310">
        <v>10179</v>
      </c>
      <c r="J9" s="310">
        <v>-8662</v>
      </c>
      <c r="K9" s="310">
        <v>-3819</v>
      </c>
      <c r="L9" s="310">
        <v>1042</v>
      </c>
      <c r="M9" s="310">
        <v>342</v>
      </c>
      <c r="N9" s="8"/>
      <c r="O9" s="8"/>
      <c r="P9" s="8"/>
      <c r="Q9" s="8"/>
      <c r="R9" s="8"/>
      <c r="S9" s="8"/>
      <c r="T9" s="8"/>
    </row>
    <row r="10" spans="2:26" ht="15" customHeight="1">
      <c r="B10" s="292" t="s">
        <v>550</v>
      </c>
      <c r="C10" s="292" t="s">
        <v>551</v>
      </c>
      <c r="D10" s="310">
        <v>691</v>
      </c>
      <c r="E10" s="310">
        <v>840</v>
      </c>
      <c r="F10" s="310">
        <v>949</v>
      </c>
      <c r="G10" s="310">
        <v>687</v>
      </c>
      <c r="H10" s="310">
        <v>755</v>
      </c>
      <c r="I10" s="310">
        <v>1182</v>
      </c>
      <c r="J10" s="310">
        <v>872</v>
      </c>
      <c r="K10" s="310">
        <v>525</v>
      </c>
      <c r="L10" s="310">
        <v>877</v>
      </c>
      <c r="M10" s="310">
        <v>799</v>
      </c>
      <c r="N10" s="8"/>
      <c r="O10" s="8"/>
      <c r="P10" s="8"/>
      <c r="Q10" s="8"/>
      <c r="R10" s="8"/>
      <c r="S10" s="8"/>
      <c r="T10" s="8"/>
    </row>
    <row r="11" spans="2:26" ht="15" customHeight="1">
      <c r="B11" s="292" t="s">
        <v>552</v>
      </c>
      <c r="C11" s="292" t="s">
        <v>553</v>
      </c>
      <c r="D11" s="310">
        <v>-700</v>
      </c>
      <c r="E11" s="310">
        <v>-13070</v>
      </c>
      <c r="F11" s="310">
        <v>-2205</v>
      </c>
      <c r="G11" s="310">
        <v>561</v>
      </c>
      <c r="H11" s="310">
        <v>-1575</v>
      </c>
      <c r="I11" s="310">
        <v>-4293</v>
      </c>
      <c r="J11" s="310">
        <v>-3764</v>
      </c>
      <c r="K11" s="310">
        <v>-3442</v>
      </c>
      <c r="L11" s="310">
        <v>-2102</v>
      </c>
      <c r="M11" s="310">
        <v>-2133</v>
      </c>
      <c r="N11" s="8"/>
      <c r="O11" s="8"/>
      <c r="P11" s="8"/>
      <c r="Q11" s="8"/>
      <c r="R11" s="8"/>
      <c r="S11" s="8"/>
      <c r="T11" s="8"/>
    </row>
    <row r="12" spans="2:26" ht="15" customHeight="1">
      <c r="B12" s="292" t="s">
        <v>554</v>
      </c>
      <c r="C12" s="292" t="s">
        <v>555</v>
      </c>
      <c r="D12" s="310">
        <v>2570</v>
      </c>
      <c r="E12" s="310">
        <v>61</v>
      </c>
      <c r="F12" s="310">
        <v>554</v>
      </c>
      <c r="G12" s="310">
        <v>-10403</v>
      </c>
      <c r="H12" s="310">
        <v>458</v>
      </c>
      <c r="I12" s="310">
        <v>13290</v>
      </c>
      <c r="J12" s="310">
        <v>-5770</v>
      </c>
      <c r="K12" s="310">
        <v>-902</v>
      </c>
      <c r="L12" s="310">
        <v>2267</v>
      </c>
      <c r="M12" s="310">
        <v>1676</v>
      </c>
      <c r="N12" s="8"/>
      <c r="O12" s="8"/>
      <c r="P12" s="8"/>
      <c r="Q12" s="8"/>
      <c r="R12" s="8"/>
      <c r="S12" s="8"/>
      <c r="T12" s="8"/>
    </row>
    <row r="13" spans="2:26" ht="15" customHeight="1">
      <c r="B13" s="292" t="s">
        <v>556</v>
      </c>
      <c r="C13" s="292" t="s">
        <v>557</v>
      </c>
      <c r="D13" s="310">
        <v>368</v>
      </c>
      <c r="E13" s="310">
        <v>1394</v>
      </c>
      <c r="F13" s="310">
        <v>-1008</v>
      </c>
      <c r="G13" s="310">
        <v>-5610</v>
      </c>
      <c r="H13" s="310">
        <v>-2938</v>
      </c>
      <c r="I13" s="310">
        <v>-4860</v>
      </c>
      <c r="J13" s="310">
        <v>1499</v>
      </c>
      <c r="K13" s="310">
        <v>4095</v>
      </c>
      <c r="L13" s="310">
        <v>-3331</v>
      </c>
      <c r="M13" s="310">
        <v>-2976</v>
      </c>
      <c r="N13" s="8"/>
      <c r="O13" s="8"/>
      <c r="P13" s="8"/>
      <c r="Q13" s="8"/>
      <c r="R13" s="8"/>
      <c r="S13" s="8"/>
      <c r="T13" s="8"/>
    </row>
    <row r="14" spans="2:26" ht="15" customHeight="1">
      <c r="B14" s="292" t="s">
        <v>558</v>
      </c>
      <c r="C14" s="292" t="s">
        <v>559</v>
      </c>
      <c r="D14" s="310">
        <v>-134</v>
      </c>
      <c r="E14" s="310">
        <v>259</v>
      </c>
      <c r="F14" s="310">
        <v>-644</v>
      </c>
      <c r="G14" s="310">
        <v>-1124</v>
      </c>
      <c r="H14" s="310">
        <v>-1275</v>
      </c>
      <c r="I14" s="310">
        <v>-3811</v>
      </c>
      <c r="J14" s="310">
        <v>261</v>
      </c>
      <c r="K14" s="310">
        <v>347</v>
      </c>
      <c r="L14" s="310">
        <v>-109</v>
      </c>
      <c r="M14" s="310">
        <v>-263</v>
      </c>
      <c r="N14" s="8"/>
      <c r="O14" s="8"/>
      <c r="P14" s="8"/>
      <c r="Q14" s="8"/>
      <c r="R14" s="8"/>
      <c r="S14" s="8"/>
      <c r="T14" s="8"/>
    </row>
    <row r="15" spans="2:26" ht="15" customHeight="1">
      <c r="B15" s="292" t="s">
        <v>560</v>
      </c>
      <c r="C15" s="292" t="s">
        <v>561</v>
      </c>
      <c r="D15" s="310">
        <v>365</v>
      </c>
      <c r="E15" s="310">
        <v>-357</v>
      </c>
      <c r="F15" s="310">
        <v>-717</v>
      </c>
      <c r="G15" s="310">
        <v>-1071</v>
      </c>
      <c r="H15" s="310">
        <v>-778</v>
      </c>
      <c r="I15" s="310">
        <v>-1125</v>
      </c>
      <c r="J15" s="310">
        <v>592</v>
      </c>
      <c r="K15" s="310">
        <v>5030</v>
      </c>
      <c r="L15" s="310">
        <v>-854</v>
      </c>
      <c r="M15" s="310">
        <v>561</v>
      </c>
      <c r="N15" s="8"/>
      <c r="O15" s="8"/>
      <c r="P15" s="8"/>
      <c r="Q15" s="8"/>
      <c r="R15" s="8"/>
      <c r="S15" s="8"/>
      <c r="T15" s="8"/>
    </row>
    <row r="16" spans="2:26" ht="15" customHeight="1">
      <c r="B16" s="292" t="s">
        <v>562</v>
      </c>
      <c r="C16" s="292" t="s">
        <v>563</v>
      </c>
      <c r="D16" s="310">
        <v>871</v>
      </c>
      <c r="E16" s="310">
        <v>46</v>
      </c>
      <c r="F16" s="310">
        <v>431</v>
      </c>
      <c r="G16" s="310">
        <v>-341</v>
      </c>
      <c r="H16" s="310">
        <v>355</v>
      </c>
      <c r="I16" s="310">
        <v>1242</v>
      </c>
      <c r="J16" s="310">
        <v>1191</v>
      </c>
      <c r="K16" s="310">
        <v>-300</v>
      </c>
      <c r="L16" s="310">
        <v>-1023</v>
      </c>
      <c r="M16" s="310">
        <v>-469</v>
      </c>
      <c r="N16" s="8"/>
      <c r="O16" s="8"/>
      <c r="P16" s="8"/>
      <c r="Q16" s="8"/>
      <c r="R16" s="8"/>
      <c r="S16" s="8"/>
      <c r="T16" s="8"/>
    </row>
    <row r="17" spans="2:20" ht="15" customHeight="1">
      <c r="B17" s="292" t="s">
        <v>564</v>
      </c>
      <c r="C17" s="292" t="s">
        <v>565</v>
      </c>
      <c r="D17" s="310">
        <v>-734</v>
      </c>
      <c r="E17" s="310">
        <v>1446</v>
      </c>
      <c r="F17" s="310">
        <v>-78</v>
      </c>
      <c r="G17" s="310">
        <v>-3074</v>
      </c>
      <c r="H17" s="310">
        <v>-1240</v>
      </c>
      <c r="I17" s="310">
        <v>-1166</v>
      </c>
      <c r="J17" s="310">
        <v>-545</v>
      </c>
      <c r="K17" s="310">
        <v>-982</v>
      </c>
      <c r="L17" s="310">
        <v>-1345</v>
      </c>
      <c r="M17" s="310">
        <v>-2805</v>
      </c>
      <c r="N17" s="8"/>
      <c r="O17" s="8"/>
      <c r="P17" s="8"/>
      <c r="Q17" s="8"/>
      <c r="R17" s="8"/>
      <c r="S17" s="8"/>
      <c r="T17" s="8"/>
    </row>
    <row r="18" spans="2:20" ht="15" customHeight="1">
      <c r="B18" s="292" t="s">
        <v>566</v>
      </c>
      <c r="C18" s="292" t="s">
        <v>567</v>
      </c>
      <c r="D18" s="310">
        <v>0</v>
      </c>
      <c r="E18" s="447" t="s">
        <v>568</v>
      </c>
      <c r="F18" s="447" t="s">
        <v>568</v>
      </c>
      <c r="G18" s="310">
        <v>5572</v>
      </c>
      <c r="H18" s="310">
        <v>3863</v>
      </c>
      <c r="I18" s="310">
        <v>91</v>
      </c>
      <c r="J18" s="310">
        <v>-6</v>
      </c>
      <c r="K18" s="310">
        <v>15</v>
      </c>
      <c r="L18" s="310">
        <v>-11</v>
      </c>
      <c r="M18" s="310">
        <v>-25</v>
      </c>
      <c r="N18" s="8"/>
      <c r="O18" s="8"/>
      <c r="P18" s="8"/>
      <c r="Q18" s="8"/>
      <c r="R18" s="8"/>
      <c r="S18" s="8"/>
      <c r="T18" s="8"/>
    </row>
    <row r="19" spans="2:20" ht="15" customHeight="1">
      <c r="B19" s="295" t="s">
        <v>543</v>
      </c>
      <c r="C19" s="295" t="s">
        <v>569</v>
      </c>
      <c r="D19" s="448">
        <v>15901</v>
      </c>
      <c r="E19" s="448">
        <v>16802</v>
      </c>
      <c r="F19" s="448">
        <v>15827</v>
      </c>
      <c r="G19" s="448">
        <v>12588</v>
      </c>
      <c r="H19" s="448">
        <v>14403</v>
      </c>
      <c r="I19" s="448">
        <v>32580</v>
      </c>
      <c r="J19" s="448">
        <v>29267</v>
      </c>
      <c r="K19" s="448">
        <v>8700</v>
      </c>
      <c r="L19" s="448">
        <v>12744</v>
      </c>
      <c r="M19" s="448">
        <v>11704</v>
      </c>
      <c r="N19" s="15"/>
      <c r="O19" s="15"/>
      <c r="P19" s="15"/>
      <c r="Q19" s="15"/>
      <c r="R19" s="15"/>
      <c r="S19" s="15"/>
      <c r="T19" s="15"/>
    </row>
    <row r="20" spans="2:20" ht="9.75" customHeight="1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2:20" ht="20.25" customHeight="1">
      <c r="B21" s="306" t="s">
        <v>570</v>
      </c>
      <c r="C21" s="179"/>
      <c r="D21" s="179"/>
      <c r="E21" s="179"/>
      <c r="F21" s="179"/>
      <c r="G21" s="179"/>
      <c r="H21" s="179"/>
      <c r="I21" s="179"/>
      <c r="J21" s="179"/>
      <c r="K21" s="180"/>
      <c r="L21" s="180"/>
      <c r="M21" s="180"/>
      <c r="N21" s="162"/>
      <c r="O21" s="162"/>
      <c r="P21" s="162"/>
      <c r="Q21" s="162"/>
      <c r="R21" s="162"/>
      <c r="S21" s="162"/>
      <c r="T21" s="162"/>
    </row>
    <row r="22" spans="2:20" ht="15" customHeight="1">
      <c r="B22" s="292" t="s">
        <v>571</v>
      </c>
      <c r="C22" s="292" t="s">
        <v>572</v>
      </c>
      <c r="D22" s="310">
        <v>-1999</v>
      </c>
      <c r="E22" s="310">
        <v>-2217</v>
      </c>
      <c r="F22" s="310">
        <v>-2196</v>
      </c>
      <c r="G22" s="310">
        <v>-2046</v>
      </c>
      <c r="H22" s="310">
        <v>-2226</v>
      </c>
      <c r="I22" s="310">
        <v>-2711</v>
      </c>
      <c r="J22" s="310">
        <v>-3236</v>
      </c>
      <c r="K22" s="310">
        <v>-3907</v>
      </c>
      <c r="L22" s="310">
        <v>-2909</v>
      </c>
      <c r="M22" s="310">
        <v>-2629</v>
      </c>
      <c r="N22" s="8"/>
      <c r="O22" s="8"/>
      <c r="P22" s="8"/>
      <c r="Q22" s="8"/>
      <c r="R22" s="8"/>
      <c r="S22" s="8"/>
      <c r="T22" s="8"/>
    </row>
    <row r="23" spans="2:20" ht="15" customHeight="1">
      <c r="B23" s="292" t="s">
        <v>573</v>
      </c>
      <c r="C23" s="292" t="s">
        <v>574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310">
        <v>0</v>
      </c>
      <c r="N23" s="8"/>
      <c r="O23" s="8"/>
      <c r="P23" s="8"/>
      <c r="Q23" s="8"/>
      <c r="R23" s="8"/>
      <c r="S23" s="8"/>
      <c r="T23" s="8"/>
    </row>
    <row r="24" spans="2:20" ht="15" customHeight="1">
      <c r="B24" s="292" t="s">
        <v>575</v>
      </c>
      <c r="C24" s="292" t="s">
        <v>576</v>
      </c>
      <c r="D24" s="310">
        <v>0</v>
      </c>
      <c r="E24" s="310">
        <v>0</v>
      </c>
      <c r="F24" s="310">
        <v>0</v>
      </c>
      <c r="G24" s="310">
        <v>0</v>
      </c>
      <c r="H24" s="310">
        <v>0</v>
      </c>
      <c r="I24" s="310">
        <v>0</v>
      </c>
      <c r="J24" s="310">
        <v>0</v>
      </c>
      <c r="K24" s="310">
        <v>0</v>
      </c>
      <c r="L24" s="310">
        <v>0</v>
      </c>
      <c r="M24" s="310">
        <v>0</v>
      </c>
      <c r="N24" s="8"/>
      <c r="O24" s="8"/>
      <c r="P24" s="8"/>
      <c r="Q24" s="8"/>
      <c r="R24" s="8"/>
      <c r="S24" s="8"/>
      <c r="T24" s="8"/>
    </row>
    <row r="25" spans="2:20" ht="15" customHeight="1">
      <c r="B25" s="292" t="s">
        <v>577</v>
      </c>
      <c r="C25" s="292" t="s">
        <v>578</v>
      </c>
      <c r="D25" s="310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0</v>
      </c>
      <c r="J25" s="310">
        <v>0</v>
      </c>
      <c r="K25" s="310">
        <v>0</v>
      </c>
      <c r="L25" s="310">
        <v>0</v>
      </c>
      <c r="M25" s="310">
        <v>0</v>
      </c>
      <c r="N25" s="8"/>
      <c r="O25" s="8"/>
      <c r="P25" s="8"/>
      <c r="Q25" s="8"/>
      <c r="R25" s="8"/>
      <c r="S25" s="8"/>
      <c r="T25" s="8"/>
    </row>
    <row r="26" spans="2:20" ht="15" customHeight="1">
      <c r="B26" s="292" t="s">
        <v>579</v>
      </c>
      <c r="C26" s="292" t="s">
        <v>580</v>
      </c>
      <c r="D26" s="310">
        <v>-1999</v>
      </c>
      <c r="E26" s="310">
        <v>-2217</v>
      </c>
      <c r="F26" s="310">
        <v>-2196</v>
      </c>
      <c r="G26" s="310">
        <v>-2046</v>
      </c>
      <c r="H26" s="310">
        <v>-2226</v>
      </c>
      <c r="I26" s="310">
        <v>-2711</v>
      </c>
      <c r="J26" s="310">
        <v>-3236</v>
      </c>
      <c r="K26" s="310">
        <v>-3907</v>
      </c>
      <c r="L26" s="310">
        <v>-2909</v>
      </c>
      <c r="M26" s="310">
        <v>-2629</v>
      </c>
      <c r="N26" s="8"/>
      <c r="O26" s="292" t="s">
        <v>415</v>
      </c>
      <c r="P26" s="8"/>
      <c r="Q26" s="8"/>
      <c r="R26" s="327">
        <f>-K26/'IS - GAAP'!K6</f>
        <v>6.5604325486113446E-2</v>
      </c>
      <c r="S26" s="327">
        <f>-L26/'IS - GAAP'!H14</f>
        <v>4.5719584453140963E-2</v>
      </c>
      <c r="T26" s="327">
        <f>-M26/'IS - GAAP'!M6</f>
        <v>4.2010898224644051E-2</v>
      </c>
    </row>
    <row r="27" spans="2:20" ht="15" customHeight="1">
      <c r="B27" s="292" t="s">
        <v>581</v>
      </c>
      <c r="C27" s="292" t="s">
        <v>582</v>
      </c>
      <c r="D27" s="310">
        <v>-1823</v>
      </c>
      <c r="E27" s="310">
        <v>-1956</v>
      </c>
      <c r="F27" s="310">
        <v>-2042</v>
      </c>
      <c r="G27" s="310">
        <v>-2046</v>
      </c>
      <c r="H27" s="310">
        <v>-2226</v>
      </c>
      <c r="I27" s="310">
        <v>-2711</v>
      </c>
      <c r="J27" s="310">
        <v>-3236</v>
      </c>
      <c r="K27" s="310">
        <v>-3907</v>
      </c>
      <c r="L27" s="310">
        <v>-2909</v>
      </c>
      <c r="M27" s="310">
        <v>-2629</v>
      </c>
      <c r="N27" s="8"/>
      <c r="O27" s="8"/>
      <c r="P27" s="8"/>
      <c r="Q27" s="8"/>
      <c r="R27" s="8"/>
      <c r="S27" s="8"/>
      <c r="T27" s="8"/>
    </row>
    <row r="28" spans="2:20" ht="15" customHeight="1">
      <c r="B28" s="292" t="s">
        <v>583</v>
      </c>
      <c r="C28" s="292" t="s">
        <v>584</v>
      </c>
      <c r="D28" s="310">
        <v>-176</v>
      </c>
      <c r="E28" s="310">
        <v>-261</v>
      </c>
      <c r="F28" s="310">
        <v>-154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310">
        <v>0</v>
      </c>
      <c r="N28" s="8"/>
      <c r="O28" s="8"/>
      <c r="P28" s="8"/>
      <c r="Q28" s="8"/>
      <c r="R28" s="8"/>
      <c r="S28" s="8"/>
      <c r="T28" s="8"/>
    </row>
    <row r="29" spans="2:20" ht="15" customHeight="1">
      <c r="B29" s="292" t="s">
        <v>585</v>
      </c>
      <c r="C29" s="292" t="s">
        <v>586</v>
      </c>
      <c r="D29" s="310">
        <v>3243</v>
      </c>
      <c r="E29" s="310">
        <v>42</v>
      </c>
      <c r="F29" s="310">
        <v>4447</v>
      </c>
      <c r="G29" s="310">
        <v>31</v>
      </c>
      <c r="H29" s="310">
        <v>126</v>
      </c>
      <c r="I29" s="310">
        <v>-419</v>
      </c>
      <c r="J29" s="310">
        <v>-1272</v>
      </c>
      <c r="K29" s="310">
        <v>1775</v>
      </c>
      <c r="L29" s="310">
        <v>1390</v>
      </c>
      <c r="M29" s="310">
        <v>801</v>
      </c>
      <c r="N29" s="8"/>
      <c r="O29" s="8"/>
      <c r="P29" s="8"/>
      <c r="Q29" s="8"/>
      <c r="R29" s="8"/>
      <c r="S29" s="8"/>
      <c r="T29" s="8"/>
    </row>
    <row r="30" spans="2:20" ht="15" customHeight="1">
      <c r="B30" s="292" t="s">
        <v>587</v>
      </c>
      <c r="C30" s="292" t="s">
        <v>588</v>
      </c>
      <c r="D30" s="310">
        <v>11254</v>
      </c>
      <c r="E30" s="310">
        <v>3579</v>
      </c>
      <c r="F30" s="310">
        <v>6244</v>
      </c>
      <c r="G30" s="310">
        <v>232</v>
      </c>
      <c r="H30" s="310">
        <v>723</v>
      </c>
      <c r="I30" s="310">
        <v>649</v>
      </c>
      <c r="J30" s="310">
        <v>641</v>
      </c>
      <c r="K30" s="310">
        <v>1979</v>
      </c>
      <c r="L30" s="310">
        <v>1570</v>
      </c>
      <c r="M30" s="310">
        <v>1095</v>
      </c>
      <c r="N30" s="8"/>
      <c r="O30" s="8"/>
      <c r="P30" s="8"/>
      <c r="Q30" s="8"/>
      <c r="R30" s="8"/>
      <c r="S30" s="8"/>
      <c r="T30" s="8"/>
    </row>
    <row r="31" spans="2:20" ht="15" customHeight="1">
      <c r="B31" s="292" t="s">
        <v>589</v>
      </c>
      <c r="C31" s="292" t="s">
        <v>590</v>
      </c>
      <c r="D31" s="310">
        <v>-8011</v>
      </c>
      <c r="E31" s="310">
        <v>-3537</v>
      </c>
      <c r="F31" s="310">
        <v>-1797</v>
      </c>
      <c r="G31" s="310">
        <v>-201</v>
      </c>
      <c r="H31" s="310">
        <v>-597</v>
      </c>
      <c r="I31" s="310">
        <v>-1068</v>
      </c>
      <c r="J31" s="310">
        <v>-1913</v>
      </c>
      <c r="K31" s="310">
        <v>-204</v>
      </c>
      <c r="L31" s="310">
        <v>-180</v>
      </c>
      <c r="M31" s="310">
        <v>-294</v>
      </c>
      <c r="N31" s="8"/>
      <c r="O31" s="8"/>
      <c r="P31" s="8"/>
      <c r="Q31" s="8"/>
      <c r="R31" s="8"/>
      <c r="S31" s="8"/>
      <c r="T31" s="8"/>
    </row>
    <row r="32" spans="2:20" ht="15" customHeight="1">
      <c r="B32" s="292" t="s">
        <v>591</v>
      </c>
      <c r="C32" s="292" t="s">
        <v>592</v>
      </c>
      <c r="D32" s="310">
        <v>-18368</v>
      </c>
      <c r="E32" s="310">
        <v>-1000</v>
      </c>
      <c r="F32" s="310">
        <v>0</v>
      </c>
      <c r="G32" s="310">
        <v>-10861</v>
      </c>
      <c r="H32" s="310">
        <v>0</v>
      </c>
      <c r="I32" s="310">
        <v>0</v>
      </c>
      <c r="J32" s="310">
        <v>-19037</v>
      </c>
      <c r="K32" s="310">
        <v>-43430</v>
      </c>
      <c r="L32" s="310">
        <v>0</v>
      </c>
      <c r="M32" s="310">
        <v>-6927</v>
      </c>
      <c r="N32" s="8"/>
      <c r="O32" s="8"/>
      <c r="P32" s="8"/>
      <c r="Q32" s="8"/>
      <c r="R32" s="8"/>
      <c r="S32" s="8"/>
      <c r="T32" s="8"/>
    </row>
    <row r="33" spans="2:20" ht="15" customHeight="1">
      <c r="B33" s="292" t="s">
        <v>593</v>
      </c>
      <c r="C33" s="292" t="s">
        <v>594</v>
      </c>
      <c r="D33" s="310">
        <v>0</v>
      </c>
      <c r="E33" s="310">
        <v>0</v>
      </c>
      <c r="F33" s="310">
        <v>0</v>
      </c>
      <c r="G33" s="310">
        <v>0</v>
      </c>
      <c r="H33" s="310">
        <v>0</v>
      </c>
      <c r="I33" s="310">
        <v>0</v>
      </c>
      <c r="J33" s="310">
        <v>0</v>
      </c>
      <c r="K33" s="310">
        <v>0</v>
      </c>
      <c r="L33" s="310">
        <v>0</v>
      </c>
      <c r="M33" s="310">
        <v>0</v>
      </c>
      <c r="N33" s="8"/>
      <c r="O33" s="8"/>
      <c r="P33" s="8"/>
      <c r="Q33" s="8"/>
      <c r="R33" s="8"/>
      <c r="S33" s="8"/>
      <c r="T33" s="8"/>
    </row>
    <row r="34" spans="2:20" ht="15" customHeight="1">
      <c r="B34" s="292" t="s">
        <v>595</v>
      </c>
      <c r="C34" s="292" t="s">
        <v>596</v>
      </c>
      <c r="D34" s="310">
        <v>-18368</v>
      </c>
      <c r="E34" s="310">
        <v>-1000</v>
      </c>
      <c r="F34" s="310">
        <v>0</v>
      </c>
      <c r="G34" s="310">
        <v>-10861</v>
      </c>
      <c r="H34" s="310">
        <v>0</v>
      </c>
      <c r="I34" s="310">
        <v>0</v>
      </c>
      <c r="J34" s="310">
        <v>-22997</v>
      </c>
      <c r="K34" s="310">
        <v>-43430</v>
      </c>
      <c r="L34" s="310">
        <v>0</v>
      </c>
      <c r="M34" s="310">
        <v>-6927</v>
      </c>
      <c r="N34" s="8"/>
      <c r="O34" s="8"/>
      <c r="P34" s="8"/>
      <c r="Q34" s="8"/>
      <c r="R34" s="8"/>
      <c r="S34" s="8"/>
      <c r="T34" s="8"/>
    </row>
    <row r="35" spans="2:20" ht="15" customHeight="1">
      <c r="B35" s="292" t="s">
        <v>597</v>
      </c>
      <c r="C35" s="292" t="s">
        <v>598</v>
      </c>
      <c r="D35" s="310">
        <v>0</v>
      </c>
      <c r="E35" s="310">
        <v>0</v>
      </c>
      <c r="F35" s="310">
        <v>0</v>
      </c>
      <c r="G35" s="310">
        <v>0</v>
      </c>
      <c r="H35" s="310">
        <v>0</v>
      </c>
      <c r="I35" s="310">
        <v>0</v>
      </c>
      <c r="J35" s="310">
        <v>3960</v>
      </c>
      <c r="K35" s="310">
        <v>0</v>
      </c>
      <c r="L35" s="310">
        <v>0</v>
      </c>
      <c r="M35" s="310">
        <v>0</v>
      </c>
      <c r="N35" s="8"/>
      <c r="O35" s="8"/>
      <c r="P35" s="8"/>
      <c r="Q35" s="8"/>
      <c r="R35" s="8"/>
      <c r="S35" s="8"/>
      <c r="T35" s="8"/>
    </row>
    <row r="36" spans="2:20" ht="15" customHeight="1">
      <c r="B36" s="292" t="s">
        <v>599</v>
      </c>
      <c r="C36" s="292" t="s">
        <v>600</v>
      </c>
      <c r="D36" s="310">
        <v>9313</v>
      </c>
      <c r="E36" s="310">
        <v>-1565</v>
      </c>
      <c r="F36" s="310">
        <v>2274</v>
      </c>
      <c r="G36" s="310">
        <v>9051</v>
      </c>
      <c r="H36" s="310">
        <v>-2062</v>
      </c>
      <c r="I36" s="310">
        <v>-19404</v>
      </c>
      <c r="J36" s="310">
        <v>7762</v>
      </c>
      <c r="K36" s="310">
        <v>13284</v>
      </c>
      <c r="L36" s="310">
        <v>4171</v>
      </c>
      <c r="M36" s="310">
        <v>7404</v>
      </c>
      <c r="N36" s="8"/>
      <c r="O36" s="8"/>
      <c r="P36" s="8"/>
      <c r="Q36" s="8"/>
      <c r="R36" s="8"/>
      <c r="S36" s="8"/>
      <c r="T36" s="8"/>
    </row>
    <row r="37" spans="2:20" ht="15" customHeight="1">
      <c r="B37" s="292" t="s">
        <v>566</v>
      </c>
      <c r="C37" s="292" t="s">
        <v>601</v>
      </c>
      <c r="D37" s="447" t="s">
        <v>568</v>
      </c>
      <c r="E37" s="447" t="s">
        <v>568</v>
      </c>
      <c r="F37" s="447" t="s">
        <v>568</v>
      </c>
      <c r="G37" s="310">
        <v>-120</v>
      </c>
      <c r="H37" s="310">
        <v>-109</v>
      </c>
      <c r="I37" s="310">
        <v>-12</v>
      </c>
      <c r="J37" s="310">
        <v>0</v>
      </c>
      <c r="K37" s="310">
        <v>0</v>
      </c>
      <c r="L37" s="447" t="s">
        <v>568</v>
      </c>
      <c r="M37" s="447" t="s">
        <v>568</v>
      </c>
      <c r="N37" s="8"/>
      <c r="O37" s="8"/>
      <c r="P37" s="8"/>
      <c r="Q37" s="8"/>
      <c r="R37" s="8"/>
      <c r="S37" s="8"/>
      <c r="T37" s="8"/>
    </row>
    <row r="38" spans="2:20" ht="15" customHeight="1">
      <c r="B38" s="295" t="s">
        <v>570</v>
      </c>
      <c r="C38" s="295" t="s">
        <v>602</v>
      </c>
      <c r="D38" s="448">
        <v>-7811</v>
      </c>
      <c r="E38" s="448">
        <v>-4740</v>
      </c>
      <c r="F38" s="448">
        <v>4525</v>
      </c>
      <c r="G38" s="448">
        <v>-3945</v>
      </c>
      <c r="H38" s="448">
        <v>-4271</v>
      </c>
      <c r="I38" s="448">
        <v>-22546</v>
      </c>
      <c r="J38" s="448">
        <v>-15783</v>
      </c>
      <c r="K38" s="448">
        <v>-32278</v>
      </c>
      <c r="L38" s="448">
        <v>2652</v>
      </c>
      <c r="M38" s="448">
        <v>-1351</v>
      </c>
      <c r="N38" s="15"/>
      <c r="O38" s="15"/>
      <c r="P38" s="15"/>
      <c r="Q38" s="15"/>
      <c r="R38" s="15"/>
      <c r="S38" s="15"/>
      <c r="T38" s="15"/>
    </row>
    <row r="39" spans="2:20" ht="9.7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2:20" ht="20.25" customHeight="1">
      <c r="B40" s="306" t="s">
        <v>603</v>
      </c>
      <c r="C40" s="179"/>
      <c r="D40" s="179"/>
      <c r="E40" s="179"/>
      <c r="F40" s="179"/>
      <c r="G40" s="179"/>
      <c r="H40" s="179"/>
      <c r="I40" s="179"/>
      <c r="J40" s="179"/>
      <c r="K40" s="180"/>
      <c r="L40" s="180"/>
      <c r="M40" s="180"/>
      <c r="N40" s="162"/>
      <c r="O40" s="162"/>
      <c r="P40" s="162"/>
      <c r="Q40" s="162"/>
      <c r="R40" s="162"/>
      <c r="S40" s="162"/>
      <c r="T40" s="162"/>
    </row>
    <row r="41" spans="2:20" ht="15" customHeight="1">
      <c r="B41" s="292" t="s">
        <v>604</v>
      </c>
      <c r="C41" s="292" t="s">
        <v>605</v>
      </c>
      <c r="D41" s="310">
        <v>-7317</v>
      </c>
      <c r="E41" s="310">
        <v>-7659</v>
      </c>
      <c r="F41" s="310">
        <v>-7978</v>
      </c>
      <c r="G41" s="310">
        <v>-8043</v>
      </c>
      <c r="H41" s="310">
        <v>-8440</v>
      </c>
      <c r="I41" s="310">
        <v>-8729</v>
      </c>
      <c r="J41" s="310">
        <v>-8983</v>
      </c>
      <c r="K41" s="310">
        <v>-9247</v>
      </c>
      <c r="L41" s="310">
        <v>-9512</v>
      </c>
      <c r="M41" s="310">
        <v>-9771</v>
      </c>
      <c r="N41" s="8"/>
      <c r="O41" s="8"/>
      <c r="P41" s="8"/>
      <c r="Q41" s="8"/>
      <c r="R41" s="8"/>
      <c r="S41" s="8"/>
      <c r="T41" s="8"/>
    </row>
    <row r="42" spans="2:20" ht="15" customHeight="1">
      <c r="B42" s="292" t="s">
        <v>606</v>
      </c>
      <c r="C42" s="292" t="s">
        <v>607</v>
      </c>
      <c r="D42" s="310">
        <v>2573</v>
      </c>
      <c r="E42" s="310">
        <v>-941</v>
      </c>
      <c r="F42" s="310">
        <v>-935</v>
      </c>
      <c r="G42" s="310">
        <v>8764</v>
      </c>
      <c r="H42" s="310">
        <v>-12755</v>
      </c>
      <c r="I42" s="310">
        <v>-1103</v>
      </c>
      <c r="J42" s="310">
        <v>-3516</v>
      </c>
      <c r="K42" s="310">
        <v>35945</v>
      </c>
      <c r="L42" s="310">
        <v>-7159</v>
      </c>
      <c r="M42" s="310">
        <v>-74</v>
      </c>
      <c r="N42" s="8"/>
      <c r="O42" s="8"/>
      <c r="P42" s="8"/>
      <c r="Q42" s="8"/>
      <c r="R42" s="8"/>
      <c r="S42" s="8"/>
      <c r="T42" s="8"/>
    </row>
    <row r="43" spans="2:20" ht="15" customHeight="1">
      <c r="B43" s="292" t="s">
        <v>608</v>
      </c>
      <c r="C43" s="292" t="s">
        <v>609</v>
      </c>
      <c r="D43" s="310">
        <v>-714</v>
      </c>
      <c r="E43" s="310">
        <v>-61</v>
      </c>
      <c r="F43" s="310">
        <v>-2343</v>
      </c>
      <c r="G43" s="310">
        <v>10628</v>
      </c>
      <c r="H43" s="310">
        <v>-13974</v>
      </c>
      <c r="I43" s="310">
        <v>-96</v>
      </c>
      <c r="J43" s="310">
        <v>-218</v>
      </c>
      <c r="K43" s="310">
        <v>7683</v>
      </c>
      <c r="L43" s="310">
        <v>-4909</v>
      </c>
      <c r="M43" s="310">
        <v>-2995</v>
      </c>
      <c r="N43" s="8"/>
      <c r="O43" s="8"/>
      <c r="P43" s="8"/>
      <c r="Q43" s="8"/>
      <c r="R43" s="8"/>
      <c r="S43" s="8"/>
      <c r="T43" s="8"/>
    </row>
    <row r="44" spans="2:20" ht="15" customHeight="1">
      <c r="B44" s="292" t="s">
        <v>610</v>
      </c>
      <c r="C44" s="292" t="s">
        <v>611</v>
      </c>
      <c r="D44" s="310">
        <v>10976</v>
      </c>
      <c r="E44" s="310">
        <v>5274</v>
      </c>
      <c r="F44" s="310">
        <v>4974</v>
      </c>
      <c r="G44" s="310">
        <v>4942</v>
      </c>
      <c r="H44" s="310">
        <v>5222</v>
      </c>
      <c r="I44" s="310">
        <v>997</v>
      </c>
      <c r="J44" s="310">
        <v>0</v>
      </c>
      <c r="K44" s="310">
        <v>30831</v>
      </c>
      <c r="L44" s="310">
        <v>0</v>
      </c>
      <c r="M44" s="310">
        <v>9678</v>
      </c>
      <c r="N44" s="8"/>
      <c r="O44" s="8"/>
      <c r="P44" s="8"/>
      <c r="Q44" s="8"/>
      <c r="R44" s="8"/>
      <c r="S44" s="8"/>
      <c r="T44" s="8"/>
    </row>
    <row r="45" spans="2:20" ht="15" customHeight="1">
      <c r="B45" s="292" t="s">
        <v>612</v>
      </c>
      <c r="C45" s="292" t="s">
        <v>613</v>
      </c>
      <c r="D45" s="310">
        <v>-7689</v>
      </c>
      <c r="E45" s="310">
        <v>-6154</v>
      </c>
      <c r="F45" s="310">
        <v>-3566</v>
      </c>
      <c r="G45" s="310">
        <v>-6806</v>
      </c>
      <c r="H45" s="310">
        <v>-4003</v>
      </c>
      <c r="I45" s="310">
        <v>-2004</v>
      </c>
      <c r="J45" s="310">
        <v>-3298</v>
      </c>
      <c r="K45" s="310">
        <v>-2569</v>
      </c>
      <c r="L45" s="310">
        <v>-2250</v>
      </c>
      <c r="M45" s="310">
        <v>-6757</v>
      </c>
      <c r="N45" s="8"/>
      <c r="O45" s="8"/>
      <c r="P45" s="8"/>
      <c r="Q45" s="8"/>
      <c r="R45" s="8"/>
      <c r="S45" s="8"/>
      <c r="T45" s="8"/>
    </row>
    <row r="46" spans="2:20" ht="15" customHeight="1">
      <c r="B46" s="292" t="s">
        <v>614</v>
      </c>
      <c r="C46" s="292" t="s">
        <v>615</v>
      </c>
      <c r="D46" s="310">
        <v>-3981</v>
      </c>
      <c r="E46" s="310">
        <v>-4138</v>
      </c>
      <c r="F46" s="310">
        <v>-10939</v>
      </c>
      <c r="G46" s="310">
        <v>-8865</v>
      </c>
      <c r="H46" s="310">
        <v>0</v>
      </c>
      <c r="I46" s="310">
        <v>0</v>
      </c>
      <c r="J46" s="310">
        <v>-2000</v>
      </c>
      <c r="K46" s="310">
        <v>0</v>
      </c>
      <c r="L46" s="310">
        <v>0</v>
      </c>
      <c r="M46" s="310">
        <v>0</v>
      </c>
      <c r="N46" s="8"/>
      <c r="O46" s="8"/>
      <c r="P46" s="8"/>
      <c r="Q46" s="8"/>
      <c r="R46" s="8"/>
      <c r="S46" s="8"/>
      <c r="T46" s="8"/>
    </row>
    <row r="47" spans="2:20" ht="15" customHeight="1">
      <c r="B47" s="292" t="s">
        <v>616</v>
      </c>
      <c r="C47" s="292" t="s">
        <v>617</v>
      </c>
      <c r="D47" s="310">
        <v>1019</v>
      </c>
      <c r="E47" s="310">
        <v>862</v>
      </c>
      <c r="F47" s="310">
        <v>1259</v>
      </c>
      <c r="G47" s="310">
        <v>0</v>
      </c>
      <c r="H47" s="310">
        <v>0</v>
      </c>
      <c r="I47" s="310">
        <v>0</v>
      </c>
      <c r="J47" s="310">
        <v>0</v>
      </c>
      <c r="K47" s="310">
        <v>0</v>
      </c>
      <c r="L47" s="310">
        <v>0</v>
      </c>
      <c r="M47" s="310">
        <v>0</v>
      </c>
      <c r="N47" s="8"/>
      <c r="O47" s="8"/>
      <c r="P47" s="8"/>
      <c r="Q47" s="8"/>
      <c r="R47" s="8"/>
      <c r="S47" s="8"/>
      <c r="T47" s="8"/>
    </row>
    <row r="48" spans="2:20" ht="15" customHeight="1">
      <c r="B48" s="292" t="s">
        <v>618</v>
      </c>
      <c r="C48" s="292" t="s">
        <v>619</v>
      </c>
      <c r="D48" s="310">
        <v>-5000</v>
      </c>
      <c r="E48" s="310">
        <v>-5000</v>
      </c>
      <c r="F48" s="310">
        <v>-12198</v>
      </c>
      <c r="G48" s="310">
        <v>-8865</v>
      </c>
      <c r="H48" s="310">
        <v>0</v>
      </c>
      <c r="I48" s="310">
        <v>0</v>
      </c>
      <c r="J48" s="310">
        <v>-2000</v>
      </c>
      <c r="K48" s="310">
        <v>0</v>
      </c>
      <c r="L48" s="310">
        <v>0</v>
      </c>
      <c r="M48" s="310">
        <v>0</v>
      </c>
      <c r="N48" s="8"/>
      <c r="O48" s="8"/>
      <c r="P48" s="8"/>
      <c r="Q48" s="8"/>
      <c r="R48" s="8"/>
      <c r="S48" s="8"/>
      <c r="T48" s="8"/>
    </row>
    <row r="49" spans="2:20" ht="15" customHeight="1">
      <c r="B49" s="292" t="s">
        <v>620</v>
      </c>
      <c r="C49" s="292" t="s">
        <v>621</v>
      </c>
      <c r="D49" s="310">
        <v>-196</v>
      </c>
      <c r="E49" s="310">
        <v>-612</v>
      </c>
      <c r="F49" s="310">
        <v>-589</v>
      </c>
      <c r="G49" s="310">
        <v>-342</v>
      </c>
      <c r="H49" s="310">
        <v>-445</v>
      </c>
      <c r="I49" s="310">
        <v>16</v>
      </c>
      <c r="J49" s="310">
        <v>-335</v>
      </c>
      <c r="K49" s="310">
        <v>-632</v>
      </c>
      <c r="L49" s="310">
        <v>-469</v>
      </c>
      <c r="M49" s="310">
        <v>-459</v>
      </c>
      <c r="N49" s="8"/>
      <c r="O49" s="8"/>
      <c r="P49" s="8"/>
      <c r="Q49" s="8"/>
      <c r="R49" s="8"/>
      <c r="S49" s="8"/>
      <c r="T49" s="8"/>
    </row>
    <row r="50" spans="2:20" ht="15" customHeight="1">
      <c r="B50" s="292" t="s">
        <v>566</v>
      </c>
      <c r="C50" s="292" t="s">
        <v>622</v>
      </c>
      <c r="D50" s="447" t="s">
        <v>568</v>
      </c>
      <c r="E50" s="447" t="s">
        <v>568</v>
      </c>
      <c r="F50" s="447" t="s">
        <v>568</v>
      </c>
      <c r="G50" s="310">
        <v>0</v>
      </c>
      <c r="H50" s="310">
        <v>11991</v>
      </c>
      <c r="I50" s="310">
        <v>0</v>
      </c>
      <c r="J50" s="447" t="s">
        <v>568</v>
      </c>
      <c r="K50" s="310">
        <v>0</v>
      </c>
      <c r="L50" s="447" t="s">
        <v>568</v>
      </c>
      <c r="M50" s="310">
        <v>0</v>
      </c>
      <c r="N50" s="8"/>
      <c r="O50" s="8"/>
      <c r="P50" s="8"/>
      <c r="Q50" s="8"/>
      <c r="R50" s="8"/>
      <c r="S50" s="8"/>
      <c r="T50" s="8"/>
    </row>
    <row r="51" spans="2:20" ht="15" customHeight="1">
      <c r="B51" s="295" t="s">
        <v>603</v>
      </c>
      <c r="C51" s="295" t="s">
        <v>623</v>
      </c>
      <c r="D51" s="448">
        <v>-8921</v>
      </c>
      <c r="E51" s="448">
        <v>-13350</v>
      </c>
      <c r="F51" s="448">
        <v>-20441</v>
      </c>
      <c r="G51" s="448">
        <v>-8486</v>
      </c>
      <c r="H51" s="448">
        <v>-9649</v>
      </c>
      <c r="I51" s="448">
        <v>-9816</v>
      </c>
      <c r="J51" s="448">
        <v>-14834</v>
      </c>
      <c r="K51" s="448">
        <v>26066</v>
      </c>
      <c r="L51" s="448">
        <v>-17140</v>
      </c>
      <c r="M51" s="448">
        <v>-10304</v>
      </c>
      <c r="N51" s="15"/>
      <c r="O51" s="15"/>
      <c r="P51" s="15"/>
      <c r="Q51" s="15"/>
      <c r="R51" s="15"/>
      <c r="S51" s="15"/>
      <c r="T51" s="15"/>
    </row>
    <row r="52" spans="2:20" ht="9.75" customHeight="1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2:20" ht="15" customHeight="1">
      <c r="B53" s="292" t="s">
        <v>624</v>
      </c>
      <c r="C53" s="292" t="s">
        <v>625</v>
      </c>
      <c r="D53" s="300">
        <v>-215</v>
      </c>
      <c r="E53" s="300">
        <v>53</v>
      </c>
      <c r="F53" s="300">
        <v>-116</v>
      </c>
      <c r="G53" s="300">
        <v>-32</v>
      </c>
      <c r="H53" s="300">
        <v>-8</v>
      </c>
      <c r="I53" s="300">
        <v>-59</v>
      </c>
      <c r="J53" s="300">
        <v>-165</v>
      </c>
      <c r="K53" s="300">
        <v>-40</v>
      </c>
      <c r="L53" s="300">
        <v>-66</v>
      </c>
      <c r="M53" s="300">
        <v>41</v>
      </c>
      <c r="N53" s="8"/>
      <c r="O53" s="8"/>
      <c r="P53" s="8"/>
      <c r="Q53" s="8"/>
      <c r="R53" s="8"/>
      <c r="S53" s="8"/>
      <c r="T53" s="8"/>
    </row>
    <row r="54" spans="2:20" ht="9.75" customHeight="1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2:20" ht="15" customHeight="1">
      <c r="B55" s="295" t="s">
        <v>626</v>
      </c>
      <c r="C55" s="295" t="s">
        <v>627</v>
      </c>
      <c r="D55" s="448">
        <v>-1046</v>
      </c>
      <c r="E55" s="448">
        <v>-1235</v>
      </c>
      <c r="F55" s="448">
        <v>-205</v>
      </c>
      <c r="G55" s="448">
        <v>125</v>
      </c>
      <c r="H55" s="448">
        <v>475</v>
      </c>
      <c r="I55" s="448">
        <v>159</v>
      </c>
      <c r="J55" s="448">
        <v>-1515</v>
      </c>
      <c r="K55" s="448">
        <v>2448</v>
      </c>
      <c r="L55" s="448">
        <v>-1810</v>
      </c>
      <c r="M55" s="448">
        <v>90</v>
      </c>
      <c r="N55" s="15"/>
      <c r="O55" s="15"/>
      <c r="P55" s="15"/>
      <c r="Q55" s="15"/>
      <c r="R55" s="15"/>
      <c r="S55" s="15"/>
      <c r="T55" s="15"/>
    </row>
    <row r="56" spans="2:20" ht="9.75" customHeight="1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2:20" ht="15" customHeight="1">
      <c r="B57" s="295" t="s">
        <v>628</v>
      </c>
      <c r="C57" s="295" t="s">
        <v>629</v>
      </c>
      <c r="D57" s="448">
        <v>2521</v>
      </c>
      <c r="E57" s="448">
        <v>2489</v>
      </c>
      <c r="F57" s="448">
        <v>3655</v>
      </c>
      <c r="G57" s="448">
        <v>3664</v>
      </c>
      <c r="H57" s="448">
        <v>3153</v>
      </c>
      <c r="I57" s="448">
        <v>7427</v>
      </c>
      <c r="J57" s="448">
        <v>7867</v>
      </c>
      <c r="K57" s="448">
        <v>3147</v>
      </c>
      <c r="L57" s="448">
        <v>3605</v>
      </c>
      <c r="M57" s="448">
        <v>4688</v>
      </c>
      <c r="N57" s="15"/>
      <c r="O57" s="15"/>
      <c r="P57" s="15"/>
      <c r="Q57" s="15"/>
      <c r="R57" s="15"/>
      <c r="S57" s="15"/>
      <c r="T57" s="15"/>
    </row>
    <row r="58" spans="2:20" ht="15" customHeight="1">
      <c r="B58" s="295" t="s">
        <v>630</v>
      </c>
      <c r="C58" s="295" t="s">
        <v>631</v>
      </c>
      <c r="D58" s="448">
        <v>1451</v>
      </c>
      <c r="E58" s="448">
        <v>1518</v>
      </c>
      <c r="F58" s="448">
        <v>1311</v>
      </c>
      <c r="G58" s="448">
        <v>1587</v>
      </c>
      <c r="H58" s="448">
        <v>1641</v>
      </c>
      <c r="I58" s="448">
        <v>1467</v>
      </c>
      <c r="J58" s="448">
        <v>1442</v>
      </c>
      <c r="K58" s="448">
        <v>2215</v>
      </c>
      <c r="L58" s="448">
        <v>3227</v>
      </c>
      <c r="M58" s="448">
        <v>2739</v>
      </c>
      <c r="N58" s="15"/>
      <c r="O58" s="15"/>
      <c r="P58" s="15"/>
      <c r="Q58" s="15"/>
      <c r="R58" s="15"/>
      <c r="S58" s="15"/>
      <c r="T58" s="15"/>
    </row>
    <row r="59" spans="2:20" ht="9.75" customHeight="1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2:20" ht="20.25" customHeight="1">
      <c r="B60" s="306" t="s">
        <v>632</v>
      </c>
      <c r="C60" s="179"/>
      <c r="D60" s="179"/>
      <c r="E60" s="179"/>
      <c r="F60" s="179"/>
      <c r="G60" s="179"/>
      <c r="H60" s="179"/>
      <c r="I60" s="179"/>
      <c r="J60" s="179"/>
      <c r="K60" s="180"/>
      <c r="L60" s="180"/>
      <c r="M60" s="180"/>
      <c r="N60" s="162"/>
      <c r="O60" s="162"/>
      <c r="P60" s="162"/>
      <c r="Q60" s="162"/>
      <c r="R60" s="162"/>
      <c r="S60" s="162"/>
      <c r="T60" s="162"/>
    </row>
    <row r="61" spans="2:20" ht="15" customHeight="1">
      <c r="B61" s="292" t="s">
        <v>74</v>
      </c>
      <c r="C61" s="292" t="s">
        <v>74</v>
      </c>
      <c r="D61" s="310">
        <v>17763</v>
      </c>
      <c r="E61" s="310">
        <v>19991</v>
      </c>
      <c r="F61" s="310">
        <v>20385</v>
      </c>
      <c r="G61" s="310">
        <v>20948</v>
      </c>
      <c r="H61" s="310">
        <v>13329</v>
      </c>
      <c r="I61" s="310">
        <v>25131</v>
      </c>
      <c r="J61" s="310">
        <v>40690</v>
      </c>
      <c r="K61" s="310">
        <v>8409</v>
      </c>
      <c r="L61" s="310">
        <v>20084</v>
      </c>
      <c r="M61" s="310">
        <v>21307</v>
      </c>
      <c r="N61" s="8"/>
      <c r="O61" s="8"/>
      <c r="P61" s="8"/>
      <c r="Q61" s="8"/>
      <c r="R61" s="8"/>
      <c r="S61" s="8"/>
      <c r="T61" s="8"/>
    </row>
    <row r="62" spans="2:20" ht="15" customHeight="1">
      <c r="B62" s="292" t="s">
        <v>633</v>
      </c>
      <c r="C62" s="292" t="s">
        <v>634</v>
      </c>
      <c r="D62" s="300">
        <v>33.626800000000003</v>
      </c>
      <c r="E62" s="300">
        <v>38.044800000000002</v>
      </c>
      <c r="F62" s="300">
        <v>37.998399999999997</v>
      </c>
      <c r="G62" s="300">
        <v>51.211300000000001</v>
      </c>
      <c r="H62" s="300">
        <v>32.001600000000003</v>
      </c>
      <c r="I62" s="300">
        <v>30.916</v>
      </c>
      <c r="J62" s="300">
        <v>40.556199999999997</v>
      </c>
      <c r="K62" s="300">
        <v>14.12</v>
      </c>
      <c r="L62" s="300">
        <v>31.565200000000001</v>
      </c>
      <c r="M62" s="300">
        <v>34.048200000000001</v>
      </c>
      <c r="N62" s="8"/>
      <c r="O62" s="8"/>
      <c r="P62" s="8"/>
      <c r="Q62" s="8"/>
      <c r="R62" s="8"/>
      <c r="S62" s="8"/>
      <c r="T62" s="8"/>
    </row>
    <row r="63" spans="2:20" ht="15" customHeight="1">
      <c r="B63" s="292" t="s">
        <v>635</v>
      </c>
      <c r="C63" s="292" t="s">
        <v>636</v>
      </c>
      <c r="D63" s="310">
        <v>18368</v>
      </c>
      <c r="E63" s="310">
        <v>1000</v>
      </c>
      <c r="F63" s="310">
        <v>0</v>
      </c>
      <c r="G63" s="310">
        <v>10861</v>
      </c>
      <c r="H63" s="310">
        <v>0</v>
      </c>
      <c r="I63" s="310">
        <v>0</v>
      </c>
      <c r="J63" s="310">
        <v>22997</v>
      </c>
      <c r="K63" s="310">
        <v>43430</v>
      </c>
      <c r="L63" s="310">
        <v>0</v>
      </c>
      <c r="M63" s="310">
        <v>6927</v>
      </c>
      <c r="N63" s="8"/>
      <c r="O63" s="8"/>
      <c r="P63" s="8"/>
      <c r="Q63" s="8"/>
      <c r="R63" s="8"/>
      <c r="S63" s="8"/>
      <c r="T63" s="8"/>
    </row>
    <row r="64" spans="2:20" ht="15" customHeight="1">
      <c r="B64" s="292" t="s">
        <v>108</v>
      </c>
      <c r="C64" s="292" t="s">
        <v>637</v>
      </c>
      <c r="D64" s="310">
        <v>14078</v>
      </c>
      <c r="E64" s="310">
        <v>14846</v>
      </c>
      <c r="F64" s="310">
        <v>13785</v>
      </c>
      <c r="G64" s="310">
        <v>10542</v>
      </c>
      <c r="H64" s="310">
        <v>12177</v>
      </c>
      <c r="I64" s="310">
        <v>29869</v>
      </c>
      <c r="J64" s="310">
        <v>26031</v>
      </c>
      <c r="K64" s="310">
        <v>4793</v>
      </c>
      <c r="L64" s="310">
        <v>9835</v>
      </c>
      <c r="M64" s="310">
        <v>9075</v>
      </c>
      <c r="N64" s="8"/>
      <c r="O64" s="8"/>
      <c r="P64" s="8"/>
      <c r="Q64" s="8"/>
      <c r="R64" s="8"/>
      <c r="S64" s="8"/>
      <c r="T64" s="8"/>
    </row>
    <row r="65" spans="2:20" ht="15" customHeight="1">
      <c r="B65" s="292" t="s">
        <v>638</v>
      </c>
      <c r="C65" s="292" t="s">
        <v>639</v>
      </c>
      <c r="D65" s="310">
        <v>15104.5128</v>
      </c>
      <c r="E65" s="447" t="s">
        <v>568</v>
      </c>
      <c r="F65" s="310">
        <v>15022.8262</v>
      </c>
      <c r="G65" s="310">
        <v>12033.9949</v>
      </c>
      <c r="H65" s="310">
        <v>13549.8019</v>
      </c>
      <c r="I65" s="310">
        <v>31061.652300000002</v>
      </c>
      <c r="J65" s="310">
        <v>27150.365300000001</v>
      </c>
      <c r="K65" s="447" t="s">
        <v>568</v>
      </c>
      <c r="L65" s="447" t="s">
        <v>568</v>
      </c>
      <c r="M65" s="447" t="s">
        <v>568</v>
      </c>
      <c r="N65" s="8"/>
      <c r="O65" s="8"/>
      <c r="P65" s="8"/>
      <c r="Q65" s="8"/>
      <c r="R65" s="8"/>
      <c r="S65" s="8"/>
      <c r="T65" s="8"/>
    </row>
    <row r="66" spans="2:20" ht="15" customHeight="1">
      <c r="B66" s="292" t="s">
        <v>640</v>
      </c>
      <c r="C66" s="292" t="s">
        <v>641</v>
      </c>
      <c r="D66" s="310">
        <v>16647</v>
      </c>
      <c r="E66" s="310">
        <v>13901</v>
      </c>
      <c r="F66" s="310">
        <v>12847</v>
      </c>
      <c r="G66" s="310">
        <v>19304</v>
      </c>
      <c r="H66" s="310">
        <v>-595</v>
      </c>
      <c r="I66" s="310">
        <v>28766</v>
      </c>
      <c r="J66" s="310">
        <v>22515</v>
      </c>
      <c r="K66" s="310">
        <v>40738</v>
      </c>
      <c r="L66" s="310">
        <v>2676</v>
      </c>
      <c r="M66" s="310">
        <v>9001</v>
      </c>
      <c r="N66" s="8"/>
      <c r="O66" s="8"/>
      <c r="P66" s="8"/>
      <c r="Q66" s="8"/>
      <c r="R66" s="8"/>
      <c r="S66" s="8"/>
      <c r="T66" s="8"/>
    </row>
    <row r="67" spans="2:20" ht="15" customHeight="1">
      <c r="B67" s="292" t="s">
        <v>642</v>
      </c>
      <c r="C67" s="292" t="s">
        <v>643</v>
      </c>
      <c r="D67" s="310">
        <v>2.3119999999999998</v>
      </c>
      <c r="E67" s="310">
        <v>2.4868000000000001</v>
      </c>
      <c r="F67" s="310">
        <v>2.3475999999999999</v>
      </c>
      <c r="G67" s="310">
        <v>1.893</v>
      </c>
      <c r="H67" s="310">
        <v>2.1920999999999999</v>
      </c>
      <c r="I67" s="310">
        <v>5.3327999999999998</v>
      </c>
      <c r="J67" s="310">
        <v>4.6417999999999999</v>
      </c>
      <c r="K67" s="310">
        <v>0.84940000000000004</v>
      </c>
      <c r="L67" s="310">
        <v>1.7363999999999999</v>
      </c>
      <c r="M67" s="310">
        <v>1.5969</v>
      </c>
      <c r="N67" s="8"/>
      <c r="O67" s="8"/>
      <c r="P67" s="8"/>
      <c r="Q67" s="8"/>
      <c r="R67" s="8"/>
      <c r="S67" s="8"/>
      <c r="T67" s="8"/>
    </row>
    <row r="68" spans="2:20" ht="15" customHeight="1">
      <c r="B68" s="292" t="s">
        <v>644</v>
      </c>
      <c r="C68" s="292" t="s">
        <v>645</v>
      </c>
      <c r="D68" s="312">
        <v>14.0482</v>
      </c>
      <c r="E68" s="312">
        <v>14.565099999999999</v>
      </c>
      <c r="F68" s="312">
        <v>18.593599999999999</v>
      </c>
      <c r="G68" s="312">
        <v>20.697500000000002</v>
      </c>
      <c r="H68" s="312">
        <v>16.792300000000001</v>
      </c>
      <c r="I68" s="312">
        <v>11.073</v>
      </c>
      <c r="J68" s="312">
        <v>11.0389</v>
      </c>
      <c r="K68" s="312">
        <v>33.895699999999998</v>
      </c>
      <c r="L68" s="312">
        <v>15.278700000000001</v>
      </c>
      <c r="M68" s="312">
        <v>15.593</v>
      </c>
      <c r="N68" s="8"/>
      <c r="O68" s="8"/>
      <c r="P68" s="8"/>
      <c r="Q68" s="8"/>
      <c r="R68" s="8"/>
      <c r="S68" s="8"/>
      <c r="T68" s="8"/>
    </row>
    <row r="69" spans="2:20" ht="15" customHeight="1">
      <c r="B69" s="292" t="s">
        <v>646</v>
      </c>
      <c r="C69" s="292" t="s">
        <v>647</v>
      </c>
      <c r="D69" s="310">
        <v>2.2039</v>
      </c>
      <c r="E69" s="310">
        <v>0.78849999999999998</v>
      </c>
      <c r="F69" s="310">
        <v>1.4191</v>
      </c>
      <c r="G69" s="310">
        <v>0.78549999999999998</v>
      </c>
      <c r="H69" s="310">
        <v>1.5726</v>
      </c>
      <c r="I69" s="310">
        <v>1.4823</v>
      </c>
      <c r="J69" s="310">
        <v>0.93289999999999995</v>
      </c>
      <c r="K69" s="310">
        <v>4.1056999999999997</v>
      </c>
      <c r="L69" s="310">
        <v>1.5869</v>
      </c>
      <c r="M69" s="310">
        <v>1.5061</v>
      </c>
      <c r="N69" s="8"/>
      <c r="O69" s="8"/>
      <c r="P69" s="8"/>
      <c r="Q69" s="8"/>
      <c r="R69" s="8"/>
      <c r="S69" s="8"/>
      <c r="T69" s="8"/>
    </row>
    <row r="70" spans="2:20" ht="15" customHeight="1">
      <c r="B70" s="306" t="s">
        <v>539</v>
      </c>
      <c r="C70" s="156"/>
      <c r="D70" s="156"/>
      <c r="E70" s="156"/>
      <c r="F70" s="156"/>
      <c r="G70" s="156"/>
      <c r="H70" s="156"/>
      <c r="I70" s="156"/>
      <c r="J70" s="156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 ht="9.75" customHeight="1"/>
    <row r="72" spans="2:20" ht="15" customHeight="1">
      <c r="B72" s="5"/>
      <c r="C72" s="23"/>
      <c r="D72" s="8"/>
      <c r="E72" s="8"/>
      <c r="F72" s="8"/>
      <c r="G72" s="8"/>
      <c r="H72" s="8"/>
      <c r="I72" s="8"/>
      <c r="J72" s="8"/>
      <c r="K72" s="336">
        <f>-K26/'IS - GAAP'!K6</f>
        <v>6.5604325486113446E-2</v>
      </c>
      <c r="L72" s="336">
        <f>-L26/'IS - GAAP'!H14</f>
        <v>4.5719584453140963E-2</v>
      </c>
      <c r="M72" s="336">
        <f>-M26/'IS - GAAP'!M6</f>
        <v>4.2010898224644051E-2</v>
      </c>
      <c r="N72" s="8"/>
      <c r="O72" s="8"/>
      <c r="P72" s="8"/>
      <c r="Q72" s="8"/>
      <c r="R72" s="8"/>
      <c r="S72" s="8"/>
      <c r="T72" s="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BD5E1"/>
  </sheetPr>
  <dimension ref="B1:Z71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2.42578125" defaultRowHeight="11" outlineLevelCol="1"/>
  <cols>
    <col min="1" max="1" width="2" style="9" customWidth="1"/>
    <col min="2" max="2" width="38" style="9" customWidth="1"/>
    <col min="3" max="3" width="22" style="9" hidden="1" customWidth="1"/>
    <col min="4" max="4" width="12.42578125" style="9" hidden="1" customWidth="1" outlineLevel="1"/>
    <col min="5" max="5" width="12.42578125" style="9" customWidth="1" collapsed="1"/>
    <col min="6" max="10" width="12.42578125" style="9" customWidth="1"/>
    <col min="11" max="13" width="12.42578125" style="9" customWidth="1" outlineLevel="1"/>
    <col min="14" max="19" width="12.42578125" style="9" customWidth="1"/>
    <col min="20" max="16384" width="12.4257812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GAAP Income Statement"</f>
        <v>Pfizer Inc - GAAP Income Statement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  <c r="V2" s="137"/>
      <c r="W2" s="137"/>
      <c r="X2" s="137"/>
      <c r="Y2" s="137"/>
      <c r="Z2" s="137"/>
    </row>
    <row r="3" spans="2:26" ht="16" customHeight="1">
      <c r="B3" s="249" t="s">
        <v>648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542</v>
      </c>
      <c r="C4" s="26"/>
      <c r="D4" s="343" t="s">
        <v>487</v>
      </c>
      <c r="E4" s="343" t="s">
        <v>486</v>
      </c>
      <c r="F4" s="343" t="s">
        <v>485</v>
      </c>
      <c r="G4" s="343" t="s">
        <v>484</v>
      </c>
      <c r="H4" s="343" t="s">
        <v>483</v>
      </c>
      <c r="I4" s="343" t="s">
        <v>482</v>
      </c>
      <c r="J4" s="343" t="s">
        <v>481</v>
      </c>
      <c r="K4" s="295" t="s">
        <v>480</v>
      </c>
      <c r="L4" s="295" t="s">
        <v>479</v>
      </c>
      <c r="M4" s="295" t="s">
        <v>478</v>
      </c>
      <c r="N4" s="26"/>
      <c r="O4" s="26"/>
      <c r="P4" s="26"/>
      <c r="Q4" s="26"/>
      <c r="R4" s="26"/>
      <c r="S4" s="26"/>
      <c r="T4" s="26"/>
    </row>
    <row r="5" spans="2:26" ht="15" customHeight="1">
      <c r="B5" s="438" t="s">
        <v>488</v>
      </c>
      <c r="C5" s="26"/>
      <c r="D5" s="440" t="s">
        <v>498</v>
      </c>
      <c r="E5" s="440" t="s">
        <v>497</v>
      </c>
      <c r="F5" s="440" t="s">
        <v>496</v>
      </c>
      <c r="G5" s="440" t="s">
        <v>495</v>
      </c>
      <c r="H5" s="440" t="s">
        <v>494</v>
      </c>
      <c r="I5" s="440" t="s">
        <v>493</v>
      </c>
      <c r="J5" s="440" t="s">
        <v>492</v>
      </c>
      <c r="K5" s="295" t="s">
        <v>491</v>
      </c>
      <c r="M5" s="295" t="s">
        <v>489</v>
      </c>
      <c r="N5" s="26"/>
      <c r="O5" s="26"/>
      <c r="P5" s="26"/>
      <c r="Q5" s="26"/>
      <c r="R5" s="26"/>
      <c r="S5" s="26"/>
      <c r="T5" s="26"/>
    </row>
    <row r="6" spans="2:26" ht="15" customHeight="1">
      <c r="B6" s="295" t="s">
        <v>73</v>
      </c>
      <c r="C6" s="292" t="s">
        <v>649</v>
      </c>
      <c r="D6" s="310">
        <v>52824</v>
      </c>
      <c r="E6" s="310">
        <v>52546</v>
      </c>
      <c r="F6" s="448">
        <v>53647</v>
      </c>
      <c r="G6" s="448">
        <v>40905</v>
      </c>
      <c r="H6" s="448">
        <v>41651</v>
      </c>
      <c r="I6" s="448">
        <v>81288</v>
      </c>
      <c r="J6" s="448">
        <v>100330</v>
      </c>
      <c r="K6" s="448">
        <v>59554</v>
      </c>
      <c r="M6" s="448">
        <v>62579</v>
      </c>
      <c r="N6" s="15"/>
      <c r="O6" s="295" t="s">
        <v>90</v>
      </c>
      <c r="P6" s="15"/>
      <c r="Q6" s="15"/>
      <c r="R6" s="15"/>
      <c r="S6" s="15"/>
      <c r="T6" s="15"/>
    </row>
    <row r="7" spans="2:26" ht="15" customHeight="1">
      <c r="B7" s="292" t="s">
        <v>650</v>
      </c>
      <c r="C7" s="449" t="s">
        <v>651</v>
      </c>
      <c r="D7" s="450">
        <v>52824</v>
      </c>
      <c r="E7" s="450">
        <v>52546</v>
      </c>
      <c r="F7" s="451">
        <v>53647</v>
      </c>
      <c r="G7" s="310">
        <v>40905</v>
      </c>
      <c r="H7" s="310">
        <v>41651</v>
      </c>
      <c r="I7" s="451">
        <v>81288</v>
      </c>
      <c r="J7" s="310">
        <v>91793</v>
      </c>
      <c r="K7" s="451">
        <v>50914</v>
      </c>
      <c r="L7" s="310">
        <v>53816</v>
      </c>
      <c r="M7" s="310">
        <v>51663</v>
      </c>
      <c r="N7" s="8"/>
      <c r="O7" s="8"/>
      <c r="P7" s="8"/>
      <c r="Q7" s="310">
        <f>SUM(I9,I13)</f>
        <v>61855</v>
      </c>
      <c r="R7" s="310">
        <f>SUM(J9,J13)</f>
        <v>65386</v>
      </c>
      <c r="S7" s="8"/>
      <c r="T7" s="8"/>
    </row>
    <row r="8" spans="2:26" ht="15" customHeight="1">
      <c r="B8" s="292" t="s">
        <v>652</v>
      </c>
      <c r="C8" s="449" t="s">
        <v>653</v>
      </c>
      <c r="D8" s="452" t="s">
        <v>568</v>
      </c>
      <c r="E8" s="452" t="s">
        <v>568</v>
      </c>
      <c r="F8" s="453" t="s">
        <v>568</v>
      </c>
      <c r="G8" s="447" t="s">
        <v>568</v>
      </c>
      <c r="H8" s="447" t="s">
        <v>568</v>
      </c>
      <c r="I8" s="453" t="s">
        <v>568</v>
      </c>
      <c r="J8" s="310">
        <v>8537</v>
      </c>
      <c r="K8" s="451">
        <v>8640</v>
      </c>
      <c r="L8" s="310">
        <v>9811</v>
      </c>
      <c r="M8" s="310">
        <v>10916</v>
      </c>
      <c r="N8" s="8"/>
      <c r="O8" s="8"/>
      <c r="P8" s="8"/>
      <c r="Q8" s="8"/>
      <c r="R8" s="8"/>
      <c r="S8" s="8"/>
      <c r="T8" s="8"/>
    </row>
    <row r="9" spans="2:26" ht="15" customHeight="1">
      <c r="B9" s="292" t="s">
        <v>654</v>
      </c>
      <c r="C9" s="449" t="s">
        <v>655</v>
      </c>
      <c r="D9" s="450">
        <v>12329</v>
      </c>
      <c r="E9" s="450">
        <v>11228</v>
      </c>
      <c r="F9" s="451">
        <v>11248</v>
      </c>
      <c r="G9" s="310">
        <v>8054</v>
      </c>
      <c r="H9" s="310">
        <v>8484</v>
      </c>
      <c r="I9" s="451">
        <v>30821</v>
      </c>
      <c r="J9" s="310">
        <v>34344</v>
      </c>
      <c r="K9" s="451">
        <v>24954</v>
      </c>
      <c r="L9" s="310">
        <v>17851</v>
      </c>
      <c r="M9" s="310">
        <v>16067</v>
      </c>
      <c r="N9" s="8"/>
      <c r="O9" s="292" t="s">
        <v>92</v>
      </c>
      <c r="P9" s="8"/>
      <c r="Q9" s="8"/>
      <c r="R9" s="292" t="s">
        <v>480</v>
      </c>
      <c r="S9" s="292" t="s">
        <v>479</v>
      </c>
      <c r="T9" s="292" t="s">
        <v>478</v>
      </c>
    </row>
    <row r="10" spans="2:26" ht="15" customHeight="1">
      <c r="B10" s="292" t="s">
        <v>656</v>
      </c>
      <c r="C10" s="449" t="s">
        <v>657</v>
      </c>
      <c r="D10" s="450">
        <v>12329</v>
      </c>
      <c r="E10" s="450">
        <v>11228</v>
      </c>
      <c r="F10" s="451">
        <v>11248</v>
      </c>
      <c r="G10" s="310">
        <v>8054</v>
      </c>
      <c r="H10" s="310">
        <v>8484</v>
      </c>
      <c r="I10" s="451">
        <v>30821</v>
      </c>
      <c r="J10" s="310">
        <v>34344</v>
      </c>
      <c r="K10" s="451">
        <v>24954</v>
      </c>
      <c r="L10" s="310">
        <v>17851</v>
      </c>
      <c r="M10" s="310">
        <v>16067</v>
      </c>
      <c r="N10" s="8"/>
      <c r="O10" s="8"/>
      <c r="P10" s="8"/>
      <c r="Q10" s="8"/>
      <c r="R10" s="300">
        <f>K9/K6</f>
        <v>0.41901467575645635</v>
      </c>
      <c r="S10" s="300">
        <f>L9/H14</f>
        <v>0.28055699624373298</v>
      </c>
      <c r="T10" s="300">
        <f>M9/M6</f>
        <v>0.25674747119640773</v>
      </c>
    </row>
    <row r="11" spans="2:26" ht="15" customHeight="1">
      <c r="B11" s="295" t="s">
        <v>93</v>
      </c>
      <c r="C11" s="449" t="s">
        <v>658</v>
      </c>
      <c r="D11" s="450">
        <v>40495</v>
      </c>
      <c r="E11" s="450">
        <v>41318</v>
      </c>
      <c r="F11" s="454">
        <v>42399</v>
      </c>
      <c r="G11" s="448">
        <v>32851</v>
      </c>
      <c r="H11" s="448">
        <v>33167</v>
      </c>
      <c r="I11" s="454">
        <v>50467</v>
      </c>
      <c r="J11" s="448">
        <v>65986</v>
      </c>
      <c r="K11" s="454">
        <v>34600</v>
      </c>
      <c r="L11" s="448">
        <v>45776</v>
      </c>
      <c r="M11" s="448">
        <v>46512</v>
      </c>
      <c r="N11" s="15"/>
      <c r="O11" s="15"/>
      <c r="P11" s="15"/>
      <c r="Q11" s="15"/>
      <c r="R11" s="15"/>
      <c r="S11" s="15"/>
      <c r="T11" s="15"/>
    </row>
    <row r="12" spans="2:26" ht="15" customHeight="1">
      <c r="B12" s="292" t="s">
        <v>659</v>
      </c>
      <c r="C12" s="449" t="s">
        <v>660</v>
      </c>
      <c r="D12" s="450">
        <v>0</v>
      </c>
      <c r="E12" s="450">
        <v>0</v>
      </c>
      <c r="F12" s="451">
        <v>0</v>
      </c>
      <c r="G12" s="310">
        <v>0</v>
      </c>
      <c r="H12" s="310">
        <v>0</v>
      </c>
      <c r="I12" s="310">
        <v>0</v>
      </c>
      <c r="J12" s="310">
        <v>0</v>
      </c>
      <c r="K12" s="310">
        <v>0</v>
      </c>
      <c r="L12" s="310">
        <v>0</v>
      </c>
      <c r="M12" s="310">
        <v>0</v>
      </c>
      <c r="N12" s="8"/>
      <c r="O12" s="8"/>
      <c r="P12" s="8"/>
      <c r="Q12" s="8"/>
      <c r="R12" s="8"/>
      <c r="S12" s="8"/>
      <c r="T12" s="8"/>
    </row>
    <row r="13" spans="2:26" ht="15" customHeight="1">
      <c r="B13" s="292" t="s">
        <v>661</v>
      </c>
      <c r="C13" s="449" t="s">
        <v>662</v>
      </c>
      <c r="D13" s="450">
        <v>28489</v>
      </c>
      <c r="E13" s="450">
        <v>27596</v>
      </c>
      <c r="F13" s="451">
        <v>28398</v>
      </c>
      <c r="G13" s="310">
        <v>18034</v>
      </c>
      <c r="H13" s="292" t="s">
        <v>490</v>
      </c>
      <c r="I13" s="310">
        <v>31034</v>
      </c>
      <c r="J13" s="310">
        <v>31042</v>
      </c>
      <c r="K13" s="310">
        <v>33320</v>
      </c>
      <c r="L13" s="310">
        <v>33365</v>
      </c>
      <c r="M13" s="310">
        <v>32268</v>
      </c>
      <c r="N13" s="8"/>
      <c r="O13" s="292" t="s">
        <v>96</v>
      </c>
      <c r="P13" s="8"/>
      <c r="Q13" s="8"/>
      <c r="R13" s="327">
        <f>(K13-CF!K8)/K6</f>
        <v>0.45387379521106896</v>
      </c>
      <c r="S13" s="327">
        <f>(L13-CF!L8)/H14</f>
        <v>0.41416379838747702</v>
      </c>
      <c r="T13" s="327">
        <f>(M13-CF!M8)/M6</f>
        <v>0.41029738410648942</v>
      </c>
    </row>
    <row r="14" spans="2:26" ht="15" customHeight="1">
      <c r="B14" s="292" t="s">
        <v>663</v>
      </c>
      <c r="C14" s="449" t="s">
        <v>664</v>
      </c>
      <c r="D14" s="450">
        <v>14837</v>
      </c>
      <c r="E14" s="450">
        <v>14804</v>
      </c>
      <c r="F14" s="451">
        <v>14455</v>
      </c>
      <c r="G14" s="310">
        <v>12726</v>
      </c>
      <c r="H14" s="455">
        <v>63627</v>
      </c>
      <c r="I14" s="310">
        <v>12703</v>
      </c>
      <c r="J14" s="310">
        <v>13677</v>
      </c>
      <c r="K14" s="310">
        <v>14771</v>
      </c>
      <c r="L14" s="310">
        <v>14730</v>
      </c>
      <c r="M14" s="310">
        <v>13794</v>
      </c>
      <c r="N14" s="8"/>
      <c r="O14" s="8"/>
      <c r="P14" s="8"/>
      <c r="Q14" s="8"/>
      <c r="R14" s="8"/>
      <c r="S14" s="8"/>
      <c r="T14" s="8"/>
    </row>
    <row r="15" spans="2:26" ht="15" customHeight="1">
      <c r="B15" s="292" t="s">
        <v>665</v>
      </c>
      <c r="C15" s="449" t="s">
        <v>666</v>
      </c>
      <c r="D15" s="450">
        <v>7872</v>
      </c>
      <c r="E15" s="450">
        <v>7683</v>
      </c>
      <c r="F15" s="451">
        <v>8006</v>
      </c>
      <c r="G15" s="310">
        <v>8385</v>
      </c>
      <c r="H15" s="310">
        <v>9393</v>
      </c>
      <c r="I15" s="310">
        <v>10360</v>
      </c>
      <c r="J15" s="310">
        <v>11428</v>
      </c>
      <c r="K15" s="310">
        <v>10679</v>
      </c>
      <c r="L15" s="310">
        <v>10822</v>
      </c>
      <c r="M15" s="310">
        <v>10437</v>
      </c>
      <c r="N15" s="8"/>
      <c r="O15" s="8"/>
      <c r="P15" s="8"/>
      <c r="Q15" s="8"/>
      <c r="R15" s="8"/>
      <c r="S15" s="8"/>
      <c r="T15" s="8"/>
    </row>
    <row r="16" spans="2:26" ht="15" customHeight="1">
      <c r="B16" s="292" t="s">
        <v>667</v>
      </c>
      <c r="C16" s="449" t="s">
        <v>668</v>
      </c>
      <c r="D16" s="450">
        <v>5780</v>
      </c>
      <c r="E16" s="450">
        <v>5109</v>
      </c>
      <c r="F16" s="451">
        <v>5937</v>
      </c>
      <c r="G16" s="310">
        <v>-3077</v>
      </c>
      <c r="H16" s="310">
        <v>3921</v>
      </c>
      <c r="I16" s="310">
        <v>7971</v>
      </c>
      <c r="J16" s="310">
        <v>5937</v>
      </c>
      <c r="K16" s="310">
        <v>7870</v>
      </c>
      <c r="L16" s="310">
        <v>7813</v>
      </c>
      <c r="M16" s="310">
        <v>8037</v>
      </c>
      <c r="N16" s="8"/>
      <c r="O16" s="8"/>
      <c r="P16" s="8"/>
      <c r="Q16" s="8"/>
      <c r="R16" s="8"/>
      <c r="S16" s="8"/>
      <c r="T16" s="8"/>
    </row>
    <row r="17" spans="2:20" ht="15" customHeight="1">
      <c r="B17" s="295" t="s">
        <v>669</v>
      </c>
      <c r="C17" s="295" t="s">
        <v>670</v>
      </c>
      <c r="D17" s="448">
        <v>12006</v>
      </c>
      <c r="E17" s="448">
        <v>13722</v>
      </c>
      <c r="F17" s="448">
        <v>14001</v>
      </c>
      <c r="G17" s="448">
        <v>14817</v>
      </c>
      <c r="H17" s="448">
        <v>8256</v>
      </c>
      <c r="I17" s="448">
        <v>19433</v>
      </c>
      <c r="J17" s="448">
        <v>34944</v>
      </c>
      <c r="K17" s="448">
        <v>1280</v>
      </c>
      <c r="L17" s="448">
        <v>12411</v>
      </c>
      <c r="M17" s="448">
        <v>14244</v>
      </c>
      <c r="N17" s="15"/>
      <c r="O17" s="15"/>
      <c r="P17" s="15"/>
      <c r="Q17" s="15"/>
      <c r="R17" s="15"/>
      <c r="S17" s="15"/>
      <c r="T17" s="15"/>
    </row>
    <row r="18" spans="2:20" ht="15" customHeight="1">
      <c r="B18" s="292" t="s">
        <v>671</v>
      </c>
      <c r="C18" s="292" t="s">
        <v>672</v>
      </c>
      <c r="D18" s="310">
        <v>3655</v>
      </c>
      <c r="E18" s="310">
        <v>1417</v>
      </c>
      <c r="F18" s="310">
        <v>2116</v>
      </c>
      <c r="G18" s="310">
        <v>3496</v>
      </c>
      <c r="H18" s="310">
        <v>1220</v>
      </c>
      <c r="I18" s="310">
        <v>-4878</v>
      </c>
      <c r="J18" s="310">
        <v>215</v>
      </c>
      <c r="K18" s="310">
        <v>222</v>
      </c>
      <c r="L18" s="310">
        <v>4388</v>
      </c>
      <c r="M18" s="310">
        <v>6724</v>
      </c>
      <c r="N18" s="8"/>
      <c r="O18" s="292" t="s">
        <v>101</v>
      </c>
      <c r="P18" s="8"/>
      <c r="Q18" s="8"/>
      <c r="R18" s="8"/>
      <c r="S18" s="8"/>
      <c r="T18" s="8"/>
    </row>
    <row r="19" spans="2:20" ht="15" customHeight="1">
      <c r="B19" s="292" t="s">
        <v>673</v>
      </c>
      <c r="C19" s="292" t="s">
        <v>674</v>
      </c>
      <c r="D19" s="310">
        <v>716</v>
      </c>
      <c r="E19" s="310">
        <v>879</v>
      </c>
      <c r="F19" s="310">
        <v>983</v>
      </c>
      <c r="G19" s="310">
        <v>1348</v>
      </c>
      <c r="H19" s="310">
        <v>1376</v>
      </c>
      <c r="I19" s="310">
        <v>1255</v>
      </c>
      <c r="J19" s="310">
        <v>987</v>
      </c>
      <c r="K19" s="310">
        <v>585</v>
      </c>
      <c r="L19" s="310">
        <v>2546</v>
      </c>
      <c r="M19" s="310">
        <v>2068</v>
      </c>
      <c r="N19" s="8"/>
      <c r="O19" s="292" t="s">
        <v>385</v>
      </c>
      <c r="P19" s="8"/>
      <c r="Q19" s="8"/>
      <c r="R19" s="8"/>
      <c r="S19" s="8"/>
      <c r="T19" s="8"/>
    </row>
    <row r="20" spans="2:20" ht="15" customHeight="1">
      <c r="B20" s="292" t="s">
        <v>675</v>
      </c>
      <c r="C20" s="449" t="s">
        <v>676</v>
      </c>
      <c r="D20" s="450">
        <v>1186</v>
      </c>
      <c r="E20" s="310">
        <v>1270</v>
      </c>
      <c r="F20" s="310">
        <v>1316</v>
      </c>
      <c r="G20" s="310">
        <v>1573</v>
      </c>
      <c r="H20" s="310">
        <v>1449</v>
      </c>
      <c r="I20" s="451">
        <v>1291</v>
      </c>
      <c r="J20" s="451">
        <v>1238</v>
      </c>
      <c r="K20" s="451">
        <v>2209</v>
      </c>
      <c r="L20" s="451">
        <v>3091</v>
      </c>
      <c r="M20" s="310">
        <v>2671</v>
      </c>
      <c r="N20" s="8"/>
      <c r="O20" s="8"/>
      <c r="P20" s="8"/>
      <c r="Q20" s="8"/>
      <c r="R20" s="8"/>
      <c r="S20" s="8"/>
      <c r="T20" s="8"/>
    </row>
    <row r="21" spans="2:20" ht="15" customHeight="1">
      <c r="B21" s="292" t="s">
        <v>677</v>
      </c>
      <c r="C21" s="449" t="s">
        <v>678</v>
      </c>
      <c r="D21" s="450">
        <v>470</v>
      </c>
      <c r="E21" s="310">
        <v>391</v>
      </c>
      <c r="F21" s="310">
        <v>333</v>
      </c>
      <c r="G21" s="310">
        <v>225</v>
      </c>
      <c r="H21" s="310">
        <v>73</v>
      </c>
      <c r="I21" s="451">
        <v>36</v>
      </c>
      <c r="J21" s="451">
        <v>251</v>
      </c>
      <c r="K21" s="451">
        <v>1624</v>
      </c>
      <c r="L21" s="451">
        <v>545</v>
      </c>
      <c r="M21" s="310">
        <v>603</v>
      </c>
      <c r="N21" s="8"/>
      <c r="O21" s="8"/>
      <c r="P21" s="8"/>
      <c r="Q21" s="310">
        <f>J20-J21</f>
        <v>987</v>
      </c>
      <c r="R21" s="8"/>
      <c r="S21" s="8"/>
      <c r="T21" s="8"/>
    </row>
    <row r="22" spans="2:20" ht="15" customHeight="1">
      <c r="B22" s="292" t="s">
        <v>679</v>
      </c>
      <c r="C22" s="449" t="s">
        <v>680</v>
      </c>
      <c r="D22" s="450">
        <v>0</v>
      </c>
      <c r="E22" s="310">
        <v>0</v>
      </c>
      <c r="F22" s="310">
        <v>0</v>
      </c>
      <c r="G22" s="310">
        <v>0</v>
      </c>
      <c r="H22" s="310">
        <v>0</v>
      </c>
      <c r="I22" s="451">
        <v>0</v>
      </c>
      <c r="J22" s="451">
        <v>0</v>
      </c>
      <c r="K22" s="451">
        <v>0</v>
      </c>
      <c r="L22" s="451">
        <v>0</v>
      </c>
      <c r="M22" s="310">
        <v>0</v>
      </c>
      <c r="N22" s="8"/>
      <c r="O22" s="8"/>
      <c r="P22" s="8"/>
      <c r="Q22" s="310">
        <f>Q21+J23</f>
        <v>215</v>
      </c>
      <c r="R22" s="8"/>
      <c r="S22" s="8"/>
      <c r="T22" s="8"/>
    </row>
    <row r="23" spans="2:20" ht="15" customHeight="1">
      <c r="B23" s="292" t="s">
        <v>681</v>
      </c>
      <c r="C23" s="449" t="s">
        <v>682</v>
      </c>
      <c r="D23" s="450">
        <v>2939</v>
      </c>
      <c r="E23" s="310">
        <v>538</v>
      </c>
      <c r="F23" s="310">
        <v>1133</v>
      </c>
      <c r="G23" s="310">
        <v>2148</v>
      </c>
      <c r="H23" s="310">
        <v>-156</v>
      </c>
      <c r="I23" s="451">
        <v>-6133</v>
      </c>
      <c r="J23" s="451">
        <v>-772</v>
      </c>
      <c r="K23" s="451">
        <v>-363</v>
      </c>
      <c r="L23" s="451">
        <v>1842</v>
      </c>
      <c r="M23" s="310">
        <v>4656</v>
      </c>
      <c r="N23" s="8"/>
      <c r="O23" s="292" t="s">
        <v>384</v>
      </c>
      <c r="P23" s="8"/>
      <c r="Q23" s="8"/>
      <c r="R23" s="8"/>
      <c r="S23" s="8"/>
      <c r="T23" s="8"/>
    </row>
    <row r="24" spans="2:20" ht="15" customHeight="1">
      <c r="B24" s="295" t="s">
        <v>683</v>
      </c>
      <c r="C24" s="449" t="s">
        <v>684</v>
      </c>
      <c r="D24" s="450">
        <v>8351</v>
      </c>
      <c r="E24" s="448">
        <v>12305</v>
      </c>
      <c r="F24" s="448">
        <v>11885</v>
      </c>
      <c r="G24" s="448">
        <v>11321</v>
      </c>
      <c r="H24" s="448">
        <v>7036</v>
      </c>
      <c r="I24" s="454">
        <v>24311</v>
      </c>
      <c r="J24" s="454">
        <v>34729</v>
      </c>
      <c r="K24" s="454">
        <v>1058</v>
      </c>
      <c r="L24" s="454">
        <v>8023</v>
      </c>
      <c r="M24" s="448">
        <v>7520</v>
      </c>
      <c r="N24" s="15"/>
      <c r="O24" s="15"/>
      <c r="P24" s="15"/>
      <c r="Q24" s="15"/>
      <c r="R24" s="15"/>
      <c r="S24" s="15"/>
      <c r="T24" s="15"/>
    </row>
    <row r="25" spans="2:20" ht="15" customHeight="1">
      <c r="B25" s="292" t="s">
        <v>685</v>
      </c>
      <c r="C25" s="449" t="s">
        <v>686</v>
      </c>
      <c r="D25" s="450">
        <v>1123</v>
      </c>
      <c r="E25" s="310">
        <v>-9048</v>
      </c>
      <c r="F25" s="310">
        <v>706</v>
      </c>
      <c r="G25" s="310">
        <v>583</v>
      </c>
      <c r="H25" s="310">
        <v>370</v>
      </c>
      <c r="I25" s="310">
        <v>1852</v>
      </c>
      <c r="J25" s="310">
        <v>3328</v>
      </c>
      <c r="K25" s="310">
        <v>-1115</v>
      </c>
      <c r="L25" s="310">
        <v>-28</v>
      </c>
      <c r="M25" s="310">
        <v>-267</v>
      </c>
      <c r="N25" s="8"/>
      <c r="O25" s="292" t="s">
        <v>387</v>
      </c>
      <c r="P25" s="8"/>
      <c r="Q25" s="8"/>
      <c r="R25" s="8"/>
      <c r="S25" s="8"/>
      <c r="T25" s="8"/>
    </row>
    <row r="26" spans="2:20" ht="15" customHeight="1">
      <c r="B26" s="292" t="s">
        <v>687</v>
      </c>
      <c r="C26" s="449" t="s">
        <v>688</v>
      </c>
      <c r="D26" s="450">
        <v>1823</v>
      </c>
      <c r="E26" s="310">
        <v>17156</v>
      </c>
      <c r="F26" s="310">
        <v>472</v>
      </c>
      <c r="G26" s="310">
        <v>210</v>
      </c>
      <c r="H26" s="310">
        <v>1944</v>
      </c>
      <c r="I26" s="310">
        <v>6145</v>
      </c>
      <c r="J26" s="310">
        <v>7092</v>
      </c>
      <c r="K26" s="310">
        <v>2327</v>
      </c>
      <c r="L26" s="310">
        <v>2074</v>
      </c>
      <c r="M26" s="310">
        <v>1866</v>
      </c>
      <c r="N26" s="8"/>
      <c r="O26" s="8"/>
      <c r="P26" s="8"/>
      <c r="Q26" s="8"/>
      <c r="R26" s="8"/>
      <c r="S26" s="8"/>
      <c r="T26" s="8"/>
    </row>
    <row r="27" spans="2:20" ht="15" customHeight="1">
      <c r="B27" s="292" t="s">
        <v>689</v>
      </c>
      <c r="C27" s="449" t="s">
        <v>690</v>
      </c>
      <c r="D27" s="450">
        <v>-700</v>
      </c>
      <c r="E27" s="310">
        <v>-26204</v>
      </c>
      <c r="F27" s="310">
        <v>234</v>
      </c>
      <c r="G27" s="310">
        <v>373</v>
      </c>
      <c r="H27" s="310">
        <v>-1574</v>
      </c>
      <c r="I27" s="310">
        <v>-4293</v>
      </c>
      <c r="J27" s="310">
        <v>-3764</v>
      </c>
      <c r="K27" s="310">
        <v>-3442</v>
      </c>
      <c r="L27" s="310">
        <v>-2102</v>
      </c>
      <c r="M27" s="310">
        <v>-2133</v>
      </c>
      <c r="N27" s="8"/>
      <c r="O27" s="8"/>
      <c r="P27" s="8"/>
      <c r="Q27" s="8"/>
      <c r="R27" s="8"/>
      <c r="S27" s="8"/>
      <c r="T27" s="8"/>
    </row>
    <row r="28" spans="2:20" ht="15" customHeight="1">
      <c r="B28" s="295" t="s">
        <v>691</v>
      </c>
      <c r="C28" s="449" t="s">
        <v>692</v>
      </c>
      <c r="D28" s="450">
        <v>7228</v>
      </c>
      <c r="E28" s="448">
        <v>21353</v>
      </c>
      <c r="F28" s="448">
        <v>11179</v>
      </c>
      <c r="G28" s="448">
        <v>10738</v>
      </c>
      <c r="H28" s="448">
        <v>6666</v>
      </c>
      <c r="I28" s="448">
        <v>22459</v>
      </c>
      <c r="J28" s="448">
        <v>31401</v>
      </c>
      <c r="K28" s="448">
        <v>2173</v>
      </c>
      <c r="L28" s="448">
        <v>8051</v>
      </c>
      <c r="M28" s="448">
        <v>7787</v>
      </c>
      <c r="N28" s="15"/>
      <c r="O28" s="15"/>
      <c r="P28" s="15"/>
      <c r="Q28" s="15"/>
      <c r="R28" s="15"/>
      <c r="S28" s="15"/>
      <c r="T28" s="15"/>
    </row>
    <row r="29" spans="2:20" ht="15" customHeight="1">
      <c r="B29" s="292" t="s">
        <v>693</v>
      </c>
      <c r="C29" s="449" t="s">
        <v>694</v>
      </c>
      <c r="D29" s="450">
        <v>-18</v>
      </c>
      <c r="E29" s="310">
        <v>-2</v>
      </c>
      <c r="F29" s="310">
        <v>-10</v>
      </c>
      <c r="G29" s="310">
        <v>-5318</v>
      </c>
      <c r="H29" s="310">
        <v>-2529</v>
      </c>
      <c r="I29" s="310">
        <v>434</v>
      </c>
      <c r="J29" s="310">
        <v>-6</v>
      </c>
      <c r="K29" s="310">
        <v>15</v>
      </c>
      <c r="L29" s="310">
        <v>-11</v>
      </c>
      <c r="M29" s="310">
        <v>-25</v>
      </c>
      <c r="N29" s="8"/>
      <c r="O29" s="292" t="s">
        <v>389</v>
      </c>
      <c r="P29" s="8"/>
      <c r="Q29" s="8"/>
      <c r="R29" s="8"/>
      <c r="S29" s="8"/>
      <c r="T29" s="8"/>
    </row>
    <row r="30" spans="2:20" ht="15" customHeight="1">
      <c r="B30" s="292" t="s">
        <v>695</v>
      </c>
      <c r="C30" s="449" t="s">
        <v>696</v>
      </c>
      <c r="D30" s="450">
        <v>-18</v>
      </c>
      <c r="E30" s="310">
        <v>-2</v>
      </c>
      <c r="F30" s="310">
        <v>-10</v>
      </c>
      <c r="G30" s="310">
        <v>-5318</v>
      </c>
      <c r="H30" s="310">
        <v>-2529</v>
      </c>
      <c r="I30" s="310">
        <v>434</v>
      </c>
      <c r="J30" s="310">
        <v>-6</v>
      </c>
      <c r="K30" s="310">
        <v>15</v>
      </c>
      <c r="L30" s="310">
        <v>-11</v>
      </c>
      <c r="M30" s="310">
        <v>-25</v>
      </c>
      <c r="N30" s="8"/>
      <c r="O30" s="8"/>
      <c r="P30" s="8"/>
      <c r="Q30" s="8"/>
      <c r="R30" s="8"/>
      <c r="S30" s="8"/>
      <c r="T30" s="8"/>
    </row>
    <row r="31" spans="2:20" ht="15" customHeight="1">
      <c r="B31" s="292" t="s">
        <v>697</v>
      </c>
      <c r="C31" s="449" t="s">
        <v>698</v>
      </c>
      <c r="D31" s="45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310">
        <v>0</v>
      </c>
      <c r="N31" s="8"/>
      <c r="O31" s="8"/>
      <c r="P31" s="8"/>
      <c r="Q31" s="8"/>
      <c r="R31" s="8"/>
      <c r="S31" s="8"/>
      <c r="T31" s="8"/>
    </row>
    <row r="32" spans="2:20" ht="15" customHeight="1">
      <c r="B32" s="295" t="s">
        <v>699</v>
      </c>
      <c r="C32" s="295" t="s">
        <v>700</v>
      </c>
      <c r="D32" s="448">
        <v>7246</v>
      </c>
      <c r="E32" s="448">
        <v>21355</v>
      </c>
      <c r="F32" s="448">
        <v>11189</v>
      </c>
      <c r="G32" s="448">
        <v>16056</v>
      </c>
      <c r="H32" s="448">
        <v>9195</v>
      </c>
      <c r="I32" s="448">
        <v>22025</v>
      </c>
      <c r="J32" s="448">
        <v>31407</v>
      </c>
      <c r="K32" s="448">
        <v>2158</v>
      </c>
      <c r="L32" s="448">
        <v>8062</v>
      </c>
      <c r="M32" s="448">
        <v>7812</v>
      </c>
      <c r="N32" s="15"/>
      <c r="O32" s="15"/>
      <c r="P32" s="15"/>
      <c r="Q32" s="15"/>
      <c r="R32" s="15"/>
      <c r="S32" s="15"/>
      <c r="T32" s="15"/>
    </row>
    <row r="33" spans="2:20" ht="15" customHeight="1">
      <c r="B33" s="292" t="s">
        <v>701</v>
      </c>
      <c r="C33" s="292" t="s">
        <v>702</v>
      </c>
      <c r="D33" s="310">
        <v>31</v>
      </c>
      <c r="E33" s="310">
        <v>47</v>
      </c>
      <c r="F33" s="310">
        <v>36</v>
      </c>
      <c r="G33" s="310">
        <v>30</v>
      </c>
      <c r="H33" s="310">
        <v>36</v>
      </c>
      <c r="I33" s="310">
        <v>46</v>
      </c>
      <c r="J33" s="310">
        <v>35</v>
      </c>
      <c r="K33" s="310">
        <v>39</v>
      </c>
      <c r="L33" s="310">
        <v>31</v>
      </c>
      <c r="M33" s="310">
        <v>41</v>
      </c>
      <c r="N33" s="8"/>
      <c r="O33" s="292" t="s">
        <v>391</v>
      </c>
      <c r="P33" s="8"/>
      <c r="Q33" s="8"/>
      <c r="R33" s="8"/>
      <c r="S33" s="8"/>
      <c r="T33" s="8"/>
    </row>
    <row r="34" spans="2:20" ht="15" customHeight="1">
      <c r="B34" s="313" t="s">
        <v>703</v>
      </c>
      <c r="C34" s="313" t="s">
        <v>704</v>
      </c>
      <c r="D34" s="456">
        <v>7215</v>
      </c>
      <c r="E34" s="456">
        <v>21308</v>
      </c>
      <c r="F34" s="456">
        <v>11153</v>
      </c>
      <c r="G34" s="456">
        <v>16026</v>
      </c>
      <c r="H34" s="456">
        <v>9159</v>
      </c>
      <c r="I34" s="456">
        <v>21979</v>
      </c>
      <c r="J34" s="456">
        <v>31372</v>
      </c>
      <c r="K34" s="456">
        <v>2119</v>
      </c>
      <c r="L34" s="456">
        <v>8031</v>
      </c>
      <c r="M34" s="456">
        <v>7771</v>
      </c>
      <c r="N34" s="4"/>
      <c r="O34" s="4"/>
      <c r="P34" s="4"/>
      <c r="Q34" s="4"/>
      <c r="R34" s="4"/>
      <c r="S34" s="4"/>
      <c r="T34" s="4"/>
    </row>
    <row r="35" spans="2:20" ht="15" customHeight="1">
      <c r="B35" s="153"/>
      <c r="C35" s="153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30"/>
      <c r="O35" s="30"/>
      <c r="P35" s="30"/>
      <c r="Q35" s="30"/>
      <c r="R35" s="30"/>
      <c r="S35" s="30"/>
      <c r="T35" s="30"/>
    </row>
    <row r="36" spans="2:20" ht="15" customHeight="1">
      <c r="B36" s="292" t="s">
        <v>705</v>
      </c>
      <c r="C36" s="436" t="s">
        <v>706</v>
      </c>
      <c r="D36" s="310">
        <v>2</v>
      </c>
      <c r="E36" s="310">
        <v>1</v>
      </c>
      <c r="F36" s="310">
        <v>1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310">
        <v>0</v>
      </c>
      <c r="N36" s="8"/>
      <c r="O36" s="292" t="s">
        <v>390</v>
      </c>
      <c r="P36" s="8"/>
      <c r="Q36" s="8"/>
      <c r="R36" s="8"/>
      <c r="S36" s="8"/>
      <c r="T36" s="8"/>
    </row>
    <row r="37" spans="2:20" ht="15" customHeight="1">
      <c r="B37" s="292" t="s">
        <v>707</v>
      </c>
      <c r="C37" s="436" t="s">
        <v>708</v>
      </c>
      <c r="D37" s="310">
        <v>0</v>
      </c>
      <c r="E37" s="310">
        <v>0</v>
      </c>
      <c r="F37" s="310">
        <v>0</v>
      </c>
      <c r="G37" s="310">
        <v>0</v>
      </c>
      <c r="H37" s="310">
        <v>0</v>
      </c>
      <c r="I37" s="310">
        <v>0</v>
      </c>
      <c r="J37" s="310">
        <v>0</v>
      </c>
      <c r="K37" s="310">
        <v>0</v>
      </c>
      <c r="L37" s="310">
        <v>0</v>
      </c>
      <c r="M37" s="310">
        <v>0</v>
      </c>
      <c r="N37" s="8"/>
      <c r="O37" s="8"/>
      <c r="P37" s="8"/>
      <c r="Q37" s="8"/>
      <c r="R37" s="8"/>
      <c r="S37" s="8"/>
      <c r="T37" s="8"/>
    </row>
    <row r="38" spans="2:20" ht="15" customHeight="1">
      <c r="B38" s="313" t="s">
        <v>709</v>
      </c>
      <c r="C38" s="457" t="s">
        <v>710</v>
      </c>
      <c r="D38" s="456">
        <v>7213</v>
      </c>
      <c r="E38" s="456">
        <v>21307</v>
      </c>
      <c r="F38" s="456">
        <v>11152</v>
      </c>
      <c r="G38" s="456">
        <v>16026</v>
      </c>
      <c r="H38" s="456">
        <v>9159</v>
      </c>
      <c r="I38" s="456">
        <v>21979</v>
      </c>
      <c r="J38" s="456">
        <v>31372</v>
      </c>
      <c r="K38" s="456">
        <v>2119</v>
      </c>
      <c r="L38" s="456">
        <v>8031</v>
      </c>
      <c r="M38" s="456">
        <v>7771</v>
      </c>
      <c r="N38" s="4"/>
      <c r="O38" s="4"/>
      <c r="P38" s="4"/>
      <c r="Q38" s="4"/>
      <c r="R38" s="4"/>
      <c r="S38" s="4"/>
      <c r="T38" s="4"/>
    </row>
    <row r="39" spans="2:20" ht="9.75" customHeight="1">
      <c r="B39" s="18"/>
      <c r="C39" s="191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2:20" ht="15" customHeight="1">
      <c r="B40" s="295" t="s">
        <v>711</v>
      </c>
      <c r="C40" s="458" t="s">
        <v>710</v>
      </c>
      <c r="D40" s="448">
        <v>12907.85</v>
      </c>
      <c r="E40" s="448">
        <v>12462.457399999999</v>
      </c>
      <c r="F40" s="448">
        <v>13521.3282</v>
      </c>
      <c r="G40" s="448">
        <v>7103.11</v>
      </c>
      <c r="H40" s="448">
        <v>10627.6623</v>
      </c>
      <c r="I40" s="448">
        <v>23502.6492</v>
      </c>
      <c r="J40" s="448">
        <v>35535.941400000003</v>
      </c>
      <c r="K40" s="448">
        <v>7004.8861999999999</v>
      </c>
      <c r="L40" s="448">
        <v>13096.9313</v>
      </c>
      <c r="M40" s="448">
        <v>19889.219700000001</v>
      </c>
      <c r="N40" s="15"/>
      <c r="O40" s="15"/>
      <c r="P40" s="15"/>
      <c r="Q40" s="15"/>
      <c r="R40" s="15"/>
      <c r="S40" s="15"/>
      <c r="T40" s="15"/>
    </row>
    <row r="41" spans="2:20" ht="15" customHeight="1">
      <c r="B41" s="292" t="s">
        <v>712</v>
      </c>
      <c r="C41" s="292" t="s">
        <v>713</v>
      </c>
      <c r="D41" s="310">
        <v>5712.85</v>
      </c>
      <c r="E41" s="310">
        <v>-8842.5426000000007</v>
      </c>
      <c r="F41" s="310">
        <v>2379.3281999999999</v>
      </c>
      <c r="G41" s="310">
        <v>-3604.89</v>
      </c>
      <c r="H41" s="310">
        <v>3997.6623</v>
      </c>
      <c r="I41" s="310">
        <v>1089.6492000000001</v>
      </c>
      <c r="J41" s="310">
        <v>4169.9413999999997</v>
      </c>
      <c r="K41" s="310">
        <v>4870.8861999999999</v>
      </c>
      <c r="L41" s="310">
        <v>5076.9313000000002</v>
      </c>
      <c r="M41" s="310">
        <v>12143.2197</v>
      </c>
      <c r="N41" s="8"/>
      <c r="O41" s="8"/>
      <c r="P41" s="8"/>
      <c r="Q41" s="8"/>
      <c r="R41" s="8"/>
      <c r="S41" s="8"/>
      <c r="T41" s="8"/>
    </row>
    <row r="42" spans="2:20" ht="15" customHeight="1">
      <c r="B42" s="292" t="s">
        <v>693</v>
      </c>
      <c r="C42" s="292" t="s">
        <v>694</v>
      </c>
      <c r="D42" s="310">
        <v>-18</v>
      </c>
      <c r="E42" s="310">
        <v>-2</v>
      </c>
      <c r="F42" s="310">
        <v>-10</v>
      </c>
      <c r="G42" s="310">
        <v>-5318</v>
      </c>
      <c r="H42" s="310">
        <v>-2529</v>
      </c>
      <c r="I42" s="310">
        <v>434</v>
      </c>
      <c r="J42" s="310">
        <v>-6</v>
      </c>
      <c r="K42" s="310">
        <v>15</v>
      </c>
      <c r="L42" s="310">
        <v>-11</v>
      </c>
      <c r="M42" s="310">
        <v>-25</v>
      </c>
      <c r="N42" s="8"/>
      <c r="O42" s="8"/>
      <c r="P42" s="8"/>
      <c r="Q42" s="8"/>
      <c r="R42" s="8"/>
      <c r="S42" s="8"/>
      <c r="T42" s="8"/>
    </row>
    <row r="43" spans="2:20" ht="9.7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20" ht="15" customHeight="1">
      <c r="B44" s="292" t="s">
        <v>714</v>
      </c>
      <c r="C44" s="292" t="s">
        <v>715</v>
      </c>
      <c r="D44" s="300">
        <v>6089</v>
      </c>
      <c r="E44" s="300">
        <v>5970</v>
      </c>
      <c r="F44" s="300">
        <v>5872</v>
      </c>
      <c r="G44" s="300">
        <v>5569</v>
      </c>
      <c r="H44" s="300">
        <v>5555</v>
      </c>
      <c r="I44" s="300">
        <v>5601</v>
      </c>
      <c r="J44" s="300">
        <v>5608</v>
      </c>
      <c r="K44" s="300">
        <v>5643</v>
      </c>
      <c r="L44" s="300">
        <v>5664</v>
      </c>
      <c r="M44" s="300">
        <v>5683</v>
      </c>
      <c r="N44" s="8"/>
      <c r="O44" s="292" t="s">
        <v>378</v>
      </c>
      <c r="P44" s="8"/>
      <c r="Q44" s="8"/>
      <c r="R44" s="8"/>
      <c r="S44" s="8"/>
      <c r="T44" s="8"/>
    </row>
    <row r="45" spans="2:20" ht="15" customHeight="1">
      <c r="B45" s="295" t="s">
        <v>716</v>
      </c>
      <c r="C45" s="295" t="s">
        <v>717</v>
      </c>
      <c r="D45" s="459">
        <v>1.18</v>
      </c>
      <c r="E45" s="459">
        <v>3.57</v>
      </c>
      <c r="F45" s="459">
        <v>1.9</v>
      </c>
      <c r="G45" s="459">
        <v>2.88</v>
      </c>
      <c r="H45" s="459">
        <v>1.65</v>
      </c>
      <c r="I45" s="459">
        <v>3.92</v>
      </c>
      <c r="J45" s="459">
        <v>5.59</v>
      </c>
      <c r="K45" s="459">
        <v>0.38</v>
      </c>
      <c r="L45" s="459">
        <v>1.42</v>
      </c>
      <c r="M45" s="459">
        <v>1.37</v>
      </c>
      <c r="N45" s="15"/>
      <c r="O45" s="295" t="s">
        <v>393</v>
      </c>
      <c r="P45" s="15"/>
      <c r="Q45" s="15"/>
      <c r="R45" s="15"/>
      <c r="S45" s="15"/>
      <c r="T45" s="15"/>
    </row>
    <row r="46" spans="2:20" ht="15" customHeight="1">
      <c r="B46" s="295" t="s">
        <v>718</v>
      </c>
      <c r="C46" s="295" t="s">
        <v>719</v>
      </c>
      <c r="D46" s="459">
        <v>1.18</v>
      </c>
      <c r="E46" s="459">
        <v>3.57</v>
      </c>
      <c r="F46" s="459">
        <v>1.9</v>
      </c>
      <c r="G46" s="459">
        <v>1.92</v>
      </c>
      <c r="H46" s="459">
        <v>1.19</v>
      </c>
      <c r="I46" s="459">
        <v>4</v>
      </c>
      <c r="J46" s="459">
        <v>5.59</v>
      </c>
      <c r="K46" s="459">
        <v>0.38</v>
      </c>
      <c r="L46" s="459">
        <v>1.42</v>
      </c>
      <c r="M46" s="459">
        <v>1.37</v>
      </c>
      <c r="N46" s="15"/>
      <c r="O46" s="15"/>
      <c r="P46" s="15"/>
      <c r="Q46" s="15"/>
      <c r="R46" s="15"/>
      <c r="S46" s="15"/>
      <c r="T46" s="15"/>
    </row>
    <row r="47" spans="2:20" ht="15" customHeight="1">
      <c r="B47" s="295" t="s">
        <v>720</v>
      </c>
      <c r="C47" s="295" t="s">
        <v>721</v>
      </c>
      <c r="D47" s="459">
        <v>2.1198999999999999</v>
      </c>
      <c r="E47" s="459">
        <v>2.0874999999999999</v>
      </c>
      <c r="F47" s="459">
        <v>2.3027000000000002</v>
      </c>
      <c r="G47" s="459">
        <v>1.2755000000000001</v>
      </c>
      <c r="H47" s="459">
        <v>1.9132</v>
      </c>
      <c r="I47" s="459">
        <v>4.1962000000000002</v>
      </c>
      <c r="J47" s="459">
        <v>6.3367000000000004</v>
      </c>
      <c r="K47" s="459">
        <v>1.2413000000000001</v>
      </c>
      <c r="L47" s="459">
        <v>2.3123</v>
      </c>
      <c r="M47" s="459">
        <v>3.4998</v>
      </c>
      <c r="N47" s="15"/>
      <c r="O47" s="15"/>
      <c r="P47" s="15"/>
      <c r="Q47" s="15"/>
      <c r="R47" s="15"/>
      <c r="S47" s="15"/>
      <c r="T47" s="15"/>
    </row>
    <row r="48" spans="2:20" ht="9.7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2:20" ht="15" customHeight="1">
      <c r="B49" s="292" t="s">
        <v>722</v>
      </c>
      <c r="C49" s="292" t="s">
        <v>723</v>
      </c>
      <c r="D49" s="300">
        <v>6159</v>
      </c>
      <c r="E49" s="300">
        <v>6058</v>
      </c>
      <c r="F49" s="300">
        <v>5977</v>
      </c>
      <c r="G49" s="300">
        <v>5675</v>
      </c>
      <c r="H49" s="300">
        <v>5632</v>
      </c>
      <c r="I49" s="300">
        <v>5708</v>
      </c>
      <c r="J49" s="300">
        <v>5733</v>
      </c>
      <c r="K49" s="300">
        <v>5709</v>
      </c>
      <c r="L49" s="300">
        <v>5700</v>
      </c>
      <c r="M49" s="300">
        <v>5713</v>
      </c>
      <c r="N49" s="8"/>
      <c r="O49" s="8"/>
      <c r="P49" s="8"/>
      <c r="Q49" s="8"/>
      <c r="R49" s="8"/>
      <c r="S49" s="8"/>
      <c r="T49" s="8"/>
    </row>
    <row r="50" spans="2:20" ht="15" customHeight="1">
      <c r="B50" s="295" t="s">
        <v>724</v>
      </c>
      <c r="C50" s="295" t="s">
        <v>725</v>
      </c>
      <c r="D50" s="459">
        <v>1.17</v>
      </c>
      <c r="E50" s="459">
        <v>3.52</v>
      </c>
      <c r="F50" s="459">
        <v>1.87</v>
      </c>
      <c r="G50" s="459">
        <v>2.82</v>
      </c>
      <c r="H50" s="459">
        <v>1.63</v>
      </c>
      <c r="I50" s="459">
        <v>3.85</v>
      </c>
      <c r="J50" s="459">
        <v>5.47</v>
      </c>
      <c r="K50" s="459">
        <v>0.37</v>
      </c>
      <c r="L50" s="459">
        <v>1.41</v>
      </c>
      <c r="M50" s="459">
        <v>1.36</v>
      </c>
      <c r="N50" s="15"/>
      <c r="O50" s="295" t="s">
        <v>394</v>
      </c>
      <c r="P50" s="15"/>
      <c r="Q50" s="15"/>
      <c r="R50" s="15"/>
      <c r="S50" s="15"/>
      <c r="T50" s="15"/>
    </row>
    <row r="51" spans="2:20" ht="15" customHeight="1">
      <c r="B51" s="295" t="s">
        <v>726</v>
      </c>
      <c r="C51" s="295" t="s">
        <v>727</v>
      </c>
      <c r="D51" s="459">
        <v>1.17</v>
      </c>
      <c r="E51" s="459">
        <v>3.52</v>
      </c>
      <c r="F51" s="459">
        <v>1.86</v>
      </c>
      <c r="G51" s="459">
        <v>1.89</v>
      </c>
      <c r="H51" s="459">
        <v>1.18</v>
      </c>
      <c r="I51" s="459">
        <v>3.93</v>
      </c>
      <c r="J51" s="459">
        <v>5.47</v>
      </c>
      <c r="K51" s="459">
        <v>0.37</v>
      </c>
      <c r="L51" s="459">
        <v>1.41</v>
      </c>
      <c r="M51" s="459">
        <v>1.36</v>
      </c>
      <c r="N51" s="15"/>
      <c r="O51" s="15"/>
      <c r="P51" s="15"/>
      <c r="Q51" s="15"/>
      <c r="R51" s="15"/>
      <c r="S51" s="15"/>
      <c r="T51" s="15"/>
    </row>
    <row r="52" spans="2:20" ht="15" customHeight="1">
      <c r="B52" s="295" t="s">
        <v>728</v>
      </c>
      <c r="C52" s="295" t="s">
        <v>729</v>
      </c>
      <c r="D52" s="459">
        <v>2.0975999999999999</v>
      </c>
      <c r="E52" s="459">
        <v>2.0604</v>
      </c>
      <c r="F52" s="459">
        <v>2.2581000000000002</v>
      </c>
      <c r="G52" s="459">
        <v>1.2547999999999999</v>
      </c>
      <c r="H52" s="459">
        <v>1.8897999999999999</v>
      </c>
      <c r="I52" s="459">
        <v>4.1208999999999998</v>
      </c>
      <c r="J52" s="459">
        <v>6.1974</v>
      </c>
      <c r="K52" s="459">
        <v>1.2232000000000001</v>
      </c>
      <c r="L52" s="459">
        <v>2.3007</v>
      </c>
      <c r="M52" s="459">
        <v>3.4855</v>
      </c>
      <c r="N52" s="15"/>
      <c r="O52" s="15"/>
      <c r="P52" s="15"/>
      <c r="Q52" s="15"/>
      <c r="R52" s="15"/>
      <c r="S52" s="15"/>
      <c r="T52" s="15"/>
    </row>
    <row r="53" spans="2:20" ht="9.75" customHeight="1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2:20" ht="20.25" customHeight="1">
      <c r="B54" s="306" t="s">
        <v>632</v>
      </c>
      <c r="C54" s="179"/>
      <c r="D54" s="179"/>
      <c r="E54" s="179"/>
      <c r="F54" s="179"/>
      <c r="G54" s="179"/>
      <c r="H54" s="179"/>
      <c r="I54" s="179"/>
      <c r="J54" s="179"/>
      <c r="K54" s="180"/>
      <c r="L54" s="180"/>
      <c r="M54" s="180"/>
      <c r="N54" s="162"/>
      <c r="O54" s="162"/>
      <c r="P54" s="162"/>
      <c r="Q54" s="162"/>
      <c r="R54" s="162"/>
      <c r="S54" s="162"/>
      <c r="T54" s="162"/>
    </row>
    <row r="55" spans="2:20" ht="15" customHeight="1">
      <c r="B55" s="292" t="s">
        <v>730</v>
      </c>
      <c r="C55" s="292" t="s">
        <v>731</v>
      </c>
      <c r="D55" s="460" t="s">
        <v>732</v>
      </c>
      <c r="E55" s="460" t="s">
        <v>732</v>
      </c>
      <c r="F55" s="460" t="s">
        <v>732</v>
      </c>
      <c r="G55" s="460" t="s">
        <v>732</v>
      </c>
      <c r="H55" s="460" t="s">
        <v>732</v>
      </c>
      <c r="I55" s="460" t="s">
        <v>732</v>
      </c>
      <c r="J55" s="460" t="s">
        <v>732</v>
      </c>
      <c r="K55" s="460" t="s">
        <v>732</v>
      </c>
      <c r="L55" s="460" t="s">
        <v>732</v>
      </c>
      <c r="M55" s="460" t="s">
        <v>732</v>
      </c>
      <c r="N55" s="8"/>
      <c r="O55" s="8"/>
      <c r="P55" s="8"/>
      <c r="Q55" s="8"/>
      <c r="R55" s="8"/>
      <c r="S55" s="8"/>
      <c r="T55" s="8"/>
    </row>
    <row r="56" spans="2:20" ht="15" customHeight="1">
      <c r="B56" s="292" t="s">
        <v>74</v>
      </c>
      <c r="C56" s="292" t="s">
        <v>74</v>
      </c>
      <c r="D56" s="310">
        <v>17763</v>
      </c>
      <c r="E56" s="310">
        <v>19991</v>
      </c>
      <c r="F56" s="310">
        <v>20385</v>
      </c>
      <c r="G56" s="310">
        <v>20948</v>
      </c>
      <c r="H56" s="310">
        <v>13329</v>
      </c>
      <c r="I56" s="310">
        <v>25131</v>
      </c>
      <c r="J56" s="310">
        <v>40690</v>
      </c>
      <c r="K56" s="310">
        <v>8409</v>
      </c>
      <c r="L56" s="310">
        <v>20084</v>
      </c>
      <c r="M56" s="310">
        <v>21307</v>
      </c>
      <c r="N56" s="8"/>
      <c r="O56" s="8"/>
      <c r="P56" s="310">
        <f>J56-J17</f>
        <v>5746</v>
      </c>
      <c r="Q56" s="8"/>
      <c r="R56" s="8"/>
      <c r="S56" s="8"/>
      <c r="T56" s="8"/>
    </row>
    <row r="57" spans="2:20" ht="15" customHeight="1">
      <c r="B57" s="292" t="s">
        <v>733</v>
      </c>
      <c r="C57" s="292" t="s">
        <v>634</v>
      </c>
      <c r="D57" s="300">
        <v>33.626800000000003</v>
      </c>
      <c r="E57" s="300">
        <v>38.044800000000002</v>
      </c>
      <c r="F57" s="300">
        <v>37.998399999999997</v>
      </c>
      <c r="G57" s="300">
        <v>51.211300000000001</v>
      </c>
      <c r="H57" s="300">
        <v>32.001600000000003</v>
      </c>
      <c r="I57" s="300">
        <v>30.916</v>
      </c>
      <c r="J57" s="300">
        <v>40.556199999999997</v>
      </c>
      <c r="K57" s="300">
        <v>14.12</v>
      </c>
      <c r="L57" s="300">
        <v>31.565200000000001</v>
      </c>
      <c r="M57" s="300">
        <v>34.048200000000001</v>
      </c>
      <c r="N57" s="8"/>
      <c r="O57" s="8"/>
      <c r="P57" s="327">
        <f>CF!J8</f>
        <v>5064</v>
      </c>
      <c r="Q57" s="8"/>
      <c r="R57" s="8"/>
      <c r="S57" s="8"/>
      <c r="T57" s="8"/>
    </row>
    <row r="58" spans="2:20" ht="15" customHeight="1">
      <c r="B58" s="292" t="s">
        <v>734</v>
      </c>
      <c r="C58" s="292" t="s">
        <v>734</v>
      </c>
      <c r="D58" s="310">
        <v>16062</v>
      </c>
      <c r="E58" s="310">
        <v>18480</v>
      </c>
      <c r="F58" s="310">
        <v>18894</v>
      </c>
      <c r="G58" s="310">
        <v>15193</v>
      </c>
      <c r="H58" s="310">
        <v>11996</v>
      </c>
      <c r="I58" s="310">
        <v>23640</v>
      </c>
      <c r="J58" s="310">
        <v>39235</v>
      </c>
      <c r="K58" s="310">
        <v>6852</v>
      </c>
      <c r="L58" s="310">
        <v>18357</v>
      </c>
      <c r="M58" s="310">
        <v>19589</v>
      </c>
      <c r="N58" s="8"/>
      <c r="O58" s="8"/>
      <c r="P58" s="310">
        <f>P56-P57</f>
        <v>682</v>
      </c>
      <c r="Q58" s="8"/>
      <c r="R58" s="8"/>
      <c r="S58" s="8"/>
      <c r="T58" s="8"/>
    </row>
    <row r="59" spans="2:20" ht="15" customHeight="1">
      <c r="B59" s="292" t="s">
        <v>98</v>
      </c>
      <c r="C59" s="292" t="s">
        <v>98</v>
      </c>
      <c r="D59" s="310">
        <v>12006</v>
      </c>
      <c r="E59" s="310">
        <v>13722</v>
      </c>
      <c r="F59" s="310">
        <v>14001</v>
      </c>
      <c r="G59" s="310">
        <v>14817</v>
      </c>
      <c r="H59" s="310">
        <v>8256</v>
      </c>
      <c r="I59" s="310">
        <v>19433</v>
      </c>
      <c r="J59" s="310">
        <v>34944</v>
      </c>
      <c r="K59" s="310">
        <v>1280</v>
      </c>
      <c r="L59" s="310">
        <v>12411</v>
      </c>
      <c r="M59" s="310">
        <v>14244</v>
      </c>
      <c r="N59" s="8"/>
      <c r="O59" s="8"/>
      <c r="P59" s="8"/>
      <c r="Q59" s="8"/>
      <c r="R59" s="8"/>
      <c r="S59" s="8"/>
      <c r="T59" s="8"/>
    </row>
    <row r="60" spans="2:20" ht="15" customHeight="1">
      <c r="B60" s="292" t="s">
        <v>735</v>
      </c>
      <c r="C60" s="292" t="s">
        <v>736</v>
      </c>
      <c r="D60" s="300">
        <v>76.660200000000003</v>
      </c>
      <c r="E60" s="300">
        <v>78.632099999999994</v>
      </c>
      <c r="F60" s="300">
        <v>79.033299999999997</v>
      </c>
      <c r="G60" s="300">
        <v>80.310500000000005</v>
      </c>
      <c r="H60" s="300">
        <v>79.630700000000004</v>
      </c>
      <c r="I60" s="300">
        <v>62.084200000000003</v>
      </c>
      <c r="J60" s="300">
        <v>65.769000000000005</v>
      </c>
      <c r="K60" s="300">
        <v>58.098500000000001</v>
      </c>
      <c r="L60" s="300">
        <v>71.944299999999998</v>
      </c>
      <c r="M60" s="300">
        <v>74.325299999999999</v>
      </c>
      <c r="N60" s="8"/>
      <c r="O60" s="8"/>
      <c r="P60" s="8"/>
      <c r="Q60" s="8"/>
      <c r="R60" s="8"/>
      <c r="S60" s="8"/>
      <c r="T60" s="8"/>
    </row>
    <row r="61" spans="2:20" ht="15" customHeight="1">
      <c r="B61" s="292" t="s">
        <v>737</v>
      </c>
      <c r="C61" s="292" t="s">
        <v>738</v>
      </c>
      <c r="D61" s="300">
        <v>22.728300000000001</v>
      </c>
      <c r="E61" s="300">
        <v>26.1143</v>
      </c>
      <c r="F61" s="300">
        <v>26.098400000000002</v>
      </c>
      <c r="G61" s="300">
        <v>36.222999999999999</v>
      </c>
      <c r="H61" s="300">
        <v>19.821899999999999</v>
      </c>
      <c r="I61" s="300">
        <v>23.906400000000001</v>
      </c>
      <c r="J61" s="300">
        <v>34.829099999999997</v>
      </c>
      <c r="K61" s="300">
        <v>2.1493000000000002</v>
      </c>
      <c r="L61" s="300">
        <v>19.5059</v>
      </c>
      <c r="M61" s="300">
        <v>22.761600000000001</v>
      </c>
      <c r="N61" s="8"/>
      <c r="O61" s="8"/>
      <c r="P61" s="8"/>
      <c r="Q61" s="8"/>
      <c r="R61" s="8"/>
      <c r="S61" s="8"/>
      <c r="T61" s="8"/>
    </row>
    <row r="62" spans="2:20" ht="15" customHeight="1">
      <c r="B62" s="292" t="s">
        <v>739</v>
      </c>
      <c r="C62" s="292" t="s">
        <v>740</v>
      </c>
      <c r="D62" s="300">
        <v>13.6586</v>
      </c>
      <c r="E62" s="300">
        <v>40.551099999999998</v>
      </c>
      <c r="F62" s="300">
        <v>20.7896</v>
      </c>
      <c r="G62" s="300">
        <v>39.178600000000003</v>
      </c>
      <c r="H62" s="300">
        <v>21.989899999999999</v>
      </c>
      <c r="I62" s="300">
        <v>27.038399999999999</v>
      </c>
      <c r="J62" s="300">
        <v>31.268799999999999</v>
      </c>
      <c r="K62" s="300">
        <v>3.5581</v>
      </c>
      <c r="L62" s="300">
        <v>12.622</v>
      </c>
      <c r="M62" s="300">
        <v>12.417899999999999</v>
      </c>
      <c r="N62" s="8"/>
      <c r="O62" s="8"/>
      <c r="P62" s="8"/>
      <c r="Q62" s="8"/>
      <c r="R62" s="8"/>
      <c r="S62" s="8"/>
      <c r="T62" s="8"/>
    </row>
    <row r="63" spans="2:20" ht="15" customHeight="1">
      <c r="B63" s="292" t="s">
        <v>741</v>
      </c>
      <c r="C63" s="292" t="s">
        <v>742</v>
      </c>
      <c r="D63" s="310">
        <v>547398.96369999996</v>
      </c>
      <c r="E63" s="310">
        <v>582549.88910000003</v>
      </c>
      <c r="F63" s="310">
        <v>580595.23809999996</v>
      </c>
      <c r="G63" s="461" t="s">
        <v>568</v>
      </c>
      <c r="H63" s="461" t="s">
        <v>568</v>
      </c>
      <c r="I63" s="461" t="s">
        <v>568</v>
      </c>
      <c r="J63" s="461" t="s">
        <v>568</v>
      </c>
      <c r="K63" s="310">
        <v>676750</v>
      </c>
      <c r="L63" s="310">
        <v>785518.51850000001</v>
      </c>
      <c r="M63" s="310">
        <v>834386.66669999994</v>
      </c>
      <c r="N63" s="8"/>
      <c r="O63" s="8"/>
      <c r="P63" s="8"/>
      <c r="Q63" s="8"/>
      <c r="R63" s="8"/>
      <c r="S63" s="8"/>
      <c r="T63" s="8"/>
    </row>
    <row r="64" spans="2:20" ht="15" customHeight="1">
      <c r="B64" s="292" t="s">
        <v>743</v>
      </c>
      <c r="C64" s="292" t="s">
        <v>744</v>
      </c>
      <c r="D64" s="312">
        <v>1.2</v>
      </c>
      <c r="E64" s="312">
        <v>1.3</v>
      </c>
      <c r="F64" s="312">
        <v>1.38</v>
      </c>
      <c r="G64" s="312">
        <v>1.46</v>
      </c>
      <c r="H64" s="312">
        <v>1.53</v>
      </c>
      <c r="I64" s="312">
        <v>1.57</v>
      </c>
      <c r="J64" s="312">
        <v>1.6</v>
      </c>
      <c r="K64" s="312">
        <v>1.65</v>
      </c>
      <c r="L64" s="312">
        <v>1.69</v>
      </c>
      <c r="M64" s="312">
        <v>1.72</v>
      </c>
      <c r="N64" s="8"/>
      <c r="O64" s="8"/>
      <c r="P64" s="8"/>
      <c r="Q64" s="8"/>
      <c r="R64" s="8"/>
      <c r="S64" s="8"/>
      <c r="T64" s="8"/>
    </row>
    <row r="65" spans="2:20" ht="15" customHeight="1">
      <c r="B65" s="292" t="s">
        <v>745</v>
      </c>
      <c r="C65" s="292" t="s">
        <v>746</v>
      </c>
      <c r="D65" s="310">
        <v>7306.8</v>
      </c>
      <c r="E65" s="310">
        <v>7761</v>
      </c>
      <c r="F65" s="310">
        <v>8103.36</v>
      </c>
      <c r="G65" s="310">
        <v>8130.74</v>
      </c>
      <c r="H65" s="310">
        <v>8499.15</v>
      </c>
      <c r="I65" s="310">
        <v>8816</v>
      </c>
      <c r="J65" s="310">
        <v>9037</v>
      </c>
      <c r="K65" s="310">
        <v>9316</v>
      </c>
      <c r="L65" s="310">
        <v>9577</v>
      </c>
      <c r="M65" s="310">
        <v>9800</v>
      </c>
      <c r="N65" s="8"/>
      <c r="O65" s="8"/>
      <c r="P65" s="8"/>
      <c r="Q65" s="8"/>
      <c r="R65" s="8"/>
      <c r="S65" s="8"/>
      <c r="T65" s="8"/>
    </row>
    <row r="66" spans="2:20" ht="15" customHeight="1">
      <c r="B66" s="292" t="s">
        <v>747</v>
      </c>
      <c r="C66" s="292" t="s">
        <v>748</v>
      </c>
      <c r="D66" s="310">
        <v>61</v>
      </c>
      <c r="E66" s="310">
        <v>72</v>
      </c>
      <c r="F66" s="310">
        <v>73</v>
      </c>
      <c r="G66" s="310">
        <v>88</v>
      </c>
      <c r="H66" s="310">
        <v>96</v>
      </c>
      <c r="I66" s="310">
        <v>108</v>
      </c>
      <c r="J66" s="310">
        <v>124</v>
      </c>
      <c r="K66" s="310">
        <v>160</v>
      </c>
      <c r="L66" s="310">
        <v>182</v>
      </c>
      <c r="M66" s="310">
        <v>166</v>
      </c>
      <c r="N66" s="8"/>
      <c r="O66" s="8"/>
      <c r="P66" s="8"/>
      <c r="Q66" s="8"/>
      <c r="R66" s="8"/>
      <c r="S66" s="8"/>
      <c r="T66" s="8"/>
    </row>
    <row r="67" spans="2:20" ht="15" customHeight="1">
      <c r="B67" s="292" t="s">
        <v>749</v>
      </c>
      <c r="C67" s="292" t="s">
        <v>750</v>
      </c>
      <c r="D67" s="447" t="s">
        <v>568</v>
      </c>
      <c r="E67" s="447" t="s">
        <v>568</v>
      </c>
      <c r="F67" s="447" t="s">
        <v>568</v>
      </c>
      <c r="G67" s="310">
        <v>5755</v>
      </c>
      <c r="H67" s="310">
        <v>1333</v>
      </c>
      <c r="I67" s="310">
        <v>1491</v>
      </c>
      <c r="J67" s="310">
        <v>1455</v>
      </c>
      <c r="K67" s="310">
        <v>1557</v>
      </c>
      <c r="L67" s="310">
        <v>1727</v>
      </c>
      <c r="M67" s="310">
        <v>1718</v>
      </c>
      <c r="N67" s="8"/>
      <c r="O67" s="8"/>
      <c r="P67" s="8"/>
      <c r="Q67" s="8"/>
      <c r="R67" s="8"/>
      <c r="S67" s="8"/>
      <c r="T67" s="8"/>
    </row>
    <row r="68" spans="2:20" ht="15" customHeight="1">
      <c r="B68" s="292" t="s">
        <v>751</v>
      </c>
      <c r="C68" s="292" t="s">
        <v>752</v>
      </c>
      <c r="D68" s="310">
        <v>292</v>
      </c>
      <c r="E68" s="310">
        <v>314</v>
      </c>
      <c r="F68" s="310">
        <v>301</v>
      </c>
      <c r="G68" s="310">
        <v>702</v>
      </c>
      <c r="H68" s="310">
        <v>772</v>
      </c>
      <c r="I68" s="310">
        <v>888</v>
      </c>
      <c r="J68" s="310">
        <v>1218</v>
      </c>
      <c r="K68" s="310">
        <v>1283</v>
      </c>
      <c r="L68" s="310">
        <v>1177</v>
      </c>
      <c r="M68" s="310">
        <v>924</v>
      </c>
      <c r="N68" s="8"/>
      <c r="O68" s="8"/>
      <c r="P68" s="8"/>
      <c r="Q68" s="8"/>
      <c r="R68" s="8"/>
      <c r="S68" s="8"/>
      <c r="T68" s="8"/>
    </row>
    <row r="69" spans="2:20" ht="15" customHeight="1">
      <c r="B69" s="306" t="s">
        <v>539</v>
      </c>
      <c r="C69" s="156"/>
      <c r="D69" s="156"/>
      <c r="E69" s="156"/>
      <c r="F69" s="156"/>
      <c r="G69" s="156"/>
      <c r="H69" s="156"/>
      <c r="I69" s="156"/>
      <c r="J69" s="156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ht="9.75" customHeight="1"/>
    <row r="71" spans="2:20" ht="15" customHeight="1">
      <c r="B71" s="5"/>
      <c r="C71" s="23"/>
      <c r="D71" s="8"/>
      <c r="E71" s="8"/>
      <c r="F71" s="8"/>
      <c r="G71" s="8"/>
      <c r="H71" s="8"/>
      <c r="I71" s="8"/>
      <c r="J71" s="8"/>
      <c r="K71" s="336">
        <f>+(K13-CF!K8)/K6</f>
        <v>0.45387379521106896</v>
      </c>
      <c r="L71" s="336">
        <f>+(L13-CF!L8)/H14</f>
        <v>0.41416379838747702</v>
      </c>
      <c r="M71" s="336">
        <f>+(M13-CF!M8)/M6</f>
        <v>0.41029738410648942</v>
      </c>
      <c r="N71" s="8"/>
      <c r="O71" s="8"/>
      <c r="P71" s="8"/>
      <c r="Q71" s="8"/>
      <c r="R71" s="8"/>
      <c r="S71" s="8"/>
      <c r="T71" s="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BD5E1"/>
  </sheetPr>
  <dimension ref="B1:Z19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1" outlineLevelCol="1"/>
  <cols>
    <col min="1" max="1" width="2" style="9" customWidth="1"/>
    <col min="2" max="2" width="38" style="9" customWidth="1"/>
    <col min="3" max="3" width="22" style="9" hidden="1" customWidth="1"/>
    <col min="4" max="4" width="12.42578125" style="9" hidden="1" customWidth="1" outlineLevel="1"/>
    <col min="5" max="5" width="12.42578125" style="9" customWidth="1" collapsed="1"/>
    <col min="6" max="10" width="12.42578125" style="9" customWidth="1"/>
    <col min="11" max="13" width="12.42578125" style="9" hidden="1" customWidth="1" outlineLevel="1"/>
    <col min="14" max="14" width="12.42578125" style="9" customWidth="1" collapsed="1"/>
    <col min="15" max="15" width="12.42578125" style="9" customWidth="1"/>
    <col min="16" max="21" width="8.7109375" style="9" customWidth="1"/>
    <col min="22" max="16384" width="8.710937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As Reported Income Statement"</f>
        <v>Pfizer Inc - As Reported Income Statement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2:26" ht="16" customHeight="1">
      <c r="B3" s="249" t="s">
        <v>753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542</v>
      </c>
      <c r="C4" s="26"/>
      <c r="D4" s="343" t="s">
        <v>487</v>
      </c>
      <c r="E4" s="343" t="s">
        <v>486</v>
      </c>
      <c r="F4" s="343" t="s">
        <v>485</v>
      </c>
      <c r="G4" s="343" t="s">
        <v>484</v>
      </c>
      <c r="H4" s="343" t="s">
        <v>483</v>
      </c>
      <c r="I4" s="343" t="s">
        <v>482</v>
      </c>
      <c r="J4" s="343" t="s">
        <v>481</v>
      </c>
      <c r="K4" s="295" t="s">
        <v>480</v>
      </c>
      <c r="L4" s="295" t="s">
        <v>479</v>
      </c>
      <c r="M4" s="295" t="s">
        <v>478</v>
      </c>
      <c r="N4" s="26"/>
      <c r="O4" s="26"/>
    </row>
    <row r="5" spans="2:26" ht="15" customHeight="1">
      <c r="B5" s="438" t="s">
        <v>488</v>
      </c>
      <c r="C5" s="26"/>
      <c r="D5" s="440" t="s">
        <v>498</v>
      </c>
      <c r="E5" s="440" t="s">
        <v>497</v>
      </c>
      <c r="F5" s="440" t="s">
        <v>496</v>
      </c>
      <c r="G5" s="440" t="s">
        <v>495</v>
      </c>
      <c r="H5" s="440" t="s">
        <v>494</v>
      </c>
      <c r="I5" s="440" t="s">
        <v>493</v>
      </c>
      <c r="J5" s="440" t="s">
        <v>492</v>
      </c>
      <c r="K5" s="295" t="s">
        <v>491</v>
      </c>
      <c r="L5" s="295" t="s">
        <v>490</v>
      </c>
      <c r="M5" s="295" t="s">
        <v>489</v>
      </c>
      <c r="N5" s="26"/>
      <c r="O5" s="26"/>
    </row>
    <row r="6" spans="2:26" ht="20.25" customHeight="1">
      <c r="B6" s="306" t="s">
        <v>754</v>
      </c>
      <c r="C6" s="179"/>
      <c r="D6" s="179"/>
      <c r="E6" s="179"/>
      <c r="F6" s="179"/>
      <c r="G6" s="179"/>
      <c r="H6" s="179"/>
      <c r="I6" s="179"/>
      <c r="J6" s="179"/>
      <c r="K6" s="180"/>
      <c r="L6" s="180"/>
      <c r="M6" s="180"/>
      <c r="N6" s="162"/>
      <c r="O6" s="162"/>
    </row>
    <row r="7" spans="2:26" ht="15" customHeight="1">
      <c r="B7" s="462" t="s">
        <v>755</v>
      </c>
      <c r="C7" s="181"/>
      <c r="D7" s="20"/>
      <c r="E7" s="20"/>
      <c r="F7" s="20"/>
      <c r="G7" s="20"/>
      <c r="H7" s="20"/>
      <c r="I7" s="20"/>
      <c r="J7" s="20"/>
      <c r="K7" s="20"/>
      <c r="L7" s="20"/>
      <c r="M7" s="20"/>
      <c r="N7" s="8"/>
      <c r="O7" s="8"/>
    </row>
    <row r="8" spans="2:26" ht="15" customHeight="1">
      <c r="B8" s="292" t="s">
        <v>756</v>
      </c>
      <c r="C8" s="292" t="s">
        <v>757</v>
      </c>
      <c r="D8" s="463">
        <v>52824</v>
      </c>
      <c r="E8" s="463">
        <v>52546</v>
      </c>
      <c r="F8" s="463">
        <v>53647</v>
      </c>
      <c r="G8" s="463">
        <v>40905</v>
      </c>
      <c r="H8" s="463">
        <v>41651</v>
      </c>
      <c r="I8" s="463">
        <v>81288</v>
      </c>
      <c r="J8" s="463">
        <v>91793</v>
      </c>
      <c r="K8" s="447" t="s">
        <v>568</v>
      </c>
      <c r="L8" s="447" t="s">
        <v>568</v>
      </c>
      <c r="M8" s="447" t="s">
        <v>568</v>
      </c>
      <c r="N8" s="8"/>
      <c r="O8" s="8"/>
    </row>
    <row r="9" spans="2:26" ht="15" customHeight="1">
      <c r="B9" s="292" t="s">
        <v>758</v>
      </c>
      <c r="C9" s="292" t="s">
        <v>759</v>
      </c>
      <c r="D9" s="447" t="s">
        <v>568</v>
      </c>
      <c r="E9" s="447" t="s">
        <v>568</v>
      </c>
      <c r="F9" s="447" t="s">
        <v>568</v>
      </c>
      <c r="G9" s="447" t="s">
        <v>568</v>
      </c>
      <c r="H9" s="447" t="s">
        <v>568</v>
      </c>
      <c r="I9" s="447" t="s">
        <v>568</v>
      </c>
      <c r="J9" s="463">
        <v>8537</v>
      </c>
      <c r="K9" s="463">
        <v>7582</v>
      </c>
      <c r="L9" s="463">
        <v>8388</v>
      </c>
      <c r="M9" s="463">
        <v>9266</v>
      </c>
      <c r="N9" s="8"/>
      <c r="O9" s="8"/>
    </row>
    <row r="10" spans="2:26" ht="15" customHeight="1">
      <c r="B10" s="292" t="s">
        <v>760</v>
      </c>
      <c r="C10" s="292" t="s">
        <v>761</v>
      </c>
      <c r="D10" s="447" t="s">
        <v>568</v>
      </c>
      <c r="E10" s="447" t="s">
        <v>568</v>
      </c>
      <c r="F10" s="447" t="s">
        <v>568</v>
      </c>
      <c r="G10" s="447" t="s">
        <v>568</v>
      </c>
      <c r="H10" s="447" t="s">
        <v>568</v>
      </c>
      <c r="I10" s="447" t="s">
        <v>568</v>
      </c>
      <c r="J10" s="447" t="s">
        <v>568</v>
      </c>
      <c r="K10" s="463">
        <v>1058</v>
      </c>
      <c r="L10" s="463">
        <v>1423</v>
      </c>
      <c r="M10" s="463">
        <v>1650</v>
      </c>
      <c r="N10" s="8"/>
      <c r="O10" s="8"/>
    </row>
    <row r="11" spans="2:26" ht="15" customHeight="1">
      <c r="B11" s="292" t="s">
        <v>762</v>
      </c>
      <c r="C11" s="292" t="s">
        <v>763</v>
      </c>
      <c r="D11" s="447" t="s">
        <v>568</v>
      </c>
      <c r="E11" s="447" t="s">
        <v>568</v>
      </c>
      <c r="F11" s="447" t="s">
        <v>568</v>
      </c>
      <c r="G11" s="447" t="s">
        <v>568</v>
      </c>
      <c r="H11" s="447" t="s">
        <v>568</v>
      </c>
      <c r="I11" s="447" t="s">
        <v>568</v>
      </c>
      <c r="J11" s="447" t="s">
        <v>568</v>
      </c>
      <c r="K11" s="463">
        <v>50914</v>
      </c>
      <c r="L11" s="463">
        <v>53816</v>
      </c>
      <c r="M11" s="463">
        <v>51663</v>
      </c>
      <c r="N11" s="8"/>
      <c r="O11" s="8"/>
    </row>
    <row r="12" spans="2:26" ht="15" customHeight="1">
      <c r="B12" s="295" t="s">
        <v>764</v>
      </c>
      <c r="C12" s="295" t="s">
        <v>765</v>
      </c>
      <c r="D12" s="446">
        <v>52824</v>
      </c>
      <c r="E12" s="446">
        <v>52546</v>
      </c>
      <c r="F12" s="446">
        <v>53647</v>
      </c>
      <c r="G12" s="446">
        <v>40905</v>
      </c>
      <c r="H12" s="446">
        <v>41651</v>
      </c>
      <c r="I12" s="446">
        <v>81288</v>
      </c>
      <c r="J12" s="446">
        <v>100330</v>
      </c>
      <c r="K12" s="446">
        <v>59554</v>
      </c>
      <c r="L12" s="446">
        <v>63627</v>
      </c>
      <c r="M12" s="446">
        <v>62579</v>
      </c>
      <c r="N12" s="15"/>
      <c r="O12" s="15"/>
    </row>
    <row r="13" spans="2:26" ht="15" customHeight="1">
      <c r="B13" s="462" t="s">
        <v>661</v>
      </c>
      <c r="C13" s="181"/>
      <c r="D13" s="182"/>
      <c r="E13" s="182"/>
      <c r="F13" s="182"/>
      <c r="G13" s="182"/>
      <c r="H13" s="182"/>
      <c r="I13" s="182"/>
      <c r="J13" s="182"/>
      <c r="K13" s="20"/>
      <c r="L13" s="20"/>
      <c r="M13" s="20"/>
      <c r="N13" s="8"/>
      <c r="O13" s="8"/>
    </row>
    <row r="14" spans="2:26" ht="15" customHeight="1">
      <c r="B14" s="292" t="s">
        <v>92</v>
      </c>
      <c r="C14" s="292" t="s">
        <v>766</v>
      </c>
      <c r="D14" s="463">
        <v>12329</v>
      </c>
      <c r="E14" s="463">
        <v>11228</v>
      </c>
      <c r="F14" s="463">
        <v>11248</v>
      </c>
      <c r="G14" s="463">
        <v>8054</v>
      </c>
      <c r="H14" s="463">
        <v>8484</v>
      </c>
      <c r="I14" s="463">
        <v>30821</v>
      </c>
      <c r="J14" s="463">
        <v>34344</v>
      </c>
      <c r="K14" s="463">
        <v>24954</v>
      </c>
      <c r="L14" s="463">
        <v>17851</v>
      </c>
      <c r="M14" s="463">
        <v>16067</v>
      </c>
      <c r="N14" s="8"/>
      <c r="O14" s="8"/>
    </row>
    <row r="15" spans="2:26" ht="15" customHeight="1">
      <c r="B15" s="292" t="s">
        <v>767</v>
      </c>
      <c r="C15" s="292" t="s">
        <v>768</v>
      </c>
      <c r="D15" s="463">
        <v>4056</v>
      </c>
      <c r="E15" s="463">
        <v>4758</v>
      </c>
      <c r="F15" s="463">
        <v>4893</v>
      </c>
      <c r="G15" s="463">
        <v>4429</v>
      </c>
      <c r="H15" s="463">
        <v>3348</v>
      </c>
      <c r="I15" s="463">
        <v>3700</v>
      </c>
      <c r="J15" s="463">
        <v>3609</v>
      </c>
      <c r="K15" s="447" t="s">
        <v>568</v>
      </c>
      <c r="L15" s="447" t="s">
        <v>568</v>
      </c>
      <c r="M15" s="447" t="s">
        <v>568</v>
      </c>
      <c r="N15" s="8"/>
      <c r="O15" s="8"/>
    </row>
    <row r="16" spans="2:26" ht="15" customHeight="1">
      <c r="B16" s="292" t="s">
        <v>769</v>
      </c>
      <c r="C16" s="292" t="s">
        <v>770</v>
      </c>
      <c r="D16" s="463">
        <v>7872</v>
      </c>
      <c r="E16" s="463">
        <v>7683</v>
      </c>
      <c r="F16" s="463">
        <v>8006</v>
      </c>
      <c r="G16" s="463">
        <v>8385</v>
      </c>
      <c r="H16" s="463">
        <v>9393</v>
      </c>
      <c r="I16" s="463">
        <v>10360</v>
      </c>
      <c r="J16" s="463">
        <v>11428</v>
      </c>
      <c r="K16" s="463">
        <v>10679</v>
      </c>
      <c r="L16" s="463">
        <v>10822</v>
      </c>
      <c r="M16" s="463">
        <v>10437</v>
      </c>
      <c r="N16" s="8"/>
      <c r="O16" s="8"/>
    </row>
    <row r="17" spans="2:15" ht="15" customHeight="1">
      <c r="B17" s="292" t="s">
        <v>771</v>
      </c>
      <c r="C17" s="292" t="s">
        <v>772</v>
      </c>
      <c r="D17" s="463">
        <v>14837</v>
      </c>
      <c r="E17" s="463">
        <v>14804</v>
      </c>
      <c r="F17" s="463">
        <v>14455</v>
      </c>
      <c r="G17" s="463">
        <v>12726</v>
      </c>
      <c r="H17" s="463">
        <v>11597</v>
      </c>
      <c r="I17" s="463">
        <v>12703</v>
      </c>
      <c r="J17" s="463">
        <v>13677</v>
      </c>
      <c r="K17" s="463">
        <v>14771</v>
      </c>
      <c r="L17" s="463">
        <v>14730</v>
      </c>
      <c r="M17" s="463">
        <v>13794</v>
      </c>
      <c r="N17" s="8"/>
      <c r="O17" s="8"/>
    </row>
    <row r="18" spans="2:15" ht="15" customHeight="1">
      <c r="B18" s="292" t="s">
        <v>773</v>
      </c>
      <c r="C18" s="292" t="s">
        <v>774</v>
      </c>
      <c r="D18" s="447" t="s">
        <v>568</v>
      </c>
      <c r="E18" s="447" t="s">
        <v>568</v>
      </c>
      <c r="F18" s="447" t="s">
        <v>568</v>
      </c>
      <c r="G18" s="447" t="s">
        <v>568</v>
      </c>
      <c r="H18" s="447" t="s">
        <v>568</v>
      </c>
      <c r="I18" s="463">
        <v>3469</v>
      </c>
      <c r="J18" s="463">
        <v>953</v>
      </c>
      <c r="K18" s="463">
        <v>194</v>
      </c>
      <c r="L18" s="463">
        <v>108</v>
      </c>
      <c r="M18" s="463">
        <v>1613</v>
      </c>
      <c r="N18" s="8"/>
      <c r="O18" s="8"/>
    </row>
    <row r="19" spans="2:15" ht="15" customHeight="1">
      <c r="B19" s="292" t="s">
        <v>775</v>
      </c>
      <c r="C19" s="292" t="s">
        <v>776</v>
      </c>
      <c r="D19" s="447" t="s">
        <v>568</v>
      </c>
      <c r="E19" s="463">
        <v>351</v>
      </c>
      <c r="F19" s="463">
        <v>1044</v>
      </c>
      <c r="G19" s="463">
        <v>601</v>
      </c>
      <c r="H19" s="463">
        <v>579</v>
      </c>
      <c r="I19" s="463">
        <v>802</v>
      </c>
      <c r="J19" s="463">
        <v>1375</v>
      </c>
      <c r="K19" s="463">
        <v>2943</v>
      </c>
      <c r="L19" s="463">
        <v>2419</v>
      </c>
      <c r="M19" s="463">
        <v>1550</v>
      </c>
      <c r="N19" s="8"/>
      <c r="O19" s="8"/>
    </row>
    <row r="20" spans="2:15" ht="15" customHeight="1">
      <c r="B20" s="292" t="s">
        <v>777</v>
      </c>
      <c r="C20" s="292" t="s">
        <v>778</v>
      </c>
      <c r="D20" s="463">
        <v>1724</v>
      </c>
      <c r="E20" s="447" t="s">
        <v>568</v>
      </c>
      <c r="F20" s="447" t="s">
        <v>568</v>
      </c>
      <c r="G20" s="447" t="s">
        <v>568</v>
      </c>
      <c r="H20" s="447" t="s">
        <v>568</v>
      </c>
      <c r="I20" s="447" t="s">
        <v>568</v>
      </c>
      <c r="J20" s="447" t="s">
        <v>568</v>
      </c>
      <c r="K20" s="447" t="s">
        <v>568</v>
      </c>
      <c r="L20" s="447" t="s">
        <v>568</v>
      </c>
      <c r="M20" s="447" t="s">
        <v>568</v>
      </c>
      <c r="N20" s="8"/>
      <c r="O20" s="8"/>
    </row>
    <row r="21" spans="2:15" ht="15" customHeight="1">
      <c r="B21" s="292" t="s">
        <v>93</v>
      </c>
      <c r="C21" s="292" t="s">
        <v>779</v>
      </c>
      <c r="D21" s="447" t="s">
        <v>568</v>
      </c>
      <c r="E21" s="447" t="s">
        <v>568</v>
      </c>
      <c r="F21" s="447" t="s">
        <v>568</v>
      </c>
      <c r="G21" s="447" t="s">
        <v>568</v>
      </c>
      <c r="H21" s="447" t="s">
        <v>568</v>
      </c>
      <c r="I21" s="463">
        <v>50467</v>
      </c>
      <c r="J21" s="463">
        <v>65986</v>
      </c>
      <c r="K21" s="463">
        <v>34600</v>
      </c>
      <c r="L21" s="447" t="s">
        <v>568</v>
      </c>
      <c r="M21" s="447" t="s">
        <v>568</v>
      </c>
      <c r="N21" s="8"/>
      <c r="O21" s="8"/>
    </row>
    <row r="22" spans="2:15" ht="15" customHeight="1">
      <c r="B22" s="292" t="s">
        <v>780</v>
      </c>
      <c r="C22" s="292" t="s">
        <v>781</v>
      </c>
      <c r="D22" s="447" t="s">
        <v>568</v>
      </c>
      <c r="E22" s="447" t="s">
        <v>568</v>
      </c>
      <c r="F22" s="447" t="s">
        <v>568</v>
      </c>
      <c r="G22" s="447" t="s">
        <v>568</v>
      </c>
      <c r="H22" s="447" t="s">
        <v>568</v>
      </c>
      <c r="I22" s="447" t="s">
        <v>568</v>
      </c>
      <c r="J22" s="447" t="s">
        <v>568</v>
      </c>
      <c r="K22" s="463">
        <v>4733</v>
      </c>
      <c r="L22" s="463">
        <v>5286</v>
      </c>
      <c r="M22" s="463">
        <v>4874</v>
      </c>
      <c r="N22" s="8"/>
      <c r="O22" s="8"/>
    </row>
    <row r="23" spans="2:15" ht="15" customHeight="1">
      <c r="B23" s="292" t="s">
        <v>782</v>
      </c>
      <c r="C23" s="292" t="s">
        <v>783</v>
      </c>
      <c r="D23" s="447" t="s">
        <v>568</v>
      </c>
      <c r="E23" s="447" t="s">
        <v>568</v>
      </c>
      <c r="F23" s="447" t="s">
        <v>568</v>
      </c>
      <c r="G23" s="463">
        <v>-8107</v>
      </c>
      <c r="H23" s="463">
        <v>-6</v>
      </c>
      <c r="I23" s="447" t="s">
        <v>568</v>
      </c>
      <c r="J23" s="447" t="s">
        <v>568</v>
      </c>
      <c r="K23" s="447" t="s">
        <v>568</v>
      </c>
      <c r="L23" s="447" t="s">
        <v>568</v>
      </c>
      <c r="M23" s="447" t="s">
        <v>568</v>
      </c>
      <c r="N23" s="8"/>
      <c r="O23" s="8"/>
    </row>
    <row r="24" spans="2:15" ht="15" customHeight="1">
      <c r="B24" s="462" t="s">
        <v>784</v>
      </c>
      <c r="C24" s="181"/>
      <c r="D24" s="182"/>
      <c r="E24" s="182"/>
      <c r="F24" s="182"/>
      <c r="G24" s="182"/>
      <c r="H24" s="182"/>
      <c r="I24" s="182"/>
      <c r="J24" s="182"/>
      <c r="K24" s="20"/>
      <c r="L24" s="20"/>
      <c r="M24" s="20"/>
      <c r="N24" s="8"/>
      <c r="O24" s="8"/>
    </row>
    <row r="25" spans="2:15" ht="15" customHeight="1">
      <c r="B25" s="292" t="s">
        <v>785</v>
      </c>
      <c r="C25" s="292" t="s">
        <v>786</v>
      </c>
      <c r="D25" s="463">
        <v>1123</v>
      </c>
      <c r="E25" s="463">
        <v>-9048</v>
      </c>
      <c r="F25" s="463">
        <v>706</v>
      </c>
      <c r="G25" s="463">
        <v>583</v>
      </c>
      <c r="H25" s="463">
        <v>370</v>
      </c>
      <c r="I25" s="463">
        <v>1852</v>
      </c>
      <c r="J25" s="463">
        <v>3328</v>
      </c>
      <c r="K25" s="463">
        <v>-1115</v>
      </c>
      <c r="L25" s="463">
        <v>-28</v>
      </c>
      <c r="M25" s="463">
        <v>-267</v>
      </c>
      <c r="N25" s="8"/>
      <c r="O25" s="8"/>
    </row>
    <row r="26" spans="2:15" ht="15" customHeight="1">
      <c r="B26" s="292" t="s">
        <v>787</v>
      </c>
      <c r="C26" s="292" t="s">
        <v>788</v>
      </c>
      <c r="D26" s="463">
        <v>8351</v>
      </c>
      <c r="E26" s="463">
        <v>12305</v>
      </c>
      <c r="F26" s="463">
        <v>11885</v>
      </c>
      <c r="G26" s="463">
        <v>11321</v>
      </c>
      <c r="H26" s="463">
        <v>7036</v>
      </c>
      <c r="I26" s="463">
        <v>24311</v>
      </c>
      <c r="J26" s="463">
        <v>34729</v>
      </c>
      <c r="K26" s="463">
        <v>1058</v>
      </c>
      <c r="L26" s="463">
        <v>8023</v>
      </c>
      <c r="M26" s="463">
        <v>7520</v>
      </c>
      <c r="N26" s="8"/>
      <c r="O26" s="8"/>
    </row>
    <row r="27" spans="2:15" ht="15" customHeight="1">
      <c r="B27" s="292" t="s">
        <v>789</v>
      </c>
      <c r="C27" s="292" t="s">
        <v>790</v>
      </c>
      <c r="D27" s="463">
        <v>7229</v>
      </c>
      <c r="E27" s="463">
        <v>21353</v>
      </c>
      <c r="F27" s="463">
        <v>11179</v>
      </c>
      <c r="G27" s="463">
        <v>6666</v>
      </c>
      <c r="H27" s="463">
        <v>6666</v>
      </c>
      <c r="I27" s="463">
        <v>22459</v>
      </c>
      <c r="J27" s="463">
        <v>31401</v>
      </c>
      <c r="K27" s="463">
        <v>2172</v>
      </c>
      <c r="L27" s="463">
        <v>8051</v>
      </c>
      <c r="M27" s="463">
        <v>7787</v>
      </c>
      <c r="N27" s="8"/>
      <c r="O27" s="8"/>
    </row>
    <row r="28" spans="2:15" ht="15" customHeight="1">
      <c r="B28" s="292" t="s">
        <v>791</v>
      </c>
      <c r="C28" s="292" t="s">
        <v>792</v>
      </c>
      <c r="D28" s="463">
        <v>3655</v>
      </c>
      <c r="E28" s="463">
        <v>1417</v>
      </c>
      <c r="F28" s="463">
        <v>2116</v>
      </c>
      <c r="G28" s="463">
        <v>3496</v>
      </c>
      <c r="H28" s="463">
        <v>1220</v>
      </c>
      <c r="I28" s="463">
        <v>-4878</v>
      </c>
      <c r="J28" s="463">
        <v>215</v>
      </c>
      <c r="K28" s="463">
        <v>222</v>
      </c>
      <c r="L28" s="463">
        <v>4388</v>
      </c>
      <c r="M28" s="463">
        <v>6724</v>
      </c>
      <c r="N28" s="8"/>
      <c r="O28" s="17"/>
    </row>
    <row r="29" spans="2:15" ht="15" customHeight="1">
      <c r="B29" s="462" t="s">
        <v>793</v>
      </c>
      <c r="C29" s="181"/>
      <c r="D29" s="182"/>
      <c r="E29" s="182"/>
      <c r="F29" s="182"/>
      <c r="G29" s="182"/>
      <c r="H29" s="182"/>
      <c r="I29" s="182"/>
      <c r="J29" s="182"/>
      <c r="K29" s="20"/>
      <c r="L29" s="20"/>
      <c r="M29" s="20"/>
      <c r="N29" s="8"/>
      <c r="O29" s="8"/>
    </row>
    <row r="30" spans="2:15" ht="15" customHeight="1">
      <c r="B30" s="292" t="s">
        <v>794</v>
      </c>
      <c r="C30" s="292" t="s">
        <v>795</v>
      </c>
      <c r="D30" s="463">
        <v>-18</v>
      </c>
      <c r="E30" s="463">
        <v>-2</v>
      </c>
      <c r="F30" s="463">
        <v>-10</v>
      </c>
      <c r="G30" s="463">
        <v>-5318</v>
      </c>
      <c r="H30" s="463">
        <v>-2529</v>
      </c>
      <c r="I30" s="463">
        <v>434</v>
      </c>
      <c r="J30" s="463">
        <v>-6</v>
      </c>
      <c r="K30" s="463">
        <v>15</v>
      </c>
      <c r="L30" s="463">
        <v>-11</v>
      </c>
      <c r="M30" s="463">
        <v>-25</v>
      </c>
      <c r="N30" s="8"/>
      <c r="O30" s="8"/>
    </row>
    <row r="31" spans="2:15" ht="15" customHeight="1">
      <c r="B31" s="462" t="s">
        <v>796</v>
      </c>
      <c r="C31" s="181"/>
      <c r="D31" s="182"/>
      <c r="E31" s="182"/>
      <c r="F31" s="182"/>
      <c r="G31" s="182"/>
      <c r="H31" s="182"/>
      <c r="I31" s="182"/>
      <c r="J31" s="182"/>
      <c r="K31" s="20"/>
      <c r="L31" s="20"/>
      <c r="M31" s="20"/>
      <c r="N31" s="8"/>
      <c r="O31" s="8"/>
    </row>
    <row r="32" spans="2:15" ht="15" customHeight="1">
      <c r="B32" s="292" t="s">
        <v>797</v>
      </c>
      <c r="C32" s="292" t="s">
        <v>798</v>
      </c>
      <c r="D32" s="463">
        <v>31</v>
      </c>
      <c r="E32" s="463">
        <v>47</v>
      </c>
      <c r="F32" s="463">
        <v>36</v>
      </c>
      <c r="G32" s="463">
        <v>30</v>
      </c>
      <c r="H32" s="463">
        <v>36</v>
      </c>
      <c r="I32" s="463">
        <v>46</v>
      </c>
      <c r="J32" s="463">
        <v>35</v>
      </c>
      <c r="K32" s="463">
        <v>39</v>
      </c>
      <c r="L32" s="463">
        <v>31</v>
      </c>
      <c r="M32" s="463">
        <v>41</v>
      </c>
      <c r="N32" s="8"/>
      <c r="O32" s="8"/>
    </row>
    <row r="33" spans="2:15" ht="15" customHeight="1">
      <c r="B33" s="292" t="s">
        <v>799</v>
      </c>
      <c r="C33" s="292" t="s">
        <v>800</v>
      </c>
      <c r="D33" s="464">
        <v>1.2</v>
      </c>
      <c r="E33" s="461" t="s">
        <v>568</v>
      </c>
      <c r="F33" s="461" t="s">
        <v>568</v>
      </c>
      <c r="G33" s="461" t="s">
        <v>568</v>
      </c>
      <c r="H33" s="461" t="s">
        <v>568</v>
      </c>
      <c r="I33" s="461" t="s">
        <v>568</v>
      </c>
      <c r="J33" s="461" t="s">
        <v>568</v>
      </c>
      <c r="K33" s="461" t="s">
        <v>568</v>
      </c>
      <c r="L33" s="461" t="s">
        <v>568</v>
      </c>
      <c r="M33" s="461" t="s">
        <v>568</v>
      </c>
      <c r="N33" s="8"/>
      <c r="O33" s="8"/>
    </row>
    <row r="34" spans="2:15" ht="15" customHeight="1">
      <c r="B34" s="292" t="s">
        <v>801</v>
      </c>
      <c r="C34" s="292" t="s">
        <v>802</v>
      </c>
      <c r="D34" s="464">
        <v>1.18</v>
      </c>
      <c r="E34" s="464">
        <v>3.57</v>
      </c>
      <c r="F34" s="464">
        <v>1.9</v>
      </c>
      <c r="G34" s="464">
        <v>1.92</v>
      </c>
      <c r="H34" s="464">
        <v>1.19</v>
      </c>
      <c r="I34" s="464">
        <v>4</v>
      </c>
      <c r="J34" s="464">
        <v>5.59</v>
      </c>
      <c r="K34" s="464">
        <v>0.38</v>
      </c>
      <c r="L34" s="464">
        <v>1.42</v>
      </c>
      <c r="M34" s="464">
        <v>1.37</v>
      </c>
      <c r="N34" s="8"/>
      <c r="O34" s="8"/>
    </row>
    <row r="35" spans="2:15" ht="15" customHeight="1">
      <c r="B35" s="292" t="s">
        <v>393</v>
      </c>
      <c r="C35" s="292" t="s">
        <v>803</v>
      </c>
      <c r="D35" s="464">
        <v>1.18</v>
      </c>
      <c r="E35" s="464">
        <v>3.57</v>
      </c>
      <c r="F35" s="464">
        <v>1.9</v>
      </c>
      <c r="G35" s="464">
        <v>2.88</v>
      </c>
      <c r="H35" s="464">
        <v>1.65</v>
      </c>
      <c r="I35" s="464">
        <v>3.92</v>
      </c>
      <c r="J35" s="464">
        <v>5.59</v>
      </c>
      <c r="K35" s="464">
        <v>0.38</v>
      </c>
      <c r="L35" s="464">
        <v>1.42</v>
      </c>
      <c r="M35" s="464">
        <v>1.37</v>
      </c>
      <c r="N35" s="8"/>
      <c r="O35" s="8"/>
    </row>
    <row r="36" spans="2:15" ht="15" customHeight="1">
      <c r="B36" s="292" t="s">
        <v>804</v>
      </c>
      <c r="C36" s="292" t="s">
        <v>805</v>
      </c>
      <c r="D36" s="463">
        <v>6089</v>
      </c>
      <c r="E36" s="463">
        <v>5970</v>
      </c>
      <c r="F36" s="463">
        <v>5872</v>
      </c>
      <c r="G36" s="463">
        <v>5569</v>
      </c>
      <c r="H36" s="463">
        <v>5555</v>
      </c>
      <c r="I36" s="463">
        <v>5601</v>
      </c>
      <c r="J36" s="463">
        <v>5608</v>
      </c>
      <c r="K36" s="463">
        <v>5643</v>
      </c>
      <c r="L36" s="463">
        <v>5664</v>
      </c>
      <c r="M36" s="463">
        <v>5683</v>
      </c>
      <c r="N36" s="8"/>
      <c r="O36" s="8"/>
    </row>
    <row r="37" spans="2:15" ht="15" customHeight="1">
      <c r="B37" s="292" t="s">
        <v>806</v>
      </c>
      <c r="C37" s="292" t="s">
        <v>807</v>
      </c>
      <c r="D37" s="464">
        <v>1.17</v>
      </c>
      <c r="E37" s="464">
        <v>3.52</v>
      </c>
      <c r="F37" s="464">
        <v>1.86</v>
      </c>
      <c r="G37" s="464">
        <v>1.89</v>
      </c>
      <c r="H37" s="464">
        <v>1.18</v>
      </c>
      <c r="I37" s="464">
        <v>3.93</v>
      </c>
      <c r="J37" s="464">
        <v>5.47</v>
      </c>
      <c r="K37" s="464">
        <v>0.37</v>
      </c>
      <c r="L37" s="464">
        <v>1.41</v>
      </c>
      <c r="M37" s="464">
        <v>1.36</v>
      </c>
      <c r="N37" s="8"/>
      <c r="O37" s="8"/>
    </row>
    <row r="38" spans="2:15" ht="15" customHeight="1">
      <c r="B38" s="292" t="s">
        <v>394</v>
      </c>
      <c r="C38" s="292" t="s">
        <v>808</v>
      </c>
      <c r="D38" s="464">
        <v>1.17</v>
      </c>
      <c r="E38" s="464">
        <v>3.52</v>
      </c>
      <c r="F38" s="464">
        <v>1.87</v>
      </c>
      <c r="G38" s="464">
        <v>2.82</v>
      </c>
      <c r="H38" s="464">
        <v>1.63</v>
      </c>
      <c r="I38" s="464">
        <v>3.85</v>
      </c>
      <c r="J38" s="464">
        <v>5.47</v>
      </c>
      <c r="K38" s="464">
        <v>0.37</v>
      </c>
      <c r="L38" s="464">
        <v>1.41</v>
      </c>
      <c r="M38" s="464">
        <v>1.36</v>
      </c>
      <c r="N38" s="8"/>
      <c r="O38" s="8"/>
    </row>
    <row r="39" spans="2:15" ht="15" customHeight="1">
      <c r="B39" s="292" t="s">
        <v>809</v>
      </c>
      <c r="C39" s="292" t="s">
        <v>810</v>
      </c>
      <c r="D39" s="463">
        <v>6159</v>
      </c>
      <c r="E39" s="463">
        <v>6058</v>
      </c>
      <c r="F39" s="463">
        <v>5977</v>
      </c>
      <c r="G39" s="463">
        <v>5675</v>
      </c>
      <c r="H39" s="463">
        <v>5632</v>
      </c>
      <c r="I39" s="463">
        <v>5708</v>
      </c>
      <c r="J39" s="463">
        <v>5733</v>
      </c>
      <c r="K39" s="463">
        <v>5709</v>
      </c>
      <c r="L39" s="463">
        <v>5700</v>
      </c>
      <c r="M39" s="463">
        <v>5713</v>
      </c>
      <c r="N39" s="8"/>
      <c r="O39" s="8"/>
    </row>
    <row r="40" spans="2:15" ht="15" customHeight="1">
      <c r="B40" s="292" t="s">
        <v>811</v>
      </c>
      <c r="C40" s="292" t="s">
        <v>812</v>
      </c>
      <c r="D40" s="447" t="s">
        <v>568</v>
      </c>
      <c r="E40" s="447" t="s">
        <v>568</v>
      </c>
      <c r="F40" s="447" t="s">
        <v>568</v>
      </c>
      <c r="G40" s="463">
        <v>16026</v>
      </c>
      <c r="H40" s="463">
        <v>9159</v>
      </c>
      <c r="I40" s="463">
        <v>21979</v>
      </c>
      <c r="J40" s="463">
        <v>31372</v>
      </c>
      <c r="K40" s="463">
        <v>2119</v>
      </c>
      <c r="L40" s="463">
        <v>8031</v>
      </c>
      <c r="M40" s="463">
        <v>7771</v>
      </c>
      <c r="N40" s="8"/>
      <c r="O40" s="8"/>
    </row>
    <row r="41" spans="2:15" ht="15" customHeight="1">
      <c r="B41" s="292" t="s">
        <v>813</v>
      </c>
      <c r="C41" s="292" t="s">
        <v>814</v>
      </c>
      <c r="D41" s="464">
        <v>0</v>
      </c>
      <c r="E41" s="464">
        <v>0</v>
      </c>
      <c r="F41" s="464">
        <v>0</v>
      </c>
      <c r="G41" s="464">
        <v>0.95</v>
      </c>
      <c r="H41" s="464">
        <v>0.46</v>
      </c>
      <c r="I41" s="464">
        <v>-0.08</v>
      </c>
      <c r="J41" s="464">
        <v>0</v>
      </c>
      <c r="K41" s="464">
        <v>0</v>
      </c>
      <c r="L41" s="464">
        <v>0</v>
      </c>
      <c r="M41" s="464">
        <v>0</v>
      </c>
      <c r="N41" s="8"/>
      <c r="O41" s="8"/>
    </row>
    <row r="42" spans="2:15" ht="15" customHeight="1">
      <c r="B42" s="292" t="s">
        <v>815</v>
      </c>
      <c r="C42" s="292" t="s">
        <v>816</v>
      </c>
      <c r="D42" s="464">
        <v>0</v>
      </c>
      <c r="E42" s="464">
        <v>0</v>
      </c>
      <c r="F42" s="464">
        <v>0</v>
      </c>
      <c r="G42" s="464">
        <v>0.94</v>
      </c>
      <c r="H42" s="464">
        <v>0.45</v>
      </c>
      <c r="I42" s="464">
        <v>-0.08</v>
      </c>
      <c r="J42" s="464">
        <v>0</v>
      </c>
      <c r="K42" s="464">
        <v>0</v>
      </c>
      <c r="L42" s="464">
        <v>0</v>
      </c>
      <c r="M42" s="464">
        <v>0</v>
      </c>
      <c r="N42" s="8"/>
      <c r="O42" s="8"/>
    </row>
    <row r="43" spans="2:15" ht="15" customHeight="1">
      <c r="B43" s="292" t="s">
        <v>817</v>
      </c>
      <c r="C43" s="292" t="s">
        <v>818</v>
      </c>
      <c r="D43" s="463">
        <v>7246</v>
      </c>
      <c r="E43" s="463">
        <v>21355</v>
      </c>
      <c r="F43" s="463">
        <v>11188</v>
      </c>
      <c r="G43" s="463">
        <v>16056</v>
      </c>
      <c r="H43" s="463">
        <v>9195</v>
      </c>
      <c r="I43" s="463">
        <v>22025</v>
      </c>
      <c r="J43" s="463">
        <v>31407</v>
      </c>
      <c r="K43" s="463">
        <v>2158</v>
      </c>
      <c r="L43" s="463">
        <v>8062</v>
      </c>
      <c r="M43" s="463">
        <v>7812</v>
      </c>
      <c r="N43" s="8"/>
      <c r="O43" s="8"/>
    </row>
    <row r="44" spans="2:15" ht="15" customHeight="1">
      <c r="B44" s="292" t="s">
        <v>819</v>
      </c>
      <c r="C44" s="292" t="s">
        <v>820</v>
      </c>
      <c r="D44" s="463">
        <v>7215</v>
      </c>
      <c r="E44" s="463">
        <v>21308</v>
      </c>
      <c r="F44" s="463">
        <v>11153</v>
      </c>
      <c r="G44" s="463">
        <v>16026</v>
      </c>
      <c r="H44" s="463">
        <v>9159</v>
      </c>
      <c r="I44" s="463">
        <v>21979</v>
      </c>
      <c r="J44" s="463">
        <v>31372</v>
      </c>
      <c r="K44" s="463">
        <v>2119</v>
      </c>
      <c r="L44" s="463">
        <v>8031</v>
      </c>
      <c r="M44" s="463">
        <v>7771</v>
      </c>
      <c r="N44" s="8"/>
      <c r="O44" s="8"/>
    </row>
    <row r="45" spans="2:15" ht="15" customHeight="1">
      <c r="B45" s="292" t="s">
        <v>821</v>
      </c>
      <c r="C45" s="292" t="s">
        <v>822</v>
      </c>
      <c r="D45" s="447" t="s">
        <v>568</v>
      </c>
      <c r="E45" s="447" t="s">
        <v>568</v>
      </c>
      <c r="F45" s="463">
        <v>0</v>
      </c>
      <c r="G45" s="447" t="s">
        <v>568</v>
      </c>
      <c r="H45" s="447" t="s">
        <v>568</v>
      </c>
      <c r="I45" s="447" t="s">
        <v>568</v>
      </c>
      <c r="J45" s="447" t="s">
        <v>568</v>
      </c>
      <c r="K45" s="447" t="s">
        <v>568</v>
      </c>
      <c r="L45" s="447" t="s">
        <v>568</v>
      </c>
      <c r="M45" s="447" t="s">
        <v>568</v>
      </c>
      <c r="N45" s="8"/>
      <c r="O45" s="8"/>
    </row>
    <row r="46" spans="2:15" ht="15" customHeight="1">
      <c r="B46" s="295" t="s">
        <v>330</v>
      </c>
      <c r="C46" s="295" t="s">
        <v>823</v>
      </c>
      <c r="D46" s="446">
        <v>7215</v>
      </c>
      <c r="E46" s="446">
        <v>21308</v>
      </c>
      <c r="F46" s="446">
        <v>11153</v>
      </c>
      <c r="G46" s="446">
        <v>16026</v>
      </c>
      <c r="H46" s="446">
        <v>9159</v>
      </c>
      <c r="I46" s="446">
        <v>21979</v>
      </c>
      <c r="J46" s="446">
        <v>31372</v>
      </c>
      <c r="K46" s="446">
        <v>2119</v>
      </c>
      <c r="L46" s="446">
        <v>8031</v>
      </c>
      <c r="M46" s="446">
        <v>7771</v>
      </c>
      <c r="N46" s="15"/>
      <c r="O46" s="15"/>
    </row>
    <row r="47" spans="2:15" ht="15" customHeight="1">
      <c r="B47" s="462" t="s">
        <v>824</v>
      </c>
      <c r="C47" s="181"/>
      <c r="D47" s="182"/>
      <c r="E47" s="182"/>
      <c r="F47" s="182"/>
      <c r="G47" s="182"/>
      <c r="H47" s="182"/>
      <c r="I47" s="182"/>
      <c r="J47" s="182"/>
      <c r="K47" s="20"/>
      <c r="L47" s="20"/>
      <c r="M47" s="20"/>
      <c r="N47" s="8"/>
      <c r="O47" s="8"/>
    </row>
    <row r="48" spans="2:15" ht="15" customHeight="1">
      <c r="B48" s="292" t="s">
        <v>825</v>
      </c>
      <c r="C48" s="292" t="s">
        <v>826</v>
      </c>
      <c r="D48" s="447" t="s">
        <v>568</v>
      </c>
      <c r="E48" s="447" t="s">
        <v>568</v>
      </c>
      <c r="F48" s="447" t="s">
        <v>568</v>
      </c>
      <c r="G48" s="447" t="s">
        <v>568</v>
      </c>
      <c r="H48" s="447" t="s">
        <v>568</v>
      </c>
      <c r="I48" s="447" t="s">
        <v>568</v>
      </c>
      <c r="J48" s="463">
        <v>31407</v>
      </c>
      <c r="K48" s="463">
        <v>2158</v>
      </c>
      <c r="L48" s="463">
        <v>8062</v>
      </c>
      <c r="M48" s="463">
        <v>7812</v>
      </c>
      <c r="N48" s="8"/>
      <c r="O48" s="8"/>
    </row>
    <row r="49" spans="2:15" ht="15" customHeight="1">
      <c r="B49" s="462" t="s">
        <v>827</v>
      </c>
      <c r="C49" s="181"/>
      <c r="D49" s="182"/>
      <c r="E49" s="182"/>
      <c r="F49" s="182"/>
      <c r="G49" s="182"/>
      <c r="H49" s="182"/>
      <c r="I49" s="182"/>
      <c r="J49" s="182"/>
      <c r="K49" s="20"/>
      <c r="L49" s="20"/>
      <c r="M49" s="20"/>
      <c r="N49" s="8"/>
      <c r="O49" s="8"/>
    </row>
    <row r="50" spans="2:15" ht="15" customHeight="1">
      <c r="B50" s="462" t="s">
        <v>828</v>
      </c>
      <c r="C50" s="181"/>
      <c r="D50" s="182"/>
      <c r="E50" s="182"/>
      <c r="F50" s="182"/>
      <c r="G50" s="182"/>
      <c r="H50" s="182"/>
      <c r="I50" s="182"/>
      <c r="J50" s="182"/>
      <c r="K50" s="20"/>
      <c r="L50" s="20"/>
      <c r="M50" s="20"/>
      <c r="N50" s="8"/>
      <c r="O50" s="8"/>
    </row>
    <row r="51" spans="2:15" ht="15" customHeight="1">
      <c r="B51" s="292" t="s">
        <v>92</v>
      </c>
      <c r="C51" s="292" t="s">
        <v>829</v>
      </c>
      <c r="D51" s="447" t="s">
        <v>568</v>
      </c>
      <c r="E51" s="463">
        <v>11228</v>
      </c>
      <c r="F51" s="463">
        <v>11248</v>
      </c>
      <c r="G51" s="463">
        <v>8054</v>
      </c>
      <c r="H51" s="463">
        <v>8484</v>
      </c>
      <c r="I51" s="463">
        <v>30821</v>
      </c>
      <c r="J51" s="463">
        <v>34344</v>
      </c>
      <c r="K51" s="463">
        <v>24954</v>
      </c>
      <c r="L51" s="463">
        <v>17851</v>
      </c>
      <c r="M51" s="463">
        <v>16067</v>
      </c>
      <c r="N51" s="8"/>
      <c r="O51" s="8"/>
    </row>
    <row r="52" spans="2:15" ht="15" customHeight="1">
      <c r="B52" s="292" t="s">
        <v>767</v>
      </c>
      <c r="C52" s="292" t="s">
        <v>830</v>
      </c>
      <c r="D52" s="463">
        <v>4056</v>
      </c>
      <c r="E52" s="463">
        <v>4758</v>
      </c>
      <c r="F52" s="463">
        <v>4893</v>
      </c>
      <c r="G52" s="463">
        <v>4429</v>
      </c>
      <c r="H52" s="463">
        <v>3348</v>
      </c>
      <c r="I52" s="463">
        <v>3746</v>
      </c>
      <c r="J52" s="463">
        <v>3609</v>
      </c>
      <c r="K52" s="463">
        <v>4733</v>
      </c>
      <c r="L52" s="463">
        <v>5286</v>
      </c>
      <c r="M52" s="463">
        <v>4874</v>
      </c>
      <c r="N52" s="8"/>
      <c r="O52" s="8"/>
    </row>
    <row r="53" spans="2:15" ht="15" customHeight="1">
      <c r="B53" s="292" t="s">
        <v>769</v>
      </c>
      <c r="C53" s="292" t="s">
        <v>831</v>
      </c>
      <c r="D53" s="463">
        <v>7872</v>
      </c>
      <c r="E53" s="463">
        <v>7683</v>
      </c>
      <c r="F53" s="463">
        <v>8006</v>
      </c>
      <c r="G53" s="463">
        <v>8385</v>
      </c>
      <c r="H53" s="463">
        <v>9393</v>
      </c>
      <c r="I53" s="463">
        <v>10360</v>
      </c>
      <c r="J53" s="463">
        <v>11428</v>
      </c>
      <c r="K53" s="463">
        <v>10679</v>
      </c>
      <c r="L53" s="463">
        <v>10822</v>
      </c>
      <c r="M53" s="463">
        <v>10437</v>
      </c>
      <c r="N53" s="8"/>
      <c r="O53" s="8"/>
    </row>
    <row r="54" spans="2:15" ht="15" customHeight="1">
      <c r="B54" s="292" t="s">
        <v>749</v>
      </c>
      <c r="C54" s="292" t="s">
        <v>832</v>
      </c>
      <c r="D54" s="447" t="s">
        <v>568</v>
      </c>
      <c r="E54" s="447" t="s">
        <v>568</v>
      </c>
      <c r="F54" s="447" t="s">
        <v>568</v>
      </c>
      <c r="G54" s="463">
        <v>5755</v>
      </c>
      <c r="H54" s="463">
        <v>1333</v>
      </c>
      <c r="I54" s="463">
        <v>1491</v>
      </c>
      <c r="J54" s="463">
        <v>1455</v>
      </c>
      <c r="K54" s="463">
        <v>1557</v>
      </c>
      <c r="L54" s="463">
        <v>1727</v>
      </c>
      <c r="M54" s="463">
        <v>1718</v>
      </c>
      <c r="N54" s="8"/>
      <c r="O54" s="8"/>
    </row>
    <row r="55" spans="2:15" ht="15" customHeight="1">
      <c r="B55" s="292" t="s">
        <v>833</v>
      </c>
      <c r="C55" s="292" t="s">
        <v>834</v>
      </c>
      <c r="D55" s="463">
        <v>14837</v>
      </c>
      <c r="E55" s="463">
        <v>14804</v>
      </c>
      <c r="F55" s="463">
        <v>14455</v>
      </c>
      <c r="G55" s="463">
        <v>12726</v>
      </c>
      <c r="H55" s="463">
        <v>11597</v>
      </c>
      <c r="I55" s="463">
        <v>12703</v>
      </c>
      <c r="J55" s="463">
        <v>13677</v>
      </c>
      <c r="K55" s="463">
        <v>14771</v>
      </c>
      <c r="L55" s="463">
        <v>14730</v>
      </c>
      <c r="M55" s="463">
        <v>13794</v>
      </c>
      <c r="N55" s="8"/>
      <c r="O55" s="8"/>
    </row>
    <row r="56" spans="2:15" ht="15" customHeight="1">
      <c r="B56" s="292" t="s">
        <v>835</v>
      </c>
      <c r="C56" s="292" t="s">
        <v>836</v>
      </c>
      <c r="D56" s="447" t="s">
        <v>568</v>
      </c>
      <c r="E56" s="447" t="s">
        <v>568</v>
      </c>
      <c r="F56" s="447" t="s">
        <v>568</v>
      </c>
      <c r="G56" s="463">
        <v>5755</v>
      </c>
      <c r="H56" s="463">
        <v>4681</v>
      </c>
      <c r="I56" s="463">
        <v>5191</v>
      </c>
      <c r="J56" s="463">
        <v>5064</v>
      </c>
      <c r="K56" s="463">
        <v>6290</v>
      </c>
      <c r="L56" s="463">
        <v>7013</v>
      </c>
      <c r="M56" s="463">
        <v>6592</v>
      </c>
      <c r="N56" s="8"/>
      <c r="O56" s="8"/>
    </row>
    <row r="57" spans="2:15" ht="15" customHeight="1">
      <c r="B57" s="292" t="s">
        <v>837</v>
      </c>
      <c r="C57" s="292" t="s">
        <v>838</v>
      </c>
      <c r="D57" s="463">
        <v>1186</v>
      </c>
      <c r="E57" s="463">
        <v>1270</v>
      </c>
      <c r="F57" s="463">
        <v>1316</v>
      </c>
      <c r="G57" s="463">
        <v>1573</v>
      </c>
      <c r="H57" s="463">
        <v>1449</v>
      </c>
      <c r="I57" s="463">
        <v>1291</v>
      </c>
      <c r="J57" s="463">
        <v>1238</v>
      </c>
      <c r="K57" s="463">
        <v>2209</v>
      </c>
      <c r="L57" s="463">
        <v>3091</v>
      </c>
      <c r="M57" s="463">
        <v>2671</v>
      </c>
      <c r="N57" s="8"/>
      <c r="O57" s="8"/>
    </row>
    <row r="58" spans="2:15" ht="15" customHeight="1">
      <c r="B58" s="292" t="s">
        <v>839</v>
      </c>
      <c r="C58" s="292" t="s">
        <v>840</v>
      </c>
      <c r="D58" s="463">
        <v>0</v>
      </c>
      <c r="E58" s="447" t="s">
        <v>568</v>
      </c>
      <c r="F58" s="447" t="s">
        <v>568</v>
      </c>
      <c r="G58" s="447" t="s">
        <v>568</v>
      </c>
      <c r="H58" s="447" t="s">
        <v>568</v>
      </c>
      <c r="I58" s="447" t="s">
        <v>568</v>
      </c>
      <c r="J58" s="447" t="s">
        <v>568</v>
      </c>
      <c r="K58" s="447" t="s">
        <v>568</v>
      </c>
      <c r="L58" s="447" t="s">
        <v>568</v>
      </c>
      <c r="M58" s="447" t="s">
        <v>568</v>
      </c>
      <c r="N58" s="8"/>
      <c r="O58" s="8"/>
    </row>
    <row r="59" spans="2:15" ht="15" customHeight="1">
      <c r="B59" s="292" t="s">
        <v>773</v>
      </c>
      <c r="C59" s="292" t="s">
        <v>841</v>
      </c>
      <c r="D59" s="447" t="s">
        <v>568</v>
      </c>
      <c r="E59" s="447" t="s">
        <v>568</v>
      </c>
      <c r="F59" s="447" t="s">
        <v>568</v>
      </c>
      <c r="G59" s="447" t="s">
        <v>568</v>
      </c>
      <c r="H59" s="463">
        <v>50</v>
      </c>
      <c r="I59" s="463">
        <v>3469</v>
      </c>
      <c r="J59" s="463">
        <v>953</v>
      </c>
      <c r="K59" s="463">
        <v>194</v>
      </c>
      <c r="L59" s="463">
        <v>108</v>
      </c>
      <c r="M59" s="463">
        <v>1613</v>
      </c>
      <c r="N59" s="8"/>
      <c r="O59" s="8"/>
    </row>
    <row r="60" spans="2:15" ht="15" customHeight="1">
      <c r="B60" s="292" t="s">
        <v>842</v>
      </c>
      <c r="C60" s="292" t="s">
        <v>843</v>
      </c>
      <c r="D60" s="463">
        <v>3138</v>
      </c>
      <c r="E60" s="463">
        <v>379</v>
      </c>
      <c r="F60" s="463">
        <v>3101</v>
      </c>
      <c r="G60" s="463">
        <v>198</v>
      </c>
      <c r="H60" s="447" t="s">
        <v>568</v>
      </c>
      <c r="I60" s="447" t="s">
        <v>568</v>
      </c>
      <c r="J60" s="447" t="s">
        <v>568</v>
      </c>
      <c r="K60" s="447" t="s">
        <v>568</v>
      </c>
      <c r="L60" s="447" t="s">
        <v>568</v>
      </c>
      <c r="M60" s="447" t="s">
        <v>568</v>
      </c>
      <c r="N60" s="8"/>
      <c r="O60" s="8"/>
    </row>
    <row r="61" spans="2:15" ht="15" customHeight="1">
      <c r="B61" s="292" t="s">
        <v>775</v>
      </c>
      <c r="C61" s="292" t="s">
        <v>844</v>
      </c>
      <c r="D61" s="463">
        <v>1424</v>
      </c>
      <c r="E61" s="463">
        <v>423</v>
      </c>
      <c r="F61" s="463">
        <v>1026</v>
      </c>
      <c r="G61" s="463">
        <v>421</v>
      </c>
      <c r="H61" s="463">
        <v>791</v>
      </c>
      <c r="I61" s="463">
        <v>1299</v>
      </c>
      <c r="J61" s="463">
        <v>1532</v>
      </c>
      <c r="K61" s="463">
        <v>2356</v>
      </c>
      <c r="L61" s="463">
        <v>2213</v>
      </c>
      <c r="M61" s="463">
        <v>1395</v>
      </c>
      <c r="N61" s="8"/>
      <c r="O61" s="17"/>
    </row>
    <row r="62" spans="2:15" ht="15" customHeight="1">
      <c r="B62" s="292" t="s">
        <v>777</v>
      </c>
      <c r="C62" s="292" t="s">
        <v>845</v>
      </c>
      <c r="D62" s="463">
        <v>520</v>
      </c>
      <c r="E62" s="463">
        <v>700</v>
      </c>
      <c r="F62" s="463">
        <v>65</v>
      </c>
      <c r="G62" s="463">
        <v>1418</v>
      </c>
      <c r="H62" s="463">
        <v>826</v>
      </c>
      <c r="I62" s="463">
        <v>193</v>
      </c>
      <c r="J62" s="463">
        <v>99</v>
      </c>
      <c r="K62" s="463">
        <v>262</v>
      </c>
      <c r="L62" s="463">
        <v>-420</v>
      </c>
      <c r="M62" s="463">
        <v>64</v>
      </c>
      <c r="N62" s="8"/>
      <c r="O62" s="8"/>
    </row>
    <row r="63" spans="2:15" ht="15" customHeight="1">
      <c r="B63" s="292" t="s">
        <v>846</v>
      </c>
      <c r="C63" s="292" t="s">
        <v>847</v>
      </c>
      <c r="D63" s="463">
        <v>-470</v>
      </c>
      <c r="E63" s="463">
        <v>-391</v>
      </c>
      <c r="F63" s="463">
        <v>-333</v>
      </c>
      <c r="G63" s="463">
        <v>-225</v>
      </c>
      <c r="H63" s="463">
        <v>-73</v>
      </c>
      <c r="I63" s="463">
        <v>-36</v>
      </c>
      <c r="J63" s="463">
        <v>-251</v>
      </c>
      <c r="K63" s="463">
        <v>-1624</v>
      </c>
      <c r="L63" s="463">
        <v>-545</v>
      </c>
      <c r="M63" s="463">
        <v>-603</v>
      </c>
      <c r="N63" s="8"/>
      <c r="O63" s="8"/>
    </row>
    <row r="64" spans="2:15" ht="15" customHeight="1">
      <c r="B64" s="292" t="s">
        <v>848</v>
      </c>
      <c r="C64" s="292" t="s">
        <v>849</v>
      </c>
      <c r="D64" s="463">
        <v>716</v>
      </c>
      <c r="E64" s="463">
        <v>879</v>
      </c>
      <c r="F64" s="463">
        <v>983</v>
      </c>
      <c r="G64" s="463">
        <v>1348</v>
      </c>
      <c r="H64" s="463">
        <v>1376</v>
      </c>
      <c r="I64" s="463">
        <v>1255</v>
      </c>
      <c r="J64" s="463">
        <v>987</v>
      </c>
      <c r="K64" s="463">
        <v>585</v>
      </c>
      <c r="L64" s="463">
        <v>2546</v>
      </c>
      <c r="M64" s="463">
        <v>2068</v>
      </c>
      <c r="N64" s="8"/>
      <c r="O64" s="8"/>
    </row>
    <row r="65" spans="2:15" ht="15" customHeight="1">
      <c r="B65" s="292" t="s">
        <v>785</v>
      </c>
      <c r="C65" s="292" t="s">
        <v>850</v>
      </c>
      <c r="D65" s="463">
        <v>1123</v>
      </c>
      <c r="E65" s="463">
        <v>-9048</v>
      </c>
      <c r="F65" s="463">
        <v>706</v>
      </c>
      <c r="G65" s="463">
        <v>583</v>
      </c>
      <c r="H65" s="463">
        <v>370</v>
      </c>
      <c r="I65" s="463">
        <v>1852</v>
      </c>
      <c r="J65" s="463">
        <v>3328</v>
      </c>
      <c r="K65" s="463">
        <v>-1115</v>
      </c>
      <c r="L65" s="463">
        <v>-28</v>
      </c>
      <c r="M65" s="447" t="s">
        <v>568</v>
      </c>
      <c r="N65" s="8"/>
      <c r="O65" s="8"/>
    </row>
    <row r="66" spans="2:15" ht="15" customHeight="1">
      <c r="B66" s="292" t="s">
        <v>851</v>
      </c>
      <c r="C66" s="292" t="s">
        <v>852</v>
      </c>
      <c r="D66" s="463">
        <v>-17</v>
      </c>
      <c r="E66" s="463">
        <v>-2</v>
      </c>
      <c r="F66" s="463">
        <v>-10</v>
      </c>
      <c r="G66" s="463">
        <v>-4</v>
      </c>
      <c r="H66" s="463">
        <v>-2529</v>
      </c>
      <c r="I66" s="463">
        <v>434</v>
      </c>
      <c r="J66" s="463">
        <v>-6</v>
      </c>
      <c r="K66" s="463">
        <v>15</v>
      </c>
      <c r="L66" s="463">
        <v>-11</v>
      </c>
      <c r="M66" s="463">
        <v>-25</v>
      </c>
      <c r="N66" s="8"/>
      <c r="O66" s="8"/>
    </row>
    <row r="67" spans="2:15" ht="15" customHeight="1">
      <c r="B67" s="292" t="s">
        <v>853</v>
      </c>
      <c r="C67" s="292" t="s">
        <v>854</v>
      </c>
      <c r="D67" s="463">
        <v>-815</v>
      </c>
      <c r="E67" s="463">
        <v>1116</v>
      </c>
      <c r="F67" s="463">
        <v>-799</v>
      </c>
      <c r="G67" s="463">
        <v>387</v>
      </c>
      <c r="H67" s="463">
        <v>772</v>
      </c>
      <c r="I67" s="463">
        <v>-682</v>
      </c>
      <c r="J67" s="463">
        <v>-2328</v>
      </c>
      <c r="K67" s="463">
        <v>452</v>
      </c>
      <c r="L67" s="463">
        <v>32</v>
      </c>
      <c r="M67" s="463">
        <v>-181</v>
      </c>
      <c r="N67" s="8"/>
      <c r="O67" s="8"/>
    </row>
    <row r="68" spans="2:15" ht="15" customHeight="1">
      <c r="B68" s="292" t="s">
        <v>855</v>
      </c>
      <c r="C68" s="292" t="s">
        <v>856</v>
      </c>
      <c r="D68" s="463">
        <v>248</v>
      </c>
      <c r="E68" s="463">
        <v>818</v>
      </c>
      <c r="F68" s="463">
        <v>-185</v>
      </c>
      <c r="G68" s="463">
        <v>476</v>
      </c>
      <c r="H68" s="463">
        <v>-582</v>
      </c>
      <c r="I68" s="463">
        <v>526</v>
      </c>
      <c r="J68" s="463">
        <v>1444</v>
      </c>
      <c r="K68" s="463">
        <v>625</v>
      </c>
      <c r="L68" s="463">
        <v>499</v>
      </c>
      <c r="M68" s="463">
        <v>-18</v>
      </c>
      <c r="N68" s="8"/>
      <c r="O68" s="8"/>
    </row>
    <row r="69" spans="2:15" ht="15" customHeight="1">
      <c r="B69" s="292" t="s">
        <v>857</v>
      </c>
      <c r="C69" s="292" t="s">
        <v>858</v>
      </c>
      <c r="D69" s="463">
        <v>-442</v>
      </c>
      <c r="E69" s="463">
        <v>-10</v>
      </c>
      <c r="F69" s="463">
        <v>220</v>
      </c>
      <c r="G69" s="463">
        <v>-1</v>
      </c>
      <c r="H69" s="463">
        <v>361</v>
      </c>
      <c r="I69" s="463">
        <v>-355</v>
      </c>
      <c r="J69" s="463">
        <v>-1306</v>
      </c>
      <c r="K69" s="463">
        <v>-121</v>
      </c>
      <c r="L69" s="463">
        <v>-152</v>
      </c>
      <c r="M69" s="447" t="s">
        <v>568</v>
      </c>
      <c r="N69" s="8"/>
      <c r="O69" s="8"/>
    </row>
    <row r="70" spans="2:15" ht="15" customHeight="1">
      <c r="B70" s="292" t="s">
        <v>859</v>
      </c>
      <c r="C70" s="292" t="s">
        <v>860</v>
      </c>
      <c r="D70" s="463">
        <v>-1704</v>
      </c>
      <c r="E70" s="463">
        <v>-214</v>
      </c>
      <c r="F70" s="463">
        <v>-658</v>
      </c>
      <c r="G70" s="463">
        <v>-189</v>
      </c>
      <c r="H70" s="463">
        <v>-124</v>
      </c>
      <c r="I70" s="463">
        <v>-112</v>
      </c>
      <c r="J70" s="463">
        <v>-165</v>
      </c>
      <c r="K70" s="463">
        <v>-157</v>
      </c>
      <c r="L70" s="463">
        <v>84</v>
      </c>
      <c r="M70" s="447" t="s">
        <v>568</v>
      </c>
      <c r="N70" s="8"/>
      <c r="O70" s="8"/>
    </row>
    <row r="71" spans="2:15" ht="15" customHeight="1">
      <c r="B71" s="292" t="s">
        <v>861</v>
      </c>
      <c r="C71" s="292" t="s">
        <v>862</v>
      </c>
      <c r="D71" s="463">
        <v>821</v>
      </c>
      <c r="E71" s="463">
        <v>-97</v>
      </c>
      <c r="F71" s="463">
        <v>-149</v>
      </c>
      <c r="G71" s="463">
        <v>-625</v>
      </c>
      <c r="H71" s="463">
        <v>-184</v>
      </c>
      <c r="I71" s="463">
        <v>104</v>
      </c>
      <c r="J71" s="463">
        <v>-253</v>
      </c>
      <c r="K71" s="463">
        <v>-554</v>
      </c>
      <c r="L71" s="463">
        <v>-117</v>
      </c>
      <c r="M71" s="463">
        <v>-526</v>
      </c>
      <c r="N71" s="8"/>
      <c r="O71" s="8"/>
    </row>
    <row r="72" spans="2:15" ht="15" customHeight="1">
      <c r="B72" s="292" t="s">
        <v>863</v>
      </c>
      <c r="C72" s="292" t="s">
        <v>864</v>
      </c>
      <c r="D72" s="447" t="s">
        <v>568</v>
      </c>
      <c r="E72" s="463">
        <v>262</v>
      </c>
      <c r="F72" s="463">
        <v>-518</v>
      </c>
      <c r="G72" s="463">
        <v>-178</v>
      </c>
      <c r="H72" s="463">
        <v>-227</v>
      </c>
      <c r="I72" s="463">
        <v>-71</v>
      </c>
      <c r="J72" s="463">
        <v>187</v>
      </c>
      <c r="K72" s="463">
        <v>85</v>
      </c>
      <c r="L72" s="463">
        <v>-231</v>
      </c>
      <c r="M72" s="463">
        <v>486</v>
      </c>
      <c r="N72" s="8"/>
      <c r="O72" s="8"/>
    </row>
    <row r="73" spans="2:15" ht="15" customHeight="1">
      <c r="B73" s="292" t="s">
        <v>865</v>
      </c>
      <c r="C73" s="292" t="s">
        <v>866</v>
      </c>
      <c r="D73" s="463">
        <v>6</v>
      </c>
      <c r="E73" s="463">
        <v>-145</v>
      </c>
      <c r="F73" s="463">
        <v>114</v>
      </c>
      <c r="G73" s="463">
        <v>1</v>
      </c>
      <c r="H73" s="463">
        <v>243</v>
      </c>
      <c r="I73" s="447" t="s">
        <v>568</v>
      </c>
      <c r="J73" s="447" t="s">
        <v>568</v>
      </c>
      <c r="K73" s="447" t="s">
        <v>568</v>
      </c>
      <c r="L73" s="447" t="s">
        <v>568</v>
      </c>
      <c r="M73" s="447" t="s">
        <v>568</v>
      </c>
      <c r="N73" s="8"/>
      <c r="O73" s="8"/>
    </row>
    <row r="74" spans="2:15" ht="15" customHeight="1">
      <c r="B74" s="292" t="s">
        <v>867</v>
      </c>
      <c r="C74" s="292" t="s">
        <v>868</v>
      </c>
      <c r="D74" s="463">
        <v>61</v>
      </c>
      <c r="E74" s="463">
        <v>72</v>
      </c>
      <c r="F74" s="463">
        <v>73</v>
      </c>
      <c r="G74" s="463">
        <v>88</v>
      </c>
      <c r="H74" s="463">
        <v>96</v>
      </c>
      <c r="I74" s="463">
        <v>108</v>
      </c>
      <c r="J74" s="463">
        <v>124</v>
      </c>
      <c r="K74" s="463">
        <v>160</v>
      </c>
      <c r="L74" s="463">
        <v>182</v>
      </c>
      <c r="M74" s="463">
        <v>166</v>
      </c>
      <c r="N74" s="8"/>
      <c r="O74" s="8"/>
    </row>
    <row r="75" spans="2:15" ht="15" customHeight="1">
      <c r="B75" s="292" t="s">
        <v>758</v>
      </c>
      <c r="C75" s="292" t="s">
        <v>869</v>
      </c>
      <c r="D75" s="447" t="s">
        <v>568</v>
      </c>
      <c r="E75" s="447" t="s">
        <v>568</v>
      </c>
      <c r="F75" s="447" t="s">
        <v>568</v>
      </c>
      <c r="G75" s="447" t="s">
        <v>568</v>
      </c>
      <c r="H75" s="447" t="s">
        <v>568</v>
      </c>
      <c r="I75" s="447" t="s">
        <v>568</v>
      </c>
      <c r="J75" s="463">
        <v>8537</v>
      </c>
      <c r="K75" s="463">
        <v>7582</v>
      </c>
      <c r="L75" s="463">
        <v>8388</v>
      </c>
      <c r="M75" s="463">
        <v>9266</v>
      </c>
      <c r="N75" s="8"/>
      <c r="O75" s="8"/>
    </row>
    <row r="76" spans="2:15" ht="15" customHeight="1">
      <c r="B76" s="292" t="s">
        <v>745</v>
      </c>
      <c r="C76" s="292" t="s">
        <v>870</v>
      </c>
      <c r="D76" s="447" t="s">
        <v>568</v>
      </c>
      <c r="E76" s="447" t="s">
        <v>568</v>
      </c>
      <c r="F76" s="447" t="s">
        <v>568</v>
      </c>
      <c r="G76" s="447" t="s">
        <v>568</v>
      </c>
      <c r="H76" s="447" t="s">
        <v>568</v>
      </c>
      <c r="I76" s="463">
        <v>8816</v>
      </c>
      <c r="J76" s="463">
        <v>9037</v>
      </c>
      <c r="K76" s="463">
        <v>9316</v>
      </c>
      <c r="L76" s="463">
        <v>9577</v>
      </c>
      <c r="M76" s="463">
        <v>9800</v>
      </c>
      <c r="N76" s="8"/>
      <c r="O76" s="8"/>
    </row>
    <row r="77" spans="2:15" ht="15" customHeight="1">
      <c r="B77" s="292" t="s">
        <v>871</v>
      </c>
      <c r="C77" s="292" t="s">
        <v>872</v>
      </c>
      <c r="D77" s="463">
        <v>2</v>
      </c>
      <c r="E77" s="463">
        <v>1</v>
      </c>
      <c r="F77" s="463">
        <v>1</v>
      </c>
      <c r="G77" s="447" t="s">
        <v>568</v>
      </c>
      <c r="H77" s="463">
        <v>0</v>
      </c>
      <c r="I77" s="447" t="s">
        <v>568</v>
      </c>
      <c r="J77" s="447" t="s">
        <v>568</v>
      </c>
      <c r="K77" s="447" t="s">
        <v>568</v>
      </c>
      <c r="L77" s="447" t="s">
        <v>568</v>
      </c>
      <c r="M77" s="447" t="s">
        <v>568</v>
      </c>
      <c r="N77" s="8"/>
      <c r="O77" s="8"/>
    </row>
    <row r="78" spans="2:15" ht="15" customHeight="1">
      <c r="B78" s="292" t="s">
        <v>873</v>
      </c>
      <c r="C78" s="292" t="s">
        <v>874</v>
      </c>
      <c r="D78" s="463">
        <v>26687</v>
      </c>
      <c r="E78" s="463">
        <v>28804</v>
      </c>
      <c r="F78" s="463">
        <v>26373</v>
      </c>
      <c r="G78" s="463">
        <v>28945</v>
      </c>
      <c r="H78" s="463">
        <v>30307</v>
      </c>
      <c r="I78" s="463">
        <v>28807</v>
      </c>
      <c r="J78" s="463">
        <v>18917</v>
      </c>
      <c r="K78" s="463">
        <v>18048</v>
      </c>
      <c r="L78" s="463">
        <v>17144</v>
      </c>
      <c r="M78" s="463">
        <v>16707</v>
      </c>
      <c r="N78" s="8"/>
      <c r="O78" s="8"/>
    </row>
    <row r="79" spans="2:15" ht="15" customHeight="1">
      <c r="B79" s="292" t="s">
        <v>875</v>
      </c>
      <c r="C79" s="292" t="s">
        <v>876</v>
      </c>
      <c r="D79" s="463">
        <v>20239</v>
      </c>
      <c r="E79" s="463">
        <v>23147</v>
      </c>
      <c r="F79" s="463">
        <v>21266</v>
      </c>
      <c r="G79" s="463">
        <v>23542</v>
      </c>
      <c r="H79" s="463">
        <v>25905</v>
      </c>
      <c r="I79" s="463">
        <v>27075</v>
      </c>
      <c r="J79" s="463">
        <v>17736</v>
      </c>
      <c r="K79" s="463">
        <v>17487</v>
      </c>
      <c r="L79" s="463">
        <v>16644</v>
      </c>
      <c r="M79" s="463">
        <v>16730</v>
      </c>
      <c r="N79" s="8"/>
      <c r="O79" s="8"/>
    </row>
    <row r="80" spans="2:15" ht="15" customHeight="1">
      <c r="B80" s="292" t="s">
        <v>799</v>
      </c>
      <c r="C80" s="292" t="s">
        <v>877</v>
      </c>
      <c r="D80" s="464">
        <v>1.2</v>
      </c>
      <c r="E80" s="464">
        <v>1.3</v>
      </c>
      <c r="F80" s="464">
        <v>1.38</v>
      </c>
      <c r="G80" s="464">
        <v>1.46</v>
      </c>
      <c r="H80" s="464">
        <v>1.53</v>
      </c>
      <c r="I80" s="464">
        <v>1.57</v>
      </c>
      <c r="J80" s="464">
        <v>1.6</v>
      </c>
      <c r="K80" s="464">
        <v>1.65</v>
      </c>
      <c r="L80" s="464">
        <v>1.69</v>
      </c>
      <c r="M80" s="464">
        <v>1.72</v>
      </c>
      <c r="N80" s="8"/>
      <c r="O80" s="8"/>
    </row>
    <row r="81" spans="2:15" ht="15" customHeight="1">
      <c r="B81" s="292" t="s">
        <v>801</v>
      </c>
      <c r="C81" s="292" t="s">
        <v>878</v>
      </c>
      <c r="D81" s="464">
        <v>1.18</v>
      </c>
      <c r="E81" s="464">
        <v>3.57</v>
      </c>
      <c r="F81" s="464">
        <v>1.9</v>
      </c>
      <c r="G81" s="464">
        <v>1.92</v>
      </c>
      <c r="H81" s="464">
        <v>1.19</v>
      </c>
      <c r="I81" s="464">
        <v>4</v>
      </c>
      <c r="J81" s="464">
        <v>5.59</v>
      </c>
      <c r="K81" s="464">
        <v>0.38</v>
      </c>
      <c r="L81" s="464">
        <v>1.42</v>
      </c>
      <c r="M81" s="464">
        <v>1.37</v>
      </c>
      <c r="N81" s="8"/>
      <c r="O81" s="8"/>
    </row>
    <row r="82" spans="2:15" ht="15" customHeight="1">
      <c r="B82" s="292" t="s">
        <v>393</v>
      </c>
      <c r="C82" s="292" t="s">
        <v>879</v>
      </c>
      <c r="D82" s="464">
        <v>1.18</v>
      </c>
      <c r="E82" s="464">
        <v>3.57</v>
      </c>
      <c r="F82" s="464">
        <v>1.9</v>
      </c>
      <c r="G82" s="464">
        <v>2.88</v>
      </c>
      <c r="H82" s="464">
        <v>1.65</v>
      </c>
      <c r="I82" s="464">
        <v>3.92</v>
      </c>
      <c r="J82" s="464">
        <v>5.59</v>
      </c>
      <c r="K82" s="464">
        <v>0.38</v>
      </c>
      <c r="L82" s="464">
        <v>1.42</v>
      </c>
      <c r="M82" s="464">
        <v>1.37</v>
      </c>
      <c r="N82" s="8"/>
      <c r="O82" s="8"/>
    </row>
    <row r="83" spans="2:15" ht="15" customHeight="1">
      <c r="B83" s="292" t="s">
        <v>804</v>
      </c>
      <c r="C83" s="292" t="s">
        <v>880</v>
      </c>
      <c r="D83" s="463">
        <v>6089</v>
      </c>
      <c r="E83" s="463">
        <v>5970</v>
      </c>
      <c r="F83" s="463">
        <v>5872</v>
      </c>
      <c r="G83" s="463">
        <v>5569</v>
      </c>
      <c r="H83" s="463">
        <v>5555</v>
      </c>
      <c r="I83" s="463">
        <v>5601</v>
      </c>
      <c r="J83" s="463">
        <v>5608</v>
      </c>
      <c r="K83" s="463">
        <v>5643</v>
      </c>
      <c r="L83" s="463">
        <v>5664</v>
      </c>
      <c r="M83" s="463">
        <v>5683</v>
      </c>
      <c r="N83" s="8"/>
      <c r="O83" s="8"/>
    </row>
    <row r="84" spans="2:15" ht="15" customHeight="1">
      <c r="B84" s="292" t="s">
        <v>806</v>
      </c>
      <c r="C84" s="292" t="s">
        <v>881</v>
      </c>
      <c r="D84" s="464">
        <v>1.17</v>
      </c>
      <c r="E84" s="464">
        <v>3.52</v>
      </c>
      <c r="F84" s="464">
        <v>1.86</v>
      </c>
      <c r="G84" s="464">
        <v>1.89</v>
      </c>
      <c r="H84" s="464">
        <v>1.18</v>
      </c>
      <c r="I84" s="464">
        <v>3.93</v>
      </c>
      <c r="J84" s="464">
        <v>5.47</v>
      </c>
      <c r="K84" s="464">
        <v>0.37</v>
      </c>
      <c r="L84" s="464">
        <v>1.41</v>
      </c>
      <c r="M84" s="464">
        <v>1.36</v>
      </c>
      <c r="N84" s="8"/>
      <c r="O84" s="8"/>
    </row>
    <row r="85" spans="2:15" ht="15" customHeight="1">
      <c r="B85" s="292" t="s">
        <v>394</v>
      </c>
      <c r="C85" s="292" t="s">
        <v>882</v>
      </c>
      <c r="D85" s="464">
        <v>1.17</v>
      </c>
      <c r="E85" s="464">
        <v>3.52</v>
      </c>
      <c r="F85" s="464">
        <v>1.87</v>
      </c>
      <c r="G85" s="464">
        <v>2.82</v>
      </c>
      <c r="H85" s="464">
        <v>1.63</v>
      </c>
      <c r="I85" s="464">
        <v>3.85</v>
      </c>
      <c r="J85" s="464">
        <v>5.47</v>
      </c>
      <c r="K85" s="464">
        <v>0.37</v>
      </c>
      <c r="L85" s="464">
        <v>1.41</v>
      </c>
      <c r="M85" s="464">
        <v>1.36</v>
      </c>
      <c r="N85" s="8"/>
      <c r="O85" s="8"/>
    </row>
    <row r="86" spans="2:15" ht="15" customHeight="1">
      <c r="B86" s="292" t="s">
        <v>809</v>
      </c>
      <c r="C86" s="292" t="s">
        <v>883</v>
      </c>
      <c r="D86" s="463">
        <v>6159</v>
      </c>
      <c r="E86" s="463">
        <v>6058</v>
      </c>
      <c r="F86" s="463">
        <v>5977</v>
      </c>
      <c r="G86" s="463">
        <v>5675</v>
      </c>
      <c r="H86" s="463">
        <v>5632</v>
      </c>
      <c r="I86" s="463">
        <v>5708</v>
      </c>
      <c r="J86" s="463">
        <v>5733</v>
      </c>
      <c r="K86" s="463">
        <v>5709</v>
      </c>
      <c r="L86" s="463">
        <v>5700</v>
      </c>
      <c r="M86" s="463">
        <v>5713</v>
      </c>
      <c r="N86" s="8"/>
      <c r="O86" s="8"/>
    </row>
    <row r="87" spans="2:15" ht="15" customHeight="1">
      <c r="B87" s="292" t="s">
        <v>99</v>
      </c>
      <c r="C87" s="292" t="s">
        <v>884</v>
      </c>
      <c r="D87" s="463">
        <v>696</v>
      </c>
      <c r="E87" s="463">
        <v>695</v>
      </c>
      <c r="F87" s="463">
        <v>-2</v>
      </c>
      <c r="G87" s="463">
        <v>331</v>
      </c>
      <c r="H87" s="463">
        <v>809</v>
      </c>
      <c r="I87" s="463">
        <v>-2011</v>
      </c>
      <c r="J87" s="463">
        <v>-129</v>
      </c>
      <c r="K87" s="463">
        <v>-423</v>
      </c>
      <c r="L87" s="463">
        <v>237</v>
      </c>
      <c r="M87" s="463">
        <v>-402</v>
      </c>
      <c r="N87" s="8"/>
      <c r="O87" s="292" t="s">
        <v>99</v>
      </c>
    </row>
    <row r="88" spans="2:15" ht="15" customHeight="1">
      <c r="B88" s="292" t="s">
        <v>100</v>
      </c>
      <c r="C88" s="292" t="s">
        <v>885</v>
      </c>
      <c r="D88" s="463">
        <v>440</v>
      </c>
      <c r="E88" s="463">
        <v>464</v>
      </c>
      <c r="F88" s="463">
        <v>136</v>
      </c>
      <c r="G88" s="463">
        <v>125</v>
      </c>
      <c r="H88" s="463">
        <v>146</v>
      </c>
      <c r="I88" s="463">
        <v>130</v>
      </c>
      <c r="J88" s="463">
        <v>116</v>
      </c>
      <c r="K88" s="463">
        <v>85</v>
      </c>
      <c r="L88" s="463">
        <v>87</v>
      </c>
      <c r="M88" s="463">
        <v>104</v>
      </c>
      <c r="N88" s="8"/>
      <c r="O88" s="292" t="s">
        <v>100</v>
      </c>
    </row>
    <row r="89" spans="2:15" ht="15" customHeight="1">
      <c r="B89" s="292" t="s">
        <v>886</v>
      </c>
      <c r="C89" s="292" t="s">
        <v>887</v>
      </c>
      <c r="D89" s="463">
        <v>-6448</v>
      </c>
      <c r="E89" s="463">
        <v>-5657</v>
      </c>
      <c r="F89" s="463">
        <v>-5107</v>
      </c>
      <c r="G89" s="463">
        <v>-5403</v>
      </c>
      <c r="H89" s="463">
        <v>-4402</v>
      </c>
      <c r="I89" s="463">
        <v>-1732</v>
      </c>
      <c r="J89" s="463">
        <v>-1181</v>
      </c>
      <c r="K89" s="463">
        <v>-561</v>
      </c>
      <c r="L89" s="463">
        <v>-500</v>
      </c>
      <c r="M89" s="463">
        <v>23</v>
      </c>
      <c r="N89" s="8"/>
      <c r="O89" s="8"/>
    </row>
    <row r="90" spans="2:15" ht="15" customHeight="1">
      <c r="B90" s="292" t="s">
        <v>888</v>
      </c>
      <c r="C90" s="292" t="s">
        <v>889</v>
      </c>
      <c r="D90" s="463">
        <v>-1796</v>
      </c>
      <c r="E90" s="463">
        <v>-1534</v>
      </c>
      <c r="F90" s="463">
        <v>-1401</v>
      </c>
      <c r="G90" s="463">
        <v>-1148</v>
      </c>
      <c r="H90" s="447" t="s">
        <v>568</v>
      </c>
      <c r="I90" s="447" t="s">
        <v>568</v>
      </c>
      <c r="J90" s="447" t="s">
        <v>568</v>
      </c>
      <c r="K90" s="447" t="s">
        <v>568</v>
      </c>
      <c r="L90" s="447" t="s">
        <v>568</v>
      </c>
      <c r="M90" s="447" t="s">
        <v>568</v>
      </c>
      <c r="N90" s="8"/>
      <c r="O90" s="8"/>
    </row>
    <row r="91" spans="2:15" ht="15" customHeight="1">
      <c r="B91" s="292" t="s">
        <v>890</v>
      </c>
      <c r="C91" s="292" t="s">
        <v>891</v>
      </c>
      <c r="D91" s="464">
        <v>7.07</v>
      </c>
      <c r="E91" s="464">
        <v>8</v>
      </c>
      <c r="F91" s="464">
        <v>7.5</v>
      </c>
      <c r="G91" s="464">
        <v>7.2</v>
      </c>
      <c r="H91" s="464">
        <v>7</v>
      </c>
      <c r="I91" s="464">
        <v>6.8</v>
      </c>
      <c r="J91" s="464">
        <v>6.3</v>
      </c>
      <c r="K91" s="464">
        <v>7.5</v>
      </c>
      <c r="L91" s="464">
        <v>8</v>
      </c>
      <c r="M91" s="464">
        <v>7.7</v>
      </c>
      <c r="N91" s="8"/>
      <c r="O91" s="8"/>
    </row>
    <row r="92" spans="2:15" ht="15" customHeight="1">
      <c r="B92" s="292" t="s">
        <v>892</v>
      </c>
      <c r="C92" s="292" t="s">
        <v>893</v>
      </c>
      <c r="D92" s="464">
        <v>3.78</v>
      </c>
      <c r="E92" s="464">
        <v>3.8</v>
      </c>
      <c r="F92" s="464">
        <v>4.4000000000000004</v>
      </c>
      <c r="G92" s="464">
        <v>3.3</v>
      </c>
      <c r="H92" s="464">
        <v>2.6</v>
      </c>
      <c r="I92" s="464">
        <v>2.9</v>
      </c>
      <c r="J92" s="464">
        <v>5.4</v>
      </c>
      <c r="K92" s="464">
        <v>5.4</v>
      </c>
      <c r="L92" s="464">
        <v>5.4</v>
      </c>
      <c r="M92" s="464">
        <v>5.7</v>
      </c>
      <c r="N92" s="8"/>
      <c r="O92" s="8"/>
    </row>
    <row r="93" spans="2:15" ht="15" customHeight="1">
      <c r="B93" s="292" t="s">
        <v>894</v>
      </c>
      <c r="C93" s="292" t="s">
        <v>895</v>
      </c>
      <c r="D93" s="464">
        <v>2.74</v>
      </c>
      <c r="E93" s="464">
        <v>2.8</v>
      </c>
      <c r="F93" s="464">
        <v>2.8</v>
      </c>
      <c r="G93" s="461" t="s">
        <v>568</v>
      </c>
      <c r="H93" s="461" t="s">
        <v>568</v>
      </c>
      <c r="I93" s="461" t="s">
        <v>568</v>
      </c>
      <c r="J93" s="461" t="s">
        <v>568</v>
      </c>
      <c r="K93" s="461" t="s">
        <v>568</v>
      </c>
      <c r="L93" s="461" t="s">
        <v>568</v>
      </c>
      <c r="M93" s="461" t="s">
        <v>568</v>
      </c>
      <c r="N93" s="8"/>
      <c r="O93" s="8"/>
    </row>
    <row r="94" spans="2:15" ht="15" customHeight="1">
      <c r="B94" s="292" t="s">
        <v>896</v>
      </c>
      <c r="C94" s="292" t="s">
        <v>897</v>
      </c>
      <c r="D94" s="464">
        <v>8</v>
      </c>
      <c r="E94" s="464">
        <v>8</v>
      </c>
      <c r="F94" s="464">
        <v>7.5</v>
      </c>
      <c r="G94" s="464">
        <v>7.3</v>
      </c>
      <c r="H94" s="464">
        <v>7</v>
      </c>
      <c r="I94" s="464">
        <v>6.8</v>
      </c>
      <c r="J94" s="464">
        <v>6.3</v>
      </c>
      <c r="K94" s="464">
        <v>7.5</v>
      </c>
      <c r="L94" s="464">
        <v>8</v>
      </c>
      <c r="M94" s="464">
        <v>7.8</v>
      </c>
      <c r="N94" s="8"/>
      <c r="O94" s="8"/>
    </row>
    <row r="95" spans="2:15" ht="15" customHeight="1">
      <c r="B95" s="292" t="s">
        <v>898</v>
      </c>
      <c r="C95" s="292" t="s">
        <v>899</v>
      </c>
      <c r="D95" s="463">
        <v>1632</v>
      </c>
      <c r="E95" s="463">
        <v>2816</v>
      </c>
      <c r="F95" s="463">
        <v>-873</v>
      </c>
      <c r="G95" s="463">
        <v>3633</v>
      </c>
      <c r="H95" s="447" t="s">
        <v>568</v>
      </c>
      <c r="I95" s="447" t="s">
        <v>568</v>
      </c>
      <c r="J95" s="447" t="s">
        <v>568</v>
      </c>
      <c r="K95" s="447" t="s">
        <v>568</v>
      </c>
      <c r="L95" s="447" t="s">
        <v>568</v>
      </c>
      <c r="M95" s="447" t="s">
        <v>568</v>
      </c>
      <c r="N95" s="8"/>
      <c r="O95" s="8"/>
    </row>
    <row r="96" spans="2:15" ht="15" customHeight="1">
      <c r="B96" s="292" t="s">
        <v>900</v>
      </c>
      <c r="C96" s="292" t="s">
        <v>901</v>
      </c>
      <c r="D96" s="463">
        <v>292</v>
      </c>
      <c r="E96" s="463">
        <v>314</v>
      </c>
      <c r="F96" s="463">
        <v>301</v>
      </c>
      <c r="G96" s="463">
        <v>702</v>
      </c>
      <c r="H96" s="463">
        <v>772</v>
      </c>
      <c r="I96" s="463">
        <v>888</v>
      </c>
      <c r="J96" s="463">
        <v>1218</v>
      </c>
      <c r="K96" s="463">
        <v>1283</v>
      </c>
      <c r="L96" s="463">
        <v>1177</v>
      </c>
      <c r="M96" s="463">
        <v>924</v>
      </c>
      <c r="N96" s="8"/>
      <c r="O96" s="8"/>
    </row>
    <row r="97" spans="2:15" ht="15" customHeight="1">
      <c r="B97" s="292" t="s">
        <v>902</v>
      </c>
      <c r="C97" s="292" t="s">
        <v>903</v>
      </c>
      <c r="D97" s="464">
        <v>4.2</v>
      </c>
      <c r="E97" s="464">
        <v>3.7</v>
      </c>
      <c r="F97" s="464">
        <v>4.3</v>
      </c>
      <c r="G97" s="464">
        <v>3.2</v>
      </c>
      <c r="H97" s="464">
        <v>2.5</v>
      </c>
      <c r="I97" s="464">
        <v>2.9</v>
      </c>
      <c r="J97" s="464">
        <v>5.5</v>
      </c>
      <c r="K97" s="464">
        <v>5.4</v>
      </c>
      <c r="L97" s="464">
        <v>5.5</v>
      </c>
      <c r="M97" s="464">
        <v>5.2</v>
      </c>
      <c r="N97" s="8"/>
      <c r="O97" s="8"/>
    </row>
    <row r="98" spans="2:15" ht="15" customHeight="1">
      <c r="B98" s="292" t="s">
        <v>904</v>
      </c>
      <c r="C98" s="292" t="s">
        <v>905</v>
      </c>
      <c r="D98" s="463">
        <v>691</v>
      </c>
      <c r="E98" s="463">
        <v>840</v>
      </c>
      <c r="F98" s="463">
        <v>949</v>
      </c>
      <c r="G98" s="463">
        <v>718</v>
      </c>
      <c r="H98" s="463">
        <v>780</v>
      </c>
      <c r="I98" s="463">
        <v>1200</v>
      </c>
      <c r="J98" s="463">
        <v>872</v>
      </c>
      <c r="K98" s="463">
        <v>525</v>
      </c>
      <c r="L98" s="463">
        <v>877</v>
      </c>
      <c r="M98" s="463">
        <v>799</v>
      </c>
      <c r="N98" s="8"/>
      <c r="O98" s="8"/>
    </row>
    <row r="99" spans="2:15" ht="15" customHeight="1">
      <c r="B99" s="292" t="s">
        <v>906</v>
      </c>
      <c r="C99" s="292" t="s">
        <v>907</v>
      </c>
      <c r="D99" s="447" t="s">
        <v>568</v>
      </c>
      <c r="E99" s="463">
        <v>23023</v>
      </c>
      <c r="F99" s="463">
        <v>9198</v>
      </c>
      <c r="G99" s="463">
        <v>15908</v>
      </c>
      <c r="H99" s="447" t="s">
        <v>568</v>
      </c>
      <c r="I99" s="463">
        <v>21393</v>
      </c>
      <c r="J99" s="463">
        <v>28966</v>
      </c>
      <c r="K99" s="463">
        <v>2462</v>
      </c>
      <c r="L99" s="463">
        <v>8149</v>
      </c>
      <c r="M99" s="463">
        <v>7544</v>
      </c>
      <c r="N99" s="8"/>
      <c r="O99" s="8"/>
    </row>
    <row r="100" spans="2:15" ht="15" customHeight="1">
      <c r="B100" s="292" t="s">
        <v>908</v>
      </c>
      <c r="C100" s="292" t="s">
        <v>909</v>
      </c>
      <c r="D100" s="447" t="s">
        <v>568</v>
      </c>
      <c r="E100" s="463">
        <v>237</v>
      </c>
      <c r="F100" s="463">
        <v>157</v>
      </c>
      <c r="G100" s="463">
        <v>703</v>
      </c>
      <c r="H100" s="447" t="s">
        <v>568</v>
      </c>
      <c r="I100" s="447" t="s">
        <v>568</v>
      </c>
      <c r="J100" s="447" t="s">
        <v>568</v>
      </c>
      <c r="K100" s="447" t="s">
        <v>568</v>
      </c>
      <c r="L100" s="447" t="s">
        <v>568</v>
      </c>
      <c r="M100" s="447" t="s">
        <v>568</v>
      </c>
      <c r="N100" s="8"/>
      <c r="O100" s="8"/>
    </row>
    <row r="101" spans="2:15" ht="15" customHeight="1">
      <c r="B101" s="292" t="s">
        <v>910</v>
      </c>
      <c r="C101" s="292" t="s">
        <v>911</v>
      </c>
      <c r="D101" s="463">
        <v>1403</v>
      </c>
      <c r="E101" s="463">
        <v>514</v>
      </c>
      <c r="F101" s="463">
        <v>435</v>
      </c>
      <c r="G101" s="463">
        <v>370</v>
      </c>
      <c r="H101" s="463">
        <v>23</v>
      </c>
      <c r="I101" s="463">
        <v>39</v>
      </c>
      <c r="J101" s="463">
        <v>618</v>
      </c>
      <c r="K101" s="463">
        <v>1643</v>
      </c>
      <c r="L101" s="463">
        <v>1938</v>
      </c>
      <c r="M101" s="463">
        <v>1052</v>
      </c>
      <c r="N101" s="8"/>
      <c r="O101" s="8"/>
    </row>
    <row r="102" spans="2:15" ht="15" customHeight="1">
      <c r="B102" s="292" t="s">
        <v>912</v>
      </c>
      <c r="C102" s="292" t="s">
        <v>913</v>
      </c>
      <c r="D102" s="463">
        <v>458</v>
      </c>
      <c r="E102" s="463">
        <v>494</v>
      </c>
      <c r="F102" s="463">
        <v>469</v>
      </c>
      <c r="G102" s="463">
        <v>519</v>
      </c>
      <c r="H102" s="463">
        <v>588</v>
      </c>
      <c r="I102" s="463">
        <v>753</v>
      </c>
      <c r="J102" s="463">
        <v>647</v>
      </c>
      <c r="K102" s="463">
        <v>636</v>
      </c>
      <c r="L102" s="463">
        <v>736</v>
      </c>
      <c r="M102" s="463">
        <v>814</v>
      </c>
      <c r="N102" s="8"/>
      <c r="O102" s="8"/>
    </row>
    <row r="103" spans="2:15" ht="15" customHeight="1">
      <c r="B103" s="292" t="s">
        <v>914</v>
      </c>
      <c r="C103" s="292" t="s">
        <v>915</v>
      </c>
      <c r="D103" s="463">
        <v>2254</v>
      </c>
      <c r="E103" s="463">
        <v>2028</v>
      </c>
      <c r="F103" s="463">
        <v>1870</v>
      </c>
      <c r="G103" s="463">
        <v>1667</v>
      </c>
      <c r="H103" s="463">
        <v>1238</v>
      </c>
      <c r="I103" s="463">
        <v>995</v>
      </c>
      <c r="J103" s="463">
        <v>410</v>
      </c>
      <c r="K103" s="463">
        <v>450</v>
      </c>
      <c r="L103" s="463">
        <v>486</v>
      </c>
      <c r="M103" s="463">
        <v>561</v>
      </c>
      <c r="N103" s="8"/>
      <c r="O103" s="8"/>
    </row>
    <row r="104" spans="2:15" ht="15" customHeight="1">
      <c r="B104" s="292" t="s">
        <v>780</v>
      </c>
      <c r="C104" s="292" t="s">
        <v>916</v>
      </c>
      <c r="D104" s="447" t="s">
        <v>568</v>
      </c>
      <c r="E104" s="447" t="s">
        <v>568</v>
      </c>
      <c r="F104" s="447" t="s">
        <v>568</v>
      </c>
      <c r="G104" s="463">
        <v>4429</v>
      </c>
      <c r="H104" s="463">
        <v>3348</v>
      </c>
      <c r="I104" s="463">
        <v>3700</v>
      </c>
      <c r="J104" s="463">
        <v>3609</v>
      </c>
      <c r="K104" s="463">
        <v>4733</v>
      </c>
      <c r="L104" s="463">
        <v>5286</v>
      </c>
      <c r="M104" s="463">
        <v>4874</v>
      </c>
      <c r="N104" s="8"/>
      <c r="O104" s="8"/>
    </row>
    <row r="105" spans="2:15" ht="15" customHeight="1">
      <c r="B105" s="292" t="s">
        <v>764</v>
      </c>
      <c r="C105" s="292" t="s">
        <v>917</v>
      </c>
      <c r="D105" s="447" t="s">
        <v>568</v>
      </c>
      <c r="E105" s="447" t="s">
        <v>568</v>
      </c>
      <c r="F105" s="447" t="s">
        <v>568</v>
      </c>
      <c r="G105" s="447" t="s">
        <v>568</v>
      </c>
      <c r="H105" s="447" t="s">
        <v>568</v>
      </c>
      <c r="I105" s="447" t="s">
        <v>568</v>
      </c>
      <c r="J105" s="463">
        <v>100330</v>
      </c>
      <c r="K105" s="463">
        <v>59552</v>
      </c>
      <c r="L105" s="463">
        <v>63627</v>
      </c>
      <c r="M105" s="463">
        <v>62579</v>
      </c>
      <c r="N105" s="8"/>
      <c r="O105" s="8"/>
    </row>
    <row r="106" spans="2:15" ht="15" customHeight="1">
      <c r="B106" s="292" t="s">
        <v>760</v>
      </c>
      <c r="C106" s="292" t="s">
        <v>918</v>
      </c>
      <c r="D106" s="447" t="s">
        <v>568</v>
      </c>
      <c r="E106" s="447" t="s">
        <v>568</v>
      </c>
      <c r="F106" s="447" t="s">
        <v>568</v>
      </c>
      <c r="G106" s="447" t="s">
        <v>568</v>
      </c>
      <c r="H106" s="447" t="s">
        <v>568</v>
      </c>
      <c r="I106" s="447" t="s">
        <v>568</v>
      </c>
      <c r="J106" s="447" t="s">
        <v>568</v>
      </c>
      <c r="K106" s="463">
        <v>1058</v>
      </c>
      <c r="L106" s="463">
        <v>1423</v>
      </c>
      <c r="M106" s="463">
        <v>1650</v>
      </c>
      <c r="N106" s="8"/>
      <c r="O106" s="8"/>
    </row>
    <row r="107" spans="2:15" ht="15" customHeight="1">
      <c r="B107" s="292" t="s">
        <v>919</v>
      </c>
      <c r="C107" s="292" t="s">
        <v>920</v>
      </c>
      <c r="D107" s="463">
        <v>162</v>
      </c>
      <c r="E107" s="463">
        <v>999</v>
      </c>
      <c r="F107" s="463">
        <v>3</v>
      </c>
      <c r="G107" s="447" t="s">
        <v>568</v>
      </c>
      <c r="H107" s="447" t="s">
        <v>568</v>
      </c>
      <c r="I107" s="447" t="s">
        <v>568</v>
      </c>
      <c r="J107" s="447" t="s">
        <v>568</v>
      </c>
      <c r="K107" s="447" t="s">
        <v>568</v>
      </c>
      <c r="L107" s="447" t="s">
        <v>568</v>
      </c>
      <c r="M107" s="447" t="s">
        <v>568</v>
      </c>
      <c r="N107" s="8"/>
      <c r="O107" s="8"/>
    </row>
    <row r="108" spans="2:15" ht="15" customHeight="1">
      <c r="B108" s="292" t="s">
        <v>762</v>
      </c>
      <c r="C108" s="292" t="s">
        <v>921</v>
      </c>
      <c r="D108" s="447" t="s">
        <v>568</v>
      </c>
      <c r="E108" s="447" t="s">
        <v>568</v>
      </c>
      <c r="F108" s="447" t="s">
        <v>568</v>
      </c>
      <c r="G108" s="447" t="s">
        <v>568</v>
      </c>
      <c r="H108" s="447" t="s">
        <v>568</v>
      </c>
      <c r="I108" s="447" t="s">
        <v>568</v>
      </c>
      <c r="J108" s="463">
        <v>91793</v>
      </c>
      <c r="K108" s="463">
        <v>50914</v>
      </c>
      <c r="L108" s="463">
        <v>53816</v>
      </c>
      <c r="M108" s="463">
        <v>51663</v>
      </c>
      <c r="N108" s="8"/>
      <c r="O108" s="8"/>
    </row>
    <row r="109" spans="2:15" ht="15" customHeight="1">
      <c r="B109" s="292" t="s">
        <v>922</v>
      </c>
      <c r="C109" s="292" t="s">
        <v>923</v>
      </c>
      <c r="D109" s="447" t="s">
        <v>568</v>
      </c>
      <c r="E109" s="463">
        <v>-45</v>
      </c>
      <c r="F109" s="463">
        <v>141</v>
      </c>
      <c r="G109" s="463">
        <v>-415</v>
      </c>
      <c r="H109" s="463">
        <v>-557</v>
      </c>
      <c r="I109" s="463">
        <v>-1338</v>
      </c>
      <c r="J109" s="463">
        <v>1270</v>
      </c>
      <c r="K109" s="463">
        <v>-1588</v>
      </c>
      <c r="L109" s="463">
        <v>-1833</v>
      </c>
      <c r="M109" s="463">
        <v>67</v>
      </c>
      <c r="N109" s="8"/>
      <c r="O109" s="8"/>
    </row>
    <row r="110" spans="2:15" ht="15" customHeight="1">
      <c r="B110" s="292" t="s">
        <v>782</v>
      </c>
      <c r="C110" s="292" t="s">
        <v>924</v>
      </c>
      <c r="D110" s="447" t="s">
        <v>568</v>
      </c>
      <c r="E110" s="447" t="s">
        <v>568</v>
      </c>
      <c r="F110" s="447" t="s">
        <v>568</v>
      </c>
      <c r="G110" s="463">
        <v>-8086</v>
      </c>
      <c r="H110" s="463">
        <v>-6</v>
      </c>
      <c r="I110" s="447" t="s">
        <v>568</v>
      </c>
      <c r="J110" s="447" t="s">
        <v>568</v>
      </c>
      <c r="K110" s="447" t="s">
        <v>568</v>
      </c>
      <c r="L110" s="463">
        <v>420</v>
      </c>
      <c r="M110" s="447" t="s">
        <v>568</v>
      </c>
      <c r="N110" s="8"/>
      <c r="O110" s="8"/>
    </row>
    <row r="111" spans="2:15" ht="15" customHeight="1">
      <c r="B111" s="292" t="s">
        <v>925</v>
      </c>
      <c r="C111" s="292" t="s">
        <v>926</v>
      </c>
      <c r="D111" s="463">
        <v>7214</v>
      </c>
      <c r="E111" s="463">
        <v>21308</v>
      </c>
      <c r="F111" s="463">
        <v>11153</v>
      </c>
      <c r="G111" s="463">
        <v>16026</v>
      </c>
      <c r="H111" s="463">
        <v>9159</v>
      </c>
      <c r="I111" s="463">
        <v>21979</v>
      </c>
      <c r="J111" s="463">
        <v>31372</v>
      </c>
      <c r="K111" s="463">
        <v>2119</v>
      </c>
      <c r="L111" s="463">
        <v>8031</v>
      </c>
      <c r="M111" s="463">
        <v>7771</v>
      </c>
      <c r="N111" s="8"/>
      <c r="O111" s="8"/>
    </row>
    <row r="112" spans="2:15" ht="15" customHeight="1">
      <c r="B112" s="292" t="s">
        <v>927</v>
      </c>
      <c r="C112" s="292" t="s">
        <v>928</v>
      </c>
      <c r="D112" s="463">
        <v>525</v>
      </c>
      <c r="E112" s="463">
        <v>559</v>
      </c>
      <c r="F112" s="463">
        <v>234</v>
      </c>
      <c r="G112" s="463">
        <v>238</v>
      </c>
      <c r="H112" s="463">
        <v>1300</v>
      </c>
      <c r="I112" s="463">
        <v>-1374</v>
      </c>
      <c r="J112" s="463">
        <v>214</v>
      </c>
      <c r="K112" s="463">
        <v>-308</v>
      </c>
      <c r="L112" s="463">
        <v>429</v>
      </c>
      <c r="M112" s="463">
        <v>-260</v>
      </c>
      <c r="N112" s="8"/>
      <c r="O112" s="8"/>
    </row>
    <row r="113" spans="2:15" ht="15" customHeight="1">
      <c r="B113" s="292" t="s">
        <v>929</v>
      </c>
      <c r="C113" s="292" t="s">
        <v>930</v>
      </c>
      <c r="D113" s="463">
        <v>1</v>
      </c>
      <c r="E113" s="463">
        <v>-2</v>
      </c>
      <c r="F113" s="463">
        <v>-3</v>
      </c>
      <c r="G113" s="463">
        <v>-8</v>
      </c>
      <c r="H113" s="463">
        <v>-6</v>
      </c>
      <c r="I113" s="463">
        <v>-3</v>
      </c>
      <c r="J113" s="463">
        <v>1</v>
      </c>
      <c r="K113" s="463">
        <v>2</v>
      </c>
      <c r="L113" s="463">
        <v>5</v>
      </c>
      <c r="M113" s="463">
        <v>4</v>
      </c>
      <c r="N113" s="8"/>
      <c r="O113" s="8"/>
    </row>
    <row r="114" spans="2:15" ht="15" customHeight="1">
      <c r="B114" s="292" t="s">
        <v>931</v>
      </c>
      <c r="C114" s="292" t="s">
        <v>932</v>
      </c>
      <c r="D114" s="463">
        <v>14761</v>
      </c>
      <c r="E114" s="463">
        <v>16085</v>
      </c>
      <c r="F114" s="463">
        <v>17958</v>
      </c>
      <c r="G114" s="463">
        <v>10817</v>
      </c>
      <c r="H114" s="463">
        <v>12727</v>
      </c>
      <c r="I114" s="463">
        <v>23196</v>
      </c>
      <c r="J114" s="463">
        <v>37717</v>
      </c>
      <c r="K114" s="463">
        <v>10501</v>
      </c>
      <c r="L114" s="463">
        <v>17716</v>
      </c>
      <c r="M114" s="463">
        <v>18406</v>
      </c>
      <c r="N114" s="8"/>
      <c r="O114" s="8"/>
    </row>
    <row r="115" spans="2:15" ht="15" customHeight="1">
      <c r="B115" s="292" t="s">
        <v>813</v>
      </c>
      <c r="C115" s="292" t="s">
        <v>933</v>
      </c>
      <c r="D115" s="464">
        <v>0</v>
      </c>
      <c r="E115" s="464">
        <v>0</v>
      </c>
      <c r="F115" s="464">
        <v>0</v>
      </c>
      <c r="G115" s="464">
        <v>0.95</v>
      </c>
      <c r="H115" s="464">
        <v>0.46</v>
      </c>
      <c r="I115" s="464">
        <v>-0.08</v>
      </c>
      <c r="J115" s="464">
        <v>0</v>
      </c>
      <c r="K115" s="464">
        <v>0</v>
      </c>
      <c r="L115" s="464">
        <v>0</v>
      </c>
      <c r="M115" s="464">
        <v>0</v>
      </c>
      <c r="N115" s="8"/>
      <c r="O115" s="8"/>
    </row>
    <row r="116" spans="2:15" ht="15" customHeight="1">
      <c r="B116" s="292" t="s">
        <v>934</v>
      </c>
      <c r="C116" s="292" t="s">
        <v>935</v>
      </c>
      <c r="D116" s="464">
        <v>0</v>
      </c>
      <c r="E116" s="464">
        <v>0</v>
      </c>
      <c r="F116" s="464">
        <v>0</v>
      </c>
      <c r="G116" s="464">
        <v>0.94</v>
      </c>
      <c r="H116" s="464">
        <v>0.45</v>
      </c>
      <c r="I116" s="464">
        <v>-0.08</v>
      </c>
      <c r="J116" s="464">
        <v>0</v>
      </c>
      <c r="K116" s="464">
        <v>0</v>
      </c>
      <c r="L116" s="464">
        <v>0</v>
      </c>
      <c r="M116" s="464">
        <v>0</v>
      </c>
      <c r="N116" s="8"/>
      <c r="O116" s="8"/>
    </row>
    <row r="117" spans="2:15" ht="15" customHeight="1">
      <c r="B117" s="292" t="s">
        <v>936</v>
      </c>
      <c r="C117" s="292" t="s">
        <v>937</v>
      </c>
      <c r="D117" s="464">
        <v>13.4</v>
      </c>
      <c r="E117" s="464">
        <v>-73.5</v>
      </c>
      <c r="F117" s="464">
        <v>5.9</v>
      </c>
      <c r="G117" s="464">
        <v>5.2</v>
      </c>
      <c r="H117" s="464">
        <v>5.3</v>
      </c>
      <c r="I117" s="464">
        <v>7.6</v>
      </c>
      <c r="J117" s="464">
        <v>9.6</v>
      </c>
      <c r="K117" s="464">
        <v>-105.4</v>
      </c>
      <c r="L117" s="464">
        <v>-0.4</v>
      </c>
      <c r="M117" s="464">
        <v>-3.5</v>
      </c>
      <c r="N117" s="8"/>
      <c r="O117" s="8"/>
    </row>
    <row r="118" spans="2:15" ht="15" customHeight="1">
      <c r="B118" s="292" t="s">
        <v>938</v>
      </c>
      <c r="C118" s="292" t="s">
        <v>939</v>
      </c>
      <c r="D118" s="463">
        <v>1360</v>
      </c>
      <c r="E118" s="463">
        <v>1398</v>
      </c>
      <c r="F118" s="463">
        <v>838</v>
      </c>
      <c r="G118" s="463">
        <v>385</v>
      </c>
      <c r="H118" s="463">
        <v>197</v>
      </c>
      <c r="I118" s="463">
        <v>451</v>
      </c>
      <c r="J118" s="463">
        <v>156</v>
      </c>
      <c r="K118" s="463">
        <v>154</v>
      </c>
      <c r="L118" s="463">
        <v>267</v>
      </c>
      <c r="M118" s="463">
        <v>241</v>
      </c>
      <c r="N118" s="8"/>
      <c r="O118" s="8"/>
    </row>
    <row r="119" spans="2:15" ht="15" customHeight="1">
      <c r="B119" s="292" t="s">
        <v>940</v>
      </c>
      <c r="C119" s="292" t="s">
        <v>941</v>
      </c>
      <c r="D119" s="463">
        <v>-998</v>
      </c>
      <c r="E119" s="463">
        <v>-932</v>
      </c>
      <c r="F119" s="463">
        <v>-977</v>
      </c>
      <c r="G119" s="463">
        <v>-978</v>
      </c>
      <c r="H119" s="463">
        <v>-817</v>
      </c>
      <c r="I119" s="463">
        <v>-886</v>
      </c>
      <c r="J119" s="463">
        <v>-816</v>
      </c>
      <c r="K119" s="463">
        <v>-791</v>
      </c>
      <c r="L119" s="463">
        <v>-844</v>
      </c>
      <c r="M119" s="463">
        <v>-1231</v>
      </c>
      <c r="N119" s="8"/>
      <c r="O119" s="8"/>
    </row>
    <row r="120" spans="2:15" ht="15" customHeight="1">
      <c r="B120" s="292" t="s">
        <v>942</v>
      </c>
      <c r="C120" s="292" t="s">
        <v>943</v>
      </c>
      <c r="D120" s="463">
        <v>16</v>
      </c>
      <c r="E120" s="463">
        <v>183</v>
      </c>
      <c r="F120" s="463">
        <v>145</v>
      </c>
      <c r="G120" s="463">
        <v>137</v>
      </c>
      <c r="H120" s="463">
        <v>113</v>
      </c>
      <c r="I120" s="463">
        <v>145</v>
      </c>
      <c r="J120" s="463">
        <v>65</v>
      </c>
      <c r="K120" s="447" t="s">
        <v>568</v>
      </c>
      <c r="L120" s="463">
        <v>0</v>
      </c>
      <c r="M120" s="463">
        <v>0</v>
      </c>
      <c r="N120" s="8"/>
      <c r="O120" s="8"/>
    </row>
    <row r="121" spans="2:15" ht="15" customHeight="1">
      <c r="B121" s="292" t="s">
        <v>944</v>
      </c>
      <c r="C121" s="292" t="s">
        <v>945</v>
      </c>
      <c r="D121" s="463">
        <v>-282</v>
      </c>
      <c r="E121" s="463">
        <v>-280</v>
      </c>
      <c r="F121" s="463">
        <v>-249</v>
      </c>
      <c r="G121" s="463">
        <v>-221</v>
      </c>
      <c r="H121" s="447" t="s">
        <v>568</v>
      </c>
      <c r="I121" s="447" t="s">
        <v>568</v>
      </c>
      <c r="J121" s="447" t="s">
        <v>568</v>
      </c>
      <c r="K121" s="447" t="s">
        <v>568</v>
      </c>
      <c r="L121" s="447" t="s">
        <v>568</v>
      </c>
      <c r="M121" s="447" t="s">
        <v>568</v>
      </c>
      <c r="N121" s="8"/>
      <c r="O121" s="8"/>
    </row>
    <row r="122" spans="2:15" ht="15" customHeight="1">
      <c r="B122" s="292" t="s">
        <v>946</v>
      </c>
      <c r="C122" s="292" t="s">
        <v>947</v>
      </c>
      <c r="D122" s="463">
        <v>932</v>
      </c>
      <c r="E122" s="463">
        <v>892</v>
      </c>
      <c r="F122" s="463">
        <v>865</v>
      </c>
      <c r="G122" s="463">
        <v>891</v>
      </c>
      <c r="H122" s="463">
        <v>697</v>
      </c>
      <c r="I122" s="463">
        <v>601</v>
      </c>
      <c r="J122" s="463">
        <v>691</v>
      </c>
      <c r="K122" s="463">
        <v>876</v>
      </c>
      <c r="L122" s="463">
        <v>865</v>
      </c>
      <c r="M122" s="463">
        <v>822</v>
      </c>
      <c r="N122" s="8"/>
      <c r="O122" s="8"/>
    </row>
    <row r="123" spans="2:15" ht="15" customHeight="1">
      <c r="B123" s="292" t="s">
        <v>948</v>
      </c>
      <c r="C123" s="292" t="s">
        <v>949</v>
      </c>
      <c r="D123" s="463">
        <v>-1339</v>
      </c>
      <c r="E123" s="463">
        <v>-1350</v>
      </c>
      <c r="F123" s="463">
        <v>-1400</v>
      </c>
      <c r="G123" s="463">
        <v>-1207</v>
      </c>
      <c r="H123" s="463">
        <v>-1329</v>
      </c>
      <c r="I123" s="463">
        <v>-1379</v>
      </c>
      <c r="J123" s="463">
        <v>-1158</v>
      </c>
      <c r="K123" s="463">
        <v>-1082</v>
      </c>
      <c r="L123" s="463">
        <v>-1154</v>
      </c>
      <c r="M123" s="463">
        <v>-1064</v>
      </c>
      <c r="N123" s="8"/>
      <c r="O123" s="8"/>
    </row>
    <row r="124" spans="2:15" ht="15" customHeight="1">
      <c r="B124" s="292" t="s">
        <v>950</v>
      </c>
      <c r="C124" s="292" t="s">
        <v>951</v>
      </c>
      <c r="D124" s="464">
        <v>40.1</v>
      </c>
      <c r="E124" s="464">
        <v>37.5</v>
      </c>
      <c r="F124" s="464">
        <v>31.3</v>
      </c>
      <c r="G124" s="464">
        <v>31.8</v>
      </c>
      <c r="H124" s="464">
        <v>28.4</v>
      </c>
      <c r="I124" s="464">
        <v>20</v>
      </c>
      <c r="J124" s="464">
        <v>30</v>
      </c>
      <c r="K124" s="464">
        <v>30</v>
      </c>
      <c r="L124" s="461" t="s">
        <v>568</v>
      </c>
      <c r="M124" s="461" t="s">
        <v>568</v>
      </c>
      <c r="N124" s="8"/>
      <c r="O124" s="8"/>
    </row>
    <row r="125" spans="2:15" ht="15" customHeight="1">
      <c r="B125" s="292" t="s">
        <v>952</v>
      </c>
      <c r="C125" s="292" t="s">
        <v>953</v>
      </c>
      <c r="D125" s="464">
        <v>34.9</v>
      </c>
      <c r="E125" s="464">
        <v>39.6</v>
      </c>
      <c r="F125" s="464">
        <v>47.1</v>
      </c>
      <c r="G125" s="464">
        <v>48.7</v>
      </c>
      <c r="H125" s="464">
        <v>50.2</v>
      </c>
      <c r="I125" s="464">
        <v>60</v>
      </c>
      <c r="J125" s="464">
        <v>60</v>
      </c>
      <c r="K125" s="464">
        <v>50</v>
      </c>
      <c r="L125" s="461" t="s">
        <v>568</v>
      </c>
      <c r="M125" s="461" t="s">
        <v>568</v>
      </c>
      <c r="N125" s="8"/>
      <c r="O125" s="8"/>
    </row>
    <row r="126" spans="2:15" ht="15" customHeight="1">
      <c r="B126" s="292" t="s">
        <v>954</v>
      </c>
      <c r="C126" s="292" t="s">
        <v>955</v>
      </c>
      <c r="D126" s="464">
        <v>2.4</v>
      </c>
      <c r="E126" s="464">
        <v>2.63</v>
      </c>
      <c r="F126" s="464">
        <v>2.92</v>
      </c>
      <c r="G126" s="464">
        <v>1.91</v>
      </c>
      <c r="H126" s="464">
        <v>2.2599999999999998</v>
      </c>
      <c r="I126" s="464">
        <v>4.0599999999999996</v>
      </c>
      <c r="J126" s="464">
        <v>6.58</v>
      </c>
      <c r="K126" s="464">
        <v>1.84</v>
      </c>
      <c r="L126" s="464">
        <v>3.11</v>
      </c>
      <c r="M126" s="464">
        <v>3.22</v>
      </c>
      <c r="N126" s="8"/>
      <c r="O126" s="8"/>
    </row>
    <row r="127" spans="2:15" ht="15" customHeight="1">
      <c r="B127" s="292" t="s">
        <v>956</v>
      </c>
      <c r="C127" s="292" t="s">
        <v>957</v>
      </c>
      <c r="D127" s="463">
        <v>49.924999999999997</v>
      </c>
      <c r="E127" s="463">
        <v>37.435000000000002</v>
      </c>
      <c r="F127" s="463">
        <v>38.210999999999999</v>
      </c>
      <c r="G127" s="447" t="s">
        <v>568</v>
      </c>
      <c r="H127" s="463">
        <v>32.816000000000003</v>
      </c>
      <c r="I127" s="463">
        <v>33.238</v>
      </c>
      <c r="J127" s="463">
        <v>28.32</v>
      </c>
      <c r="K127" s="463">
        <v>35.561</v>
      </c>
      <c r="L127" s="463">
        <v>43.258000000000003</v>
      </c>
      <c r="M127" s="447" t="s">
        <v>568</v>
      </c>
      <c r="N127" s="8"/>
      <c r="O127" s="8"/>
    </row>
    <row r="128" spans="2:15" ht="15" customHeight="1">
      <c r="B128" s="292" t="s">
        <v>958</v>
      </c>
      <c r="C128" s="292" t="s">
        <v>959</v>
      </c>
      <c r="D128" s="447" t="s">
        <v>568</v>
      </c>
      <c r="E128" s="463">
        <v>-224</v>
      </c>
      <c r="F128" s="463">
        <v>-586</v>
      </c>
      <c r="G128" s="447" t="s">
        <v>568</v>
      </c>
      <c r="H128" s="447" t="s">
        <v>568</v>
      </c>
      <c r="I128" s="447" t="s">
        <v>568</v>
      </c>
      <c r="J128" s="447" t="s">
        <v>568</v>
      </c>
      <c r="K128" s="447" t="s">
        <v>568</v>
      </c>
      <c r="L128" s="447" t="s">
        <v>568</v>
      </c>
      <c r="M128" s="447" t="s">
        <v>568</v>
      </c>
      <c r="N128" s="8"/>
      <c r="O128" s="8"/>
    </row>
    <row r="129" spans="2:15" ht="15" customHeight="1">
      <c r="B129" s="292" t="s">
        <v>960</v>
      </c>
      <c r="C129" s="292" t="s">
        <v>961</v>
      </c>
      <c r="D129" s="463">
        <v>45.628</v>
      </c>
      <c r="E129" s="463">
        <v>35.488999999999997</v>
      </c>
      <c r="F129" s="463">
        <v>34.290999999999997</v>
      </c>
      <c r="G129" s="463">
        <v>42.021000000000001</v>
      </c>
      <c r="H129" s="463">
        <v>30.004999999999999</v>
      </c>
      <c r="I129" s="463">
        <v>30.526</v>
      </c>
      <c r="J129" s="463">
        <v>26.582999999999998</v>
      </c>
      <c r="K129" s="463">
        <v>31.815999999999999</v>
      </c>
      <c r="L129" s="463">
        <v>40.704999999999998</v>
      </c>
      <c r="M129" s="447" t="s">
        <v>568</v>
      </c>
      <c r="N129" s="8"/>
      <c r="O129" s="8"/>
    </row>
    <row r="130" spans="2:15" ht="15" customHeight="1">
      <c r="B130" s="292" t="s">
        <v>962</v>
      </c>
      <c r="C130" s="292" t="s">
        <v>963</v>
      </c>
      <c r="D130" s="463">
        <v>4.2969999999999997</v>
      </c>
      <c r="E130" s="463">
        <v>1.946</v>
      </c>
      <c r="F130" s="463">
        <v>3.92</v>
      </c>
      <c r="G130" s="463">
        <v>4.51</v>
      </c>
      <c r="H130" s="463">
        <v>2.8109999999999999</v>
      </c>
      <c r="I130" s="463">
        <v>2.7120000000000002</v>
      </c>
      <c r="J130" s="463">
        <v>1.7370000000000001</v>
      </c>
      <c r="K130" s="463">
        <v>3.7450000000000001</v>
      </c>
      <c r="L130" s="463">
        <v>2.5529999999999999</v>
      </c>
      <c r="M130" s="447" t="s">
        <v>568</v>
      </c>
      <c r="N130" s="8"/>
      <c r="O130" s="8"/>
    </row>
    <row r="131" spans="2:15" ht="15" customHeight="1">
      <c r="B131" s="292" t="s">
        <v>964</v>
      </c>
      <c r="C131" s="292" t="s">
        <v>965</v>
      </c>
      <c r="D131" s="464">
        <v>5.3</v>
      </c>
      <c r="E131" s="464">
        <v>4.5999999999999996</v>
      </c>
      <c r="F131" s="464">
        <v>3.4</v>
      </c>
      <c r="G131" s="464">
        <v>2.5</v>
      </c>
      <c r="H131" s="464">
        <v>4.9000000000000004</v>
      </c>
      <c r="I131" s="464">
        <v>5</v>
      </c>
      <c r="J131" s="464">
        <v>5</v>
      </c>
      <c r="K131" s="464">
        <v>5</v>
      </c>
      <c r="L131" s="461" t="s">
        <v>568</v>
      </c>
      <c r="M131" s="461" t="s">
        <v>568</v>
      </c>
      <c r="N131" s="8"/>
      <c r="O131" s="8"/>
    </row>
    <row r="132" spans="2:15" ht="15" customHeight="1">
      <c r="B132" s="292" t="s">
        <v>966</v>
      </c>
      <c r="C132" s="292" t="s">
        <v>967</v>
      </c>
      <c r="D132" s="464">
        <v>19.7</v>
      </c>
      <c r="E132" s="464">
        <v>18.3</v>
      </c>
      <c r="F132" s="464">
        <v>18.2</v>
      </c>
      <c r="G132" s="464">
        <v>17</v>
      </c>
      <c r="H132" s="464">
        <v>16.600000000000001</v>
      </c>
      <c r="I132" s="464">
        <v>12.5</v>
      </c>
      <c r="J132" s="464">
        <v>5</v>
      </c>
      <c r="K132" s="464">
        <v>15</v>
      </c>
      <c r="L132" s="461" t="s">
        <v>568</v>
      </c>
      <c r="M132" s="461" t="s">
        <v>568</v>
      </c>
      <c r="N132" s="8"/>
      <c r="O132" s="8"/>
    </row>
    <row r="133" spans="2:15" ht="15" customHeight="1">
      <c r="B133" s="292" t="s">
        <v>968</v>
      </c>
      <c r="C133" s="292" t="s">
        <v>969</v>
      </c>
      <c r="D133" s="463">
        <v>7214</v>
      </c>
      <c r="E133" s="463">
        <v>21308</v>
      </c>
      <c r="F133" s="463">
        <v>11153</v>
      </c>
      <c r="G133" s="463">
        <v>16026</v>
      </c>
      <c r="H133" s="463">
        <v>9159</v>
      </c>
      <c r="I133" s="463">
        <v>21979</v>
      </c>
      <c r="J133" s="463">
        <v>31372</v>
      </c>
      <c r="K133" s="463">
        <v>2119</v>
      </c>
      <c r="L133" s="463">
        <v>8031</v>
      </c>
      <c r="M133" s="463">
        <v>7771</v>
      </c>
      <c r="N133" s="8"/>
      <c r="O133" s="8"/>
    </row>
    <row r="134" spans="2:15" ht="15" customHeight="1">
      <c r="B134" s="292" t="s">
        <v>970</v>
      </c>
      <c r="C134" s="292" t="s">
        <v>971</v>
      </c>
      <c r="D134" s="447" t="s">
        <v>568</v>
      </c>
      <c r="E134" s="447" t="s">
        <v>568</v>
      </c>
      <c r="F134" s="447" t="s">
        <v>568</v>
      </c>
      <c r="G134" s="463">
        <v>2600</v>
      </c>
      <c r="H134" s="447" t="s">
        <v>568</v>
      </c>
      <c r="I134" s="447" t="s">
        <v>568</v>
      </c>
      <c r="J134" s="447" t="s">
        <v>568</v>
      </c>
      <c r="K134" s="447" t="s">
        <v>568</v>
      </c>
      <c r="L134" s="447" t="s">
        <v>568</v>
      </c>
      <c r="M134" s="447" t="s">
        <v>568</v>
      </c>
      <c r="N134" s="8"/>
      <c r="O134" s="8"/>
    </row>
    <row r="135" spans="2:15" ht="15" customHeight="1">
      <c r="B135" s="292" t="s">
        <v>972</v>
      </c>
      <c r="C135" s="292" t="s">
        <v>973</v>
      </c>
      <c r="D135" s="447" t="s">
        <v>568</v>
      </c>
      <c r="E135" s="463">
        <v>-10700</v>
      </c>
      <c r="F135" s="447" t="s">
        <v>568</v>
      </c>
      <c r="G135" s="463">
        <v>-1400</v>
      </c>
      <c r="H135" s="447" t="s">
        <v>568</v>
      </c>
      <c r="I135" s="447" t="s">
        <v>568</v>
      </c>
      <c r="J135" s="447" t="s">
        <v>568</v>
      </c>
      <c r="K135" s="447" t="s">
        <v>568</v>
      </c>
      <c r="L135" s="447" t="s">
        <v>568</v>
      </c>
      <c r="M135" s="447" t="s">
        <v>568</v>
      </c>
      <c r="N135" s="8"/>
      <c r="O135" s="8"/>
    </row>
    <row r="136" spans="2:15" ht="15" customHeight="1">
      <c r="B136" s="292" t="s">
        <v>974</v>
      </c>
      <c r="C136" s="292" t="s">
        <v>975</v>
      </c>
      <c r="D136" s="463">
        <v>486</v>
      </c>
      <c r="E136" s="463">
        <v>677</v>
      </c>
      <c r="F136" s="463">
        <v>769</v>
      </c>
      <c r="G136" s="447" t="s">
        <v>568</v>
      </c>
      <c r="H136" s="447" t="s">
        <v>568</v>
      </c>
      <c r="I136" s="447" t="s">
        <v>568</v>
      </c>
      <c r="J136" s="447" t="s">
        <v>568</v>
      </c>
      <c r="K136" s="447" t="s">
        <v>568</v>
      </c>
      <c r="L136" s="447" t="s">
        <v>568</v>
      </c>
      <c r="M136" s="447" t="s">
        <v>568</v>
      </c>
      <c r="N136" s="8"/>
      <c r="O136" s="8"/>
    </row>
    <row r="137" spans="2:15" ht="15" customHeight="1">
      <c r="B137" s="292" t="s">
        <v>976</v>
      </c>
      <c r="C137" s="292" t="s">
        <v>977</v>
      </c>
      <c r="D137" s="463">
        <v>3200</v>
      </c>
      <c r="E137" s="463">
        <v>3100</v>
      </c>
      <c r="F137" s="463">
        <v>3100</v>
      </c>
      <c r="G137" s="463">
        <v>2300</v>
      </c>
      <c r="H137" s="463">
        <v>1800</v>
      </c>
      <c r="I137" s="463">
        <v>2000</v>
      </c>
      <c r="J137" s="463">
        <v>2800</v>
      </c>
      <c r="K137" s="463">
        <v>3700</v>
      </c>
      <c r="L137" s="463">
        <v>3300</v>
      </c>
      <c r="M137" s="463">
        <v>2700</v>
      </c>
      <c r="N137" s="8"/>
      <c r="O137" s="8"/>
    </row>
    <row r="138" spans="2:15" ht="15" customHeight="1">
      <c r="B138" s="292" t="s">
        <v>978</v>
      </c>
      <c r="C138" s="292" t="s">
        <v>979</v>
      </c>
      <c r="D138" s="463">
        <v>3</v>
      </c>
      <c r="E138" s="463">
        <v>-15</v>
      </c>
      <c r="F138" s="463">
        <v>20</v>
      </c>
      <c r="G138" s="463">
        <v>11</v>
      </c>
      <c r="H138" s="463">
        <v>27</v>
      </c>
      <c r="I138" s="463">
        <v>4</v>
      </c>
      <c r="J138" s="463">
        <v>15</v>
      </c>
      <c r="K138" s="463">
        <v>13</v>
      </c>
      <c r="L138" s="463">
        <v>3</v>
      </c>
      <c r="M138" s="463">
        <v>12</v>
      </c>
      <c r="N138" s="8"/>
      <c r="O138" s="8"/>
    </row>
    <row r="139" spans="2:15" ht="15" customHeight="1">
      <c r="B139" s="292" t="s">
        <v>980</v>
      </c>
      <c r="C139" s="292" t="s">
        <v>981</v>
      </c>
      <c r="D139" s="463">
        <v>7696</v>
      </c>
      <c r="E139" s="463">
        <v>8402</v>
      </c>
      <c r="F139" s="463">
        <v>5967</v>
      </c>
      <c r="G139" s="463">
        <v>6565</v>
      </c>
      <c r="H139" s="463">
        <v>6617</v>
      </c>
      <c r="I139" s="463">
        <v>5078</v>
      </c>
      <c r="J139" s="463">
        <v>2434</v>
      </c>
      <c r="K139" s="463">
        <v>2270</v>
      </c>
      <c r="L139" s="463">
        <v>2142</v>
      </c>
      <c r="M139" s="463">
        <v>2326</v>
      </c>
      <c r="N139" s="8"/>
      <c r="O139" s="8"/>
    </row>
    <row r="140" spans="2:15" ht="15" customHeight="1">
      <c r="B140" s="292" t="s">
        <v>982</v>
      </c>
      <c r="C140" s="292" t="s">
        <v>983</v>
      </c>
      <c r="D140" s="463">
        <v>7476</v>
      </c>
      <c r="E140" s="463">
        <v>9145</v>
      </c>
      <c r="F140" s="463">
        <v>9943</v>
      </c>
      <c r="G140" s="463">
        <v>11294</v>
      </c>
      <c r="H140" s="463">
        <v>12820</v>
      </c>
      <c r="I140" s="463">
        <v>14005</v>
      </c>
      <c r="J140" s="463">
        <v>8784</v>
      </c>
      <c r="K140" s="463">
        <v>8981</v>
      </c>
      <c r="L140" s="463">
        <v>8327</v>
      </c>
      <c r="M140" s="463">
        <v>7954</v>
      </c>
      <c r="N140" s="8"/>
      <c r="O140" s="8"/>
    </row>
    <row r="141" spans="2:15" ht="15" customHeight="1">
      <c r="B141" s="292" t="s">
        <v>984</v>
      </c>
      <c r="C141" s="292" t="s">
        <v>985</v>
      </c>
      <c r="D141" s="463">
        <v>1111</v>
      </c>
      <c r="E141" s="463">
        <v>1040</v>
      </c>
      <c r="F141" s="463">
        <v>689</v>
      </c>
      <c r="G141" s="463">
        <v>584</v>
      </c>
      <c r="H141" s="463">
        <v>1188</v>
      </c>
      <c r="I141" s="463">
        <v>1867</v>
      </c>
      <c r="J141" s="463">
        <v>1049</v>
      </c>
      <c r="K141" s="463">
        <v>874</v>
      </c>
      <c r="L141" s="463">
        <v>843</v>
      </c>
      <c r="M141" s="463">
        <v>1028</v>
      </c>
      <c r="N141" s="8"/>
      <c r="O141" s="8"/>
    </row>
    <row r="142" spans="2:15" ht="15" customHeight="1">
      <c r="B142" s="292" t="s">
        <v>986</v>
      </c>
      <c r="C142" s="292" t="s">
        <v>987</v>
      </c>
      <c r="D142" s="463">
        <v>3957</v>
      </c>
      <c r="E142" s="463">
        <v>4560</v>
      </c>
      <c r="F142" s="463">
        <v>4667</v>
      </c>
      <c r="G142" s="463">
        <v>4073</v>
      </c>
      <c r="H142" s="463">
        <v>6642</v>
      </c>
      <c r="I142" s="463">
        <v>8095</v>
      </c>
      <c r="J142" s="463">
        <v>5471</v>
      </c>
      <c r="K142" s="463">
        <v>5362</v>
      </c>
      <c r="L142" s="463">
        <v>5331</v>
      </c>
      <c r="M142" s="463">
        <v>5422</v>
      </c>
      <c r="N142" s="8"/>
      <c r="O142" s="8"/>
    </row>
    <row r="143" spans="2:15" ht="15" customHeight="1">
      <c r="B143" s="292" t="s">
        <v>988</v>
      </c>
      <c r="C143" s="292" t="s">
        <v>989</v>
      </c>
      <c r="D143" s="463">
        <v>41</v>
      </c>
      <c r="E143" s="463">
        <v>42</v>
      </c>
      <c r="F143" s="463">
        <v>39</v>
      </c>
      <c r="G143" s="463">
        <v>37</v>
      </c>
      <c r="H143" s="463">
        <v>38</v>
      </c>
      <c r="I143" s="463">
        <v>36</v>
      </c>
      <c r="J143" s="463">
        <v>29</v>
      </c>
      <c r="K143" s="463">
        <v>12</v>
      </c>
      <c r="L143" s="463">
        <v>14</v>
      </c>
      <c r="M143" s="463">
        <v>17</v>
      </c>
      <c r="N143" s="8"/>
      <c r="O143" s="8"/>
    </row>
    <row r="144" spans="2:15" ht="15" customHeight="1">
      <c r="B144" s="292" t="s">
        <v>990</v>
      </c>
      <c r="C144" s="292" t="s">
        <v>991</v>
      </c>
      <c r="D144" s="463">
        <v>101</v>
      </c>
      <c r="E144" s="463">
        <v>90</v>
      </c>
      <c r="F144" s="463">
        <v>72</v>
      </c>
      <c r="G144" s="463">
        <v>75</v>
      </c>
      <c r="H144" s="463">
        <v>49</v>
      </c>
      <c r="I144" s="463">
        <v>29</v>
      </c>
      <c r="J144" s="463">
        <v>27</v>
      </c>
      <c r="K144" s="463">
        <v>21</v>
      </c>
      <c r="L144" s="463">
        <v>23</v>
      </c>
      <c r="M144" s="463">
        <v>25</v>
      </c>
      <c r="N144" s="8"/>
      <c r="O144" s="8"/>
    </row>
    <row r="145" spans="2:15" ht="15" customHeight="1">
      <c r="B145" s="292" t="s">
        <v>992</v>
      </c>
      <c r="C145" s="292" t="s">
        <v>993</v>
      </c>
      <c r="D145" s="463">
        <v>-34</v>
      </c>
      <c r="E145" s="463">
        <v>-36</v>
      </c>
      <c r="F145" s="463">
        <v>-37</v>
      </c>
      <c r="G145" s="463">
        <v>-33</v>
      </c>
      <c r="H145" s="463">
        <v>-39.6</v>
      </c>
      <c r="I145" s="463">
        <v>-39</v>
      </c>
      <c r="J145" s="463">
        <v>-47</v>
      </c>
      <c r="K145" s="463">
        <v>-44</v>
      </c>
      <c r="L145" s="463">
        <v>-51</v>
      </c>
      <c r="M145" s="463">
        <v>-57</v>
      </c>
      <c r="N145" s="8"/>
      <c r="O145" s="8"/>
    </row>
    <row r="146" spans="2:15" ht="15" customHeight="1">
      <c r="B146" s="292" t="s">
        <v>994</v>
      </c>
      <c r="C146" s="292" t="s">
        <v>995</v>
      </c>
      <c r="D146" s="463">
        <v>-59</v>
      </c>
      <c r="E146" s="463">
        <v>-75</v>
      </c>
      <c r="F146" s="463">
        <v>-111</v>
      </c>
      <c r="G146" s="463">
        <v>-146</v>
      </c>
      <c r="H146" s="463">
        <v>-282</v>
      </c>
      <c r="I146" s="463">
        <v>-372</v>
      </c>
      <c r="J146" s="463">
        <v>-578</v>
      </c>
      <c r="K146" s="463">
        <v>-90</v>
      </c>
      <c r="L146" s="463">
        <v>18</v>
      </c>
      <c r="M146" s="463">
        <v>-167</v>
      </c>
      <c r="N146" s="8"/>
      <c r="O146" s="8"/>
    </row>
    <row r="147" spans="2:15" ht="15" customHeight="1">
      <c r="B147" s="292" t="s">
        <v>996</v>
      </c>
      <c r="C147" s="292" t="s">
        <v>997</v>
      </c>
      <c r="D147" s="463">
        <v>44</v>
      </c>
      <c r="E147" s="463">
        <v>39</v>
      </c>
      <c r="F147" s="463">
        <v>-22</v>
      </c>
      <c r="G147" s="463">
        <v>50</v>
      </c>
      <c r="H147" s="447" t="s">
        <v>568</v>
      </c>
      <c r="I147" s="447" t="s">
        <v>568</v>
      </c>
      <c r="J147" s="447" t="s">
        <v>568</v>
      </c>
      <c r="K147" s="447" t="s">
        <v>568</v>
      </c>
      <c r="L147" s="447" t="s">
        <v>568</v>
      </c>
      <c r="M147" s="447" t="s">
        <v>568</v>
      </c>
      <c r="N147" s="8"/>
      <c r="O147" s="8"/>
    </row>
    <row r="148" spans="2:15" ht="15" customHeight="1">
      <c r="B148" s="292" t="s">
        <v>998</v>
      </c>
      <c r="C148" s="292" t="s">
        <v>999</v>
      </c>
      <c r="D148" s="463">
        <v>106</v>
      </c>
      <c r="E148" s="463">
        <v>55</v>
      </c>
      <c r="F148" s="463">
        <v>12</v>
      </c>
      <c r="G148" s="447" t="s">
        <v>568</v>
      </c>
      <c r="H148" s="447" t="s">
        <v>568</v>
      </c>
      <c r="I148" s="447" t="s">
        <v>568</v>
      </c>
      <c r="J148" s="447" t="s">
        <v>568</v>
      </c>
      <c r="K148" s="447" t="s">
        <v>568</v>
      </c>
      <c r="L148" s="447" t="s">
        <v>568</v>
      </c>
      <c r="M148" s="447" t="s">
        <v>568</v>
      </c>
      <c r="N148" s="8"/>
      <c r="O148" s="8"/>
    </row>
    <row r="149" spans="2:15" ht="15" customHeight="1">
      <c r="B149" s="292" t="s">
        <v>1000</v>
      </c>
      <c r="C149" s="292" t="s">
        <v>1001</v>
      </c>
      <c r="D149" s="463">
        <v>2002</v>
      </c>
      <c r="E149" s="463">
        <v>1753</v>
      </c>
      <c r="F149" s="463">
        <v>1908</v>
      </c>
      <c r="G149" s="463">
        <v>2021</v>
      </c>
      <c r="H149" s="463">
        <v>1637</v>
      </c>
      <c r="I149" s="463">
        <v>1680</v>
      </c>
      <c r="J149" s="463">
        <v>1346</v>
      </c>
      <c r="K149" s="463">
        <v>1381</v>
      </c>
      <c r="L149" s="463">
        <v>1255</v>
      </c>
      <c r="M149" s="463">
        <v>1259</v>
      </c>
      <c r="N149" s="8"/>
      <c r="O149" s="8"/>
    </row>
    <row r="150" spans="2:15" ht="15" customHeight="1">
      <c r="B150" s="292" t="s">
        <v>1002</v>
      </c>
      <c r="C150" s="292" t="s">
        <v>1003</v>
      </c>
      <c r="D150" s="463">
        <v>1519</v>
      </c>
      <c r="E150" s="463">
        <v>1573</v>
      </c>
      <c r="F150" s="463">
        <v>1582</v>
      </c>
      <c r="G150" s="463">
        <v>1560</v>
      </c>
      <c r="H150" s="463">
        <v>1532</v>
      </c>
      <c r="I150" s="463">
        <v>1527</v>
      </c>
      <c r="J150" s="463">
        <v>1312</v>
      </c>
      <c r="K150" s="463">
        <v>1268</v>
      </c>
      <c r="L150" s="463">
        <v>1224</v>
      </c>
      <c r="M150" s="463">
        <v>1257</v>
      </c>
      <c r="N150" s="8"/>
      <c r="O150" s="8"/>
    </row>
    <row r="151" spans="2:15" ht="15" customHeight="1">
      <c r="B151" s="292" t="s">
        <v>1004</v>
      </c>
      <c r="C151" s="292" t="s">
        <v>1005</v>
      </c>
      <c r="D151" s="463">
        <v>1400</v>
      </c>
      <c r="E151" s="463">
        <v>1600</v>
      </c>
      <c r="F151" s="463">
        <v>1552</v>
      </c>
      <c r="G151" s="463">
        <v>1527</v>
      </c>
      <c r="H151" s="463">
        <v>1523</v>
      </c>
      <c r="I151" s="463">
        <v>1523</v>
      </c>
      <c r="J151" s="463">
        <v>1292</v>
      </c>
      <c r="K151" s="463">
        <v>1265</v>
      </c>
      <c r="L151" s="463">
        <v>1228</v>
      </c>
      <c r="M151" s="463">
        <v>1229</v>
      </c>
      <c r="N151" s="8"/>
      <c r="O151" s="8"/>
    </row>
    <row r="152" spans="2:15" ht="15" customHeight="1">
      <c r="B152" s="292" t="s">
        <v>1006</v>
      </c>
      <c r="C152" s="292" t="s">
        <v>1007</v>
      </c>
      <c r="D152" s="463">
        <v>1421</v>
      </c>
      <c r="E152" s="463">
        <v>1575</v>
      </c>
      <c r="F152" s="463">
        <v>1518</v>
      </c>
      <c r="G152" s="463">
        <v>1522</v>
      </c>
      <c r="H152" s="463">
        <v>1521</v>
      </c>
      <c r="I152" s="463">
        <v>1481</v>
      </c>
      <c r="J152" s="463">
        <v>1280</v>
      </c>
      <c r="K152" s="463">
        <v>1259</v>
      </c>
      <c r="L152" s="463">
        <v>1210</v>
      </c>
      <c r="M152" s="463">
        <v>1234</v>
      </c>
      <c r="N152" s="8"/>
      <c r="O152" s="8"/>
    </row>
    <row r="153" spans="2:15" ht="15" customHeight="1">
      <c r="B153" s="292" t="s">
        <v>1008</v>
      </c>
      <c r="C153" s="292" t="s">
        <v>1009</v>
      </c>
      <c r="D153" s="463">
        <v>1398</v>
      </c>
      <c r="E153" s="463">
        <v>1556</v>
      </c>
      <c r="F153" s="463">
        <v>1508</v>
      </c>
      <c r="G153" s="463">
        <v>1506</v>
      </c>
      <c r="H153" s="463">
        <v>1479</v>
      </c>
      <c r="I153" s="463">
        <v>1455</v>
      </c>
      <c r="J153" s="463">
        <v>1277</v>
      </c>
      <c r="K153" s="463">
        <v>1244</v>
      </c>
      <c r="L153" s="463">
        <v>1207</v>
      </c>
      <c r="M153" s="463">
        <v>1222</v>
      </c>
      <c r="N153" s="8"/>
      <c r="O153" s="8"/>
    </row>
    <row r="154" spans="2:15" ht="15" customHeight="1">
      <c r="B154" s="292" t="s">
        <v>1010</v>
      </c>
      <c r="C154" s="292" t="s">
        <v>1011</v>
      </c>
      <c r="D154" s="463">
        <v>6761</v>
      </c>
      <c r="E154" s="463">
        <v>7479</v>
      </c>
      <c r="F154" s="463">
        <v>7350</v>
      </c>
      <c r="G154" s="463">
        <v>7186</v>
      </c>
      <c r="H154" s="463">
        <v>7135</v>
      </c>
      <c r="I154" s="463">
        <v>7032</v>
      </c>
      <c r="J154" s="463">
        <v>6287</v>
      </c>
      <c r="K154" s="463">
        <v>6077</v>
      </c>
      <c r="L154" s="463">
        <v>5827</v>
      </c>
      <c r="M154" s="463">
        <v>5837</v>
      </c>
      <c r="N154" s="8"/>
      <c r="O154" s="8"/>
    </row>
    <row r="155" spans="2:15" ht="15" customHeight="1">
      <c r="B155" s="292" t="s">
        <v>1012</v>
      </c>
      <c r="C155" s="292" t="s">
        <v>1013</v>
      </c>
      <c r="D155" s="463">
        <v>1533</v>
      </c>
      <c r="E155" s="463">
        <v>2709</v>
      </c>
      <c r="F155" s="463">
        <v>2831</v>
      </c>
      <c r="G155" s="463">
        <v>2418</v>
      </c>
      <c r="H155" s="463">
        <v>1517</v>
      </c>
      <c r="I155" s="463">
        <v>2769</v>
      </c>
      <c r="J155" s="463">
        <v>4368</v>
      </c>
      <c r="K155" s="463">
        <v>1142</v>
      </c>
      <c r="L155" s="463">
        <v>1588</v>
      </c>
      <c r="M155" s="463">
        <v>1310</v>
      </c>
      <c r="N155" s="8"/>
      <c r="O155" s="8"/>
    </row>
    <row r="156" spans="2:15" ht="15" customHeight="1">
      <c r="B156" s="292" t="s">
        <v>1014</v>
      </c>
      <c r="C156" s="292" t="s">
        <v>1015</v>
      </c>
      <c r="D156" s="463">
        <v>342</v>
      </c>
      <c r="E156" s="463">
        <v>14402</v>
      </c>
      <c r="F156" s="463">
        <v>-2368</v>
      </c>
      <c r="G156" s="463">
        <v>-2022</v>
      </c>
      <c r="H156" s="463">
        <v>371</v>
      </c>
      <c r="I156" s="463">
        <v>3342</v>
      </c>
      <c r="J156" s="463">
        <v>2744</v>
      </c>
      <c r="K156" s="463">
        <v>1321</v>
      </c>
      <c r="L156" s="463">
        <v>453</v>
      </c>
      <c r="M156" s="463">
        <v>384</v>
      </c>
      <c r="N156" s="8"/>
      <c r="O156" s="8"/>
    </row>
    <row r="157" spans="2:15" ht="15" customHeight="1">
      <c r="B157" s="292" t="s">
        <v>1016</v>
      </c>
      <c r="C157" s="292" t="s">
        <v>1017</v>
      </c>
      <c r="D157" s="463">
        <v>-52</v>
      </c>
      <c r="E157" s="463">
        <v>45</v>
      </c>
      <c r="F157" s="463">
        <v>9</v>
      </c>
      <c r="G157" s="463">
        <v>-186</v>
      </c>
      <c r="H157" s="463">
        <v>56</v>
      </c>
      <c r="I157" s="463">
        <v>34</v>
      </c>
      <c r="J157" s="463">
        <v>-20</v>
      </c>
      <c r="K157" s="463">
        <v>-136</v>
      </c>
      <c r="L157" s="463">
        <v>33</v>
      </c>
      <c r="M157" s="463">
        <v>172</v>
      </c>
      <c r="N157" s="8"/>
      <c r="O157" s="8"/>
    </row>
    <row r="158" spans="2:15" ht="15" customHeight="1">
      <c r="B158" s="292" t="s">
        <v>1018</v>
      </c>
      <c r="C158" s="292" t="s">
        <v>1019</v>
      </c>
      <c r="D158" s="463">
        <v>-175</v>
      </c>
      <c r="E158" s="463">
        <v>-42</v>
      </c>
      <c r="F158" s="463">
        <v>-558</v>
      </c>
      <c r="G158" s="463">
        <v>-969</v>
      </c>
      <c r="H158" s="463">
        <v>-279</v>
      </c>
      <c r="I158" s="463">
        <v>48</v>
      </c>
      <c r="J158" s="463">
        <v>-183</v>
      </c>
      <c r="K158" s="463">
        <v>-652</v>
      </c>
      <c r="L158" s="463">
        <v>100</v>
      </c>
      <c r="M158" s="463">
        <v>-1826</v>
      </c>
      <c r="N158" s="8"/>
      <c r="O158" s="8"/>
    </row>
    <row r="159" spans="2:15" ht="15" customHeight="1">
      <c r="B159" s="292" t="s">
        <v>1020</v>
      </c>
      <c r="C159" s="292" t="s">
        <v>1021</v>
      </c>
      <c r="D159" s="463">
        <v>-419</v>
      </c>
      <c r="E159" s="463">
        <v>-25859</v>
      </c>
      <c r="F159" s="463">
        <v>776</v>
      </c>
      <c r="G159" s="463">
        <v>1067</v>
      </c>
      <c r="H159" s="463">
        <v>-1164</v>
      </c>
      <c r="I159" s="463">
        <v>-3850</v>
      </c>
      <c r="J159" s="463">
        <v>-3271</v>
      </c>
      <c r="K159" s="463">
        <v>-2606</v>
      </c>
      <c r="L159" s="463">
        <v>-1909</v>
      </c>
      <c r="M159" s="463">
        <v>-61</v>
      </c>
      <c r="N159" s="8"/>
      <c r="O159" s="8"/>
    </row>
    <row r="160" spans="2:15" ht="15" customHeight="1">
      <c r="B160" s="292" t="s">
        <v>1022</v>
      </c>
      <c r="C160" s="292" t="s">
        <v>1023</v>
      </c>
      <c r="D160" s="463">
        <v>-106</v>
      </c>
      <c r="E160" s="463">
        <v>-303</v>
      </c>
      <c r="F160" s="463">
        <v>16</v>
      </c>
      <c r="G160" s="463">
        <v>275</v>
      </c>
      <c r="H160" s="463">
        <v>-131</v>
      </c>
      <c r="I160" s="463">
        <v>-491</v>
      </c>
      <c r="J160" s="463">
        <v>-310</v>
      </c>
      <c r="K160" s="463">
        <v>-184</v>
      </c>
      <c r="L160" s="463">
        <v>-293</v>
      </c>
      <c r="M160" s="463">
        <v>-246</v>
      </c>
      <c r="N160" s="8"/>
      <c r="O160" s="8"/>
    </row>
    <row r="161" spans="2:15" ht="15" customHeight="1">
      <c r="B161" s="292" t="s">
        <v>1024</v>
      </c>
      <c r="C161" s="292" t="s">
        <v>1025</v>
      </c>
      <c r="D161" s="463">
        <v>186</v>
      </c>
      <c r="E161" s="463">
        <v>173</v>
      </c>
      <c r="F161" s="463">
        <v>166</v>
      </c>
      <c r="G161" s="463">
        <v>153</v>
      </c>
      <c r="H161" s="463">
        <v>97</v>
      </c>
      <c r="I161" s="463">
        <v>78</v>
      </c>
      <c r="J161" s="463">
        <v>42</v>
      </c>
      <c r="K161" s="463">
        <v>43</v>
      </c>
      <c r="L161" s="463">
        <v>44</v>
      </c>
      <c r="M161" s="463">
        <v>49</v>
      </c>
      <c r="N161" s="8"/>
      <c r="O161" s="8"/>
    </row>
    <row r="162" spans="2:15" ht="15" customHeight="1">
      <c r="B162" s="292" t="s">
        <v>1026</v>
      </c>
      <c r="C162" s="292" t="s">
        <v>1027</v>
      </c>
      <c r="D162" s="463">
        <v>196</v>
      </c>
      <c r="E162" s="463">
        <v>179</v>
      </c>
      <c r="F162" s="463">
        <v>171</v>
      </c>
      <c r="G162" s="463">
        <v>137</v>
      </c>
      <c r="H162" s="463">
        <v>94</v>
      </c>
      <c r="I162" s="463">
        <v>73</v>
      </c>
      <c r="J162" s="463">
        <v>43</v>
      </c>
      <c r="K162" s="463">
        <v>45</v>
      </c>
      <c r="L162" s="463">
        <v>47</v>
      </c>
      <c r="M162" s="463">
        <v>55</v>
      </c>
      <c r="N162" s="8"/>
      <c r="O162" s="8"/>
    </row>
    <row r="163" spans="2:15" ht="15" customHeight="1">
      <c r="B163" s="292" t="s">
        <v>1028</v>
      </c>
      <c r="C163" s="292" t="s">
        <v>1029</v>
      </c>
      <c r="D163" s="463">
        <v>198</v>
      </c>
      <c r="E163" s="463">
        <v>181</v>
      </c>
      <c r="F163" s="463">
        <v>171</v>
      </c>
      <c r="G163" s="463">
        <v>137</v>
      </c>
      <c r="H163" s="463">
        <v>92</v>
      </c>
      <c r="I163" s="463">
        <v>69</v>
      </c>
      <c r="J163" s="463">
        <v>44</v>
      </c>
      <c r="K163" s="463">
        <v>46</v>
      </c>
      <c r="L163" s="463">
        <v>49</v>
      </c>
      <c r="M163" s="463">
        <v>58</v>
      </c>
      <c r="N163" s="8"/>
      <c r="O163" s="8"/>
    </row>
    <row r="164" spans="2:15" ht="15" customHeight="1">
      <c r="B164" s="292" t="s">
        <v>1030</v>
      </c>
      <c r="C164" s="292" t="s">
        <v>1031</v>
      </c>
      <c r="D164" s="463">
        <v>197</v>
      </c>
      <c r="E164" s="463">
        <v>179</v>
      </c>
      <c r="F164" s="463">
        <v>168</v>
      </c>
      <c r="G164" s="463">
        <v>136</v>
      </c>
      <c r="H164" s="463">
        <v>89</v>
      </c>
      <c r="I164" s="463">
        <v>66</v>
      </c>
      <c r="J164" s="463">
        <v>44</v>
      </c>
      <c r="K164" s="463">
        <v>47</v>
      </c>
      <c r="L164" s="463">
        <v>50</v>
      </c>
      <c r="M164" s="463">
        <v>59</v>
      </c>
      <c r="N164" s="8"/>
      <c r="O164" s="8"/>
    </row>
    <row r="165" spans="2:15" ht="15" customHeight="1">
      <c r="B165" s="292" t="s">
        <v>1032</v>
      </c>
      <c r="C165" s="292" t="s">
        <v>1033</v>
      </c>
      <c r="D165" s="463">
        <v>196</v>
      </c>
      <c r="E165" s="463">
        <v>173</v>
      </c>
      <c r="F165" s="463">
        <v>165</v>
      </c>
      <c r="G165" s="463">
        <v>134</v>
      </c>
      <c r="H165" s="463">
        <v>86</v>
      </c>
      <c r="I165" s="463">
        <v>68</v>
      </c>
      <c r="J165" s="463">
        <v>43</v>
      </c>
      <c r="K165" s="463">
        <v>47</v>
      </c>
      <c r="L165" s="463">
        <v>50</v>
      </c>
      <c r="M165" s="463">
        <v>60</v>
      </c>
      <c r="N165" s="8"/>
      <c r="O165" s="8"/>
    </row>
    <row r="166" spans="2:15" ht="15" customHeight="1">
      <c r="B166" s="292" t="s">
        <v>1034</v>
      </c>
      <c r="C166" s="292" t="s">
        <v>1035</v>
      </c>
      <c r="D166" s="463">
        <v>919</v>
      </c>
      <c r="E166" s="463">
        <v>802</v>
      </c>
      <c r="F166" s="463">
        <v>777</v>
      </c>
      <c r="G166" s="463">
        <v>642</v>
      </c>
      <c r="H166" s="463">
        <v>430</v>
      </c>
      <c r="I166" s="463">
        <v>359</v>
      </c>
      <c r="J166" s="463">
        <v>192</v>
      </c>
      <c r="K166" s="463">
        <v>218</v>
      </c>
      <c r="L166" s="463">
        <v>245</v>
      </c>
      <c r="M166" s="463">
        <v>284</v>
      </c>
      <c r="N166" s="8"/>
      <c r="O166" s="8"/>
    </row>
    <row r="167" spans="2:15" ht="15" customHeight="1">
      <c r="B167" s="292" t="s">
        <v>1036</v>
      </c>
      <c r="C167" s="292" t="s">
        <v>1037</v>
      </c>
      <c r="D167" s="463">
        <v>52824</v>
      </c>
      <c r="E167" s="463">
        <v>52546</v>
      </c>
      <c r="F167" s="463">
        <v>53647</v>
      </c>
      <c r="G167" s="463">
        <v>41172</v>
      </c>
      <c r="H167" s="447" t="s">
        <v>568</v>
      </c>
      <c r="I167" s="447" t="s">
        <v>568</v>
      </c>
      <c r="J167" s="447" t="s">
        <v>568</v>
      </c>
      <c r="K167" s="447" t="s">
        <v>568</v>
      </c>
      <c r="L167" s="447" t="s">
        <v>568</v>
      </c>
      <c r="M167" s="447" t="s">
        <v>568</v>
      </c>
      <c r="N167" s="8"/>
      <c r="O167" s="8"/>
    </row>
    <row r="168" spans="2:15" ht="15" customHeight="1">
      <c r="B168" s="292" t="s">
        <v>1038</v>
      </c>
      <c r="C168" s="292" t="s">
        <v>1039</v>
      </c>
      <c r="D168" s="463">
        <v>11630</v>
      </c>
      <c r="E168" s="463">
        <v>10778</v>
      </c>
      <c r="F168" s="463">
        <v>11130</v>
      </c>
      <c r="G168" s="463">
        <v>8062</v>
      </c>
      <c r="H168" s="463">
        <v>8386</v>
      </c>
      <c r="I168" s="463">
        <v>30685</v>
      </c>
      <c r="J168" s="463">
        <v>34096</v>
      </c>
      <c r="K168" s="463">
        <v>23988</v>
      </c>
      <c r="L168" s="463">
        <v>16420</v>
      </c>
      <c r="M168" s="463">
        <v>15141</v>
      </c>
      <c r="N168" s="8"/>
      <c r="O168" s="8"/>
    </row>
    <row r="169" spans="2:15" ht="15" customHeight="1">
      <c r="B169" s="292" t="s">
        <v>1040</v>
      </c>
      <c r="C169" s="292" t="s">
        <v>1041</v>
      </c>
      <c r="D169" s="463">
        <v>14745</v>
      </c>
      <c r="E169" s="463">
        <v>14489</v>
      </c>
      <c r="F169" s="463">
        <v>14232</v>
      </c>
      <c r="G169" s="463">
        <v>12488</v>
      </c>
      <c r="H169" s="463">
        <v>11106</v>
      </c>
      <c r="I169" s="463">
        <v>12071</v>
      </c>
      <c r="J169" s="463">
        <v>13049</v>
      </c>
      <c r="K169" s="463">
        <v>14446</v>
      </c>
      <c r="L169" s="463">
        <v>14617</v>
      </c>
      <c r="M169" s="463">
        <v>13642</v>
      </c>
      <c r="N169" s="8"/>
      <c r="O169" s="8"/>
    </row>
    <row r="170" spans="2:15" ht="15" customHeight="1">
      <c r="B170" s="292" t="s">
        <v>1042</v>
      </c>
      <c r="C170" s="292" t="s">
        <v>1043</v>
      </c>
      <c r="D170" s="463">
        <v>7841</v>
      </c>
      <c r="E170" s="463">
        <v>7653</v>
      </c>
      <c r="F170" s="463">
        <v>7962</v>
      </c>
      <c r="G170" s="463">
        <v>7736</v>
      </c>
      <c r="H170" s="463">
        <v>8872</v>
      </c>
      <c r="I170" s="463">
        <v>10344</v>
      </c>
      <c r="J170" s="463">
        <v>11409</v>
      </c>
      <c r="K170" s="463">
        <v>10568</v>
      </c>
      <c r="L170" s="463">
        <v>10694</v>
      </c>
      <c r="M170" s="463">
        <v>10212</v>
      </c>
      <c r="N170" s="8"/>
      <c r="O170" s="8"/>
    </row>
    <row r="171" spans="2:15" ht="15" customHeight="1">
      <c r="B171" s="292" t="s">
        <v>1044</v>
      </c>
      <c r="C171" s="292" t="s">
        <v>1045</v>
      </c>
      <c r="D171" s="463">
        <v>-729</v>
      </c>
      <c r="E171" s="463">
        <v>-509</v>
      </c>
      <c r="F171" s="463">
        <v>-667</v>
      </c>
      <c r="G171" s="463">
        <v>-270</v>
      </c>
      <c r="H171" s="463">
        <v>-1779</v>
      </c>
      <c r="I171" s="463">
        <v>-2475</v>
      </c>
      <c r="J171" s="463">
        <v>-1954</v>
      </c>
      <c r="K171" s="463">
        <v>-1224</v>
      </c>
      <c r="L171" s="463">
        <v>1031</v>
      </c>
      <c r="M171" s="463">
        <v>827</v>
      </c>
      <c r="N171" s="8"/>
      <c r="O171" s="8"/>
    </row>
    <row r="172" spans="2:15" ht="15" customHeight="1">
      <c r="B172" s="292" t="s">
        <v>1046</v>
      </c>
      <c r="C172" s="292" t="s">
        <v>1047</v>
      </c>
      <c r="D172" s="463">
        <v>19210</v>
      </c>
      <c r="E172" s="463">
        <v>19941</v>
      </c>
      <c r="F172" s="463">
        <v>20709</v>
      </c>
      <c r="G172" s="463">
        <v>12885</v>
      </c>
      <c r="H172" s="447" t="s">
        <v>568</v>
      </c>
      <c r="I172" s="447" t="s">
        <v>568</v>
      </c>
      <c r="J172" s="447" t="s">
        <v>568</v>
      </c>
      <c r="K172" s="447" t="s">
        <v>568</v>
      </c>
      <c r="L172" s="463">
        <v>20723</v>
      </c>
      <c r="M172" s="463">
        <v>21102</v>
      </c>
      <c r="N172" s="8"/>
      <c r="O172" s="8"/>
    </row>
    <row r="173" spans="2:15" ht="15" customHeight="1">
      <c r="B173" s="292" t="s">
        <v>1048</v>
      </c>
      <c r="C173" s="292" t="s">
        <v>1049</v>
      </c>
      <c r="D173" s="463">
        <v>295</v>
      </c>
      <c r="E173" s="463">
        <v>39</v>
      </c>
      <c r="F173" s="463">
        <v>12</v>
      </c>
      <c r="G173" s="463">
        <v>89</v>
      </c>
      <c r="H173" s="463">
        <v>61</v>
      </c>
      <c r="I173" s="463">
        <v>108</v>
      </c>
      <c r="J173" s="463">
        <v>88</v>
      </c>
      <c r="K173" s="463">
        <v>98</v>
      </c>
      <c r="L173" s="463">
        <v>134</v>
      </c>
      <c r="M173" s="463">
        <v>187</v>
      </c>
      <c r="N173" s="8"/>
      <c r="O173" s="8"/>
    </row>
    <row r="174" spans="2:15" ht="15" customHeight="1">
      <c r="B174" s="292" t="s">
        <v>1050</v>
      </c>
      <c r="C174" s="292" t="s">
        <v>1051</v>
      </c>
      <c r="D174" s="447" t="s">
        <v>568</v>
      </c>
      <c r="E174" s="447" t="s">
        <v>568</v>
      </c>
      <c r="F174" s="447" t="s">
        <v>568</v>
      </c>
      <c r="G174" s="463">
        <v>74</v>
      </c>
      <c r="H174" s="463">
        <v>197</v>
      </c>
      <c r="I174" s="463">
        <v>450</v>
      </c>
      <c r="J174" s="463">
        <v>562</v>
      </c>
      <c r="K174" s="463">
        <v>290</v>
      </c>
      <c r="L174" s="463">
        <v>90</v>
      </c>
      <c r="M174" s="463">
        <v>116</v>
      </c>
      <c r="N174" s="8"/>
      <c r="O174" s="8"/>
    </row>
    <row r="175" spans="2:15" ht="15" customHeight="1">
      <c r="B175" s="292" t="s">
        <v>1052</v>
      </c>
      <c r="C175" s="292" t="s">
        <v>1053</v>
      </c>
      <c r="D175" s="447" t="s">
        <v>568</v>
      </c>
      <c r="E175" s="447" t="s">
        <v>568</v>
      </c>
      <c r="F175" s="447" t="s">
        <v>568</v>
      </c>
      <c r="G175" s="447" t="s">
        <v>568</v>
      </c>
      <c r="H175" s="463">
        <v>-2</v>
      </c>
      <c r="I175" s="447" t="s">
        <v>568</v>
      </c>
      <c r="J175" s="447" t="s">
        <v>568</v>
      </c>
      <c r="K175" s="447" t="s">
        <v>568</v>
      </c>
      <c r="L175" s="447" t="s">
        <v>568</v>
      </c>
      <c r="M175" s="447" t="s">
        <v>568</v>
      </c>
      <c r="N175" s="8"/>
      <c r="O175" s="8"/>
    </row>
    <row r="176" spans="2:15" ht="15" customHeight="1">
      <c r="B176" s="292" t="s">
        <v>1054</v>
      </c>
      <c r="C176" s="292" t="s">
        <v>1055</v>
      </c>
      <c r="D176" s="463">
        <v>404</v>
      </c>
      <c r="E176" s="463">
        <v>47</v>
      </c>
      <c r="F176" s="463">
        <v>-3</v>
      </c>
      <c r="G176" s="447" t="s">
        <v>568</v>
      </c>
      <c r="H176" s="463">
        <v>-18</v>
      </c>
      <c r="I176" s="463">
        <v>-25</v>
      </c>
      <c r="J176" s="463">
        <v>119</v>
      </c>
      <c r="K176" s="463">
        <v>629</v>
      </c>
      <c r="L176" s="463">
        <v>1341</v>
      </c>
      <c r="M176" s="463">
        <v>708</v>
      </c>
      <c r="N176" s="8"/>
      <c r="O176" s="8"/>
    </row>
    <row r="177" spans="2:15" ht="15" customHeight="1">
      <c r="B177" s="292" t="s">
        <v>1056</v>
      </c>
      <c r="C177" s="292" t="s">
        <v>1057</v>
      </c>
      <c r="D177" s="463">
        <v>92</v>
      </c>
      <c r="E177" s="463">
        <v>16</v>
      </c>
      <c r="F177" s="463">
        <v>-2</v>
      </c>
      <c r="G177" s="463">
        <v>-2</v>
      </c>
      <c r="H177" s="463">
        <v>2</v>
      </c>
      <c r="I177" s="463">
        <v>3</v>
      </c>
      <c r="J177" s="463">
        <v>7</v>
      </c>
      <c r="K177" s="463">
        <v>11</v>
      </c>
      <c r="L177" s="463">
        <v>10</v>
      </c>
      <c r="M177" s="463">
        <v>4</v>
      </c>
      <c r="N177" s="8"/>
      <c r="O177" s="8"/>
    </row>
    <row r="178" spans="2:15" ht="15" customHeight="1">
      <c r="B178" s="292" t="s">
        <v>1058</v>
      </c>
      <c r="C178" s="292" t="s">
        <v>1059</v>
      </c>
      <c r="D178" s="463">
        <v>31</v>
      </c>
      <c r="E178" s="463">
        <v>-8</v>
      </c>
      <c r="F178" s="463">
        <v>-3</v>
      </c>
      <c r="G178" s="447" t="s">
        <v>568</v>
      </c>
      <c r="H178" s="463">
        <v>-5</v>
      </c>
      <c r="I178" s="447" t="s">
        <v>568</v>
      </c>
      <c r="J178" s="447" t="s">
        <v>568</v>
      </c>
      <c r="K178" s="447" t="s">
        <v>568</v>
      </c>
      <c r="L178" s="447" t="s">
        <v>568</v>
      </c>
      <c r="M178" s="447" t="s">
        <v>568</v>
      </c>
      <c r="N178" s="8"/>
      <c r="O178" s="8"/>
    </row>
    <row r="179" spans="2:15" ht="15" customHeight="1">
      <c r="B179" s="292" t="s">
        <v>1060</v>
      </c>
      <c r="C179" s="292" t="s">
        <v>1061</v>
      </c>
      <c r="D179" s="447" t="s">
        <v>568</v>
      </c>
      <c r="E179" s="447" t="s">
        <v>568</v>
      </c>
      <c r="F179" s="447" t="s">
        <v>568</v>
      </c>
      <c r="G179" s="463">
        <v>103</v>
      </c>
      <c r="H179" s="463">
        <v>56</v>
      </c>
      <c r="I179" s="463">
        <v>52</v>
      </c>
      <c r="J179" s="463">
        <v>40</v>
      </c>
      <c r="K179" s="463">
        <v>238</v>
      </c>
      <c r="L179" s="463">
        <v>-44</v>
      </c>
      <c r="M179" s="463">
        <v>32</v>
      </c>
      <c r="N179" s="8"/>
      <c r="O179" s="8"/>
    </row>
    <row r="180" spans="2:15" ht="15" customHeight="1">
      <c r="B180" s="292" t="s">
        <v>1062</v>
      </c>
      <c r="C180" s="292" t="s">
        <v>1063</v>
      </c>
      <c r="D180" s="447" t="s">
        <v>568</v>
      </c>
      <c r="E180" s="447" t="s">
        <v>568</v>
      </c>
      <c r="F180" s="447" t="s">
        <v>568</v>
      </c>
      <c r="G180" s="463">
        <v>96</v>
      </c>
      <c r="H180" s="463">
        <v>292</v>
      </c>
      <c r="I180" s="463">
        <v>141</v>
      </c>
      <c r="J180" s="463">
        <v>59</v>
      </c>
      <c r="K180" s="463">
        <v>24</v>
      </c>
      <c r="L180" s="463">
        <v>13</v>
      </c>
      <c r="M180" s="463">
        <v>32</v>
      </c>
      <c r="N180" s="8"/>
      <c r="O180" s="8"/>
    </row>
    <row r="181" spans="2:15" ht="15" customHeight="1">
      <c r="B181" s="292" t="s">
        <v>1064</v>
      </c>
      <c r="C181" s="292" t="s">
        <v>1065</v>
      </c>
      <c r="D181" s="447" t="s">
        <v>568</v>
      </c>
      <c r="E181" s="463">
        <v>38</v>
      </c>
      <c r="F181" s="463">
        <v>47</v>
      </c>
      <c r="G181" s="447" t="s">
        <v>568</v>
      </c>
      <c r="H181" s="463">
        <v>478</v>
      </c>
      <c r="I181" s="447" t="s">
        <v>568</v>
      </c>
      <c r="J181" s="447" t="s">
        <v>568</v>
      </c>
      <c r="K181" s="447" t="s">
        <v>568</v>
      </c>
      <c r="L181" s="447" t="s">
        <v>568</v>
      </c>
      <c r="M181" s="447" t="s">
        <v>568</v>
      </c>
      <c r="N181" s="8"/>
      <c r="O181" s="8"/>
    </row>
    <row r="182" spans="2:15" ht="15" customHeight="1">
      <c r="B182" s="292" t="s">
        <v>1066</v>
      </c>
      <c r="C182" s="292" t="s">
        <v>1067</v>
      </c>
      <c r="D182" s="447" t="s">
        <v>568</v>
      </c>
      <c r="E182" s="463">
        <v>-2381</v>
      </c>
      <c r="F182" s="463">
        <v>-2594</v>
      </c>
      <c r="G182" s="463">
        <v>-21</v>
      </c>
      <c r="H182" s="463">
        <v>-929</v>
      </c>
      <c r="I182" s="463">
        <v>-2250</v>
      </c>
      <c r="J182" s="463">
        <v>-1683</v>
      </c>
      <c r="K182" s="463">
        <v>-2131</v>
      </c>
      <c r="L182" s="463">
        <v>-3035</v>
      </c>
      <c r="M182" s="463">
        <v>-2962</v>
      </c>
      <c r="N182" s="8"/>
      <c r="O182" s="8"/>
    </row>
    <row r="183" spans="2:15" ht="15" customHeight="1">
      <c r="B183" s="292" t="s">
        <v>1068</v>
      </c>
      <c r="C183" s="292" t="s">
        <v>1069</v>
      </c>
      <c r="D183" s="447" t="s">
        <v>568</v>
      </c>
      <c r="E183" s="463">
        <v>132</v>
      </c>
      <c r="F183" s="463">
        <v>152</v>
      </c>
      <c r="G183" s="463">
        <v>272</v>
      </c>
      <c r="H183" s="463">
        <v>-6</v>
      </c>
      <c r="I183" s="463">
        <v>13</v>
      </c>
      <c r="J183" s="463">
        <v>8</v>
      </c>
      <c r="K183" s="463">
        <v>4</v>
      </c>
      <c r="L183" s="463">
        <v>6</v>
      </c>
      <c r="M183" s="463">
        <v>-8</v>
      </c>
      <c r="N183" s="8"/>
      <c r="O183" s="8"/>
    </row>
    <row r="184" spans="2:15" ht="15" customHeight="1">
      <c r="B184" s="292" t="s">
        <v>1070</v>
      </c>
      <c r="C184" s="292" t="s">
        <v>1071</v>
      </c>
      <c r="D184" s="447" t="s">
        <v>568</v>
      </c>
      <c r="E184" s="463">
        <v>-182</v>
      </c>
      <c r="F184" s="463">
        <v>-178</v>
      </c>
      <c r="G184" s="463">
        <v>-173</v>
      </c>
      <c r="H184" s="463">
        <v>-170</v>
      </c>
      <c r="I184" s="463">
        <v>-151</v>
      </c>
      <c r="J184" s="463">
        <v>-130</v>
      </c>
      <c r="K184" s="463">
        <v>-119</v>
      </c>
      <c r="L184" s="463">
        <v>-113</v>
      </c>
      <c r="M184" s="463">
        <v>-88</v>
      </c>
      <c r="N184" s="8"/>
      <c r="O184" s="8"/>
    </row>
    <row r="185" spans="2:15" ht="15" customHeight="1">
      <c r="B185" s="292" t="s">
        <v>1072</v>
      </c>
      <c r="C185" s="292" t="s">
        <v>1073</v>
      </c>
      <c r="D185" s="463">
        <v>32</v>
      </c>
      <c r="E185" s="463">
        <v>31</v>
      </c>
      <c r="F185" s="463">
        <v>7</v>
      </c>
      <c r="G185" s="463">
        <v>3</v>
      </c>
      <c r="H185" s="447" t="s">
        <v>568</v>
      </c>
      <c r="I185" s="447" t="s">
        <v>568</v>
      </c>
      <c r="J185" s="447" t="s">
        <v>568</v>
      </c>
      <c r="K185" s="447" t="s">
        <v>568</v>
      </c>
      <c r="L185" s="447" t="s">
        <v>568</v>
      </c>
      <c r="M185" s="463">
        <v>18</v>
      </c>
      <c r="N185" s="8"/>
      <c r="O185" s="8"/>
    </row>
    <row r="186" spans="2:15" ht="15" customHeight="1">
      <c r="B186" s="292" t="s">
        <v>1074</v>
      </c>
      <c r="C186" s="292" t="s">
        <v>1075</v>
      </c>
      <c r="D186" s="447" t="s">
        <v>568</v>
      </c>
      <c r="E186" s="463">
        <v>-19</v>
      </c>
      <c r="F186" s="463">
        <v>-15</v>
      </c>
      <c r="G186" s="463">
        <v>-45</v>
      </c>
      <c r="H186" s="463">
        <v>0</v>
      </c>
      <c r="I186" s="463">
        <v>-80</v>
      </c>
      <c r="J186" s="463">
        <v>-17</v>
      </c>
      <c r="K186" s="463">
        <v>-12</v>
      </c>
      <c r="L186" s="463">
        <v>0</v>
      </c>
      <c r="M186" s="463">
        <v>-70</v>
      </c>
      <c r="N186" s="8"/>
      <c r="O186" s="8"/>
    </row>
    <row r="187" spans="2:15" ht="15" customHeight="1">
      <c r="B187" s="292" t="s">
        <v>1076</v>
      </c>
      <c r="C187" s="292" t="s">
        <v>1077</v>
      </c>
      <c r="D187" s="463">
        <v>317</v>
      </c>
      <c r="E187" s="447" t="s">
        <v>568</v>
      </c>
      <c r="F187" s="447" t="s">
        <v>568</v>
      </c>
      <c r="G187" s="447" t="s">
        <v>568</v>
      </c>
      <c r="H187" s="447" t="s">
        <v>568</v>
      </c>
      <c r="I187" s="447" t="s">
        <v>568</v>
      </c>
      <c r="J187" s="447" t="s">
        <v>568</v>
      </c>
      <c r="K187" s="447" t="s">
        <v>568</v>
      </c>
      <c r="L187" s="447" t="s">
        <v>568</v>
      </c>
      <c r="M187" s="447" t="s">
        <v>568</v>
      </c>
      <c r="N187" s="8"/>
      <c r="O187" s="8"/>
    </row>
    <row r="188" spans="2:15" ht="15" customHeight="1">
      <c r="B188" s="292" t="s">
        <v>1078</v>
      </c>
      <c r="C188" s="292" t="s">
        <v>1079</v>
      </c>
      <c r="D188" s="464">
        <v>8</v>
      </c>
      <c r="E188" s="464">
        <v>-1</v>
      </c>
      <c r="F188" s="464">
        <v>2</v>
      </c>
      <c r="G188" s="464">
        <v>-4</v>
      </c>
      <c r="H188" s="464">
        <v>2</v>
      </c>
      <c r="I188" s="464">
        <v>92</v>
      </c>
      <c r="J188" s="464">
        <v>30</v>
      </c>
      <c r="K188" s="461" t="s">
        <v>568</v>
      </c>
      <c r="L188" s="464">
        <v>7</v>
      </c>
      <c r="M188" s="464">
        <v>-2</v>
      </c>
      <c r="N188" s="8"/>
      <c r="O188" s="8"/>
    </row>
    <row r="189" spans="2:15" ht="15" customHeight="1">
      <c r="B189" s="292" t="s">
        <v>1080</v>
      </c>
      <c r="C189" s="292" t="s">
        <v>1081</v>
      </c>
      <c r="D189" s="447" t="s">
        <v>568</v>
      </c>
      <c r="E189" s="463">
        <v>47</v>
      </c>
      <c r="F189" s="463">
        <v>36</v>
      </c>
      <c r="G189" s="463">
        <v>29</v>
      </c>
      <c r="H189" s="447" t="s">
        <v>568</v>
      </c>
      <c r="I189" s="447" t="s">
        <v>568</v>
      </c>
      <c r="J189" s="447" t="s">
        <v>568</v>
      </c>
      <c r="K189" s="447" t="s">
        <v>568</v>
      </c>
      <c r="L189" s="447" t="s">
        <v>568</v>
      </c>
      <c r="M189" s="447" t="s">
        <v>568</v>
      </c>
      <c r="N189" s="8"/>
      <c r="O189" s="8"/>
    </row>
    <row r="190" spans="2:15" ht="15" customHeight="1">
      <c r="B190" s="292" t="s">
        <v>1082</v>
      </c>
      <c r="C190" s="292" t="s">
        <v>1083</v>
      </c>
      <c r="D190" s="463">
        <v>205</v>
      </c>
      <c r="E190" s="463">
        <v>163</v>
      </c>
      <c r="F190" s="463">
        <v>180</v>
      </c>
      <c r="G190" s="447" t="s">
        <v>568</v>
      </c>
      <c r="H190" s="447" t="s">
        <v>568</v>
      </c>
      <c r="I190" s="447" t="s">
        <v>568</v>
      </c>
      <c r="J190" s="447" t="s">
        <v>568</v>
      </c>
      <c r="K190" s="447" t="s">
        <v>568</v>
      </c>
      <c r="L190" s="447" t="s">
        <v>568</v>
      </c>
      <c r="M190" s="447" t="s">
        <v>568</v>
      </c>
      <c r="N190" s="8"/>
      <c r="O190" s="8"/>
    </row>
    <row r="191" spans="2:15" ht="15" customHeight="1">
      <c r="B191" s="292" t="s">
        <v>1084</v>
      </c>
      <c r="C191" s="292" t="s">
        <v>1085</v>
      </c>
      <c r="D191" s="463">
        <v>691</v>
      </c>
      <c r="E191" s="463">
        <v>840</v>
      </c>
      <c r="F191" s="463">
        <v>949</v>
      </c>
      <c r="G191" s="463">
        <v>687</v>
      </c>
      <c r="H191" s="463">
        <v>755</v>
      </c>
      <c r="I191" s="463">
        <v>1182</v>
      </c>
      <c r="J191" s="463">
        <v>872</v>
      </c>
      <c r="K191" s="463">
        <v>525</v>
      </c>
      <c r="L191" s="463">
        <v>877</v>
      </c>
      <c r="M191" s="463">
        <v>799</v>
      </c>
      <c r="N191" s="8"/>
      <c r="O191" s="8"/>
    </row>
    <row r="192" spans="2:15" ht="15" customHeight="1">
      <c r="B192" s="292" t="s">
        <v>1086</v>
      </c>
      <c r="C192" s="292" t="s">
        <v>1087</v>
      </c>
      <c r="D192" s="463">
        <v>4418</v>
      </c>
      <c r="E192" s="463">
        <v>3962</v>
      </c>
      <c r="F192" s="463">
        <v>3196</v>
      </c>
      <c r="G192" s="463">
        <v>2039</v>
      </c>
      <c r="H192" s="463">
        <v>-3739</v>
      </c>
      <c r="I192" s="463">
        <v>3951</v>
      </c>
      <c r="J192" s="463">
        <v>5026</v>
      </c>
      <c r="K192" s="463">
        <v>1012</v>
      </c>
      <c r="L192" s="463">
        <v>3007</v>
      </c>
      <c r="M192" s="463">
        <v>2696</v>
      </c>
      <c r="N192" s="8"/>
      <c r="O192" s="8"/>
    </row>
    <row r="193" spans="2:15" ht="15" customHeight="1">
      <c r="B193" s="292" t="s">
        <v>539</v>
      </c>
      <c r="C193" s="22"/>
      <c r="D193" s="292" t="s">
        <v>540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BD5E1"/>
  </sheetPr>
  <dimension ref="B1:Z90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1" outlineLevelCol="1"/>
  <cols>
    <col min="1" max="1" width="2" style="9" customWidth="1"/>
    <col min="2" max="2" width="38" style="9" customWidth="1"/>
    <col min="3" max="3" width="22" style="9" hidden="1" customWidth="1"/>
    <col min="4" max="4" width="12.42578125" style="9" hidden="1" customWidth="1" outlineLevel="1"/>
    <col min="5" max="5" width="12.42578125" style="9" customWidth="1" collapsed="1"/>
    <col min="6" max="10" width="12.42578125" style="9" customWidth="1"/>
    <col min="11" max="13" width="12.42578125" style="9" customWidth="1" outlineLevel="1"/>
    <col min="14" max="15" width="12.42578125" style="9" customWidth="1"/>
    <col min="16" max="21" width="8.7109375" style="9" customWidth="1"/>
    <col min="22" max="16384" width="8.710937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Income Statement Reconciliation"</f>
        <v>Pfizer Inc - Income Statement Reconciliation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2:26" ht="16" customHeight="1">
      <c r="B3" s="249" t="s">
        <v>1088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542</v>
      </c>
      <c r="C4" s="26"/>
      <c r="D4" s="343" t="s">
        <v>487</v>
      </c>
      <c r="E4" s="343" t="s">
        <v>486</v>
      </c>
      <c r="F4" s="343" t="s">
        <v>485</v>
      </c>
      <c r="G4" s="343" t="s">
        <v>484</v>
      </c>
      <c r="H4" s="343" t="s">
        <v>483</v>
      </c>
      <c r="I4" s="343" t="s">
        <v>482</v>
      </c>
      <c r="J4" s="343" t="s">
        <v>481</v>
      </c>
      <c r="K4" s="295" t="s">
        <v>480</v>
      </c>
      <c r="L4" s="295" t="s">
        <v>479</v>
      </c>
      <c r="M4" s="295" t="s">
        <v>478</v>
      </c>
      <c r="N4" s="26"/>
      <c r="O4" s="26"/>
    </row>
    <row r="5" spans="2:26" ht="15" customHeight="1">
      <c r="B5" s="438" t="s">
        <v>488</v>
      </c>
      <c r="C5" s="26"/>
      <c r="D5" s="440" t="s">
        <v>498</v>
      </c>
      <c r="E5" s="440" t="s">
        <v>497</v>
      </c>
      <c r="F5" s="440" t="s">
        <v>496</v>
      </c>
      <c r="G5" s="440" t="s">
        <v>495</v>
      </c>
      <c r="H5" s="440" t="s">
        <v>494</v>
      </c>
      <c r="I5" s="440" t="s">
        <v>493</v>
      </c>
      <c r="J5" s="440" t="s">
        <v>492</v>
      </c>
      <c r="K5" s="295" t="s">
        <v>491</v>
      </c>
      <c r="L5" s="295" t="s">
        <v>490</v>
      </c>
      <c r="M5" s="295" t="s">
        <v>489</v>
      </c>
      <c r="N5" s="26"/>
      <c r="O5" s="26"/>
    </row>
    <row r="6" spans="2:26" ht="20.25" customHeight="1">
      <c r="B6" s="306" t="s">
        <v>1089</v>
      </c>
      <c r="C6" s="179"/>
      <c r="D6" s="179"/>
      <c r="E6" s="179"/>
      <c r="F6" s="179"/>
      <c r="G6" s="179"/>
      <c r="H6" s="179"/>
      <c r="I6" s="179"/>
      <c r="J6" s="179"/>
      <c r="K6" s="180"/>
      <c r="L6" s="180"/>
      <c r="M6" s="180"/>
      <c r="N6" s="162"/>
      <c r="O6" s="162"/>
    </row>
    <row r="7" spans="2:26" ht="15" customHeight="1">
      <c r="B7" s="295" t="s">
        <v>1090</v>
      </c>
      <c r="C7" s="295" t="s">
        <v>670</v>
      </c>
      <c r="D7" s="446">
        <v>12006</v>
      </c>
      <c r="E7" s="446">
        <v>13722</v>
      </c>
      <c r="F7" s="446">
        <v>14001</v>
      </c>
      <c r="G7" s="446">
        <v>14817</v>
      </c>
      <c r="H7" s="446">
        <v>8256</v>
      </c>
      <c r="I7" s="446">
        <v>19433</v>
      </c>
      <c r="J7" s="446">
        <v>34944</v>
      </c>
      <c r="K7" s="446">
        <v>1280</v>
      </c>
      <c r="L7" s="446">
        <v>12411</v>
      </c>
      <c r="M7" s="446">
        <v>14244</v>
      </c>
      <c r="N7" s="24"/>
      <c r="O7" s="24"/>
    </row>
    <row r="8" spans="2:26" ht="15" customHeight="1">
      <c r="B8" s="292" t="s">
        <v>1091</v>
      </c>
      <c r="C8" s="292" t="s">
        <v>1092</v>
      </c>
      <c r="D8" s="310">
        <v>0</v>
      </c>
      <c r="E8" s="310">
        <v>0</v>
      </c>
      <c r="F8" s="310">
        <v>0</v>
      </c>
      <c r="G8" s="310">
        <v>0</v>
      </c>
      <c r="H8" s="310">
        <v>0</v>
      </c>
      <c r="I8" s="310">
        <v>0</v>
      </c>
      <c r="J8" s="310">
        <v>0</v>
      </c>
      <c r="K8" s="310">
        <v>0</v>
      </c>
      <c r="L8" s="310">
        <v>0</v>
      </c>
      <c r="M8" s="310">
        <v>0</v>
      </c>
      <c r="N8" s="8"/>
      <c r="O8" s="8"/>
    </row>
    <row r="9" spans="2:26" ht="15" customHeight="1">
      <c r="B9" s="292" t="s">
        <v>1093</v>
      </c>
      <c r="C9" s="292" t="s">
        <v>1094</v>
      </c>
      <c r="D9" s="310">
        <v>699</v>
      </c>
      <c r="E9" s="310">
        <v>86</v>
      </c>
      <c r="F9" s="310">
        <v>9</v>
      </c>
      <c r="G9" s="310">
        <v>207</v>
      </c>
      <c r="H9" s="310">
        <v>99</v>
      </c>
      <c r="I9" s="310">
        <v>135</v>
      </c>
      <c r="J9" s="310">
        <v>247</v>
      </c>
      <c r="K9" s="310">
        <v>965</v>
      </c>
      <c r="L9" s="310">
        <v>1431</v>
      </c>
      <c r="M9" s="310">
        <v>927</v>
      </c>
      <c r="N9" s="8"/>
      <c r="O9" s="8"/>
    </row>
    <row r="10" spans="2:26" ht="15" customHeight="1">
      <c r="B10" s="292" t="s">
        <v>1095</v>
      </c>
      <c r="C10" s="292" t="s">
        <v>1096</v>
      </c>
      <c r="D10" s="310">
        <v>0</v>
      </c>
      <c r="E10" s="310">
        <v>0</v>
      </c>
      <c r="F10" s="310">
        <v>0</v>
      </c>
      <c r="G10" s="310">
        <v>0</v>
      </c>
      <c r="H10" s="310">
        <v>0</v>
      </c>
      <c r="I10" s="310">
        <v>0</v>
      </c>
      <c r="J10" s="310">
        <v>0</v>
      </c>
      <c r="K10" s="310">
        <v>0</v>
      </c>
      <c r="L10" s="310">
        <v>0</v>
      </c>
      <c r="M10" s="310">
        <v>0</v>
      </c>
      <c r="N10" s="8"/>
      <c r="O10" s="8"/>
    </row>
    <row r="11" spans="2:26" ht="15" customHeight="1">
      <c r="B11" s="292" t="s">
        <v>1097</v>
      </c>
      <c r="C11" s="292" t="s">
        <v>1098</v>
      </c>
      <c r="D11" s="310">
        <v>92</v>
      </c>
      <c r="E11" s="310">
        <v>16</v>
      </c>
      <c r="F11" s="310">
        <v>-2</v>
      </c>
      <c r="G11" s="310">
        <v>307</v>
      </c>
      <c r="H11" s="310">
        <v>491</v>
      </c>
      <c r="I11" s="310">
        <v>594</v>
      </c>
      <c r="J11" s="310">
        <v>628</v>
      </c>
      <c r="K11" s="310">
        <v>325</v>
      </c>
      <c r="L11" s="310">
        <v>113</v>
      </c>
      <c r="M11" s="310">
        <v>152</v>
      </c>
      <c r="N11" s="8"/>
      <c r="O11" s="8"/>
    </row>
    <row r="12" spans="2:26" ht="15" customHeight="1">
      <c r="B12" s="292" t="s">
        <v>1099</v>
      </c>
      <c r="C12" s="292" t="s">
        <v>1100</v>
      </c>
      <c r="D12" s="310">
        <v>31</v>
      </c>
      <c r="E12" s="310">
        <v>30</v>
      </c>
      <c r="F12" s="310">
        <v>44</v>
      </c>
      <c r="G12" s="310">
        <v>0</v>
      </c>
      <c r="H12" s="310">
        <v>521</v>
      </c>
      <c r="I12" s="310">
        <v>0</v>
      </c>
      <c r="J12" s="310">
        <v>0</v>
      </c>
      <c r="K12" s="310">
        <v>0</v>
      </c>
      <c r="L12" s="310">
        <v>0</v>
      </c>
      <c r="M12" s="310">
        <v>0</v>
      </c>
      <c r="N12" s="8"/>
      <c r="O12" s="8"/>
    </row>
    <row r="13" spans="2:26" ht="15" customHeight="1">
      <c r="B13" s="292" t="s">
        <v>1101</v>
      </c>
      <c r="C13" s="292" t="s">
        <v>1102</v>
      </c>
      <c r="D13" s="310">
        <v>0</v>
      </c>
      <c r="E13" s="310">
        <v>0</v>
      </c>
      <c r="F13" s="310">
        <v>0</v>
      </c>
      <c r="G13" s="310">
        <v>0</v>
      </c>
      <c r="H13" s="310">
        <v>0</v>
      </c>
      <c r="I13" s="310">
        <v>0</v>
      </c>
      <c r="J13" s="310">
        <v>0</v>
      </c>
      <c r="K13" s="310">
        <v>0</v>
      </c>
      <c r="L13" s="310">
        <v>0</v>
      </c>
      <c r="M13" s="310">
        <v>0</v>
      </c>
      <c r="N13" s="8"/>
      <c r="O13" s="8"/>
    </row>
    <row r="14" spans="2:26" ht="15" customHeight="1">
      <c r="B14" s="292" t="s">
        <v>1103</v>
      </c>
      <c r="C14" s="292" t="s">
        <v>1104</v>
      </c>
      <c r="D14" s="310">
        <v>0</v>
      </c>
      <c r="E14" s="310">
        <v>0</v>
      </c>
      <c r="F14" s="310">
        <v>0</v>
      </c>
      <c r="G14" s="310">
        <v>0</v>
      </c>
      <c r="H14" s="310">
        <v>0</v>
      </c>
      <c r="I14" s="310">
        <v>0</v>
      </c>
      <c r="J14" s="310">
        <v>0</v>
      </c>
      <c r="K14" s="310">
        <v>0</v>
      </c>
      <c r="L14" s="310">
        <v>0</v>
      </c>
      <c r="M14" s="310">
        <v>0</v>
      </c>
      <c r="N14" s="8"/>
      <c r="O14" s="8"/>
    </row>
    <row r="15" spans="2:26" ht="15" customHeight="1">
      <c r="B15" s="292" t="s">
        <v>1105</v>
      </c>
      <c r="C15" s="292" t="s">
        <v>1106</v>
      </c>
      <c r="D15" s="310">
        <v>5663</v>
      </c>
      <c r="E15" s="310">
        <v>2121</v>
      </c>
      <c r="F15" s="310">
        <v>4733</v>
      </c>
      <c r="G15" s="310">
        <v>-2890</v>
      </c>
      <c r="H15" s="310">
        <v>573</v>
      </c>
      <c r="I15" s="310">
        <v>4271</v>
      </c>
      <c r="J15" s="310">
        <v>2327</v>
      </c>
      <c r="K15" s="310">
        <v>3165</v>
      </c>
      <c r="L15" s="310">
        <v>2715</v>
      </c>
      <c r="M15" s="310">
        <v>3045</v>
      </c>
      <c r="N15" s="8"/>
      <c r="O15" s="8"/>
    </row>
    <row r="16" spans="2:26" ht="15" customHeight="1">
      <c r="B16" s="295" t="s">
        <v>1107</v>
      </c>
      <c r="C16" s="295" t="s">
        <v>670</v>
      </c>
      <c r="D16" s="448">
        <v>18491</v>
      </c>
      <c r="E16" s="448">
        <v>15975</v>
      </c>
      <c r="F16" s="448">
        <v>18785</v>
      </c>
      <c r="G16" s="448">
        <v>12441</v>
      </c>
      <c r="H16" s="448">
        <v>9940</v>
      </c>
      <c r="I16" s="448">
        <v>24433</v>
      </c>
      <c r="J16" s="448">
        <v>38146</v>
      </c>
      <c r="K16" s="448">
        <v>5735</v>
      </c>
      <c r="L16" s="448">
        <v>16670</v>
      </c>
      <c r="M16" s="448">
        <v>18368</v>
      </c>
      <c r="N16" s="15"/>
      <c r="O16" s="15"/>
    </row>
    <row r="17" spans="2:15" ht="15" customHeight="1">
      <c r="B17" s="292" t="s">
        <v>546</v>
      </c>
      <c r="C17" s="292" t="s">
        <v>1108</v>
      </c>
      <c r="D17" s="310">
        <v>5757</v>
      </c>
      <c r="E17" s="310">
        <v>6269</v>
      </c>
      <c r="F17" s="310">
        <v>6384</v>
      </c>
      <c r="G17" s="310">
        <v>5755</v>
      </c>
      <c r="H17" s="310">
        <v>4681</v>
      </c>
      <c r="I17" s="310">
        <v>5191</v>
      </c>
      <c r="J17" s="310">
        <v>5064</v>
      </c>
      <c r="K17" s="310">
        <v>6290</v>
      </c>
      <c r="L17" s="310">
        <v>7013</v>
      </c>
      <c r="M17" s="310">
        <v>6592</v>
      </c>
      <c r="N17" s="8"/>
      <c r="O17" s="8"/>
    </row>
    <row r="18" spans="2:15" ht="15" customHeight="1">
      <c r="B18" s="292" t="s">
        <v>1109</v>
      </c>
      <c r="C18" s="292" t="s">
        <v>1110</v>
      </c>
      <c r="D18" s="310">
        <v>0</v>
      </c>
      <c r="E18" s="310">
        <v>0</v>
      </c>
      <c r="F18" s="310">
        <v>0</v>
      </c>
      <c r="G18" s="310">
        <v>376</v>
      </c>
      <c r="H18" s="310">
        <v>392</v>
      </c>
      <c r="I18" s="310">
        <v>507</v>
      </c>
      <c r="J18" s="310">
        <v>682</v>
      </c>
      <c r="K18" s="310">
        <v>839</v>
      </c>
      <c r="L18" s="310">
        <v>660</v>
      </c>
      <c r="M18" s="310">
        <v>471</v>
      </c>
      <c r="N18" s="8"/>
      <c r="O18" s="292" t="s">
        <v>95</v>
      </c>
    </row>
    <row r="19" spans="2:15" ht="15" customHeight="1">
      <c r="B19" s="295" t="s">
        <v>1111</v>
      </c>
      <c r="C19" s="295" t="s">
        <v>74</v>
      </c>
      <c r="D19" s="448">
        <v>24248</v>
      </c>
      <c r="E19" s="448">
        <v>22244</v>
      </c>
      <c r="F19" s="448">
        <v>25169</v>
      </c>
      <c r="G19" s="448">
        <v>18572</v>
      </c>
      <c r="H19" s="448">
        <v>15013</v>
      </c>
      <c r="I19" s="448">
        <v>30131</v>
      </c>
      <c r="J19" s="448">
        <v>43892</v>
      </c>
      <c r="K19" s="448">
        <v>12864</v>
      </c>
      <c r="L19" s="448">
        <v>24343</v>
      </c>
      <c r="M19" s="448">
        <v>25431</v>
      </c>
      <c r="N19" s="15"/>
      <c r="O19" s="15"/>
    </row>
    <row r="20" spans="2:15" ht="9.75" customHeight="1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2:15" ht="20.25" customHeight="1">
      <c r="B21" s="306" t="s">
        <v>1112</v>
      </c>
      <c r="C21" s="179"/>
      <c r="D21" s="179"/>
      <c r="E21" s="179"/>
      <c r="F21" s="179"/>
      <c r="G21" s="179"/>
      <c r="H21" s="179"/>
      <c r="I21" s="179"/>
      <c r="J21" s="179"/>
      <c r="K21" s="180"/>
      <c r="L21" s="180"/>
      <c r="M21" s="180"/>
      <c r="N21" s="162"/>
      <c r="O21" s="162"/>
    </row>
    <row r="22" spans="2:15" ht="15" customHeight="1">
      <c r="B22" s="295" t="s">
        <v>1090</v>
      </c>
      <c r="C22" s="295" t="s">
        <v>670</v>
      </c>
      <c r="D22" s="448">
        <v>12006</v>
      </c>
      <c r="E22" s="448">
        <v>13722</v>
      </c>
      <c r="F22" s="448">
        <v>14001</v>
      </c>
      <c r="G22" s="448">
        <v>14817</v>
      </c>
      <c r="H22" s="448">
        <v>8256</v>
      </c>
      <c r="I22" s="448">
        <v>19433</v>
      </c>
      <c r="J22" s="448">
        <v>34944</v>
      </c>
      <c r="K22" s="448">
        <v>1280</v>
      </c>
      <c r="L22" s="448">
        <v>12411</v>
      </c>
      <c r="M22" s="448">
        <v>14244</v>
      </c>
      <c r="N22" s="15"/>
      <c r="O22" s="15"/>
    </row>
    <row r="23" spans="2:15" ht="15" customHeight="1">
      <c r="B23" s="292" t="s">
        <v>1113</v>
      </c>
      <c r="C23" s="292" t="s">
        <v>1114</v>
      </c>
      <c r="D23" s="447" t="s">
        <v>568</v>
      </c>
      <c r="E23" s="447" t="s">
        <v>568</v>
      </c>
      <c r="F23" s="447" t="s">
        <v>568</v>
      </c>
      <c r="G23" s="447" t="s">
        <v>568</v>
      </c>
      <c r="H23" s="310">
        <v>50</v>
      </c>
      <c r="I23" s="310">
        <v>3469</v>
      </c>
      <c r="J23" s="310">
        <v>953</v>
      </c>
      <c r="K23" s="310">
        <v>194</v>
      </c>
      <c r="L23" s="310">
        <v>108</v>
      </c>
      <c r="M23" s="310">
        <v>1613</v>
      </c>
      <c r="N23" s="8"/>
      <c r="O23" s="8"/>
    </row>
    <row r="24" spans="2:15" ht="15" customHeight="1">
      <c r="B24" s="292" t="s">
        <v>1115</v>
      </c>
      <c r="C24" s="292" t="s">
        <v>1116</v>
      </c>
      <c r="D24" s="310">
        <v>1403</v>
      </c>
      <c r="E24" s="310">
        <v>514</v>
      </c>
      <c r="F24" s="310">
        <v>435</v>
      </c>
      <c r="G24" s="310">
        <v>370</v>
      </c>
      <c r="H24" s="310">
        <v>23</v>
      </c>
      <c r="I24" s="310">
        <v>39</v>
      </c>
      <c r="J24" s="310">
        <v>618</v>
      </c>
      <c r="K24" s="310">
        <v>1643</v>
      </c>
      <c r="L24" s="310">
        <v>1938</v>
      </c>
      <c r="M24" s="310">
        <v>1052</v>
      </c>
      <c r="N24" s="8"/>
      <c r="O24" s="8"/>
    </row>
    <row r="25" spans="2:15" ht="15" customHeight="1">
      <c r="B25" s="292" t="s">
        <v>1117</v>
      </c>
      <c r="C25" s="292" t="s">
        <v>1118</v>
      </c>
      <c r="D25" s="310">
        <v>3138</v>
      </c>
      <c r="E25" s="310">
        <v>379</v>
      </c>
      <c r="F25" s="310">
        <v>3101</v>
      </c>
      <c r="G25" s="310">
        <v>198</v>
      </c>
      <c r="H25" s="447" t="s">
        <v>568</v>
      </c>
      <c r="I25" s="447" t="s">
        <v>568</v>
      </c>
      <c r="J25" s="447" t="s">
        <v>568</v>
      </c>
      <c r="K25" s="447" t="s">
        <v>568</v>
      </c>
      <c r="L25" s="447" t="s">
        <v>568</v>
      </c>
      <c r="M25" s="447" t="s">
        <v>568</v>
      </c>
      <c r="N25" s="8"/>
      <c r="O25" s="8"/>
    </row>
    <row r="26" spans="2:15" ht="15" customHeight="1">
      <c r="B26" s="292" t="s">
        <v>1119</v>
      </c>
      <c r="C26" s="292" t="s">
        <v>1120</v>
      </c>
      <c r="D26" s="447" t="s">
        <v>568</v>
      </c>
      <c r="E26" s="447" t="s">
        <v>568</v>
      </c>
      <c r="F26" s="447" t="s">
        <v>568</v>
      </c>
      <c r="G26" s="310">
        <v>2600</v>
      </c>
      <c r="H26" s="447" t="s">
        <v>568</v>
      </c>
      <c r="I26" s="447" t="s">
        <v>568</v>
      </c>
      <c r="J26" s="447" t="s">
        <v>568</v>
      </c>
      <c r="K26" s="447" t="s">
        <v>568</v>
      </c>
      <c r="L26" s="447" t="s">
        <v>568</v>
      </c>
      <c r="M26" s="447" t="s">
        <v>568</v>
      </c>
      <c r="N26" s="8"/>
      <c r="O26" s="8"/>
    </row>
    <row r="27" spans="2:15" ht="15" customHeight="1">
      <c r="B27" s="292" t="s">
        <v>1121</v>
      </c>
      <c r="C27" s="292" t="s">
        <v>1122</v>
      </c>
      <c r="D27" s="447" t="s">
        <v>568</v>
      </c>
      <c r="E27" s="447" t="s">
        <v>568</v>
      </c>
      <c r="F27" s="447" t="s">
        <v>568</v>
      </c>
      <c r="G27" s="310">
        <v>-8086</v>
      </c>
      <c r="H27" s="310">
        <v>-6</v>
      </c>
      <c r="I27" s="447" t="s">
        <v>568</v>
      </c>
      <c r="J27" s="447" t="s">
        <v>568</v>
      </c>
      <c r="K27" s="447" t="s">
        <v>568</v>
      </c>
      <c r="L27" s="310">
        <v>420</v>
      </c>
      <c r="M27" s="447" t="s">
        <v>568</v>
      </c>
      <c r="N27" s="8"/>
      <c r="O27" s="8"/>
    </row>
    <row r="28" spans="2:15" ht="15" customHeight="1">
      <c r="B28" s="292" t="s">
        <v>1123</v>
      </c>
      <c r="C28" s="292" t="s">
        <v>1124</v>
      </c>
      <c r="D28" s="447" t="s">
        <v>568</v>
      </c>
      <c r="E28" s="310">
        <v>237</v>
      </c>
      <c r="F28" s="310">
        <v>157</v>
      </c>
      <c r="G28" s="310">
        <v>703</v>
      </c>
      <c r="H28" s="447" t="s">
        <v>568</v>
      </c>
      <c r="I28" s="447" t="s">
        <v>568</v>
      </c>
      <c r="J28" s="447" t="s">
        <v>568</v>
      </c>
      <c r="K28" s="447" t="s">
        <v>568</v>
      </c>
      <c r="L28" s="447" t="s">
        <v>568</v>
      </c>
      <c r="M28" s="447" t="s">
        <v>568</v>
      </c>
      <c r="N28" s="8"/>
      <c r="O28" s="8"/>
    </row>
    <row r="29" spans="2:15" ht="15" customHeight="1">
      <c r="B29" s="292" t="s">
        <v>1125</v>
      </c>
      <c r="C29" s="292" t="s">
        <v>1126</v>
      </c>
      <c r="D29" s="310">
        <v>1424</v>
      </c>
      <c r="E29" s="310">
        <v>423</v>
      </c>
      <c r="F29" s="310">
        <v>1026</v>
      </c>
      <c r="G29" s="310">
        <v>421</v>
      </c>
      <c r="H29" s="310">
        <v>791</v>
      </c>
      <c r="I29" s="310">
        <v>1299</v>
      </c>
      <c r="J29" s="310">
        <v>1532</v>
      </c>
      <c r="K29" s="310">
        <v>2356</v>
      </c>
      <c r="L29" s="310">
        <v>2213</v>
      </c>
      <c r="M29" s="310">
        <v>1395</v>
      </c>
      <c r="N29" s="8"/>
      <c r="O29" s="8"/>
    </row>
    <row r="30" spans="2:15" ht="15" customHeight="1">
      <c r="B30" s="292" t="s">
        <v>1127</v>
      </c>
      <c r="C30" s="292" t="s">
        <v>1128</v>
      </c>
      <c r="D30" s="310">
        <v>520</v>
      </c>
      <c r="E30" s="310">
        <v>700</v>
      </c>
      <c r="F30" s="310">
        <v>65</v>
      </c>
      <c r="G30" s="310">
        <v>1418</v>
      </c>
      <c r="H30" s="310">
        <v>826</v>
      </c>
      <c r="I30" s="310">
        <v>193</v>
      </c>
      <c r="J30" s="310">
        <v>99</v>
      </c>
      <c r="K30" s="310">
        <v>262</v>
      </c>
      <c r="L30" s="310">
        <v>-420</v>
      </c>
      <c r="M30" s="310">
        <v>64</v>
      </c>
      <c r="N30" s="8"/>
      <c r="O30" s="8"/>
    </row>
    <row r="31" spans="2:15" ht="15" customHeight="1">
      <c r="B31" s="295" t="s">
        <v>1107</v>
      </c>
      <c r="C31" s="295" t="s">
        <v>670</v>
      </c>
      <c r="D31" s="448">
        <v>18491</v>
      </c>
      <c r="E31" s="448">
        <v>15975</v>
      </c>
      <c r="F31" s="448">
        <v>18785</v>
      </c>
      <c r="G31" s="448">
        <v>12441</v>
      </c>
      <c r="H31" s="448">
        <v>9940</v>
      </c>
      <c r="I31" s="448">
        <v>24433</v>
      </c>
      <c r="J31" s="448">
        <v>38146</v>
      </c>
      <c r="K31" s="448">
        <v>5735</v>
      </c>
      <c r="L31" s="448">
        <v>16670</v>
      </c>
      <c r="M31" s="448">
        <v>18368</v>
      </c>
      <c r="N31" s="15"/>
      <c r="O31" s="15"/>
    </row>
    <row r="32" spans="2:15" ht="9.75" customHeight="1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2:15" ht="20.25" customHeight="1">
      <c r="B33" s="306" t="s">
        <v>1129</v>
      </c>
      <c r="C33" s="179"/>
      <c r="D33" s="179"/>
      <c r="E33" s="179"/>
      <c r="F33" s="179"/>
      <c r="G33" s="179"/>
      <c r="H33" s="179"/>
      <c r="I33" s="179"/>
      <c r="J33" s="179"/>
      <c r="K33" s="180"/>
      <c r="L33" s="180"/>
      <c r="M33" s="180"/>
      <c r="N33" s="162"/>
      <c r="O33" s="162"/>
    </row>
    <row r="34" spans="2:15" ht="15" customHeight="1">
      <c r="B34" s="295" t="s">
        <v>1130</v>
      </c>
      <c r="C34" s="295" t="s">
        <v>684</v>
      </c>
      <c r="D34" s="448">
        <v>8351</v>
      </c>
      <c r="E34" s="448">
        <v>12305</v>
      </c>
      <c r="F34" s="448">
        <v>11885</v>
      </c>
      <c r="G34" s="448">
        <v>11321</v>
      </c>
      <c r="H34" s="448">
        <v>7036</v>
      </c>
      <c r="I34" s="448">
        <v>24311</v>
      </c>
      <c r="J34" s="448">
        <v>34729</v>
      </c>
      <c r="K34" s="448">
        <v>1058</v>
      </c>
      <c r="L34" s="448">
        <v>8023</v>
      </c>
      <c r="M34" s="448">
        <v>7520</v>
      </c>
      <c r="N34" s="15"/>
      <c r="O34" s="15"/>
    </row>
    <row r="35" spans="2:15" ht="15" customHeight="1">
      <c r="B35" s="292" t="s">
        <v>1113</v>
      </c>
      <c r="C35" s="292" t="s">
        <v>1131</v>
      </c>
      <c r="D35" s="447" t="s">
        <v>568</v>
      </c>
      <c r="E35" s="447" t="s">
        <v>568</v>
      </c>
      <c r="F35" s="447" t="s">
        <v>568</v>
      </c>
      <c r="G35" s="447" t="s">
        <v>568</v>
      </c>
      <c r="H35" s="310">
        <v>50</v>
      </c>
      <c r="I35" s="310">
        <v>3469</v>
      </c>
      <c r="J35" s="310">
        <v>953</v>
      </c>
      <c r="K35" s="310">
        <v>194</v>
      </c>
      <c r="L35" s="310">
        <v>108</v>
      </c>
      <c r="M35" s="310">
        <v>1613</v>
      </c>
      <c r="N35" s="8"/>
      <c r="O35" s="8"/>
    </row>
    <row r="36" spans="2:15" ht="15" customHeight="1">
      <c r="B36" s="292" t="s">
        <v>1115</v>
      </c>
      <c r="C36" s="292" t="s">
        <v>1132</v>
      </c>
      <c r="D36" s="310">
        <v>1364</v>
      </c>
      <c r="E36" s="310">
        <v>514</v>
      </c>
      <c r="F36" s="310">
        <v>435</v>
      </c>
      <c r="G36" s="310">
        <v>370</v>
      </c>
      <c r="H36" s="310">
        <v>98</v>
      </c>
      <c r="I36" s="310">
        <v>153</v>
      </c>
      <c r="J36" s="310">
        <v>618</v>
      </c>
      <c r="K36" s="310">
        <v>1643</v>
      </c>
      <c r="L36" s="310">
        <v>1938</v>
      </c>
      <c r="M36" s="310">
        <v>1285</v>
      </c>
      <c r="N36" s="8"/>
      <c r="O36" s="8"/>
    </row>
    <row r="37" spans="2:15" ht="15" customHeight="1">
      <c r="B37" s="292" t="s">
        <v>1133</v>
      </c>
      <c r="C37" s="292" t="s">
        <v>1134</v>
      </c>
      <c r="D37" s="310">
        <v>-171</v>
      </c>
      <c r="E37" s="310">
        <v>100</v>
      </c>
      <c r="F37" s="310">
        <v>-72</v>
      </c>
      <c r="G37" s="447" t="s">
        <v>568</v>
      </c>
      <c r="H37" s="310">
        <v>237</v>
      </c>
      <c r="I37" s="310">
        <v>-99</v>
      </c>
      <c r="J37" s="447" t="s">
        <v>568</v>
      </c>
      <c r="K37" s="447" t="s">
        <v>568</v>
      </c>
      <c r="L37" s="447" t="s">
        <v>568</v>
      </c>
      <c r="M37" s="447" t="s">
        <v>568</v>
      </c>
      <c r="N37" s="8"/>
      <c r="O37" s="8"/>
    </row>
    <row r="38" spans="2:15" ht="15" customHeight="1">
      <c r="B38" s="292" t="s">
        <v>1135</v>
      </c>
      <c r="C38" s="292" t="s">
        <v>1136</v>
      </c>
      <c r="D38" s="310">
        <v>162</v>
      </c>
      <c r="E38" s="310">
        <v>999</v>
      </c>
      <c r="F38" s="310">
        <v>3</v>
      </c>
      <c r="G38" s="447" t="s">
        <v>568</v>
      </c>
      <c r="H38" s="447" t="s">
        <v>568</v>
      </c>
      <c r="I38" s="447" t="s">
        <v>568</v>
      </c>
      <c r="J38" s="447" t="s">
        <v>568</v>
      </c>
      <c r="K38" s="447" t="s">
        <v>568</v>
      </c>
      <c r="L38" s="447" t="s">
        <v>568</v>
      </c>
      <c r="M38" s="447" t="s">
        <v>568</v>
      </c>
      <c r="N38" s="8"/>
      <c r="O38" s="8"/>
    </row>
    <row r="39" spans="2:15" ht="15" customHeight="1">
      <c r="B39" s="292" t="s">
        <v>1117</v>
      </c>
      <c r="C39" s="292" t="s">
        <v>1137</v>
      </c>
      <c r="D39" s="310">
        <v>3716</v>
      </c>
      <c r="E39" s="310">
        <v>379</v>
      </c>
      <c r="F39" s="310">
        <v>3101</v>
      </c>
      <c r="G39" s="310">
        <v>198</v>
      </c>
      <c r="H39" s="310">
        <v>1691</v>
      </c>
      <c r="I39" s="447" t="s">
        <v>568</v>
      </c>
      <c r="J39" s="447" t="s">
        <v>568</v>
      </c>
      <c r="K39" s="447" t="s">
        <v>568</v>
      </c>
      <c r="L39" s="447" t="s">
        <v>568</v>
      </c>
      <c r="M39" s="310">
        <v>4127</v>
      </c>
      <c r="N39" s="8"/>
      <c r="O39" s="8"/>
    </row>
    <row r="40" spans="2:15" ht="15" customHeight="1">
      <c r="B40" s="292" t="s">
        <v>1119</v>
      </c>
      <c r="C40" s="292" t="s">
        <v>1138</v>
      </c>
      <c r="D40" s="310">
        <v>869</v>
      </c>
      <c r="E40" s="447" t="s">
        <v>568</v>
      </c>
      <c r="F40" s="447" t="s">
        <v>568</v>
      </c>
      <c r="G40" s="310">
        <v>2600</v>
      </c>
      <c r="H40" s="447" t="s">
        <v>568</v>
      </c>
      <c r="I40" s="310">
        <v>86</v>
      </c>
      <c r="J40" s="310">
        <v>421</v>
      </c>
      <c r="K40" s="310">
        <v>3024</v>
      </c>
      <c r="L40" s="310">
        <v>3295</v>
      </c>
      <c r="M40" s="310">
        <v>4940</v>
      </c>
      <c r="N40" s="8"/>
      <c r="O40" s="8"/>
    </row>
    <row r="41" spans="2:15" ht="15" customHeight="1">
      <c r="B41" s="292" t="s">
        <v>1139</v>
      </c>
      <c r="C41" s="292" t="s">
        <v>1140</v>
      </c>
      <c r="D41" s="447" t="s">
        <v>568</v>
      </c>
      <c r="E41" s="447" t="s">
        <v>568</v>
      </c>
      <c r="F41" s="447" t="s">
        <v>568</v>
      </c>
      <c r="G41" s="310">
        <v>-8086</v>
      </c>
      <c r="H41" s="310">
        <v>-6</v>
      </c>
      <c r="I41" s="310">
        <v>185</v>
      </c>
      <c r="J41" s="310">
        <v>307</v>
      </c>
      <c r="K41" s="447" t="s">
        <v>568</v>
      </c>
      <c r="L41" s="310">
        <v>420</v>
      </c>
      <c r="M41" s="447" t="s">
        <v>568</v>
      </c>
      <c r="N41" s="8"/>
      <c r="O41" s="8"/>
    </row>
    <row r="42" spans="2:15" ht="15" customHeight="1">
      <c r="B42" s="292" t="s">
        <v>1123</v>
      </c>
      <c r="C42" s="292" t="s">
        <v>1141</v>
      </c>
      <c r="D42" s="310">
        <v>494</v>
      </c>
      <c r="E42" s="310">
        <v>308</v>
      </c>
      <c r="F42" s="310">
        <v>161</v>
      </c>
      <c r="G42" s="310">
        <v>703</v>
      </c>
      <c r="H42" s="310">
        <v>28</v>
      </c>
      <c r="I42" s="310">
        <v>162</v>
      </c>
      <c r="J42" s="310">
        <v>230</v>
      </c>
      <c r="K42" s="310">
        <v>474</v>
      </c>
      <c r="L42" s="310">
        <v>567</v>
      </c>
      <c r="M42" s="310">
        <v>1057</v>
      </c>
      <c r="N42" s="8"/>
      <c r="O42" s="8"/>
    </row>
    <row r="43" spans="2:15" ht="15" customHeight="1">
      <c r="B43" s="292" t="s">
        <v>1125</v>
      </c>
      <c r="C43" s="292" t="s">
        <v>1142</v>
      </c>
      <c r="D43" s="310">
        <v>1685</v>
      </c>
      <c r="E43" s="310">
        <v>423</v>
      </c>
      <c r="F43" s="310">
        <v>1026</v>
      </c>
      <c r="G43" s="310">
        <v>421</v>
      </c>
      <c r="H43" s="310">
        <v>791</v>
      </c>
      <c r="I43" s="310">
        <v>1299</v>
      </c>
      <c r="J43" s="310">
        <v>1532</v>
      </c>
      <c r="K43" s="310">
        <v>2356</v>
      </c>
      <c r="L43" s="310">
        <v>2213</v>
      </c>
      <c r="M43" s="310">
        <v>1554</v>
      </c>
      <c r="N43" s="8"/>
      <c r="O43" s="8"/>
    </row>
    <row r="44" spans="2:15" ht="15" customHeight="1">
      <c r="B44" s="292" t="s">
        <v>1143</v>
      </c>
      <c r="C44" s="292" t="s">
        <v>1144</v>
      </c>
      <c r="D44" s="447" t="s">
        <v>568</v>
      </c>
      <c r="E44" s="310">
        <v>-45</v>
      </c>
      <c r="F44" s="310">
        <v>141</v>
      </c>
      <c r="G44" s="310">
        <v>-415</v>
      </c>
      <c r="H44" s="310">
        <v>-557</v>
      </c>
      <c r="I44" s="310">
        <v>-1338</v>
      </c>
      <c r="J44" s="310">
        <v>1270</v>
      </c>
      <c r="K44" s="310">
        <v>-1588</v>
      </c>
      <c r="L44" s="310">
        <v>-1833</v>
      </c>
      <c r="M44" s="310">
        <v>67</v>
      </c>
      <c r="N44" s="8"/>
      <c r="O44" s="8"/>
    </row>
    <row r="45" spans="2:15" ht="15" customHeight="1">
      <c r="B45" s="292" t="s">
        <v>1145</v>
      </c>
      <c r="C45" s="292" t="s">
        <v>1146</v>
      </c>
      <c r="D45" s="447" t="s">
        <v>568</v>
      </c>
      <c r="E45" s="310">
        <v>-224</v>
      </c>
      <c r="F45" s="310">
        <v>-586</v>
      </c>
      <c r="G45" s="447" t="s">
        <v>568</v>
      </c>
      <c r="H45" s="447" t="s">
        <v>568</v>
      </c>
      <c r="I45" s="447" t="s">
        <v>568</v>
      </c>
      <c r="J45" s="447" t="s">
        <v>568</v>
      </c>
      <c r="K45" s="447" t="s">
        <v>568</v>
      </c>
      <c r="L45" s="447" t="s">
        <v>568</v>
      </c>
      <c r="M45" s="447" t="s">
        <v>568</v>
      </c>
      <c r="N45" s="8"/>
      <c r="O45" s="8"/>
    </row>
    <row r="46" spans="2:15" ht="15" customHeight="1">
      <c r="B46" s="292" t="s">
        <v>1127</v>
      </c>
      <c r="C46" s="292" t="s">
        <v>1147</v>
      </c>
      <c r="D46" s="310">
        <v>670</v>
      </c>
      <c r="E46" s="310">
        <v>100</v>
      </c>
      <c r="F46" s="310">
        <v>-780</v>
      </c>
      <c r="G46" s="310">
        <v>1418</v>
      </c>
      <c r="H46" s="310">
        <v>2615</v>
      </c>
      <c r="I46" s="310">
        <v>-1421</v>
      </c>
      <c r="J46" s="310">
        <v>-32</v>
      </c>
      <c r="K46" s="310">
        <v>34</v>
      </c>
      <c r="L46" s="310">
        <v>-44</v>
      </c>
      <c r="M46" s="310">
        <v>-154</v>
      </c>
      <c r="N46" s="8"/>
      <c r="O46" s="8"/>
    </row>
    <row r="47" spans="2:15" ht="15" customHeight="1">
      <c r="B47" s="295" t="s">
        <v>1148</v>
      </c>
      <c r="C47" s="295" t="s">
        <v>684</v>
      </c>
      <c r="D47" s="448">
        <v>17140</v>
      </c>
      <c r="E47" s="448">
        <v>14859</v>
      </c>
      <c r="F47" s="448">
        <v>15314</v>
      </c>
      <c r="G47" s="448">
        <v>8530</v>
      </c>
      <c r="H47" s="448">
        <v>11983</v>
      </c>
      <c r="I47" s="448">
        <v>26807</v>
      </c>
      <c r="J47" s="448">
        <v>40028</v>
      </c>
      <c r="K47" s="448">
        <v>7195</v>
      </c>
      <c r="L47" s="448">
        <v>14687</v>
      </c>
      <c r="M47" s="448">
        <v>22009</v>
      </c>
      <c r="N47" s="15"/>
      <c r="O47" s="15"/>
    </row>
    <row r="48" spans="2:15" ht="9.7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2:15" ht="20.25" customHeight="1">
      <c r="B49" s="306" t="s">
        <v>1149</v>
      </c>
      <c r="C49" s="179"/>
      <c r="D49" s="179"/>
      <c r="E49" s="179"/>
      <c r="F49" s="179"/>
      <c r="G49" s="179"/>
      <c r="H49" s="179"/>
      <c r="I49" s="179"/>
      <c r="J49" s="179"/>
      <c r="K49" s="180"/>
      <c r="L49" s="180"/>
      <c r="M49" s="180"/>
      <c r="N49" s="162"/>
      <c r="O49" s="162"/>
    </row>
    <row r="50" spans="2:15" ht="15" customHeight="1">
      <c r="B50" s="295" t="s">
        <v>1150</v>
      </c>
      <c r="C50" s="295" t="s">
        <v>710</v>
      </c>
      <c r="D50" s="448">
        <v>7213</v>
      </c>
      <c r="E50" s="448">
        <v>21307</v>
      </c>
      <c r="F50" s="448">
        <v>11152</v>
      </c>
      <c r="G50" s="448">
        <v>16026</v>
      </c>
      <c r="H50" s="448">
        <v>9159</v>
      </c>
      <c r="I50" s="448">
        <v>21979</v>
      </c>
      <c r="J50" s="448">
        <v>31372</v>
      </c>
      <c r="K50" s="448">
        <v>2119</v>
      </c>
      <c r="L50" s="448">
        <v>8031</v>
      </c>
      <c r="M50" s="448">
        <v>7771</v>
      </c>
      <c r="N50" s="15"/>
      <c r="O50" s="15"/>
    </row>
    <row r="51" spans="2:15" ht="15" customHeight="1">
      <c r="B51" s="292" t="s">
        <v>1151</v>
      </c>
      <c r="C51" s="292" t="s">
        <v>696</v>
      </c>
      <c r="D51" s="310">
        <v>-18</v>
      </c>
      <c r="E51" s="310">
        <v>-2</v>
      </c>
      <c r="F51" s="310">
        <v>-10</v>
      </c>
      <c r="G51" s="310">
        <v>-5318</v>
      </c>
      <c r="H51" s="310">
        <v>-2529</v>
      </c>
      <c r="I51" s="310">
        <v>434</v>
      </c>
      <c r="J51" s="310">
        <v>-6</v>
      </c>
      <c r="K51" s="310">
        <v>15</v>
      </c>
      <c r="L51" s="310">
        <v>-11</v>
      </c>
      <c r="M51" s="310">
        <v>-25</v>
      </c>
      <c r="N51" s="8"/>
      <c r="O51" s="8"/>
    </row>
    <row r="52" spans="2:15" ht="15" customHeight="1">
      <c r="B52" s="292" t="s">
        <v>1152</v>
      </c>
      <c r="C52" s="292" t="s">
        <v>698</v>
      </c>
      <c r="D52" s="310">
        <v>0</v>
      </c>
      <c r="E52" s="310">
        <v>0</v>
      </c>
      <c r="F52" s="310">
        <v>0</v>
      </c>
      <c r="G52" s="310">
        <v>0</v>
      </c>
      <c r="H52" s="310">
        <v>0</v>
      </c>
      <c r="I52" s="310">
        <v>0</v>
      </c>
      <c r="J52" s="310">
        <v>0</v>
      </c>
      <c r="K52" s="310">
        <v>0</v>
      </c>
      <c r="L52" s="310">
        <v>0</v>
      </c>
      <c r="M52" s="310">
        <v>0</v>
      </c>
      <c r="N52" s="8"/>
      <c r="O52" s="8"/>
    </row>
    <row r="53" spans="2:15" ht="15" customHeight="1">
      <c r="B53" s="295" t="s">
        <v>1153</v>
      </c>
      <c r="C53" s="295" t="s">
        <v>1154</v>
      </c>
      <c r="D53" s="448">
        <v>7195</v>
      </c>
      <c r="E53" s="448">
        <v>21305</v>
      </c>
      <c r="F53" s="448">
        <v>11142</v>
      </c>
      <c r="G53" s="448">
        <v>10708</v>
      </c>
      <c r="H53" s="448">
        <v>6630</v>
      </c>
      <c r="I53" s="448">
        <v>22413</v>
      </c>
      <c r="J53" s="448">
        <v>31366</v>
      </c>
      <c r="K53" s="448">
        <v>2134</v>
      </c>
      <c r="L53" s="448">
        <v>8020</v>
      </c>
      <c r="M53" s="448">
        <v>7746</v>
      </c>
      <c r="N53" s="15"/>
      <c r="O53" s="15"/>
    </row>
    <row r="54" spans="2:15" ht="15" customHeight="1">
      <c r="B54" s="292" t="s">
        <v>1113</v>
      </c>
      <c r="C54" s="292" t="s">
        <v>1155</v>
      </c>
      <c r="D54" s="447" t="s">
        <v>568</v>
      </c>
      <c r="E54" s="447" t="s">
        <v>568</v>
      </c>
      <c r="F54" s="447" t="s">
        <v>568</v>
      </c>
      <c r="G54" s="447" t="s">
        <v>568</v>
      </c>
      <c r="H54" s="310">
        <v>40.456099999999999</v>
      </c>
      <c r="I54" s="310">
        <v>2740.51</v>
      </c>
      <c r="J54" s="310">
        <v>752.87</v>
      </c>
      <c r="K54" s="310">
        <v>153.26</v>
      </c>
      <c r="L54" s="310">
        <v>85.32</v>
      </c>
      <c r="M54" s="310">
        <v>1274.27</v>
      </c>
      <c r="N54" s="8"/>
      <c r="O54" s="8"/>
    </row>
    <row r="55" spans="2:15" ht="15" customHeight="1">
      <c r="B55" s="292" t="s">
        <v>1115</v>
      </c>
      <c r="C55" s="292" t="s">
        <v>1156</v>
      </c>
      <c r="D55" s="310">
        <v>886.6</v>
      </c>
      <c r="E55" s="310">
        <v>358.27609999999999</v>
      </c>
      <c r="F55" s="310">
        <v>315.07330000000002</v>
      </c>
      <c r="G55" s="310">
        <v>292.3</v>
      </c>
      <c r="H55" s="310">
        <v>79.293999999999997</v>
      </c>
      <c r="I55" s="310">
        <v>44.423200000000001</v>
      </c>
      <c r="J55" s="310">
        <v>472.5659</v>
      </c>
      <c r="K55" s="310">
        <v>1263.1014</v>
      </c>
      <c r="L55" s="310">
        <v>1475.5555999999999</v>
      </c>
      <c r="M55" s="310">
        <v>1090.7581</v>
      </c>
      <c r="N55" s="8"/>
      <c r="O55" s="8"/>
    </row>
    <row r="56" spans="2:15" ht="15" customHeight="1">
      <c r="B56" s="292" t="s">
        <v>1133</v>
      </c>
      <c r="C56" s="292" t="s">
        <v>1157</v>
      </c>
      <c r="D56" s="310">
        <v>-111.15</v>
      </c>
      <c r="E56" s="310">
        <v>83.3369</v>
      </c>
      <c r="F56" s="310">
        <v>-71.724299999999999</v>
      </c>
      <c r="G56" s="447" t="s">
        <v>568</v>
      </c>
      <c r="H56" s="310">
        <v>187.23</v>
      </c>
      <c r="I56" s="310">
        <v>-78.209999999999994</v>
      </c>
      <c r="J56" s="447" t="s">
        <v>568</v>
      </c>
      <c r="K56" s="447" t="s">
        <v>568</v>
      </c>
      <c r="L56" s="447" t="s">
        <v>568</v>
      </c>
      <c r="M56" s="447" t="s">
        <v>568</v>
      </c>
      <c r="N56" s="8"/>
      <c r="O56" s="8"/>
    </row>
    <row r="57" spans="2:15" ht="15" customHeight="1">
      <c r="B57" s="292" t="s">
        <v>1135</v>
      </c>
      <c r="C57" s="292" t="s">
        <v>1158</v>
      </c>
      <c r="D57" s="310">
        <v>105.3</v>
      </c>
      <c r="E57" s="310">
        <v>696.33820000000003</v>
      </c>
      <c r="F57" s="310">
        <v>2.1728999999999998</v>
      </c>
      <c r="G57" s="447" t="s">
        <v>568</v>
      </c>
      <c r="H57" s="447" t="s">
        <v>568</v>
      </c>
      <c r="I57" s="447" t="s">
        <v>568</v>
      </c>
      <c r="J57" s="447" t="s">
        <v>568</v>
      </c>
      <c r="K57" s="447" t="s">
        <v>568</v>
      </c>
      <c r="L57" s="447" t="s">
        <v>568</v>
      </c>
      <c r="M57" s="447" t="s">
        <v>568</v>
      </c>
      <c r="N57" s="8"/>
      <c r="O57" s="8"/>
    </row>
    <row r="58" spans="2:15" ht="15" customHeight="1">
      <c r="B58" s="292" t="s">
        <v>1117</v>
      </c>
      <c r="C58" s="292" t="s">
        <v>1159</v>
      </c>
      <c r="D58" s="310">
        <v>2415.4</v>
      </c>
      <c r="E58" s="310">
        <v>264.1764</v>
      </c>
      <c r="F58" s="310">
        <v>2246.0745000000002</v>
      </c>
      <c r="G58" s="310">
        <v>156.41999999999999</v>
      </c>
      <c r="H58" s="310">
        <v>1368.2264</v>
      </c>
      <c r="I58" s="447" t="s">
        <v>568</v>
      </c>
      <c r="J58" s="447" t="s">
        <v>568</v>
      </c>
      <c r="K58" s="447" t="s">
        <v>568</v>
      </c>
      <c r="L58" s="447" t="s">
        <v>568</v>
      </c>
      <c r="M58" s="310">
        <v>3380.2646</v>
      </c>
      <c r="N58" s="8"/>
      <c r="O58" s="8"/>
    </row>
    <row r="59" spans="2:15" ht="15" customHeight="1">
      <c r="B59" s="292" t="s">
        <v>1119</v>
      </c>
      <c r="C59" s="292" t="s">
        <v>1160</v>
      </c>
      <c r="D59" s="310">
        <v>564.85</v>
      </c>
      <c r="E59" s="447" t="s">
        <v>568</v>
      </c>
      <c r="F59" s="447" t="s">
        <v>568</v>
      </c>
      <c r="G59" s="310">
        <v>2054</v>
      </c>
      <c r="H59" s="447" t="s">
        <v>568</v>
      </c>
      <c r="I59" s="310">
        <v>61.099699999999999</v>
      </c>
      <c r="J59" s="310">
        <v>332.5206</v>
      </c>
      <c r="K59" s="310">
        <v>2410.9726000000001</v>
      </c>
      <c r="L59" s="310">
        <v>2508.7491</v>
      </c>
      <c r="M59" s="310">
        <v>4193.2646000000004</v>
      </c>
      <c r="N59" s="8"/>
      <c r="O59" s="8"/>
    </row>
    <row r="60" spans="2:15" ht="15" customHeight="1">
      <c r="B60" s="292" t="s">
        <v>1121</v>
      </c>
      <c r="C60" s="292" t="s">
        <v>1161</v>
      </c>
      <c r="D60" s="447" t="s">
        <v>568</v>
      </c>
      <c r="E60" s="447" t="s">
        <v>568</v>
      </c>
      <c r="F60" s="447" t="s">
        <v>568</v>
      </c>
      <c r="G60" s="310">
        <v>-6387.94</v>
      </c>
      <c r="H60" s="310">
        <v>-4.74</v>
      </c>
      <c r="I60" s="310">
        <v>146.15</v>
      </c>
      <c r="J60" s="310">
        <v>242.4794</v>
      </c>
      <c r="K60" s="447" t="s">
        <v>568</v>
      </c>
      <c r="L60" s="310">
        <v>319.7799</v>
      </c>
      <c r="M60" s="447" t="s">
        <v>568</v>
      </c>
      <c r="N60" s="8"/>
      <c r="O60" s="8"/>
    </row>
    <row r="61" spans="2:15" ht="15" customHeight="1">
      <c r="B61" s="292" t="s">
        <v>1123</v>
      </c>
      <c r="C61" s="292" t="s">
        <v>1162</v>
      </c>
      <c r="D61" s="310">
        <v>321.10000000000002</v>
      </c>
      <c r="E61" s="310">
        <v>236.19739999999999</v>
      </c>
      <c r="F61" s="310">
        <v>117.7161</v>
      </c>
      <c r="G61" s="310">
        <v>555.37</v>
      </c>
      <c r="H61" s="310">
        <v>22.12</v>
      </c>
      <c r="I61" s="310">
        <v>115.09480000000001</v>
      </c>
      <c r="J61" s="310">
        <v>181.66210000000001</v>
      </c>
      <c r="K61" s="310">
        <v>377.91039999999998</v>
      </c>
      <c r="L61" s="310">
        <v>431.70280000000002</v>
      </c>
      <c r="M61" s="310">
        <v>897.22280000000001</v>
      </c>
      <c r="N61" s="8"/>
      <c r="O61" s="8"/>
    </row>
    <row r="62" spans="2:15" ht="15" customHeight="1">
      <c r="B62" s="292" t="s">
        <v>1125</v>
      </c>
      <c r="C62" s="292" t="s">
        <v>1163</v>
      </c>
      <c r="D62" s="310">
        <v>1095.25</v>
      </c>
      <c r="E62" s="310">
        <v>296.05779999999999</v>
      </c>
      <c r="F62" s="310">
        <v>742.03570000000002</v>
      </c>
      <c r="G62" s="310">
        <v>332.59</v>
      </c>
      <c r="H62" s="310">
        <v>640.01599999999996</v>
      </c>
      <c r="I62" s="310">
        <v>922.89009999999996</v>
      </c>
      <c r="J62" s="310">
        <v>1210.0274999999999</v>
      </c>
      <c r="K62" s="310">
        <v>1904.5409999999999</v>
      </c>
      <c r="L62" s="310">
        <v>1684.9353000000001</v>
      </c>
      <c r="M62" s="310">
        <v>1319.0958000000001</v>
      </c>
      <c r="N62" s="8"/>
      <c r="O62" s="8"/>
    </row>
    <row r="63" spans="2:15" ht="15" customHeight="1">
      <c r="B63" s="292" t="s">
        <v>1143</v>
      </c>
      <c r="C63" s="292" t="s">
        <v>1164</v>
      </c>
      <c r="D63" s="447" t="s">
        <v>568</v>
      </c>
      <c r="E63" s="310">
        <v>-29.25</v>
      </c>
      <c r="F63" s="310">
        <v>111.39</v>
      </c>
      <c r="G63" s="310">
        <v>-327.85</v>
      </c>
      <c r="H63" s="310">
        <v>-450.68130000000002</v>
      </c>
      <c r="I63" s="310">
        <v>-1725.4019000000001</v>
      </c>
      <c r="J63" s="310">
        <v>1003.0907</v>
      </c>
      <c r="K63" s="310">
        <v>-1266.0795000000001</v>
      </c>
      <c r="L63" s="310">
        <v>-1395.6107</v>
      </c>
      <c r="M63" s="310">
        <v>56.872199999999999</v>
      </c>
      <c r="N63" s="8"/>
      <c r="O63" s="8"/>
    </row>
    <row r="64" spans="2:15" ht="15" customHeight="1">
      <c r="B64" s="292" t="s">
        <v>1145</v>
      </c>
      <c r="C64" s="292" t="s">
        <v>1165</v>
      </c>
      <c r="D64" s="447" t="s">
        <v>568</v>
      </c>
      <c r="E64" s="310">
        <v>-145.6</v>
      </c>
      <c r="F64" s="310">
        <v>-462.94</v>
      </c>
      <c r="G64" s="447" t="s">
        <v>568</v>
      </c>
      <c r="H64" s="447" t="s">
        <v>568</v>
      </c>
      <c r="I64" s="447" t="s">
        <v>568</v>
      </c>
      <c r="J64" s="447" t="s">
        <v>568</v>
      </c>
      <c r="K64" s="447" t="s">
        <v>568</v>
      </c>
      <c r="L64" s="447" t="s">
        <v>568</v>
      </c>
      <c r="M64" s="447" t="s">
        <v>568</v>
      </c>
      <c r="N64" s="8"/>
      <c r="O64" s="8"/>
    </row>
    <row r="65" spans="2:15" ht="15" customHeight="1">
      <c r="B65" s="292" t="s">
        <v>1127</v>
      </c>
      <c r="C65" s="292" t="s">
        <v>1166</v>
      </c>
      <c r="D65" s="310">
        <v>435.5</v>
      </c>
      <c r="E65" s="310">
        <v>97.924700000000001</v>
      </c>
      <c r="F65" s="310">
        <v>-620.4701</v>
      </c>
      <c r="G65" s="310">
        <v>1120.22</v>
      </c>
      <c r="H65" s="310">
        <v>2115.741</v>
      </c>
      <c r="I65" s="310">
        <v>-1136.9068</v>
      </c>
      <c r="J65" s="310">
        <v>-25.274699999999999</v>
      </c>
      <c r="K65" s="310">
        <v>27.180299999999999</v>
      </c>
      <c r="L65" s="310">
        <v>-33.500700000000002</v>
      </c>
      <c r="M65" s="310">
        <v>-68.528400000000005</v>
      </c>
      <c r="N65" s="8"/>
      <c r="O65" s="8"/>
    </row>
    <row r="66" spans="2:15" ht="15" customHeight="1">
      <c r="B66" s="292" t="s">
        <v>1167</v>
      </c>
      <c r="C66" s="292" t="s">
        <v>1168</v>
      </c>
      <c r="D66" s="447" t="s">
        <v>568</v>
      </c>
      <c r="E66" s="310">
        <v>-10700</v>
      </c>
      <c r="F66" s="447" t="s">
        <v>568</v>
      </c>
      <c r="G66" s="310">
        <v>-1400</v>
      </c>
      <c r="H66" s="447" t="s">
        <v>568</v>
      </c>
      <c r="I66" s="447" t="s">
        <v>568</v>
      </c>
      <c r="J66" s="447" t="s">
        <v>568</v>
      </c>
      <c r="K66" s="447" t="s">
        <v>568</v>
      </c>
      <c r="L66" s="447" t="s">
        <v>568</v>
      </c>
      <c r="M66" s="447" t="s">
        <v>568</v>
      </c>
      <c r="N66" s="8"/>
      <c r="O66" s="8"/>
    </row>
    <row r="67" spans="2:15" ht="15" customHeight="1">
      <c r="B67" s="295" t="s">
        <v>711</v>
      </c>
      <c r="C67" s="295" t="s">
        <v>710</v>
      </c>
      <c r="D67" s="448">
        <v>12907.85</v>
      </c>
      <c r="E67" s="448">
        <v>12462.457399999999</v>
      </c>
      <c r="F67" s="448">
        <v>13521.3282</v>
      </c>
      <c r="G67" s="448">
        <v>7103.11</v>
      </c>
      <c r="H67" s="448">
        <v>10627.6623</v>
      </c>
      <c r="I67" s="448">
        <v>23502.6492</v>
      </c>
      <c r="J67" s="448">
        <v>35535.941400000003</v>
      </c>
      <c r="K67" s="448">
        <v>7004.8861999999999</v>
      </c>
      <c r="L67" s="448">
        <v>13096.9313</v>
      </c>
      <c r="M67" s="448">
        <v>19889.219700000001</v>
      </c>
      <c r="N67" s="15"/>
      <c r="O67" s="15"/>
    </row>
    <row r="68" spans="2:15" ht="9.75" customHeight="1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5" ht="20.25" customHeight="1">
      <c r="B69" s="306" t="s">
        <v>1169</v>
      </c>
      <c r="C69" s="179"/>
      <c r="D69" s="179"/>
      <c r="E69" s="179"/>
      <c r="F69" s="179"/>
      <c r="G69" s="179"/>
      <c r="H69" s="179"/>
      <c r="I69" s="179"/>
      <c r="J69" s="179"/>
      <c r="K69" s="180"/>
      <c r="L69" s="180"/>
      <c r="M69" s="180"/>
      <c r="N69" s="162"/>
      <c r="O69" s="162"/>
    </row>
    <row r="70" spans="2:15" ht="15" customHeight="1">
      <c r="B70" s="295" t="s">
        <v>724</v>
      </c>
      <c r="C70" s="295" t="s">
        <v>725</v>
      </c>
      <c r="D70" s="459">
        <v>1.17</v>
      </c>
      <c r="E70" s="459">
        <v>3.52</v>
      </c>
      <c r="F70" s="459">
        <v>1.87</v>
      </c>
      <c r="G70" s="459">
        <v>2.82</v>
      </c>
      <c r="H70" s="459">
        <v>1.63</v>
      </c>
      <c r="I70" s="459">
        <v>3.85</v>
      </c>
      <c r="J70" s="459">
        <v>5.47</v>
      </c>
      <c r="K70" s="459">
        <v>0.37</v>
      </c>
      <c r="L70" s="459">
        <v>1.41</v>
      </c>
      <c r="M70" s="459">
        <v>1.36</v>
      </c>
      <c r="N70" s="15"/>
      <c r="O70" s="15"/>
    </row>
    <row r="71" spans="2:15" ht="15" customHeight="1">
      <c r="B71" s="292" t="s">
        <v>1151</v>
      </c>
      <c r="C71" s="292" t="s">
        <v>1170</v>
      </c>
      <c r="D71" s="310">
        <v>0</v>
      </c>
      <c r="E71" s="310">
        <v>0</v>
      </c>
      <c r="F71" s="310">
        <v>0</v>
      </c>
      <c r="G71" s="310">
        <v>0.94</v>
      </c>
      <c r="H71" s="310">
        <v>0.45</v>
      </c>
      <c r="I71" s="310">
        <v>-0.08</v>
      </c>
      <c r="J71" s="310">
        <v>0</v>
      </c>
      <c r="K71" s="310">
        <v>0</v>
      </c>
      <c r="L71" s="310">
        <v>0</v>
      </c>
      <c r="M71" s="310">
        <v>0</v>
      </c>
      <c r="N71" s="8"/>
      <c r="O71" s="8"/>
    </row>
    <row r="72" spans="2:15" ht="15" customHeight="1">
      <c r="B72" s="292" t="s">
        <v>1152</v>
      </c>
      <c r="C72" s="292" t="s">
        <v>1171</v>
      </c>
      <c r="D72" s="310">
        <v>0</v>
      </c>
      <c r="E72" s="310">
        <v>0</v>
      </c>
      <c r="F72" s="310">
        <v>0</v>
      </c>
      <c r="G72" s="310">
        <v>0</v>
      </c>
      <c r="H72" s="310">
        <v>0</v>
      </c>
      <c r="I72" s="310">
        <v>0</v>
      </c>
      <c r="J72" s="310">
        <v>0</v>
      </c>
      <c r="K72" s="310">
        <v>0</v>
      </c>
      <c r="L72" s="310">
        <v>0</v>
      </c>
      <c r="M72" s="310">
        <v>0</v>
      </c>
      <c r="N72" s="8"/>
      <c r="O72" s="8"/>
    </row>
    <row r="73" spans="2:15" ht="15" customHeight="1">
      <c r="B73" s="295" t="s">
        <v>726</v>
      </c>
      <c r="C73" s="295" t="s">
        <v>727</v>
      </c>
      <c r="D73" s="459">
        <v>1.17</v>
      </c>
      <c r="E73" s="459">
        <v>3.52</v>
      </c>
      <c r="F73" s="459">
        <v>1.86</v>
      </c>
      <c r="G73" s="459">
        <v>1.89</v>
      </c>
      <c r="H73" s="459">
        <v>1.18</v>
      </c>
      <c r="I73" s="459">
        <v>3.93</v>
      </c>
      <c r="J73" s="459">
        <v>5.47</v>
      </c>
      <c r="K73" s="459">
        <v>0.37</v>
      </c>
      <c r="L73" s="459">
        <v>1.41</v>
      </c>
      <c r="M73" s="459">
        <v>1.36</v>
      </c>
      <c r="N73" s="15"/>
      <c r="O73" s="15"/>
    </row>
    <row r="74" spans="2:15" ht="15" customHeight="1">
      <c r="B74" s="292" t="s">
        <v>1113</v>
      </c>
      <c r="C74" s="292" t="s">
        <v>1172</v>
      </c>
      <c r="D74" s="461" t="s">
        <v>568</v>
      </c>
      <c r="E74" s="461" t="s">
        <v>568</v>
      </c>
      <c r="F74" s="461" t="s">
        <v>568</v>
      </c>
      <c r="G74" s="461" t="s">
        <v>568</v>
      </c>
      <c r="H74" s="310">
        <v>7.1999999999999998E-3</v>
      </c>
      <c r="I74" s="310">
        <v>0.48010000000000003</v>
      </c>
      <c r="J74" s="310">
        <v>0.1313</v>
      </c>
      <c r="K74" s="310">
        <v>2.6800000000000001E-2</v>
      </c>
      <c r="L74" s="310">
        <v>1.4999999999999999E-2</v>
      </c>
      <c r="M74" s="310">
        <v>0.223</v>
      </c>
      <c r="N74" s="8"/>
      <c r="O74" s="8"/>
    </row>
    <row r="75" spans="2:15" ht="15" customHeight="1">
      <c r="B75" s="292" t="s">
        <v>1115</v>
      </c>
      <c r="C75" s="292" t="s">
        <v>1173</v>
      </c>
      <c r="D75" s="310">
        <v>0.14399999999999999</v>
      </c>
      <c r="E75" s="310">
        <v>5.91E-2</v>
      </c>
      <c r="F75" s="310">
        <v>5.2699999999999997E-2</v>
      </c>
      <c r="G75" s="310">
        <v>5.1499999999999997E-2</v>
      </c>
      <c r="H75" s="310">
        <v>1.41E-2</v>
      </c>
      <c r="I75" s="310">
        <v>7.7999999999999996E-3</v>
      </c>
      <c r="J75" s="310">
        <v>8.2400000000000001E-2</v>
      </c>
      <c r="K75" s="310">
        <v>0.22120000000000001</v>
      </c>
      <c r="L75" s="310">
        <v>0.25890000000000002</v>
      </c>
      <c r="M75" s="310">
        <v>0.19089999999999999</v>
      </c>
      <c r="N75" s="8"/>
      <c r="O75" s="8"/>
    </row>
    <row r="76" spans="2:15" ht="15" customHeight="1">
      <c r="B76" s="292" t="s">
        <v>1133</v>
      </c>
      <c r="C76" s="292" t="s">
        <v>1174</v>
      </c>
      <c r="D76" s="310">
        <v>-1.7999999999999999E-2</v>
      </c>
      <c r="E76" s="310">
        <v>1.38E-2</v>
      </c>
      <c r="F76" s="310">
        <v>-1.2E-2</v>
      </c>
      <c r="G76" s="461" t="s">
        <v>568</v>
      </c>
      <c r="H76" s="310">
        <v>3.32E-2</v>
      </c>
      <c r="I76" s="310">
        <v>-1.37E-2</v>
      </c>
      <c r="J76" s="461" t="s">
        <v>568</v>
      </c>
      <c r="K76" s="461" t="s">
        <v>568</v>
      </c>
      <c r="L76" s="461" t="s">
        <v>568</v>
      </c>
      <c r="M76" s="461" t="s">
        <v>568</v>
      </c>
      <c r="N76" s="8"/>
      <c r="O76" s="8"/>
    </row>
    <row r="77" spans="2:15" ht="15" customHeight="1">
      <c r="B77" s="292" t="s">
        <v>1135</v>
      </c>
      <c r="C77" s="292" t="s">
        <v>1175</v>
      </c>
      <c r="D77" s="310">
        <v>1.7100000000000001E-2</v>
      </c>
      <c r="E77" s="310">
        <v>0.1149</v>
      </c>
      <c r="F77" s="310">
        <v>4.0000000000000002E-4</v>
      </c>
      <c r="G77" s="461" t="s">
        <v>568</v>
      </c>
      <c r="H77" s="461" t="s">
        <v>568</v>
      </c>
      <c r="I77" s="461" t="s">
        <v>568</v>
      </c>
      <c r="J77" s="461" t="s">
        <v>568</v>
      </c>
      <c r="K77" s="461" t="s">
        <v>568</v>
      </c>
      <c r="L77" s="461" t="s">
        <v>568</v>
      </c>
      <c r="M77" s="461" t="s">
        <v>568</v>
      </c>
      <c r="N77" s="8"/>
      <c r="O77" s="8"/>
    </row>
    <row r="78" spans="2:15" ht="15" customHeight="1">
      <c r="B78" s="292" t="s">
        <v>1117</v>
      </c>
      <c r="C78" s="292" t="s">
        <v>1176</v>
      </c>
      <c r="D78" s="310">
        <v>0.39219999999999999</v>
      </c>
      <c r="E78" s="310">
        <v>4.36E-2</v>
      </c>
      <c r="F78" s="310">
        <v>0.37580000000000002</v>
      </c>
      <c r="G78" s="310">
        <v>2.76E-2</v>
      </c>
      <c r="H78" s="310">
        <v>0.2429</v>
      </c>
      <c r="I78" s="461" t="s">
        <v>568</v>
      </c>
      <c r="J78" s="461" t="s">
        <v>568</v>
      </c>
      <c r="K78" s="461" t="s">
        <v>568</v>
      </c>
      <c r="L78" s="461" t="s">
        <v>568</v>
      </c>
      <c r="M78" s="310">
        <v>0.5917</v>
      </c>
      <c r="N78" s="8"/>
      <c r="O78" s="8"/>
    </row>
    <row r="79" spans="2:15" ht="15" customHeight="1">
      <c r="B79" s="292" t="s">
        <v>1119</v>
      </c>
      <c r="C79" s="292" t="s">
        <v>1177</v>
      </c>
      <c r="D79" s="310">
        <v>9.1700000000000004E-2</v>
      </c>
      <c r="E79" s="461" t="s">
        <v>568</v>
      </c>
      <c r="F79" s="461" t="s">
        <v>568</v>
      </c>
      <c r="G79" s="310">
        <v>0.3619</v>
      </c>
      <c r="H79" s="461" t="s">
        <v>568</v>
      </c>
      <c r="I79" s="310">
        <v>1.0699999999999999E-2</v>
      </c>
      <c r="J79" s="310">
        <v>5.8000000000000003E-2</v>
      </c>
      <c r="K79" s="310">
        <v>0.42230000000000001</v>
      </c>
      <c r="L79" s="310">
        <v>0.44009999999999999</v>
      </c>
      <c r="M79" s="310">
        <v>0.73399999999999999</v>
      </c>
      <c r="N79" s="8"/>
      <c r="O79" s="8"/>
    </row>
    <row r="80" spans="2:15" ht="15" customHeight="1">
      <c r="B80" s="292" t="s">
        <v>1121</v>
      </c>
      <c r="C80" s="292" t="s">
        <v>1178</v>
      </c>
      <c r="D80" s="461" t="s">
        <v>568</v>
      </c>
      <c r="E80" s="461" t="s">
        <v>568</v>
      </c>
      <c r="F80" s="461" t="s">
        <v>568</v>
      </c>
      <c r="G80" s="310">
        <v>-1.1255999999999999</v>
      </c>
      <c r="H80" s="310">
        <v>-8.0000000000000004E-4</v>
      </c>
      <c r="I80" s="310">
        <v>2.5600000000000001E-2</v>
      </c>
      <c r="J80" s="310">
        <v>4.2299999999999997E-2</v>
      </c>
      <c r="K80" s="461" t="s">
        <v>568</v>
      </c>
      <c r="L80" s="310">
        <v>5.6099999999999997E-2</v>
      </c>
      <c r="M80" s="461" t="s">
        <v>568</v>
      </c>
      <c r="N80" s="8"/>
      <c r="O80" s="8"/>
    </row>
    <row r="81" spans="2:15" ht="15" customHeight="1">
      <c r="B81" s="292" t="s">
        <v>1123</v>
      </c>
      <c r="C81" s="292" t="s">
        <v>1179</v>
      </c>
      <c r="D81" s="310">
        <v>5.21E-2</v>
      </c>
      <c r="E81" s="310">
        <v>3.9E-2</v>
      </c>
      <c r="F81" s="310">
        <v>1.9699999999999999E-2</v>
      </c>
      <c r="G81" s="310">
        <v>9.7900000000000001E-2</v>
      </c>
      <c r="H81" s="310">
        <v>3.8999999999999998E-3</v>
      </c>
      <c r="I81" s="310">
        <v>2.0199999999999999E-2</v>
      </c>
      <c r="J81" s="310">
        <v>3.1699999999999999E-2</v>
      </c>
      <c r="K81" s="310">
        <v>6.6199999999999995E-2</v>
      </c>
      <c r="L81" s="310">
        <v>7.5700000000000003E-2</v>
      </c>
      <c r="M81" s="310">
        <v>0.157</v>
      </c>
      <c r="N81" s="8"/>
      <c r="O81" s="8"/>
    </row>
    <row r="82" spans="2:15" ht="15" customHeight="1">
      <c r="B82" s="292" t="s">
        <v>1125</v>
      </c>
      <c r="C82" s="292" t="s">
        <v>1180</v>
      </c>
      <c r="D82" s="310">
        <v>0.17780000000000001</v>
      </c>
      <c r="E82" s="310">
        <v>4.8899999999999999E-2</v>
      </c>
      <c r="F82" s="310">
        <v>0.1241</v>
      </c>
      <c r="G82" s="310">
        <v>5.8599999999999999E-2</v>
      </c>
      <c r="H82" s="310">
        <v>0.11360000000000001</v>
      </c>
      <c r="I82" s="310">
        <v>0.16170000000000001</v>
      </c>
      <c r="J82" s="310">
        <v>0.21110000000000001</v>
      </c>
      <c r="K82" s="310">
        <v>0.33360000000000001</v>
      </c>
      <c r="L82" s="310">
        <v>0.29559999999999997</v>
      </c>
      <c r="M82" s="310">
        <v>0.23089999999999999</v>
      </c>
      <c r="N82" s="8"/>
      <c r="O82" s="8"/>
    </row>
    <row r="83" spans="2:15" ht="15" customHeight="1">
      <c r="B83" s="292" t="s">
        <v>1143</v>
      </c>
      <c r="C83" s="292" t="s">
        <v>1181</v>
      </c>
      <c r="D83" s="461" t="s">
        <v>568</v>
      </c>
      <c r="E83" s="310">
        <v>-4.7999999999999996E-3</v>
      </c>
      <c r="F83" s="310">
        <v>1.8599999999999998E-2</v>
      </c>
      <c r="G83" s="310">
        <v>-5.7799999999999997E-2</v>
      </c>
      <c r="H83" s="310">
        <v>-0.08</v>
      </c>
      <c r="I83" s="310">
        <v>-0.30230000000000001</v>
      </c>
      <c r="J83" s="310">
        <v>0.17499999999999999</v>
      </c>
      <c r="K83" s="310">
        <v>-0.2218</v>
      </c>
      <c r="L83" s="310">
        <v>-0.24479999999999999</v>
      </c>
      <c r="M83" s="310">
        <v>0.01</v>
      </c>
      <c r="N83" s="8"/>
      <c r="O83" s="8"/>
    </row>
    <row r="84" spans="2:15" ht="15" customHeight="1">
      <c r="B84" s="292" t="s">
        <v>1145</v>
      </c>
      <c r="C84" s="292" t="s">
        <v>1182</v>
      </c>
      <c r="D84" s="461" t="s">
        <v>568</v>
      </c>
      <c r="E84" s="310">
        <v>-2.4E-2</v>
      </c>
      <c r="F84" s="310">
        <v>-7.7499999999999999E-2</v>
      </c>
      <c r="G84" s="461" t="s">
        <v>568</v>
      </c>
      <c r="H84" s="461" t="s">
        <v>568</v>
      </c>
      <c r="I84" s="461" t="s">
        <v>568</v>
      </c>
      <c r="J84" s="461" t="s">
        <v>568</v>
      </c>
      <c r="K84" s="461" t="s">
        <v>568</v>
      </c>
      <c r="L84" s="461" t="s">
        <v>568</v>
      </c>
      <c r="M84" s="461" t="s">
        <v>568</v>
      </c>
      <c r="N84" s="8"/>
      <c r="O84" s="8"/>
    </row>
    <row r="85" spans="2:15" ht="15" customHeight="1">
      <c r="B85" s="292" t="s">
        <v>1127</v>
      </c>
      <c r="C85" s="292" t="s">
        <v>1183</v>
      </c>
      <c r="D85" s="310">
        <v>7.0699999999999999E-2</v>
      </c>
      <c r="E85" s="310">
        <v>1.6199999999999999E-2</v>
      </c>
      <c r="F85" s="310">
        <v>-0.1038</v>
      </c>
      <c r="G85" s="310">
        <v>0.19739999999999999</v>
      </c>
      <c r="H85" s="310">
        <v>0.37569999999999998</v>
      </c>
      <c r="I85" s="310">
        <v>-0.19919999999999999</v>
      </c>
      <c r="J85" s="310">
        <v>-4.4000000000000003E-3</v>
      </c>
      <c r="K85" s="310">
        <v>4.7999999999999996E-3</v>
      </c>
      <c r="L85" s="310">
        <v>-5.8999999999999999E-3</v>
      </c>
      <c r="M85" s="310">
        <v>-1.2E-2</v>
      </c>
      <c r="N85" s="8"/>
      <c r="O85" s="8"/>
    </row>
    <row r="86" spans="2:15" ht="15" customHeight="1">
      <c r="B86" s="292" t="s">
        <v>1167</v>
      </c>
      <c r="C86" s="292" t="s">
        <v>1184</v>
      </c>
      <c r="D86" s="461" t="s">
        <v>568</v>
      </c>
      <c r="E86" s="310">
        <v>-1.7663</v>
      </c>
      <c r="F86" s="461" t="s">
        <v>568</v>
      </c>
      <c r="G86" s="310">
        <v>-0.2467</v>
      </c>
      <c r="H86" s="461" t="s">
        <v>568</v>
      </c>
      <c r="I86" s="461" t="s">
        <v>568</v>
      </c>
      <c r="J86" s="461" t="s">
        <v>568</v>
      </c>
      <c r="K86" s="461" t="s">
        <v>568</v>
      </c>
      <c r="L86" s="461" t="s">
        <v>568</v>
      </c>
      <c r="M86" s="461" t="s">
        <v>568</v>
      </c>
      <c r="N86" s="8"/>
      <c r="O86" s="8"/>
    </row>
    <row r="87" spans="2:15" ht="15" customHeight="1">
      <c r="B87" s="295" t="s">
        <v>1185</v>
      </c>
      <c r="C87" s="295" t="s">
        <v>729</v>
      </c>
      <c r="D87" s="459">
        <v>2.0975999999999999</v>
      </c>
      <c r="E87" s="459">
        <v>2.0604</v>
      </c>
      <c r="F87" s="459">
        <v>2.2581000000000002</v>
      </c>
      <c r="G87" s="459">
        <v>1.2547999999999999</v>
      </c>
      <c r="H87" s="459">
        <v>1.8897999999999999</v>
      </c>
      <c r="I87" s="459">
        <v>4.1208999999999998</v>
      </c>
      <c r="J87" s="459">
        <v>6.1974</v>
      </c>
      <c r="K87" s="459">
        <v>1.2232000000000001</v>
      </c>
      <c r="L87" s="459">
        <v>2.3007</v>
      </c>
      <c r="M87" s="459">
        <v>3.4855</v>
      </c>
      <c r="N87" s="15"/>
      <c r="O87" s="15"/>
    </row>
    <row r="88" spans="2:15" ht="15" customHeight="1">
      <c r="B88" s="292" t="s">
        <v>539</v>
      </c>
      <c r="C88" s="22"/>
      <c r="D88" s="292" t="s">
        <v>540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ht="9.75" customHeight="1"/>
    <row r="90" spans="2:15" ht="15" customHeight="1">
      <c r="B90" s="5"/>
      <c r="C90" s="23"/>
      <c r="D90" s="8"/>
      <c r="E90" s="8"/>
      <c r="F90" s="8"/>
      <c r="G90" s="8"/>
      <c r="H90" s="8"/>
      <c r="I90" s="8"/>
      <c r="J90" s="8"/>
      <c r="K90" s="336">
        <f>+K18/'IS - GAAP'!K6</f>
        <v>1.4088054538737953E-2</v>
      </c>
      <c r="L90" s="336">
        <f>+L18/'IS - GAAP'!H14</f>
        <v>1.0372954877646282E-2</v>
      </c>
      <c r="M90" s="336">
        <f>+M18/'IS - GAAP'!M6</f>
        <v>7.5264865210374083E-3</v>
      </c>
      <c r="N90" s="8"/>
      <c r="O90" s="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BD5E1"/>
  </sheetPr>
  <dimension ref="B1:Z10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2.42578125" defaultRowHeight="11" outlineLevelCol="1"/>
  <cols>
    <col min="1" max="1" width="2" style="9" customWidth="1"/>
    <col min="2" max="2" width="38" style="9" customWidth="1"/>
    <col min="3" max="3" width="22" style="9" hidden="1" customWidth="1"/>
    <col min="4" max="4" width="12.42578125" style="9" customWidth="1" outlineLevel="1"/>
    <col min="5" max="10" width="12.42578125" style="9" customWidth="1"/>
    <col min="11" max="13" width="12.42578125" style="9" customWidth="1" outlineLevel="1"/>
    <col min="14" max="19" width="12.42578125" style="9" customWidth="1"/>
    <col min="20" max="16384" width="12.4257812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Standardized Balance Sheet"</f>
        <v>Pfizer Inc - Standardized Balance Sheet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  <c r="V2" s="137"/>
      <c r="W2" s="137"/>
      <c r="X2" s="137"/>
      <c r="Y2" s="137"/>
      <c r="Z2" s="137"/>
    </row>
    <row r="3" spans="2:26" ht="16" customHeight="1">
      <c r="B3" s="249" t="s">
        <v>1186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542</v>
      </c>
      <c r="C4" s="26"/>
      <c r="D4" s="343" t="s">
        <v>487</v>
      </c>
      <c r="E4" s="343" t="s">
        <v>486</v>
      </c>
      <c r="F4" s="343" t="s">
        <v>485</v>
      </c>
      <c r="G4" s="343" t="s">
        <v>484</v>
      </c>
      <c r="H4" s="343" t="s">
        <v>483</v>
      </c>
      <c r="I4" s="343" t="s">
        <v>482</v>
      </c>
      <c r="J4" s="343" t="s">
        <v>481</v>
      </c>
      <c r="K4" s="295" t="s">
        <v>480</v>
      </c>
      <c r="L4" s="295" t="s">
        <v>479</v>
      </c>
      <c r="M4" s="295" t="s">
        <v>478</v>
      </c>
      <c r="N4" s="26"/>
      <c r="O4" s="26"/>
      <c r="P4" s="26"/>
      <c r="Q4" s="26"/>
      <c r="R4" s="26"/>
      <c r="S4" s="26"/>
      <c r="T4" s="26"/>
    </row>
    <row r="5" spans="2:26" ht="15" customHeight="1">
      <c r="B5" s="438" t="s">
        <v>488</v>
      </c>
      <c r="C5" s="26"/>
      <c r="D5" s="440" t="s">
        <v>498</v>
      </c>
      <c r="E5" s="440" t="s">
        <v>497</v>
      </c>
      <c r="F5" s="440" t="s">
        <v>496</v>
      </c>
      <c r="G5" s="440" t="s">
        <v>495</v>
      </c>
      <c r="H5" s="440" t="s">
        <v>494</v>
      </c>
      <c r="I5" s="440" t="s">
        <v>493</v>
      </c>
      <c r="J5" s="440" t="s">
        <v>492</v>
      </c>
      <c r="K5" s="295" t="s">
        <v>491</v>
      </c>
      <c r="L5" s="295" t="s">
        <v>490</v>
      </c>
      <c r="M5" s="295" t="s">
        <v>489</v>
      </c>
      <c r="N5" s="26"/>
      <c r="O5" s="26"/>
      <c r="P5" s="26"/>
      <c r="Q5" s="26"/>
      <c r="R5" s="26"/>
      <c r="S5" s="26"/>
      <c r="T5" s="26"/>
    </row>
    <row r="6" spans="2:26" ht="20.25" customHeight="1">
      <c r="B6" s="306" t="s">
        <v>401</v>
      </c>
      <c r="C6" s="179"/>
      <c r="D6" s="179"/>
      <c r="E6" s="179"/>
      <c r="F6" s="179"/>
      <c r="G6" s="179"/>
      <c r="H6" s="179"/>
      <c r="I6" s="179"/>
      <c r="J6" s="179"/>
      <c r="K6" s="180"/>
      <c r="L6" s="180"/>
      <c r="M6" s="180"/>
      <c r="N6" s="162"/>
      <c r="O6" s="162"/>
      <c r="P6" s="162"/>
      <c r="Q6" s="162"/>
      <c r="R6" s="162"/>
      <c r="S6" s="162"/>
      <c r="T6" s="162"/>
    </row>
    <row r="7" spans="2:26" ht="15" customHeight="1">
      <c r="B7" s="292" t="s">
        <v>1187</v>
      </c>
      <c r="C7" s="292" t="s">
        <v>1188</v>
      </c>
      <c r="D7" s="310">
        <v>17850</v>
      </c>
      <c r="E7" s="310">
        <v>19992</v>
      </c>
      <c r="F7" s="310">
        <v>18833</v>
      </c>
      <c r="G7" s="310">
        <v>9646</v>
      </c>
      <c r="H7" s="310">
        <v>12223</v>
      </c>
      <c r="I7" s="310">
        <v>31069</v>
      </c>
      <c r="J7" s="310">
        <v>22732</v>
      </c>
      <c r="K7" s="310">
        <v>12690</v>
      </c>
      <c r="L7" s="310">
        <v>20477</v>
      </c>
      <c r="M7" s="310">
        <v>13596</v>
      </c>
      <c r="N7" s="8"/>
      <c r="O7" s="292" t="s">
        <v>289</v>
      </c>
      <c r="P7" s="8"/>
      <c r="Q7" s="8"/>
      <c r="R7" s="8"/>
      <c r="S7" s="8"/>
      <c r="T7" s="8"/>
    </row>
    <row r="8" spans="2:26" ht="15" customHeight="1">
      <c r="B8" s="292" t="s">
        <v>1189</v>
      </c>
      <c r="C8" s="292" t="s">
        <v>1190</v>
      </c>
      <c r="D8" s="310">
        <v>2595</v>
      </c>
      <c r="E8" s="310">
        <v>1342</v>
      </c>
      <c r="F8" s="310">
        <v>1139</v>
      </c>
      <c r="G8" s="310">
        <v>1121</v>
      </c>
      <c r="H8" s="310">
        <v>1786</v>
      </c>
      <c r="I8" s="310">
        <v>1944</v>
      </c>
      <c r="J8" s="310">
        <v>416</v>
      </c>
      <c r="K8" s="310">
        <v>2853</v>
      </c>
      <c r="L8" s="310">
        <v>1043</v>
      </c>
      <c r="M8" s="310">
        <v>1142</v>
      </c>
      <c r="N8" s="8"/>
      <c r="O8" s="8"/>
      <c r="P8" s="8"/>
      <c r="Q8" s="8"/>
      <c r="R8" s="8"/>
      <c r="S8" s="8"/>
      <c r="T8" s="8"/>
    </row>
    <row r="9" spans="2:26" ht="15" customHeight="1">
      <c r="B9" s="292" t="s">
        <v>1191</v>
      </c>
      <c r="C9" s="292" t="s">
        <v>1192</v>
      </c>
      <c r="D9" s="310">
        <v>15255</v>
      </c>
      <c r="E9" s="310">
        <v>18650</v>
      </c>
      <c r="F9" s="310">
        <v>17694</v>
      </c>
      <c r="G9" s="310">
        <v>8525</v>
      </c>
      <c r="H9" s="310">
        <v>10437</v>
      </c>
      <c r="I9" s="310">
        <v>29125</v>
      </c>
      <c r="J9" s="310">
        <v>22316</v>
      </c>
      <c r="K9" s="310">
        <v>9837</v>
      </c>
      <c r="L9" s="310">
        <v>19434</v>
      </c>
      <c r="M9" s="310">
        <v>12454</v>
      </c>
      <c r="N9" s="8"/>
      <c r="O9" s="8"/>
      <c r="P9" s="8"/>
      <c r="Q9" s="8"/>
      <c r="R9" s="8"/>
      <c r="S9" s="8"/>
      <c r="T9" s="8"/>
    </row>
    <row r="10" spans="2:26" ht="15" customHeight="1">
      <c r="B10" s="292" t="s">
        <v>1193</v>
      </c>
      <c r="C10" s="292" t="s">
        <v>1194</v>
      </c>
      <c r="D10" s="310">
        <v>8225</v>
      </c>
      <c r="E10" s="310">
        <v>8221</v>
      </c>
      <c r="F10" s="310">
        <v>8025</v>
      </c>
      <c r="G10" s="310">
        <v>6772</v>
      </c>
      <c r="H10" s="310">
        <v>7913</v>
      </c>
      <c r="I10" s="310">
        <v>11479</v>
      </c>
      <c r="J10" s="310">
        <v>10952</v>
      </c>
      <c r="K10" s="310">
        <v>11177</v>
      </c>
      <c r="L10" s="310">
        <v>11463</v>
      </c>
      <c r="M10" s="310">
        <v>11874</v>
      </c>
      <c r="N10" s="8"/>
      <c r="O10" s="292" t="s">
        <v>162</v>
      </c>
      <c r="P10" s="8"/>
      <c r="Q10" s="8"/>
      <c r="R10" s="8"/>
      <c r="S10" s="8"/>
      <c r="T10" s="8"/>
    </row>
    <row r="11" spans="2:26" ht="15" customHeight="1">
      <c r="B11" s="292" t="s">
        <v>1195</v>
      </c>
      <c r="C11" s="292" t="s">
        <v>1196</v>
      </c>
      <c r="D11" s="310">
        <v>8225</v>
      </c>
      <c r="E11" s="310">
        <v>8221</v>
      </c>
      <c r="F11" s="310">
        <v>8025</v>
      </c>
      <c r="G11" s="310">
        <v>6772</v>
      </c>
      <c r="H11" s="310">
        <v>7913</v>
      </c>
      <c r="I11" s="310">
        <v>11479</v>
      </c>
      <c r="J11" s="310">
        <v>10952</v>
      </c>
      <c r="K11" s="310">
        <v>11177</v>
      </c>
      <c r="L11" s="310">
        <v>11463</v>
      </c>
      <c r="M11" s="310">
        <v>11874</v>
      </c>
      <c r="N11" s="8"/>
      <c r="O11" s="8"/>
      <c r="P11" s="8"/>
      <c r="Q11" s="8"/>
      <c r="R11" s="8"/>
      <c r="S11" s="8"/>
      <c r="T11" s="8"/>
    </row>
    <row r="12" spans="2:26" ht="15" customHeight="1">
      <c r="B12" s="292" t="s">
        <v>1197</v>
      </c>
      <c r="C12" s="292" t="s">
        <v>1198</v>
      </c>
      <c r="D12" s="310">
        <v>0</v>
      </c>
      <c r="E12" s="310">
        <v>0</v>
      </c>
      <c r="F12" s="310">
        <v>0</v>
      </c>
      <c r="G12" s="310">
        <v>0</v>
      </c>
      <c r="H12" s="310">
        <v>0</v>
      </c>
      <c r="I12" s="310">
        <v>0</v>
      </c>
      <c r="J12" s="310">
        <v>0</v>
      </c>
      <c r="K12" s="310">
        <v>0</v>
      </c>
      <c r="L12" s="310">
        <v>0</v>
      </c>
      <c r="M12" s="310">
        <v>0</v>
      </c>
      <c r="N12" s="8"/>
      <c r="O12" s="8"/>
      <c r="P12" s="8"/>
      <c r="Q12" s="8"/>
      <c r="R12" s="8"/>
      <c r="S12" s="8"/>
      <c r="T12" s="8"/>
    </row>
    <row r="13" spans="2:26" ht="15" customHeight="1">
      <c r="B13" s="292" t="s">
        <v>1199</v>
      </c>
      <c r="C13" s="292" t="s">
        <v>1200</v>
      </c>
      <c r="D13" s="310">
        <v>6783</v>
      </c>
      <c r="E13" s="310">
        <v>7579</v>
      </c>
      <c r="F13" s="310">
        <v>7509</v>
      </c>
      <c r="G13" s="310">
        <v>7068</v>
      </c>
      <c r="H13" s="310">
        <v>8019</v>
      </c>
      <c r="I13" s="310">
        <v>9059</v>
      </c>
      <c r="J13" s="310">
        <v>8981</v>
      </c>
      <c r="K13" s="310">
        <v>10190</v>
      </c>
      <c r="L13" s="310">
        <v>10851</v>
      </c>
      <c r="M13" s="310">
        <v>10654</v>
      </c>
      <c r="N13" s="8"/>
      <c r="O13" s="292" t="s">
        <v>163</v>
      </c>
      <c r="P13" s="8"/>
      <c r="Q13" s="8"/>
      <c r="R13" s="8"/>
      <c r="S13" s="8"/>
      <c r="T13" s="8"/>
    </row>
    <row r="14" spans="2:26" ht="15" customHeight="1">
      <c r="B14" s="292" t="s">
        <v>1201</v>
      </c>
      <c r="C14" s="292" t="s">
        <v>1202</v>
      </c>
      <c r="D14" s="310">
        <v>793</v>
      </c>
      <c r="E14" s="310">
        <v>788</v>
      </c>
      <c r="F14" s="310">
        <v>546</v>
      </c>
      <c r="G14" s="310">
        <v>672</v>
      </c>
      <c r="H14" s="310">
        <v>716</v>
      </c>
      <c r="I14" s="310">
        <v>994</v>
      </c>
      <c r="J14" s="310">
        <v>859</v>
      </c>
      <c r="K14" s="310">
        <v>1007</v>
      </c>
      <c r="L14" s="310">
        <v>976</v>
      </c>
      <c r="M14" s="310">
        <v>907</v>
      </c>
      <c r="N14" s="8"/>
      <c r="O14" s="8"/>
      <c r="P14" s="8"/>
      <c r="Q14" s="8"/>
      <c r="R14" s="8"/>
      <c r="S14" s="8"/>
      <c r="T14" s="8"/>
    </row>
    <row r="15" spans="2:26" ht="15" customHeight="1">
      <c r="B15" s="292" t="s">
        <v>1203</v>
      </c>
      <c r="C15" s="292" t="s">
        <v>1204</v>
      </c>
      <c r="D15" s="310">
        <v>3696</v>
      </c>
      <c r="E15" s="310">
        <v>3908</v>
      </c>
      <c r="F15" s="310">
        <v>4701</v>
      </c>
      <c r="G15" s="310">
        <v>4131</v>
      </c>
      <c r="H15" s="310">
        <v>4436</v>
      </c>
      <c r="I15" s="310">
        <v>4424</v>
      </c>
      <c r="J15" s="310">
        <v>5519</v>
      </c>
      <c r="K15" s="310">
        <v>5688</v>
      </c>
      <c r="L15" s="310">
        <v>6101</v>
      </c>
      <c r="M15" s="310">
        <v>5634</v>
      </c>
      <c r="N15" s="8"/>
      <c r="O15" s="8"/>
      <c r="P15" s="8"/>
      <c r="Q15" s="8"/>
      <c r="R15" s="8"/>
      <c r="S15" s="8"/>
      <c r="T15" s="8"/>
    </row>
    <row r="16" spans="2:26" ht="15" customHeight="1">
      <c r="B16" s="292" t="s">
        <v>1205</v>
      </c>
      <c r="C16" s="292" t="s">
        <v>1206</v>
      </c>
      <c r="D16" s="310">
        <v>2294</v>
      </c>
      <c r="E16" s="310">
        <v>2883</v>
      </c>
      <c r="F16" s="310">
        <v>2262</v>
      </c>
      <c r="G16" s="310">
        <v>2265</v>
      </c>
      <c r="H16" s="310">
        <v>2867</v>
      </c>
      <c r="I16" s="310">
        <v>3641</v>
      </c>
      <c r="J16" s="310">
        <v>2603</v>
      </c>
      <c r="K16" s="310">
        <v>3495</v>
      </c>
      <c r="L16" s="310">
        <v>3774</v>
      </c>
      <c r="M16" s="310">
        <v>4113</v>
      </c>
      <c r="N16" s="8"/>
      <c r="O16" s="8"/>
      <c r="P16" s="8"/>
      <c r="Q16" s="8"/>
      <c r="R16" s="8"/>
      <c r="S16" s="8"/>
      <c r="T16" s="8"/>
    </row>
    <row r="17" spans="2:20" ht="15" customHeight="1">
      <c r="B17" s="292" t="s">
        <v>1207</v>
      </c>
      <c r="C17" s="292" t="s">
        <v>1208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310">
        <v>0</v>
      </c>
      <c r="K17" s="310">
        <v>0</v>
      </c>
      <c r="L17" s="310">
        <v>0</v>
      </c>
      <c r="M17" s="310">
        <v>0</v>
      </c>
      <c r="N17" s="8"/>
      <c r="O17" s="8"/>
      <c r="P17" s="8"/>
      <c r="Q17" s="8"/>
      <c r="R17" s="8"/>
      <c r="S17" s="8"/>
      <c r="T17" s="8"/>
    </row>
    <row r="18" spans="2:20" ht="15" customHeight="1">
      <c r="B18" s="292" t="s">
        <v>1209</v>
      </c>
      <c r="C18" s="292" t="s">
        <v>1210</v>
      </c>
      <c r="D18" s="310">
        <v>6091</v>
      </c>
      <c r="E18" s="310">
        <v>5349</v>
      </c>
      <c r="F18" s="310">
        <v>15559</v>
      </c>
      <c r="G18" s="310">
        <v>9317</v>
      </c>
      <c r="H18" s="310">
        <v>6912</v>
      </c>
      <c r="I18" s="310">
        <v>8086</v>
      </c>
      <c r="J18" s="310">
        <v>8594</v>
      </c>
      <c r="K18" s="310">
        <v>9276</v>
      </c>
      <c r="L18" s="310">
        <v>7567</v>
      </c>
      <c r="M18" s="310">
        <v>6774</v>
      </c>
      <c r="N18" s="8"/>
      <c r="O18" s="292" t="s">
        <v>164</v>
      </c>
      <c r="P18" s="8"/>
      <c r="Q18" s="8"/>
      <c r="R18" s="327">
        <f>K18/'IS - GAAP'!K6</f>
        <v>0.15575779964402056</v>
      </c>
      <c r="S18" s="327">
        <f>L18/'IS - GAAP'!H14</f>
        <v>0.11892749933204458</v>
      </c>
      <c r="T18" s="327">
        <f>M18/'IS - GAAP'!M6</f>
        <v>0.10824717557007942</v>
      </c>
    </row>
    <row r="19" spans="2:20" ht="15" customHeight="1">
      <c r="B19" s="292" t="s">
        <v>1211</v>
      </c>
      <c r="C19" s="292" t="s">
        <v>1212</v>
      </c>
      <c r="D19" s="310">
        <v>566</v>
      </c>
      <c r="E19" s="310">
        <v>338</v>
      </c>
      <c r="F19" s="310">
        <v>574</v>
      </c>
      <c r="G19" s="310">
        <v>466</v>
      </c>
      <c r="H19" s="310">
        <v>252</v>
      </c>
      <c r="I19" s="310">
        <v>708</v>
      </c>
      <c r="J19" s="310">
        <v>714</v>
      </c>
      <c r="K19" s="310">
        <v>298</v>
      </c>
      <c r="L19" s="310">
        <v>1056</v>
      </c>
      <c r="M19" s="310">
        <v>416</v>
      </c>
      <c r="N19" s="8"/>
      <c r="O19" s="8"/>
      <c r="P19" s="8"/>
      <c r="Q19" s="8"/>
      <c r="R19" s="8"/>
      <c r="S19" s="8"/>
      <c r="T19" s="8"/>
    </row>
    <row r="20" spans="2:20" ht="15" customHeight="1">
      <c r="B20" s="292" t="s">
        <v>1213</v>
      </c>
      <c r="C20" s="292" t="s">
        <v>1214</v>
      </c>
      <c r="D20" s="310">
        <v>801</v>
      </c>
      <c r="E20" s="310">
        <v>12</v>
      </c>
      <c r="F20" s="310">
        <v>9725</v>
      </c>
      <c r="G20" s="310">
        <v>4224</v>
      </c>
      <c r="H20" s="447" t="s">
        <v>568</v>
      </c>
      <c r="I20" s="447" t="s">
        <v>568</v>
      </c>
      <c r="J20" s="447" t="s">
        <v>568</v>
      </c>
      <c r="K20" s="447" t="s">
        <v>568</v>
      </c>
      <c r="L20" s="447" t="s">
        <v>568</v>
      </c>
      <c r="M20" s="447" t="s">
        <v>568</v>
      </c>
      <c r="N20" s="8"/>
      <c r="O20" s="8"/>
      <c r="P20" s="8"/>
      <c r="Q20" s="8"/>
      <c r="R20" s="8"/>
      <c r="S20" s="8"/>
      <c r="T20" s="8"/>
    </row>
    <row r="21" spans="2:20" ht="15" customHeight="1">
      <c r="B21" s="292" t="s">
        <v>1215</v>
      </c>
      <c r="C21" s="292" t="s">
        <v>1216</v>
      </c>
      <c r="D21" s="310">
        <v>3041</v>
      </c>
      <c r="E21" s="310">
        <v>3050</v>
      </c>
      <c r="F21" s="310">
        <v>3374</v>
      </c>
      <c r="G21" s="310">
        <v>2736</v>
      </c>
      <c r="H21" s="310">
        <v>3264</v>
      </c>
      <c r="I21" s="310">
        <v>4266</v>
      </c>
      <c r="J21" s="310">
        <v>3577</v>
      </c>
      <c r="K21" s="310">
        <v>3978</v>
      </c>
      <c r="L21" s="310">
        <v>3314</v>
      </c>
      <c r="M21" s="310">
        <v>3967</v>
      </c>
      <c r="N21" s="8"/>
      <c r="O21" s="8"/>
      <c r="P21" s="8"/>
      <c r="Q21" s="8"/>
      <c r="R21" s="8"/>
      <c r="S21" s="8"/>
      <c r="T21" s="8"/>
    </row>
    <row r="22" spans="2:20" ht="15" customHeight="1">
      <c r="B22" s="292" t="s">
        <v>1217</v>
      </c>
      <c r="C22" s="292" t="s">
        <v>1218</v>
      </c>
      <c r="D22" s="310">
        <v>1683</v>
      </c>
      <c r="E22" s="310">
        <v>1949</v>
      </c>
      <c r="F22" s="310">
        <v>1886</v>
      </c>
      <c r="G22" s="310">
        <v>1891</v>
      </c>
      <c r="H22" s="310">
        <v>3396</v>
      </c>
      <c r="I22" s="310">
        <v>3112</v>
      </c>
      <c r="J22" s="310">
        <v>4303</v>
      </c>
      <c r="K22" s="310">
        <v>5000</v>
      </c>
      <c r="L22" s="310">
        <v>3197</v>
      </c>
      <c r="M22" s="310">
        <v>2391</v>
      </c>
      <c r="N22" s="8"/>
      <c r="O22" s="8"/>
      <c r="P22" s="8"/>
      <c r="Q22" s="8"/>
      <c r="R22" s="8"/>
      <c r="S22" s="8"/>
      <c r="T22" s="8"/>
    </row>
    <row r="23" spans="2:20" ht="15" customHeight="1">
      <c r="B23" s="295" t="s">
        <v>165</v>
      </c>
      <c r="C23" s="295" t="s">
        <v>1219</v>
      </c>
      <c r="D23" s="448">
        <v>38949</v>
      </c>
      <c r="E23" s="448">
        <v>41141</v>
      </c>
      <c r="F23" s="448">
        <v>49926</v>
      </c>
      <c r="G23" s="448">
        <v>32803</v>
      </c>
      <c r="H23" s="448">
        <v>35067</v>
      </c>
      <c r="I23" s="448">
        <v>59693</v>
      </c>
      <c r="J23" s="448">
        <v>51259</v>
      </c>
      <c r="K23" s="448">
        <v>43333</v>
      </c>
      <c r="L23" s="448">
        <v>50358</v>
      </c>
      <c r="M23" s="448">
        <v>42898</v>
      </c>
      <c r="N23" s="15"/>
      <c r="O23" s="15"/>
      <c r="P23" s="15"/>
      <c r="Q23" s="15"/>
      <c r="R23" s="15"/>
      <c r="S23" s="15"/>
      <c r="T23" s="15"/>
    </row>
    <row r="24" spans="2:20" ht="15" customHeight="1">
      <c r="B24" s="292" t="s">
        <v>1220</v>
      </c>
      <c r="C24" s="292" t="s">
        <v>1221</v>
      </c>
      <c r="D24" s="310">
        <v>13318</v>
      </c>
      <c r="E24" s="310">
        <v>13865</v>
      </c>
      <c r="F24" s="310">
        <v>13385</v>
      </c>
      <c r="G24" s="310">
        <v>14257</v>
      </c>
      <c r="H24" s="310">
        <v>15131</v>
      </c>
      <c r="I24" s="310">
        <v>17721</v>
      </c>
      <c r="J24" s="310">
        <v>19275</v>
      </c>
      <c r="K24" s="310">
        <v>21865</v>
      </c>
      <c r="L24" s="310">
        <v>20682</v>
      </c>
      <c r="M24" s="310">
        <v>21531</v>
      </c>
      <c r="N24" s="8"/>
      <c r="O24" s="292" t="s">
        <v>397</v>
      </c>
      <c r="P24" s="8"/>
      <c r="Q24" s="8"/>
      <c r="R24" s="8"/>
      <c r="S24" s="8"/>
      <c r="T24" s="8"/>
    </row>
    <row r="25" spans="2:20" ht="15" customHeight="1">
      <c r="B25" s="292" t="s">
        <v>1222</v>
      </c>
      <c r="C25" s="292" t="s">
        <v>1223</v>
      </c>
      <c r="D25" s="310">
        <v>28125</v>
      </c>
      <c r="E25" s="310">
        <v>30037</v>
      </c>
      <c r="F25" s="310">
        <v>29976</v>
      </c>
      <c r="G25" s="310">
        <v>29247</v>
      </c>
      <c r="H25" s="310">
        <v>29792</v>
      </c>
      <c r="I25" s="310">
        <v>32795</v>
      </c>
      <c r="J25" s="310">
        <v>34449</v>
      </c>
      <c r="K25" s="310">
        <v>37910</v>
      </c>
      <c r="L25" s="310">
        <v>37165</v>
      </c>
      <c r="M25" s="310">
        <v>38917</v>
      </c>
      <c r="N25" s="8"/>
      <c r="O25" s="8"/>
      <c r="P25" s="8"/>
      <c r="Q25" s="8"/>
      <c r="R25" s="8"/>
      <c r="S25" s="8"/>
      <c r="T25" s="8"/>
    </row>
    <row r="26" spans="2:20" ht="15" customHeight="1">
      <c r="B26" s="292" t="s">
        <v>1224</v>
      </c>
      <c r="C26" s="292" t="s">
        <v>1225</v>
      </c>
      <c r="D26" s="310">
        <v>14807</v>
      </c>
      <c r="E26" s="310">
        <v>16172</v>
      </c>
      <c r="F26" s="310">
        <v>16591</v>
      </c>
      <c r="G26" s="310">
        <v>14990</v>
      </c>
      <c r="H26" s="310">
        <v>14661</v>
      </c>
      <c r="I26" s="310">
        <v>15074</v>
      </c>
      <c r="J26" s="310">
        <v>15174</v>
      </c>
      <c r="K26" s="310">
        <v>16045</v>
      </c>
      <c r="L26" s="310">
        <v>16483</v>
      </c>
      <c r="M26" s="310">
        <v>17386</v>
      </c>
      <c r="N26" s="8"/>
      <c r="O26" s="8"/>
      <c r="P26" s="8"/>
      <c r="Q26" s="8"/>
      <c r="R26" s="8"/>
      <c r="S26" s="8"/>
      <c r="T26" s="8"/>
    </row>
    <row r="27" spans="2:20" ht="15" customHeight="1">
      <c r="B27" s="292" t="s">
        <v>1226</v>
      </c>
      <c r="C27" s="292" t="s">
        <v>1227</v>
      </c>
      <c r="D27" s="310">
        <v>7116</v>
      </c>
      <c r="E27" s="310">
        <v>7015</v>
      </c>
      <c r="F27" s="310">
        <v>2767</v>
      </c>
      <c r="G27" s="310">
        <v>20147</v>
      </c>
      <c r="H27" s="310">
        <v>20262</v>
      </c>
      <c r="I27" s="310">
        <v>21526</v>
      </c>
      <c r="J27" s="310">
        <v>15069</v>
      </c>
      <c r="K27" s="310">
        <v>15368</v>
      </c>
      <c r="L27" s="310">
        <v>2227</v>
      </c>
      <c r="M27" s="310">
        <v>1621</v>
      </c>
      <c r="N27" s="8"/>
      <c r="O27" s="292" t="s">
        <v>398</v>
      </c>
      <c r="P27" s="8"/>
      <c r="Q27" s="8"/>
      <c r="R27" s="8"/>
      <c r="S27" s="8"/>
      <c r="T27" s="8"/>
    </row>
    <row r="28" spans="2:20" ht="15" customHeight="1">
      <c r="B28" s="292" t="s">
        <v>1228</v>
      </c>
      <c r="C28" s="292" t="s">
        <v>1229</v>
      </c>
      <c r="D28" s="310">
        <v>7116</v>
      </c>
      <c r="E28" s="310">
        <v>7015</v>
      </c>
      <c r="F28" s="310">
        <v>2767</v>
      </c>
      <c r="G28" s="310">
        <v>20147</v>
      </c>
      <c r="H28" s="310">
        <v>20262</v>
      </c>
      <c r="I28" s="310">
        <v>21526</v>
      </c>
      <c r="J28" s="310">
        <v>15069</v>
      </c>
      <c r="K28" s="310">
        <v>15368</v>
      </c>
      <c r="L28" s="310">
        <v>2227</v>
      </c>
      <c r="M28" s="310">
        <v>1621</v>
      </c>
      <c r="N28" s="8"/>
      <c r="O28" s="8"/>
      <c r="P28" s="8"/>
      <c r="Q28" s="8"/>
      <c r="R28" s="8"/>
      <c r="S28" s="8"/>
      <c r="T28" s="8"/>
    </row>
    <row r="29" spans="2:20" ht="15" customHeight="1">
      <c r="B29" s="292" t="s">
        <v>1230</v>
      </c>
      <c r="C29" s="292" t="s">
        <v>1231</v>
      </c>
      <c r="D29" s="310">
        <v>112232</v>
      </c>
      <c r="E29" s="310">
        <v>109776</v>
      </c>
      <c r="F29" s="310">
        <v>93344</v>
      </c>
      <c r="G29" s="310">
        <v>100387</v>
      </c>
      <c r="H29" s="310">
        <v>83769</v>
      </c>
      <c r="I29" s="310">
        <v>82536</v>
      </c>
      <c r="J29" s="310">
        <v>111602</v>
      </c>
      <c r="K29" s="310">
        <v>145935</v>
      </c>
      <c r="L29" s="310">
        <v>140129</v>
      </c>
      <c r="M29" s="310">
        <v>142110</v>
      </c>
      <c r="N29" s="8"/>
      <c r="O29" s="292" t="s">
        <v>399</v>
      </c>
      <c r="P29" s="8"/>
      <c r="Q29" s="8"/>
      <c r="R29" s="8"/>
      <c r="S29" s="8"/>
      <c r="T29" s="8"/>
    </row>
    <row r="30" spans="2:20" ht="15" customHeight="1">
      <c r="B30" s="292" t="s">
        <v>1232</v>
      </c>
      <c r="C30" s="292" t="s">
        <v>1233</v>
      </c>
      <c r="D30" s="310">
        <v>107097</v>
      </c>
      <c r="E30" s="310">
        <v>104692</v>
      </c>
      <c r="F30" s="310">
        <v>88622</v>
      </c>
      <c r="G30" s="310">
        <v>82138</v>
      </c>
      <c r="H30" s="310">
        <v>77893</v>
      </c>
      <c r="I30" s="310">
        <v>74354</v>
      </c>
      <c r="J30" s="310">
        <v>94746</v>
      </c>
      <c r="K30" s="310">
        <v>132681</v>
      </c>
      <c r="L30" s="310">
        <v>123938</v>
      </c>
      <c r="M30" s="310">
        <v>124994</v>
      </c>
      <c r="N30" s="8"/>
      <c r="O30" s="8"/>
      <c r="P30" s="8"/>
      <c r="Q30" s="8"/>
      <c r="R30" s="8"/>
      <c r="S30" s="8"/>
      <c r="T30" s="8"/>
    </row>
    <row r="31" spans="2:20" ht="15" customHeight="1">
      <c r="B31" s="292" t="s">
        <v>1234</v>
      </c>
      <c r="C31" s="292" t="s">
        <v>1235</v>
      </c>
      <c r="D31" s="310">
        <v>54449</v>
      </c>
      <c r="E31" s="310">
        <v>55952</v>
      </c>
      <c r="F31" s="310">
        <v>53411</v>
      </c>
      <c r="G31" s="310">
        <v>48202</v>
      </c>
      <c r="H31" s="310">
        <v>49556</v>
      </c>
      <c r="I31" s="310">
        <v>49208</v>
      </c>
      <c r="J31" s="310">
        <v>51375</v>
      </c>
      <c r="K31" s="310">
        <v>67783</v>
      </c>
      <c r="L31" s="310">
        <v>68527</v>
      </c>
      <c r="M31" s="310">
        <v>71264</v>
      </c>
      <c r="N31" s="8"/>
      <c r="O31" s="8"/>
      <c r="P31" s="8"/>
      <c r="Q31" s="8"/>
      <c r="R31" s="8"/>
      <c r="S31" s="8"/>
      <c r="T31" s="8"/>
    </row>
    <row r="32" spans="2:20" ht="15" customHeight="1">
      <c r="B32" s="292" t="s">
        <v>1236</v>
      </c>
      <c r="C32" s="292" t="s">
        <v>1237</v>
      </c>
      <c r="D32" s="310">
        <v>52648</v>
      </c>
      <c r="E32" s="310">
        <v>48740</v>
      </c>
      <c r="F32" s="310">
        <v>35211</v>
      </c>
      <c r="G32" s="310">
        <v>33936</v>
      </c>
      <c r="H32" s="310">
        <v>28337</v>
      </c>
      <c r="I32" s="310">
        <v>25146</v>
      </c>
      <c r="J32" s="310">
        <v>43371</v>
      </c>
      <c r="K32" s="310">
        <v>64898</v>
      </c>
      <c r="L32" s="310">
        <v>55411</v>
      </c>
      <c r="M32" s="310">
        <v>53730</v>
      </c>
      <c r="N32" s="8"/>
      <c r="O32" s="8"/>
      <c r="P32" s="8"/>
      <c r="Q32" s="8"/>
      <c r="R32" s="8"/>
      <c r="S32" s="8"/>
      <c r="T32" s="8"/>
    </row>
    <row r="33" spans="2:20" ht="15" customHeight="1">
      <c r="B33" s="292" t="s">
        <v>1215</v>
      </c>
      <c r="C33" s="292" t="s">
        <v>1238</v>
      </c>
      <c r="D33" s="310">
        <v>1812</v>
      </c>
      <c r="E33" s="310">
        <v>1855</v>
      </c>
      <c r="F33" s="310">
        <v>1924</v>
      </c>
      <c r="G33" s="310">
        <v>1911</v>
      </c>
      <c r="H33" s="310">
        <v>2383</v>
      </c>
      <c r="I33" s="310">
        <v>3341</v>
      </c>
      <c r="J33" s="310">
        <v>6693</v>
      </c>
      <c r="K33" s="310">
        <v>3706</v>
      </c>
      <c r="L33" s="310">
        <v>8662</v>
      </c>
      <c r="M33" s="310">
        <v>9699</v>
      </c>
      <c r="N33" s="8"/>
      <c r="O33" s="8"/>
      <c r="P33" s="8"/>
      <c r="Q33" s="8"/>
      <c r="R33" s="8"/>
      <c r="S33" s="8"/>
      <c r="T33" s="8"/>
    </row>
    <row r="34" spans="2:20" ht="15" customHeight="1">
      <c r="B34" s="292" t="s">
        <v>1211</v>
      </c>
      <c r="C34" s="292" t="s">
        <v>1239</v>
      </c>
      <c r="D34" s="310">
        <v>689</v>
      </c>
      <c r="E34" s="310">
        <v>484</v>
      </c>
      <c r="F34" s="310">
        <v>567</v>
      </c>
      <c r="G34" s="310">
        <v>527</v>
      </c>
      <c r="H34" s="310">
        <v>122</v>
      </c>
      <c r="I34" s="310">
        <v>258</v>
      </c>
      <c r="J34" s="310">
        <v>364</v>
      </c>
      <c r="K34" s="310">
        <v>402</v>
      </c>
      <c r="L34" s="310">
        <v>460</v>
      </c>
      <c r="M34" s="310">
        <v>116</v>
      </c>
      <c r="N34" s="8"/>
      <c r="O34" s="8"/>
      <c r="P34" s="8"/>
      <c r="Q34" s="8"/>
      <c r="R34" s="8"/>
      <c r="S34" s="8"/>
      <c r="T34" s="8"/>
    </row>
    <row r="35" spans="2:20" ht="15" customHeight="1">
      <c r="B35" s="292" t="s">
        <v>1240</v>
      </c>
      <c r="C35" s="292" t="s">
        <v>1241</v>
      </c>
      <c r="D35" s="310">
        <v>300</v>
      </c>
      <c r="E35" s="310">
        <v>454</v>
      </c>
      <c r="F35" s="310">
        <v>401</v>
      </c>
      <c r="G35" s="310">
        <v>453</v>
      </c>
      <c r="H35" s="310">
        <v>522</v>
      </c>
      <c r="I35" s="310">
        <v>1927</v>
      </c>
      <c r="J35" s="310">
        <v>1451</v>
      </c>
      <c r="K35" s="310">
        <v>1920</v>
      </c>
      <c r="L35" s="310">
        <v>1992</v>
      </c>
      <c r="M35" s="310">
        <v>2444</v>
      </c>
      <c r="N35" s="8"/>
      <c r="O35" s="8"/>
      <c r="P35" s="8"/>
      <c r="Q35" s="8"/>
      <c r="R35" s="8"/>
      <c r="S35" s="8"/>
      <c r="T35" s="8"/>
    </row>
    <row r="36" spans="2:20" ht="15" customHeight="1">
      <c r="B36" s="292" t="s">
        <v>1242</v>
      </c>
      <c r="C36" s="292" t="s">
        <v>1243</v>
      </c>
      <c r="D36" s="310">
        <v>2334</v>
      </c>
      <c r="E36" s="310">
        <v>2291</v>
      </c>
      <c r="F36" s="310">
        <v>1830</v>
      </c>
      <c r="G36" s="310">
        <v>15358</v>
      </c>
      <c r="H36" s="310">
        <v>2849</v>
      </c>
      <c r="I36" s="310">
        <v>2656</v>
      </c>
      <c r="J36" s="310">
        <v>8348</v>
      </c>
      <c r="K36" s="310">
        <v>7226</v>
      </c>
      <c r="L36" s="310">
        <v>5077</v>
      </c>
      <c r="M36" s="310">
        <v>4857</v>
      </c>
      <c r="N36" s="8"/>
      <c r="O36" s="8"/>
      <c r="P36" s="8"/>
      <c r="Q36" s="8"/>
      <c r="R36" s="8"/>
      <c r="S36" s="8"/>
      <c r="T36" s="8"/>
    </row>
    <row r="37" spans="2:20" ht="15" customHeight="1">
      <c r="B37" s="295" t="s">
        <v>1244</v>
      </c>
      <c r="C37" s="295" t="s">
        <v>1245</v>
      </c>
      <c r="D37" s="448">
        <v>132666</v>
      </c>
      <c r="E37" s="448">
        <v>130656</v>
      </c>
      <c r="F37" s="448">
        <v>109496</v>
      </c>
      <c r="G37" s="448">
        <v>134791</v>
      </c>
      <c r="H37" s="448">
        <v>119162</v>
      </c>
      <c r="I37" s="448">
        <v>121783</v>
      </c>
      <c r="J37" s="448">
        <v>145946</v>
      </c>
      <c r="K37" s="448">
        <v>183168</v>
      </c>
      <c r="L37" s="448">
        <v>163038</v>
      </c>
      <c r="M37" s="448">
        <v>165262</v>
      </c>
      <c r="N37" s="15"/>
      <c r="O37" s="15"/>
      <c r="P37" s="15"/>
      <c r="Q37" s="15"/>
      <c r="R37" s="15"/>
      <c r="S37" s="15"/>
      <c r="T37" s="15"/>
    </row>
    <row r="38" spans="2:20" ht="15" customHeight="1">
      <c r="B38" s="295" t="s">
        <v>401</v>
      </c>
      <c r="C38" s="295" t="s">
        <v>1246</v>
      </c>
      <c r="D38" s="448">
        <v>171615</v>
      </c>
      <c r="E38" s="448">
        <v>171797</v>
      </c>
      <c r="F38" s="448">
        <v>159422</v>
      </c>
      <c r="G38" s="448">
        <v>167594</v>
      </c>
      <c r="H38" s="448">
        <v>154229</v>
      </c>
      <c r="I38" s="448">
        <v>181476</v>
      </c>
      <c r="J38" s="448">
        <v>197205</v>
      </c>
      <c r="K38" s="448">
        <v>226501</v>
      </c>
      <c r="L38" s="448">
        <v>213396</v>
      </c>
      <c r="M38" s="448">
        <v>208160</v>
      </c>
      <c r="N38" s="15"/>
      <c r="O38" s="15"/>
      <c r="P38" s="15"/>
      <c r="Q38" s="15"/>
      <c r="R38" s="15"/>
      <c r="S38" s="15"/>
      <c r="T38" s="15"/>
    </row>
    <row r="39" spans="2:20" ht="9.7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2:20" ht="20.25" customHeight="1">
      <c r="B40" s="306" t="s">
        <v>1247</v>
      </c>
      <c r="C40" s="179"/>
      <c r="D40" s="179"/>
      <c r="E40" s="179"/>
      <c r="F40" s="179"/>
      <c r="G40" s="179"/>
      <c r="H40" s="179"/>
      <c r="I40" s="179"/>
      <c r="J40" s="179"/>
      <c r="K40" s="180"/>
      <c r="L40" s="180"/>
      <c r="M40" s="180"/>
      <c r="N40" s="162"/>
      <c r="O40" s="162"/>
      <c r="P40" s="162"/>
      <c r="Q40" s="162"/>
      <c r="R40" s="162"/>
      <c r="S40" s="162"/>
      <c r="T40" s="162"/>
    </row>
    <row r="41" spans="2:20" ht="15" customHeight="1">
      <c r="B41" s="292" t="s">
        <v>1248</v>
      </c>
      <c r="C41" s="292" t="s">
        <v>1249</v>
      </c>
      <c r="D41" s="310">
        <v>9404</v>
      </c>
      <c r="E41" s="310">
        <v>9358</v>
      </c>
      <c r="F41" s="310">
        <v>10383</v>
      </c>
      <c r="G41" s="310">
        <v>9361</v>
      </c>
      <c r="H41" s="310">
        <v>10543</v>
      </c>
      <c r="I41" s="310">
        <v>12425</v>
      </c>
      <c r="J41" s="310">
        <v>14106</v>
      </c>
      <c r="K41" s="310">
        <v>14207</v>
      </c>
      <c r="L41" s="310">
        <v>14818</v>
      </c>
      <c r="M41" s="310">
        <v>14398</v>
      </c>
      <c r="N41" s="8"/>
      <c r="O41" s="8"/>
      <c r="P41" s="8"/>
      <c r="Q41" s="8"/>
      <c r="R41" s="8"/>
      <c r="S41" s="8"/>
      <c r="T41" s="8"/>
    </row>
    <row r="42" spans="2:20" ht="15" customHeight="1">
      <c r="B42" s="292" t="s">
        <v>1250</v>
      </c>
      <c r="C42" s="292" t="s">
        <v>1251</v>
      </c>
      <c r="D42" s="310">
        <v>4536</v>
      </c>
      <c r="E42" s="310">
        <v>4656</v>
      </c>
      <c r="F42" s="310">
        <v>4674</v>
      </c>
      <c r="G42" s="310">
        <v>3887</v>
      </c>
      <c r="H42" s="310">
        <v>4283</v>
      </c>
      <c r="I42" s="310">
        <v>5578</v>
      </c>
      <c r="J42" s="310">
        <v>6809</v>
      </c>
      <c r="K42" s="310">
        <v>6710</v>
      </c>
      <c r="L42" s="310">
        <v>5633</v>
      </c>
      <c r="M42" s="310">
        <v>5240</v>
      </c>
      <c r="N42" s="8"/>
      <c r="O42" s="292" t="s">
        <v>166</v>
      </c>
      <c r="P42" s="8"/>
      <c r="Q42" s="8"/>
      <c r="R42" s="8"/>
      <c r="S42" s="8"/>
      <c r="T42" s="8"/>
    </row>
    <row r="43" spans="2:20" ht="15" customHeight="1">
      <c r="B43" s="292" t="s">
        <v>1252</v>
      </c>
      <c r="C43" s="292" t="s">
        <v>1253</v>
      </c>
      <c r="D43" s="310">
        <v>437</v>
      </c>
      <c r="E43" s="310">
        <v>477</v>
      </c>
      <c r="F43" s="310">
        <v>1265</v>
      </c>
      <c r="G43" s="310">
        <v>980</v>
      </c>
      <c r="H43" s="310">
        <v>1049</v>
      </c>
      <c r="I43" s="310">
        <v>1266</v>
      </c>
      <c r="J43" s="310">
        <v>1587</v>
      </c>
      <c r="K43" s="310">
        <v>2349</v>
      </c>
      <c r="L43" s="310">
        <v>2910</v>
      </c>
      <c r="M43" s="310">
        <v>3103</v>
      </c>
      <c r="N43" s="8"/>
      <c r="O43" s="292" t="s">
        <v>167</v>
      </c>
      <c r="P43" s="8"/>
      <c r="Q43" s="8"/>
      <c r="R43" s="8"/>
      <c r="S43" s="8"/>
      <c r="T43" s="8"/>
    </row>
    <row r="44" spans="2:20" ht="15" customHeight="1">
      <c r="B44" s="292" t="s">
        <v>1254</v>
      </c>
      <c r="C44" s="292" t="s">
        <v>1255</v>
      </c>
      <c r="D44" s="310">
        <v>1944</v>
      </c>
      <c r="E44" s="310">
        <v>2029</v>
      </c>
      <c r="F44" s="310">
        <v>2047</v>
      </c>
      <c r="G44" s="310">
        <v>2104</v>
      </c>
      <c r="H44" s="310">
        <v>2162</v>
      </c>
      <c r="I44" s="310">
        <v>2249</v>
      </c>
      <c r="J44" s="310">
        <v>2303</v>
      </c>
      <c r="K44" s="310">
        <v>2372</v>
      </c>
      <c r="L44" s="310">
        <v>2437</v>
      </c>
      <c r="M44" s="310">
        <v>2445</v>
      </c>
      <c r="N44" s="8"/>
      <c r="O44" s="292" t="s">
        <v>167</v>
      </c>
      <c r="P44" s="8"/>
      <c r="Q44" s="8"/>
      <c r="R44" s="8"/>
      <c r="S44" s="8"/>
      <c r="T44" s="8"/>
    </row>
    <row r="45" spans="2:20" ht="15" customHeight="1">
      <c r="B45" s="292" t="s">
        <v>1256</v>
      </c>
      <c r="C45" s="292" t="s">
        <v>1257</v>
      </c>
      <c r="D45" s="310">
        <v>2487</v>
      </c>
      <c r="E45" s="310">
        <v>2196</v>
      </c>
      <c r="F45" s="310">
        <v>2397</v>
      </c>
      <c r="G45" s="310">
        <v>2390</v>
      </c>
      <c r="H45" s="310">
        <v>3049</v>
      </c>
      <c r="I45" s="310">
        <v>3332</v>
      </c>
      <c r="J45" s="310">
        <v>3407</v>
      </c>
      <c r="K45" s="310">
        <v>2776</v>
      </c>
      <c r="L45" s="310">
        <v>3838</v>
      </c>
      <c r="M45" s="310">
        <v>3610</v>
      </c>
      <c r="N45" s="8"/>
      <c r="O45" s="292" t="s">
        <v>167</v>
      </c>
      <c r="P45" s="8"/>
      <c r="Q45" s="8"/>
      <c r="R45" s="8"/>
      <c r="S45" s="8"/>
      <c r="T45" s="8"/>
    </row>
    <row r="46" spans="2:20" ht="15" customHeight="1">
      <c r="B46" s="292" t="s">
        <v>1258</v>
      </c>
      <c r="C46" s="292" t="s">
        <v>515</v>
      </c>
      <c r="D46" s="310">
        <v>10688</v>
      </c>
      <c r="E46" s="310">
        <v>9953</v>
      </c>
      <c r="F46" s="310">
        <v>8831</v>
      </c>
      <c r="G46" s="310">
        <v>16464</v>
      </c>
      <c r="H46" s="310">
        <v>3023</v>
      </c>
      <c r="I46" s="310">
        <v>2690</v>
      </c>
      <c r="J46" s="310">
        <v>3565</v>
      </c>
      <c r="K46" s="310">
        <v>10877</v>
      </c>
      <c r="L46" s="310">
        <v>7302</v>
      </c>
      <c r="M46" s="310">
        <v>3484</v>
      </c>
      <c r="N46" s="8"/>
      <c r="O46" s="292" t="s">
        <v>403</v>
      </c>
      <c r="P46" s="8"/>
      <c r="Q46" s="8"/>
      <c r="R46" s="8"/>
      <c r="S46" s="8"/>
      <c r="T46" s="8"/>
    </row>
    <row r="47" spans="2:20" ht="15" customHeight="1">
      <c r="B47" s="292" t="s">
        <v>1259</v>
      </c>
      <c r="C47" s="292" t="s">
        <v>1260</v>
      </c>
      <c r="D47" s="310">
        <v>6463</v>
      </c>
      <c r="E47" s="310">
        <v>0</v>
      </c>
      <c r="F47" s="310">
        <v>0</v>
      </c>
      <c r="G47" s="310">
        <v>0</v>
      </c>
      <c r="H47" s="310">
        <v>0</v>
      </c>
      <c r="I47" s="310">
        <v>0</v>
      </c>
      <c r="J47" s="310">
        <v>0</v>
      </c>
      <c r="K47" s="310">
        <v>0</v>
      </c>
      <c r="L47" s="310">
        <v>0</v>
      </c>
      <c r="M47" s="310">
        <v>0</v>
      </c>
      <c r="N47" s="8"/>
      <c r="O47" s="8"/>
      <c r="P47" s="8"/>
      <c r="Q47" s="8"/>
      <c r="R47" s="8"/>
      <c r="S47" s="8"/>
      <c r="T47" s="8"/>
    </row>
    <row r="48" spans="2:20" ht="15" customHeight="1">
      <c r="B48" s="292" t="s">
        <v>1261</v>
      </c>
      <c r="C48" s="292" t="s">
        <v>1262</v>
      </c>
      <c r="D48" s="310">
        <v>0</v>
      </c>
      <c r="E48" s="310">
        <v>0</v>
      </c>
      <c r="F48" s="310">
        <v>0</v>
      </c>
      <c r="G48" s="310">
        <v>269</v>
      </c>
      <c r="H48" s="310">
        <v>320</v>
      </c>
      <c r="I48" s="310">
        <v>449</v>
      </c>
      <c r="J48" s="310">
        <v>620</v>
      </c>
      <c r="K48" s="310">
        <v>527</v>
      </c>
      <c r="L48" s="310">
        <v>356</v>
      </c>
      <c r="M48" s="310">
        <v>330</v>
      </c>
      <c r="N48" s="8"/>
      <c r="O48" s="8"/>
      <c r="P48" s="8"/>
      <c r="Q48" s="8"/>
      <c r="R48" s="8"/>
      <c r="S48" s="8"/>
      <c r="T48" s="8"/>
    </row>
    <row r="49" spans="2:20" ht="15" customHeight="1">
      <c r="B49" s="292" t="s">
        <v>1263</v>
      </c>
      <c r="C49" s="292" t="s">
        <v>1264</v>
      </c>
      <c r="D49" s="310">
        <v>0</v>
      </c>
      <c r="E49" s="310">
        <v>0</v>
      </c>
      <c r="F49" s="310">
        <v>0</v>
      </c>
      <c r="G49" s="447" t="s">
        <v>568</v>
      </c>
      <c r="H49" s="310">
        <v>0</v>
      </c>
      <c r="I49" s="447" t="s">
        <v>568</v>
      </c>
      <c r="J49" s="447" t="s">
        <v>568</v>
      </c>
      <c r="K49" s="447" t="s">
        <v>568</v>
      </c>
      <c r="L49" s="447" t="s">
        <v>568</v>
      </c>
      <c r="M49" s="447" t="s">
        <v>568</v>
      </c>
      <c r="N49" s="8"/>
      <c r="O49" s="8"/>
      <c r="P49" s="8"/>
      <c r="Q49" s="8"/>
      <c r="R49" s="8"/>
      <c r="S49" s="8"/>
      <c r="T49" s="8"/>
    </row>
    <row r="50" spans="2:20" ht="15" customHeight="1">
      <c r="B50" s="292" t="s">
        <v>1265</v>
      </c>
      <c r="C50" s="292" t="s">
        <v>1266</v>
      </c>
      <c r="D50" s="447" t="s">
        <v>568</v>
      </c>
      <c r="E50" s="447" t="s">
        <v>568</v>
      </c>
      <c r="F50" s="447" t="s">
        <v>568</v>
      </c>
      <c r="G50" s="310">
        <v>269</v>
      </c>
      <c r="H50" s="310">
        <v>320</v>
      </c>
      <c r="I50" s="310">
        <v>449</v>
      </c>
      <c r="J50" s="310">
        <v>620</v>
      </c>
      <c r="K50" s="310">
        <v>527</v>
      </c>
      <c r="L50" s="310">
        <v>356</v>
      </c>
      <c r="M50" s="310">
        <v>330</v>
      </c>
      <c r="N50" s="8"/>
      <c r="O50" s="8"/>
      <c r="P50" s="8"/>
      <c r="Q50" s="8"/>
      <c r="R50" s="8"/>
      <c r="S50" s="8"/>
      <c r="T50" s="8"/>
    </row>
    <row r="51" spans="2:20" ht="15" customHeight="1">
      <c r="B51" s="292" t="s">
        <v>1267</v>
      </c>
      <c r="C51" s="292" t="s">
        <v>1268</v>
      </c>
      <c r="D51" s="310">
        <v>4225</v>
      </c>
      <c r="E51" s="310">
        <v>9953</v>
      </c>
      <c r="F51" s="310">
        <v>8831</v>
      </c>
      <c r="G51" s="310">
        <v>16195</v>
      </c>
      <c r="H51" s="310">
        <v>2703</v>
      </c>
      <c r="I51" s="310">
        <v>2241</v>
      </c>
      <c r="J51" s="310">
        <v>2945</v>
      </c>
      <c r="K51" s="310">
        <v>10350</v>
      </c>
      <c r="L51" s="310">
        <v>6946</v>
      </c>
      <c r="M51" s="310">
        <v>3154</v>
      </c>
      <c r="N51" s="8"/>
      <c r="O51" s="8"/>
      <c r="P51" s="8"/>
      <c r="Q51" s="8"/>
      <c r="R51" s="8"/>
      <c r="S51" s="8"/>
      <c r="T51" s="8"/>
    </row>
    <row r="52" spans="2:20" ht="15" customHeight="1">
      <c r="B52" s="292" t="s">
        <v>1269</v>
      </c>
      <c r="C52" s="292" t="s">
        <v>1270</v>
      </c>
      <c r="D52" s="310">
        <v>11023</v>
      </c>
      <c r="E52" s="310">
        <v>11116</v>
      </c>
      <c r="F52" s="310">
        <v>12644</v>
      </c>
      <c r="G52" s="310">
        <v>11479</v>
      </c>
      <c r="H52" s="310">
        <v>12354</v>
      </c>
      <c r="I52" s="310">
        <v>27557</v>
      </c>
      <c r="J52" s="310">
        <v>24467</v>
      </c>
      <c r="K52" s="310">
        <v>22710</v>
      </c>
      <c r="L52" s="310">
        <v>20875</v>
      </c>
      <c r="M52" s="310">
        <v>19102</v>
      </c>
      <c r="N52" s="8"/>
      <c r="O52" s="292" t="s">
        <v>168</v>
      </c>
      <c r="P52" s="8"/>
      <c r="Q52" s="8"/>
      <c r="R52" s="8"/>
      <c r="S52" s="8"/>
      <c r="T52" s="8"/>
    </row>
    <row r="53" spans="2:20" ht="15" customHeight="1">
      <c r="B53" s="292" t="s">
        <v>1271</v>
      </c>
      <c r="C53" s="292" t="s">
        <v>1272</v>
      </c>
      <c r="D53" s="310">
        <v>0</v>
      </c>
      <c r="E53" s="310">
        <v>0</v>
      </c>
      <c r="F53" s="310">
        <v>0</v>
      </c>
      <c r="G53" s="310">
        <v>0</v>
      </c>
      <c r="H53" s="310">
        <v>1113</v>
      </c>
      <c r="I53" s="310">
        <v>3067</v>
      </c>
      <c r="J53" s="310">
        <v>2520</v>
      </c>
      <c r="K53" s="310">
        <v>2700</v>
      </c>
      <c r="L53" s="310">
        <v>1511</v>
      </c>
      <c r="M53" s="310">
        <v>784</v>
      </c>
      <c r="N53" s="8"/>
      <c r="O53" s="8"/>
      <c r="P53" s="8"/>
      <c r="Q53" s="8"/>
      <c r="R53" s="8"/>
      <c r="S53" s="8"/>
      <c r="T53" s="8"/>
    </row>
    <row r="54" spans="2:20" ht="15" customHeight="1">
      <c r="B54" s="292" t="s">
        <v>1273</v>
      </c>
      <c r="C54" s="292" t="s">
        <v>1274</v>
      </c>
      <c r="D54" s="310">
        <v>1247</v>
      </c>
      <c r="E54" s="310">
        <v>202</v>
      </c>
      <c r="F54" s="310">
        <v>83</v>
      </c>
      <c r="G54" s="310">
        <v>114</v>
      </c>
      <c r="H54" s="310">
        <v>501</v>
      </c>
      <c r="I54" s="310">
        <v>476</v>
      </c>
      <c r="J54" s="310">
        <v>704</v>
      </c>
      <c r="K54" s="310">
        <v>420</v>
      </c>
      <c r="L54" s="310">
        <v>245</v>
      </c>
      <c r="M54" s="310">
        <v>523</v>
      </c>
      <c r="N54" s="8"/>
      <c r="O54" s="8"/>
      <c r="P54" s="8"/>
      <c r="Q54" s="8"/>
      <c r="R54" s="8"/>
      <c r="S54" s="8"/>
      <c r="T54" s="8"/>
    </row>
    <row r="55" spans="2:20" ht="15" customHeight="1">
      <c r="B55" s="292" t="s">
        <v>1275</v>
      </c>
      <c r="C55" s="292" t="s">
        <v>1276</v>
      </c>
      <c r="D55" s="310">
        <v>9776</v>
      </c>
      <c r="E55" s="310">
        <v>10914</v>
      </c>
      <c r="F55" s="310">
        <v>12561</v>
      </c>
      <c r="G55" s="310">
        <v>11365</v>
      </c>
      <c r="H55" s="310">
        <v>10740</v>
      </c>
      <c r="I55" s="310">
        <v>24014</v>
      </c>
      <c r="J55" s="310">
        <v>21243</v>
      </c>
      <c r="K55" s="310">
        <v>19590</v>
      </c>
      <c r="L55" s="310">
        <v>19119</v>
      </c>
      <c r="M55" s="310">
        <v>17795</v>
      </c>
      <c r="N55" s="8"/>
      <c r="O55" s="8"/>
      <c r="P55" s="8"/>
      <c r="Q55" s="8"/>
      <c r="R55" s="8"/>
      <c r="S55" s="8"/>
      <c r="T55" s="8"/>
    </row>
    <row r="56" spans="2:20" ht="15" customHeight="1">
      <c r="B56" s="295" t="s">
        <v>169</v>
      </c>
      <c r="C56" s="295" t="s">
        <v>1277</v>
      </c>
      <c r="D56" s="448">
        <v>31115</v>
      </c>
      <c r="E56" s="448">
        <v>30427</v>
      </c>
      <c r="F56" s="448">
        <v>31858</v>
      </c>
      <c r="G56" s="448">
        <v>37304</v>
      </c>
      <c r="H56" s="448">
        <v>25920</v>
      </c>
      <c r="I56" s="448">
        <v>42672</v>
      </c>
      <c r="J56" s="448">
        <v>42138</v>
      </c>
      <c r="K56" s="448">
        <v>47794</v>
      </c>
      <c r="L56" s="448">
        <v>42995</v>
      </c>
      <c r="M56" s="448">
        <v>36984</v>
      </c>
      <c r="N56" s="15"/>
      <c r="O56" s="15"/>
      <c r="P56" s="15"/>
      <c r="Q56" s="15"/>
      <c r="R56" s="15"/>
      <c r="S56" s="15"/>
      <c r="T56" s="15"/>
    </row>
    <row r="57" spans="2:20" ht="15" customHeight="1">
      <c r="B57" s="292" t="s">
        <v>1278</v>
      </c>
      <c r="C57" s="292" t="s">
        <v>517</v>
      </c>
      <c r="D57" s="310">
        <v>31398</v>
      </c>
      <c r="E57" s="310">
        <v>33538</v>
      </c>
      <c r="F57" s="310">
        <v>32909</v>
      </c>
      <c r="G57" s="310">
        <v>36985</v>
      </c>
      <c r="H57" s="310">
        <v>38241</v>
      </c>
      <c r="I57" s="310">
        <v>38705</v>
      </c>
      <c r="J57" s="310">
        <v>35481</v>
      </c>
      <c r="K57" s="310">
        <v>64164</v>
      </c>
      <c r="L57" s="310">
        <v>59691</v>
      </c>
      <c r="M57" s="310">
        <v>63932</v>
      </c>
      <c r="N57" s="8"/>
      <c r="O57" s="292" t="s">
        <v>404</v>
      </c>
      <c r="P57" s="8"/>
      <c r="Q57" s="8"/>
      <c r="R57" s="8"/>
      <c r="S57" s="8"/>
      <c r="T57" s="8"/>
    </row>
    <row r="58" spans="2:20" ht="15" customHeight="1">
      <c r="B58" s="292" t="s">
        <v>1279</v>
      </c>
      <c r="C58" s="292" t="s">
        <v>1280</v>
      </c>
      <c r="D58" s="310">
        <v>31398</v>
      </c>
      <c r="E58" s="310">
        <v>33538</v>
      </c>
      <c r="F58" s="310">
        <v>32909</v>
      </c>
      <c r="G58" s="310">
        <v>35955</v>
      </c>
      <c r="H58" s="310">
        <v>37133</v>
      </c>
      <c r="I58" s="310">
        <v>36195</v>
      </c>
      <c r="J58" s="310">
        <v>32884</v>
      </c>
      <c r="K58" s="310">
        <v>61538</v>
      </c>
      <c r="L58" s="310">
        <v>57405</v>
      </c>
      <c r="M58" s="310">
        <v>61641</v>
      </c>
      <c r="N58" s="8"/>
      <c r="O58" s="8"/>
      <c r="P58" s="8"/>
      <c r="Q58" s="8"/>
      <c r="R58" s="8"/>
      <c r="S58" s="8"/>
      <c r="T58" s="8"/>
    </row>
    <row r="59" spans="2:20" ht="15" customHeight="1">
      <c r="B59" s="292" t="s">
        <v>1281</v>
      </c>
      <c r="C59" s="292" t="s">
        <v>1282</v>
      </c>
      <c r="D59" s="310">
        <v>0</v>
      </c>
      <c r="E59" s="310">
        <v>0</v>
      </c>
      <c r="F59" s="310">
        <v>0</v>
      </c>
      <c r="G59" s="310">
        <v>1030</v>
      </c>
      <c r="H59" s="310">
        <v>1108</v>
      </c>
      <c r="I59" s="310">
        <v>2510</v>
      </c>
      <c r="J59" s="310">
        <v>2597</v>
      </c>
      <c r="K59" s="310">
        <v>2626</v>
      </c>
      <c r="L59" s="310">
        <v>2286</v>
      </c>
      <c r="M59" s="310">
        <v>2291</v>
      </c>
      <c r="N59" s="8"/>
      <c r="O59" s="8"/>
      <c r="P59" s="8"/>
      <c r="Q59" s="8"/>
      <c r="R59" s="8"/>
      <c r="S59" s="8"/>
      <c r="T59" s="8"/>
    </row>
    <row r="60" spans="2:20" ht="15" customHeight="1">
      <c r="B60" s="292" t="s">
        <v>1283</v>
      </c>
      <c r="C60" s="292" t="s">
        <v>1284</v>
      </c>
      <c r="D60" s="310">
        <v>0</v>
      </c>
      <c r="E60" s="310">
        <v>0</v>
      </c>
      <c r="F60" s="310">
        <v>0</v>
      </c>
      <c r="G60" s="310">
        <v>0</v>
      </c>
      <c r="H60" s="310">
        <v>0</v>
      </c>
      <c r="I60" s="447" t="s">
        <v>568</v>
      </c>
      <c r="J60" s="447" t="s">
        <v>568</v>
      </c>
      <c r="K60" s="447" t="s">
        <v>568</v>
      </c>
      <c r="L60" s="447" t="s">
        <v>568</v>
      </c>
      <c r="M60" s="447" t="s">
        <v>568</v>
      </c>
      <c r="N60" s="8"/>
      <c r="O60" s="8"/>
      <c r="P60" s="8"/>
      <c r="Q60" s="8"/>
      <c r="R60" s="8"/>
      <c r="S60" s="8"/>
      <c r="T60" s="8"/>
    </row>
    <row r="61" spans="2:20" ht="15" customHeight="1">
      <c r="B61" s="292" t="s">
        <v>1285</v>
      </c>
      <c r="C61" s="292" t="s">
        <v>1286</v>
      </c>
      <c r="D61" s="447" t="s">
        <v>568</v>
      </c>
      <c r="E61" s="447" t="s">
        <v>568</v>
      </c>
      <c r="F61" s="447" t="s">
        <v>568</v>
      </c>
      <c r="G61" s="310">
        <v>1030</v>
      </c>
      <c r="H61" s="310">
        <v>1108</v>
      </c>
      <c r="I61" s="310">
        <v>2510</v>
      </c>
      <c r="J61" s="310">
        <v>2597</v>
      </c>
      <c r="K61" s="310">
        <v>2626</v>
      </c>
      <c r="L61" s="310">
        <v>2286</v>
      </c>
      <c r="M61" s="310">
        <v>2291</v>
      </c>
      <c r="N61" s="8"/>
      <c r="O61" s="8"/>
      <c r="P61" s="8"/>
      <c r="Q61" s="8"/>
      <c r="R61" s="8"/>
      <c r="S61" s="8"/>
      <c r="T61" s="8"/>
    </row>
    <row r="62" spans="2:20" ht="15" customHeight="1">
      <c r="B62" s="292" t="s">
        <v>1287</v>
      </c>
      <c r="C62" s="292" t="s">
        <v>1288</v>
      </c>
      <c r="D62" s="310">
        <v>49262</v>
      </c>
      <c r="E62" s="310">
        <v>36176</v>
      </c>
      <c r="F62" s="310">
        <v>30897</v>
      </c>
      <c r="G62" s="310">
        <v>29859</v>
      </c>
      <c r="H62" s="310">
        <v>26595</v>
      </c>
      <c r="I62" s="310">
        <v>22637</v>
      </c>
      <c r="J62" s="310">
        <v>23669</v>
      </c>
      <c r="K62" s="310">
        <v>25255</v>
      </c>
      <c r="L62" s="310">
        <v>22213</v>
      </c>
      <c r="M62" s="310">
        <v>20469</v>
      </c>
      <c r="N62" s="8"/>
      <c r="O62" s="292" t="s">
        <v>405</v>
      </c>
      <c r="P62" s="8"/>
      <c r="Q62" s="8"/>
      <c r="R62" s="8"/>
      <c r="S62" s="8"/>
      <c r="T62" s="8"/>
    </row>
    <row r="63" spans="2:20" ht="15" customHeight="1">
      <c r="B63" s="292" t="s">
        <v>1289</v>
      </c>
      <c r="C63" s="292" t="s">
        <v>1290</v>
      </c>
      <c r="D63" s="310">
        <v>0</v>
      </c>
      <c r="E63" s="310">
        <v>0</v>
      </c>
      <c r="F63" s="310">
        <v>0</v>
      </c>
      <c r="G63" s="310">
        <v>0</v>
      </c>
      <c r="H63" s="310">
        <v>0</v>
      </c>
      <c r="I63" s="310">
        <v>0</v>
      </c>
      <c r="J63" s="310">
        <v>0</v>
      </c>
      <c r="K63" s="310">
        <v>0</v>
      </c>
      <c r="L63" s="310">
        <v>0</v>
      </c>
      <c r="M63" s="310">
        <v>0</v>
      </c>
      <c r="N63" s="8"/>
      <c r="O63" s="8"/>
      <c r="P63" s="8"/>
      <c r="Q63" s="8"/>
      <c r="R63" s="8"/>
      <c r="S63" s="8"/>
      <c r="T63" s="8"/>
    </row>
    <row r="64" spans="2:20" ht="15" customHeight="1">
      <c r="B64" s="292" t="s">
        <v>1291</v>
      </c>
      <c r="C64" s="292" t="s">
        <v>1292</v>
      </c>
      <c r="D64" s="310">
        <v>8172</v>
      </c>
      <c r="E64" s="310">
        <v>7430</v>
      </c>
      <c r="F64" s="310">
        <v>6610</v>
      </c>
      <c r="G64" s="310">
        <v>6217</v>
      </c>
      <c r="H64" s="310">
        <v>5411</v>
      </c>
      <c r="I64" s="310">
        <v>3724</v>
      </c>
      <c r="J64" s="310">
        <v>2251</v>
      </c>
      <c r="K64" s="310">
        <v>2167</v>
      </c>
      <c r="L64" s="310">
        <v>2115</v>
      </c>
      <c r="M64" s="310">
        <v>2041</v>
      </c>
      <c r="N64" s="8"/>
      <c r="O64" s="8"/>
      <c r="P64" s="8"/>
      <c r="Q64" s="8"/>
      <c r="R64" s="8"/>
      <c r="S64" s="8"/>
      <c r="T64" s="8"/>
    </row>
    <row r="65" spans="2:20" ht="15" customHeight="1">
      <c r="B65" s="292" t="s">
        <v>1293</v>
      </c>
      <c r="C65" s="292" t="s">
        <v>1294</v>
      </c>
      <c r="D65" s="310">
        <v>6406</v>
      </c>
      <c r="E65" s="310">
        <v>5926</v>
      </c>
      <c r="F65" s="310">
        <v>5272</v>
      </c>
      <c r="G65" s="310">
        <v>5291</v>
      </c>
      <c r="H65" s="310">
        <v>4766</v>
      </c>
      <c r="I65" s="310">
        <v>3489</v>
      </c>
      <c r="J65" s="310">
        <v>2173</v>
      </c>
      <c r="K65" s="310">
        <v>2093</v>
      </c>
      <c r="L65" s="310">
        <v>2041</v>
      </c>
      <c r="M65" s="310">
        <v>1966</v>
      </c>
      <c r="N65" s="8"/>
      <c r="O65" s="8"/>
      <c r="P65" s="8"/>
      <c r="Q65" s="8"/>
      <c r="R65" s="8"/>
      <c r="S65" s="8"/>
      <c r="T65" s="8"/>
    </row>
    <row r="66" spans="2:20" ht="15" customHeight="1">
      <c r="B66" s="292" t="s">
        <v>1295</v>
      </c>
      <c r="C66" s="292" t="s">
        <v>1296</v>
      </c>
      <c r="D66" s="310">
        <v>1766</v>
      </c>
      <c r="E66" s="310">
        <v>1504</v>
      </c>
      <c r="F66" s="310">
        <v>1338</v>
      </c>
      <c r="G66" s="310">
        <v>926</v>
      </c>
      <c r="H66" s="310">
        <v>645</v>
      </c>
      <c r="I66" s="310">
        <v>235</v>
      </c>
      <c r="J66" s="310">
        <v>78</v>
      </c>
      <c r="K66" s="310">
        <v>74</v>
      </c>
      <c r="L66" s="310">
        <v>74</v>
      </c>
      <c r="M66" s="310">
        <v>75</v>
      </c>
      <c r="N66" s="8"/>
      <c r="O66" s="8"/>
      <c r="P66" s="8"/>
      <c r="Q66" s="8"/>
      <c r="R66" s="8"/>
      <c r="S66" s="8"/>
      <c r="T66" s="8"/>
    </row>
    <row r="67" spans="2:20" ht="15" customHeight="1">
      <c r="B67" s="292" t="s">
        <v>1271</v>
      </c>
      <c r="C67" s="292" t="s">
        <v>1297</v>
      </c>
      <c r="D67" s="310">
        <v>0</v>
      </c>
      <c r="E67" s="310">
        <v>0</v>
      </c>
      <c r="F67" s="310">
        <v>0</v>
      </c>
      <c r="G67" s="310">
        <v>0</v>
      </c>
      <c r="H67" s="310">
        <v>0</v>
      </c>
      <c r="I67" s="310">
        <v>0</v>
      </c>
      <c r="J67" s="310">
        <v>0</v>
      </c>
      <c r="K67" s="310">
        <v>0</v>
      </c>
      <c r="L67" s="310">
        <v>0</v>
      </c>
      <c r="M67" s="310">
        <v>0</v>
      </c>
      <c r="N67" s="8"/>
      <c r="O67" s="8"/>
      <c r="P67" s="8"/>
      <c r="Q67" s="8"/>
      <c r="R67" s="8"/>
      <c r="S67" s="8"/>
      <c r="T67" s="8"/>
    </row>
    <row r="68" spans="2:20" ht="15" customHeight="1">
      <c r="B68" s="292" t="s">
        <v>1298</v>
      </c>
      <c r="C68" s="292" t="s">
        <v>1299</v>
      </c>
      <c r="D68" s="310">
        <v>30753</v>
      </c>
      <c r="E68" s="310">
        <v>3900</v>
      </c>
      <c r="F68" s="310">
        <v>3700</v>
      </c>
      <c r="G68" s="310">
        <v>5652</v>
      </c>
      <c r="H68" s="310">
        <v>4063</v>
      </c>
      <c r="I68" s="310">
        <v>349</v>
      </c>
      <c r="J68" s="310">
        <v>1023</v>
      </c>
      <c r="K68" s="310">
        <v>640</v>
      </c>
      <c r="L68" s="310">
        <v>2122</v>
      </c>
      <c r="M68" s="310">
        <v>2401</v>
      </c>
      <c r="N68" s="8"/>
      <c r="O68" s="8"/>
      <c r="P68" s="8"/>
      <c r="Q68" s="8"/>
      <c r="R68" s="8"/>
      <c r="S68" s="8"/>
      <c r="T68" s="8"/>
    </row>
    <row r="69" spans="2:20" ht="15" customHeight="1">
      <c r="B69" s="292" t="s">
        <v>1273</v>
      </c>
      <c r="C69" s="292" t="s">
        <v>1300</v>
      </c>
      <c r="D69" s="310">
        <v>444</v>
      </c>
      <c r="E69" s="310">
        <v>490</v>
      </c>
      <c r="F69" s="310">
        <v>942</v>
      </c>
      <c r="G69" s="310">
        <v>604</v>
      </c>
      <c r="H69" s="310">
        <v>599</v>
      </c>
      <c r="I69" s="310">
        <v>405</v>
      </c>
      <c r="J69" s="310">
        <v>1185</v>
      </c>
      <c r="K69" s="310">
        <v>1000</v>
      </c>
      <c r="L69" s="310">
        <v>1121</v>
      </c>
      <c r="M69" s="310">
        <v>2725</v>
      </c>
      <c r="N69" s="8"/>
      <c r="O69" s="8"/>
      <c r="P69" s="8"/>
      <c r="Q69" s="8"/>
      <c r="R69" s="8"/>
      <c r="S69" s="8"/>
      <c r="T69" s="8"/>
    </row>
    <row r="70" spans="2:20" ht="15" customHeight="1">
      <c r="B70" s="292" t="s">
        <v>1301</v>
      </c>
      <c r="C70" s="292" t="s">
        <v>1302</v>
      </c>
      <c r="D70" s="310">
        <v>9893</v>
      </c>
      <c r="E70" s="310">
        <v>24356</v>
      </c>
      <c r="F70" s="310">
        <v>19645</v>
      </c>
      <c r="G70" s="310">
        <v>17386</v>
      </c>
      <c r="H70" s="310">
        <v>16522</v>
      </c>
      <c r="I70" s="310">
        <v>18159</v>
      </c>
      <c r="J70" s="310">
        <v>19210</v>
      </c>
      <c r="K70" s="310">
        <v>21448</v>
      </c>
      <c r="L70" s="310">
        <v>16855</v>
      </c>
      <c r="M70" s="310">
        <v>13302</v>
      </c>
      <c r="N70" s="8"/>
      <c r="O70" s="8"/>
      <c r="P70" s="8"/>
      <c r="Q70" s="8"/>
      <c r="R70" s="8"/>
      <c r="S70" s="8"/>
      <c r="T70" s="8"/>
    </row>
    <row r="71" spans="2:20" ht="15" customHeight="1">
      <c r="B71" s="295" t="s">
        <v>1303</v>
      </c>
      <c r="C71" s="295" t="s">
        <v>1304</v>
      </c>
      <c r="D71" s="448">
        <v>80660</v>
      </c>
      <c r="E71" s="448">
        <v>69714</v>
      </c>
      <c r="F71" s="448">
        <v>63806</v>
      </c>
      <c r="G71" s="448">
        <v>66844</v>
      </c>
      <c r="H71" s="448">
        <v>64836</v>
      </c>
      <c r="I71" s="448">
        <v>61342</v>
      </c>
      <c r="J71" s="448">
        <v>59150</v>
      </c>
      <c r="K71" s="448">
        <v>89419</v>
      </c>
      <c r="L71" s="448">
        <v>81904</v>
      </c>
      <c r="M71" s="448">
        <v>84401</v>
      </c>
      <c r="N71" s="15"/>
      <c r="O71" s="15"/>
      <c r="P71" s="15"/>
      <c r="Q71" s="15"/>
      <c r="R71" s="15"/>
      <c r="S71" s="15"/>
      <c r="T71" s="15"/>
    </row>
    <row r="72" spans="2:20" ht="15" customHeight="1">
      <c r="B72" s="295" t="s">
        <v>407</v>
      </c>
      <c r="C72" s="295" t="s">
        <v>1305</v>
      </c>
      <c r="D72" s="448">
        <v>111775</v>
      </c>
      <c r="E72" s="448">
        <v>100141</v>
      </c>
      <c r="F72" s="448">
        <v>95664</v>
      </c>
      <c r="G72" s="448">
        <v>104148</v>
      </c>
      <c r="H72" s="448">
        <v>90756</v>
      </c>
      <c r="I72" s="448">
        <v>104014</v>
      </c>
      <c r="J72" s="448">
        <v>101288</v>
      </c>
      <c r="K72" s="448">
        <v>137213</v>
      </c>
      <c r="L72" s="448">
        <v>124899</v>
      </c>
      <c r="M72" s="448">
        <v>121385</v>
      </c>
      <c r="N72" s="15"/>
      <c r="O72" s="15"/>
      <c r="P72" s="15"/>
      <c r="Q72" s="15"/>
      <c r="R72" s="15"/>
      <c r="S72" s="15"/>
      <c r="T72" s="15"/>
    </row>
    <row r="73" spans="2:20" ht="15" customHeight="1">
      <c r="B73" s="292" t="s">
        <v>1306</v>
      </c>
      <c r="C73" s="292" t="s">
        <v>519</v>
      </c>
      <c r="D73" s="310">
        <v>24</v>
      </c>
      <c r="E73" s="310">
        <v>21</v>
      </c>
      <c r="F73" s="310">
        <v>19</v>
      </c>
      <c r="G73" s="310">
        <v>17</v>
      </c>
      <c r="H73" s="310">
        <v>0</v>
      </c>
      <c r="I73" s="310">
        <v>0</v>
      </c>
      <c r="J73" s="310">
        <v>0</v>
      </c>
      <c r="K73" s="310">
        <v>0</v>
      </c>
      <c r="L73" s="310">
        <v>0</v>
      </c>
      <c r="M73" s="310">
        <v>0</v>
      </c>
      <c r="N73" s="8"/>
      <c r="O73" s="292" t="s">
        <v>408</v>
      </c>
      <c r="P73" s="8"/>
      <c r="Q73" s="8"/>
      <c r="R73" s="8"/>
      <c r="S73" s="8"/>
      <c r="T73" s="8"/>
    </row>
    <row r="74" spans="2:20" ht="15" customHeight="1">
      <c r="B74" s="292" t="s">
        <v>1307</v>
      </c>
      <c r="C74" s="292" t="s">
        <v>1308</v>
      </c>
      <c r="D74" s="310">
        <v>83146</v>
      </c>
      <c r="E74" s="310">
        <v>84742</v>
      </c>
      <c r="F74" s="310">
        <v>86720</v>
      </c>
      <c r="G74" s="310">
        <v>87896</v>
      </c>
      <c r="H74" s="310">
        <v>89144</v>
      </c>
      <c r="I74" s="310">
        <v>91064</v>
      </c>
      <c r="J74" s="310">
        <v>92278</v>
      </c>
      <c r="K74" s="310">
        <v>93109</v>
      </c>
      <c r="L74" s="310">
        <v>94083</v>
      </c>
      <c r="M74" s="310">
        <v>94950</v>
      </c>
      <c r="N74" s="8"/>
      <c r="O74" s="292" t="s">
        <v>408</v>
      </c>
      <c r="P74" s="8"/>
      <c r="Q74" s="8"/>
      <c r="R74" s="8"/>
      <c r="S74" s="8"/>
      <c r="T74" s="8"/>
    </row>
    <row r="75" spans="2:20" ht="15" customHeight="1">
      <c r="B75" s="292" t="s">
        <v>1309</v>
      </c>
      <c r="C75" s="292" t="s">
        <v>1310</v>
      </c>
      <c r="D75" s="310">
        <v>461</v>
      </c>
      <c r="E75" s="310">
        <v>464</v>
      </c>
      <c r="F75" s="310">
        <v>467</v>
      </c>
      <c r="G75" s="310">
        <v>468</v>
      </c>
      <c r="H75" s="310">
        <v>470</v>
      </c>
      <c r="I75" s="310">
        <v>473</v>
      </c>
      <c r="J75" s="310">
        <v>476</v>
      </c>
      <c r="K75" s="310">
        <v>478</v>
      </c>
      <c r="L75" s="310">
        <v>480</v>
      </c>
      <c r="M75" s="310">
        <v>481</v>
      </c>
      <c r="N75" s="8"/>
      <c r="O75" s="8"/>
      <c r="P75" s="8"/>
      <c r="Q75" s="8"/>
      <c r="R75" s="8"/>
      <c r="S75" s="8"/>
      <c r="T75" s="8"/>
    </row>
    <row r="76" spans="2:20" ht="15" customHeight="1">
      <c r="B76" s="292" t="s">
        <v>1311</v>
      </c>
      <c r="C76" s="292" t="s">
        <v>1312</v>
      </c>
      <c r="D76" s="310">
        <v>82685</v>
      </c>
      <c r="E76" s="310">
        <v>84278</v>
      </c>
      <c r="F76" s="310">
        <v>86253</v>
      </c>
      <c r="G76" s="310">
        <v>87428</v>
      </c>
      <c r="H76" s="310">
        <v>88674</v>
      </c>
      <c r="I76" s="310">
        <v>90591</v>
      </c>
      <c r="J76" s="310">
        <v>91802</v>
      </c>
      <c r="K76" s="310">
        <v>92631</v>
      </c>
      <c r="L76" s="310">
        <v>93603</v>
      </c>
      <c r="M76" s="310">
        <v>94469</v>
      </c>
      <c r="N76" s="8"/>
      <c r="O76" s="8"/>
      <c r="P76" s="8"/>
      <c r="Q76" s="8"/>
      <c r="R76" s="8"/>
      <c r="S76" s="8"/>
      <c r="T76" s="8"/>
    </row>
    <row r="77" spans="2:20" ht="15" customHeight="1">
      <c r="B77" s="292" t="s">
        <v>1313</v>
      </c>
      <c r="C77" s="292" t="s">
        <v>1314</v>
      </c>
      <c r="D77" s="310">
        <v>-84364</v>
      </c>
      <c r="E77" s="310">
        <v>-89425</v>
      </c>
      <c r="F77" s="310">
        <v>-101610</v>
      </c>
      <c r="G77" s="310">
        <v>-110801</v>
      </c>
      <c r="H77" s="310">
        <v>-110988</v>
      </c>
      <c r="I77" s="310">
        <v>-111361</v>
      </c>
      <c r="J77" s="310">
        <v>-113969</v>
      </c>
      <c r="K77" s="310">
        <v>-114487</v>
      </c>
      <c r="L77" s="310">
        <v>-114763</v>
      </c>
      <c r="M77" s="310">
        <v>-115015</v>
      </c>
      <c r="N77" s="8"/>
      <c r="O77" s="292" t="s">
        <v>408</v>
      </c>
      <c r="P77" s="8"/>
      <c r="Q77" s="8"/>
      <c r="R77" s="8"/>
      <c r="S77" s="8"/>
      <c r="T77" s="8"/>
    </row>
    <row r="78" spans="2:20" ht="15" customHeight="1">
      <c r="B78" s="292" t="s">
        <v>1315</v>
      </c>
      <c r="C78" s="292" t="s">
        <v>1316</v>
      </c>
      <c r="D78" s="310">
        <v>71774</v>
      </c>
      <c r="E78" s="310">
        <v>85291</v>
      </c>
      <c r="F78" s="310">
        <v>89554</v>
      </c>
      <c r="G78" s="310">
        <v>97670</v>
      </c>
      <c r="H78" s="310">
        <v>90392</v>
      </c>
      <c r="I78" s="310">
        <v>103394</v>
      </c>
      <c r="J78" s="310">
        <v>125656</v>
      </c>
      <c r="K78" s="310">
        <v>118353</v>
      </c>
      <c r="L78" s="310">
        <v>116725</v>
      </c>
      <c r="M78" s="310">
        <v>114610</v>
      </c>
      <c r="N78" s="8"/>
      <c r="O78" s="292" t="s">
        <v>408</v>
      </c>
      <c r="P78" s="8"/>
      <c r="Q78" s="8"/>
      <c r="R78" s="8"/>
      <c r="S78" s="8"/>
      <c r="T78" s="8"/>
    </row>
    <row r="79" spans="2:20" ht="15" customHeight="1">
      <c r="B79" s="292" t="s">
        <v>1317</v>
      </c>
      <c r="C79" s="292" t="s">
        <v>1318</v>
      </c>
      <c r="D79" s="310">
        <v>-11036</v>
      </c>
      <c r="E79" s="310">
        <v>-9321</v>
      </c>
      <c r="F79" s="310">
        <v>-11276</v>
      </c>
      <c r="G79" s="310">
        <v>-11639</v>
      </c>
      <c r="H79" s="310">
        <v>-5310</v>
      </c>
      <c r="I79" s="310">
        <v>-5897</v>
      </c>
      <c r="J79" s="310">
        <v>-8304</v>
      </c>
      <c r="K79" s="310">
        <v>-7961</v>
      </c>
      <c r="L79" s="310">
        <v>-7842</v>
      </c>
      <c r="M79" s="310">
        <v>-8069</v>
      </c>
      <c r="N79" s="8"/>
      <c r="O79" s="292" t="s">
        <v>408</v>
      </c>
      <c r="P79" s="8"/>
      <c r="Q79" s="8"/>
      <c r="R79" s="8"/>
      <c r="S79" s="8"/>
      <c r="T79" s="8"/>
    </row>
    <row r="80" spans="2:20" ht="15" customHeight="1">
      <c r="B80" s="295" t="s">
        <v>1319</v>
      </c>
      <c r="C80" s="295" t="s">
        <v>1320</v>
      </c>
      <c r="D80" s="448">
        <v>59544</v>
      </c>
      <c r="E80" s="448">
        <v>71308</v>
      </c>
      <c r="F80" s="448">
        <v>63407</v>
      </c>
      <c r="G80" s="448">
        <v>63143</v>
      </c>
      <c r="H80" s="448">
        <v>63238</v>
      </c>
      <c r="I80" s="448">
        <v>77200</v>
      </c>
      <c r="J80" s="448">
        <v>95661</v>
      </c>
      <c r="K80" s="448">
        <v>89014</v>
      </c>
      <c r="L80" s="448">
        <v>88203</v>
      </c>
      <c r="M80" s="448">
        <v>86476</v>
      </c>
      <c r="N80" s="15"/>
      <c r="O80" s="15"/>
      <c r="P80" s="15"/>
      <c r="Q80" s="15"/>
      <c r="R80" s="15"/>
      <c r="S80" s="15"/>
      <c r="T80" s="15"/>
    </row>
    <row r="81" spans="2:20" ht="15" customHeight="1">
      <c r="B81" s="292" t="s">
        <v>1321</v>
      </c>
      <c r="C81" s="292" t="s">
        <v>1322</v>
      </c>
      <c r="D81" s="310">
        <v>296</v>
      </c>
      <c r="E81" s="310">
        <v>348</v>
      </c>
      <c r="F81" s="310">
        <v>351</v>
      </c>
      <c r="G81" s="310">
        <v>303</v>
      </c>
      <c r="H81" s="310">
        <v>235</v>
      </c>
      <c r="I81" s="310">
        <v>262</v>
      </c>
      <c r="J81" s="310">
        <v>256</v>
      </c>
      <c r="K81" s="310">
        <v>274</v>
      </c>
      <c r="L81" s="310">
        <v>294</v>
      </c>
      <c r="M81" s="310">
        <v>299</v>
      </c>
      <c r="N81" s="8"/>
      <c r="O81" s="292" t="s">
        <v>409</v>
      </c>
      <c r="P81" s="8"/>
      <c r="Q81" s="8"/>
      <c r="R81" s="8"/>
      <c r="S81" s="8"/>
      <c r="T81" s="8"/>
    </row>
    <row r="82" spans="2:20" ht="15" customHeight="1">
      <c r="B82" s="295" t="s">
        <v>410</v>
      </c>
      <c r="C82" s="295" t="s">
        <v>1323</v>
      </c>
      <c r="D82" s="448">
        <v>59840</v>
      </c>
      <c r="E82" s="448">
        <v>71656</v>
      </c>
      <c r="F82" s="448">
        <v>63758</v>
      </c>
      <c r="G82" s="448">
        <v>63446</v>
      </c>
      <c r="H82" s="448">
        <v>63473</v>
      </c>
      <c r="I82" s="448">
        <v>77462</v>
      </c>
      <c r="J82" s="448">
        <v>95917</v>
      </c>
      <c r="K82" s="448">
        <v>89288</v>
      </c>
      <c r="L82" s="448">
        <v>88497</v>
      </c>
      <c r="M82" s="448">
        <v>86775</v>
      </c>
      <c r="N82" s="15"/>
      <c r="O82" s="15"/>
      <c r="P82" s="15"/>
      <c r="Q82" s="15"/>
      <c r="R82" s="15"/>
      <c r="S82" s="15"/>
      <c r="T82" s="15"/>
    </row>
    <row r="83" spans="2:20" ht="15" customHeight="1">
      <c r="B83" s="295" t="s">
        <v>1324</v>
      </c>
      <c r="C83" s="295" t="s">
        <v>1325</v>
      </c>
      <c r="D83" s="448">
        <v>171615</v>
      </c>
      <c r="E83" s="448">
        <v>171797</v>
      </c>
      <c r="F83" s="448">
        <v>159422</v>
      </c>
      <c r="G83" s="448">
        <v>167594</v>
      </c>
      <c r="H83" s="448">
        <v>154229</v>
      </c>
      <c r="I83" s="448">
        <v>181476</v>
      </c>
      <c r="J83" s="448">
        <v>197205</v>
      </c>
      <c r="K83" s="448">
        <v>226501</v>
      </c>
      <c r="L83" s="448">
        <v>213396</v>
      </c>
      <c r="M83" s="448">
        <v>208160</v>
      </c>
      <c r="N83" s="15"/>
      <c r="O83" s="15"/>
      <c r="P83" s="15"/>
      <c r="Q83" s="15"/>
      <c r="R83" s="15"/>
      <c r="S83" s="15"/>
      <c r="T83" s="15"/>
    </row>
    <row r="84" spans="2:20" ht="9.75" customHeight="1"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2:20" ht="20.25" customHeight="1">
      <c r="B85" s="306" t="s">
        <v>632</v>
      </c>
      <c r="C85" s="179"/>
      <c r="D85" s="179"/>
      <c r="E85" s="179"/>
      <c r="F85" s="179"/>
      <c r="G85" s="179"/>
      <c r="H85" s="179"/>
      <c r="I85" s="179"/>
      <c r="J85" s="179"/>
      <c r="K85" s="180"/>
      <c r="L85" s="180"/>
      <c r="M85" s="180"/>
      <c r="N85" s="162"/>
      <c r="O85" s="162"/>
      <c r="P85" s="162"/>
      <c r="Q85" s="162"/>
      <c r="R85" s="162"/>
      <c r="S85" s="162"/>
      <c r="T85" s="162"/>
    </row>
    <row r="86" spans="2:20" ht="15" customHeight="1">
      <c r="B86" s="292" t="s">
        <v>730</v>
      </c>
      <c r="C86" s="292" t="s">
        <v>731</v>
      </c>
      <c r="D86" s="460" t="s">
        <v>732</v>
      </c>
      <c r="E86" s="460" t="s">
        <v>732</v>
      </c>
      <c r="F86" s="460" t="s">
        <v>732</v>
      </c>
      <c r="G86" s="460" t="s">
        <v>732</v>
      </c>
      <c r="H86" s="460" t="s">
        <v>732</v>
      </c>
      <c r="I86" s="460" t="s">
        <v>732</v>
      </c>
      <c r="J86" s="460" t="s">
        <v>732</v>
      </c>
      <c r="K86" s="460" t="s">
        <v>732</v>
      </c>
      <c r="L86" s="460" t="s">
        <v>732</v>
      </c>
      <c r="M86" s="460" t="s">
        <v>732</v>
      </c>
      <c r="N86" s="8"/>
      <c r="O86" s="8"/>
      <c r="P86" s="8"/>
      <c r="Q86" s="8"/>
      <c r="R86" s="8"/>
      <c r="S86" s="8"/>
      <c r="T86" s="8"/>
    </row>
    <row r="87" spans="2:20" ht="15" customHeight="1">
      <c r="B87" s="292" t="s">
        <v>1326</v>
      </c>
      <c r="C87" s="292" t="s">
        <v>1327</v>
      </c>
      <c r="D87" s="310">
        <v>6070</v>
      </c>
      <c r="E87" s="310">
        <v>5979</v>
      </c>
      <c r="F87" s="310">
        <v>5717</v>
      </c>
      <c r="G87" s="310">
        <v>5534</v>
      </c>
      <c r="H87" s="310">
        <v>5567</v>
      </c>
      <c r="I87" s="310">
        <v>5620</v>
      </c>
      <c r="J87" s="310">
        <v>5616</v>
      </c>
      <c r="K87" s="310">
        <v>5646</v>
      </c>
      <c r="L87" s="310">
        <v>5667</v>
      </c>
      <c r="M87" s="310">
        <v>5686</v>
      </c>
      <c r="N87" s="8"/>
      <c r="O87" s="8"/>
      <c r="P87" s="8"/>
      <c r="Q87" s="8"/>
      <c r="R87" s="8"/>
      <c r="S87" s="8"/>
      <c r="T87" s="8"/>
    </row>
    <row r="88" spans="2:20" ht="15" customHeight="1">
      <c r="B88" s="292" t="s">
        <v>1328</v>
      </c>
      <c r="C88" s="292" t="s">
        <v>1329</v>
      </c>
      <c r="D88" s="310">
        <v>3160</v>
      </c>
      <c r="E88" s="310">
        <v>3296</v>
      </c>
      <c r="F88" s="310">
        <v>3615</v>
      </c>
      <c r="G88" s="310">
        <v>3835</v>
      </c>
      <c r="H88" s="310">
        <v>3840</v>
      </c>
      <c r="I88" s="310">
        <v>3851</v>
      </c>
      <c r="J88" s="310">
        <v>3903</v>
      </c>
      <c r="K88" s="310">
        <v>3916</v>
      </c>
      <c r="L88" s="310">
        <v>3926</v>
      </c>
      <c r="M88" s="310">
        <v>3935</v>
      </c>
      <c r="N88" s="8"/>
      <c r="O88" s="8"/>
      <c r="P88" s="8"/>
      <c r="Q88" s="8"/>
      <c r="R88" s="8"/>
      <c r="S88" s="8"/>
      <c r="T88" s="8"/>
    </row>
    <row r="89" spans="2:20" ht="15" customHeight="1">
      <c r="B89" s="292" t="s">
        <v>1330</v>
      </c>
      <c r="C89" s="292" t="s">
        <v>1331</v>
      </c>
      <c r="D89" s="310">
        <v>8172</v>
      </c>
      <c r="E89" s="310">
        <v>7430</v>
      </c>
      <c r="F89" s="310">
        <v>6610</v>
      </c>
      <c r="G89" s="310">
        <v>6217</v>
      </c>
      <c r="H89" s="310">
        <v>5411</v>
      </c>
      <c r="I89" s="310">
        <v>3724</v>
      </c>
      <c r="J89" s="310">
        <v>2251</v>
      </c>
      <c r="K89" s="310">
        <v>2167</v>
      </c>
      <c r="L89" s="310">
        <v>2115</v>
      </c>
      <c r="M89" s="310">
        <v>2041</v>
      </c>
      <c r="N89" s="8"/>
      <c r="O89" s="8"/>
      <c r="P89" s="8"/>
      <c r="Q89" s="8"/>
      <c r="R89" s="8"/>
      <c r="S89" s="8"/>
      <c r="T89" s="8"/>
    </row>
    <row r="90" spans="2:20" ht="15" customHeight="1">
      <c r="B90" s="292" t="s">
        <v>1332</v>
      </c>
      <c r="C90" s="292" t="s">
        <v>1333</v>
      </c>
      <c r="D90" s="310">
        <v>1801</v>
      </c>
      <c r="E90" s="310">
        <v>1681</v>
      </c>
      <c r="F90" s="310">
        <v>3317</v>
      </c>
      <c r="G90" s="310">
        <v>1530</v>
      </c>
      <c r="H90" s="310">
        <v>1618</v>
      </c>
      <c r="I90" s="310">
        <v>3621</v>
      </c>
      <c r="J90" s="310">
        <v>3844</v>
      </c>
      <c r="K90" s="310">
        <v>3824</v>
      </c>
      <c r="L90" s="310">
        <v>3198</v>
      </c>
      <c r="M90" s="310">
        <v>3199</v>
      </c>
      <c r="N90" s="8"/>
      <c r="O90" s="8"/>
      <c r="P90" s="8"/>
      <c r="Q90" s="8"/>
      <c r="R90" s="8"/>
      <c r="S90" s="8"/>
      <c r="T90" s="8"/>
    </row>
    <row r="91" spans="2:20" ht="15" customHeight="1">
      <c r="B91" s="292" t="s">
        <v>1334</v>
      </c>
      <c r="C91" s="292" t="s">
        <v>1335</v>
      </c>
      <c r="D91" s="310">
        <v>0</v>
      </c>
      <c r="E91" s="310">
        <v>0</v>
      </c>
      <c r="F91" s="310">
        <v>0</v>
      </c>
      <c r="G91" s="447" t="s">
        <v>568</v>
      </c>
      <c r="H91" s="310">
        <v>0</v>
      </c>
      <c r="I91" s="447" t="s">
        <v>568</v>
      </c>
      <c r="J91" s="447" t="s">
        <v>568</v>
      </c>
      <c r="K91" s="447" t="s">
        <v>568</v>
      </c>
      <c r="L91" s="447" t="s">
        <v>568</v>
      </c>
      <c r="M91" s="447" t="s">
        <v>568</v>
      </c>
      <c r="N91" s="8"/>
      <c r="O91" s="8"/>
      <c r="P91" s="8"/>
      <c r="Q91" s="8"/>
      <c r="R91" s="8"/>
      <c r="S91" s="8"/>
      <c r="T91" s="8"/>
    </row>
    <row r="92" spans="2:20" ht="15" customHeight="1">
      <c r="B92" s="292" t="s">
        <v>1336</v>
      </c>
      <c r="C92" s="292" t="s">
        <v>1337</v>
      </c>
      <c r="D92" s="310">
        <v>1.371</v>
      </c>
      <c r="E92" s="310">
        <v>1.375</v>
      </c>
      <c r="F92" s="310">
        <v>1.3720000000000001</v>
      </c>
      <c r="G92" s="310">
        <v>1.181</v>
      </c>
      <c r="H92" s="310">
        <v>1.7549999999999999</v>
      </c>
      <c r="I92" s="310">
        <v>0.77900000000000003</v>
      </c>
      <c r="J92" s="310">
        <v>0.42899999999999999</v>
      </c>
      <c r="K92" s="310">
        <v>0.63500000000000001</v>
      </c>
      <c r="L92" s="310">
        <v>1.3720000000000001</v>
      </c>
      <c r="M92" s="310">
        <v>2.0379999999999998</v>
      </c>
      <c r="N92" s="8"/>
      <c r="O92" s="8"/>
      <c r="P92" s="8"/>
      <c r="Q92" s="8"/>
      <c r="R92" s="8"/>
      <c r="S92" s="8"/>
      <c r="T92" s="8"/>
    </row>
    <row r="93" spans="2:20" ht="15" customHeight="1">
      <c r="B93" s="292" t="s">
        <v>1338</v>
      </c>
      <c r="C93" s="292" t="s">
        <v>1339</v>
      </c>
      <c r="D93" s="310">
        <v>186.67599999999999</v>
      </c>
      <c r="E93" s="310">
        <v>150.75700000000001</v>
      </c>
      <c r="F93" s="310">
        <v>103.791</v>
      </c>
      <c r="G93" s="310">
        <v>88.6</v>
      </c>
      <c r="H93" s="310">
        <v>75.402000000000001</v>
      </c>
      <c r="I93" s="310">
        <v>44.874000000000002</v>
      </c>
      <c r="J93" s="310">
        <v>35.28</v>
      </c>
      <c r="K93" s="310">
        <v>28.452000000000002</v>
      </c>
      <c r="L93" s="310">
        <v>19.620999999999999</v>
      </c>
      <c r="M93" s="310">
        <v>7.8150000000000004</v>
      </c>
      <c r="N93" s="8"/>
      <c r="O93" s="292" t="s">
        <v>379</v>
      </c>
      <c r="P93" s="8"/>
      <c r="Q93" s="8"/>
      <c r="R93" s="8"/>
      <c r="S93" s="8"/>
      <c r="T93" s="8"/>
    </row>
    <row r="94" spans="2:20" ht="15" customHeight="1">
      <c r="B94" s="292" t="s">
        <v>273</v>
      </c>
      <c r="C94" s="292" t="s">
        <v>1340</v>
      </c>
      <c r="D94" s="310">
        <v>24236</v>
      </c>
      <c r="E94" s="310">
        <v>23499</v>
      </c>
      <c r="F94" s="310">
        <v>22907</v>
      </c>
      <c r="G94" s="310">
        <v>43803</v>
      </c>
      <c r="H94" s="310">
        <v>29041</v>
      </c>
      <c r="I94" s="310">
        <v>10326</v>
      </c>
      <c r="J94" s="310">
        <v>16314</v>
      </c>
      <c r="K94" s="310">
        <v>62351</v>
      </c>
      <c r="L94" s="310">
        <v>46516</v>
      </c>
      <c r="M94" s="310">
        <v>53820</v>
      </c>
      <c r="N94" s="8"/>
      <c r="O94" s="8"/>
      <c r="P94" s="8"/>
      <c r="Q94" s="8"/>
      <c r="R94" s="8"/>
      <c r="S94" s="8"/>
      <c r="T94" s="8"/>
    </row>
    <row r="95" spans="2:20" ht="15" customHeight="1">
      <c r="B95" s="292" t="s">
        <v>1341</v>
      </c>
      <c r="C95" s="292" t="s">
        <v>1342</v>
      </c>
      <c r="D95" s="310">
        <v>40.501300000000001</v>
      </c>
      <c r="E95" s="310">
        <v>32.794199999999996</v>
      </c>
      <c r="F95" s="310">
        <v>35.927999999999997</v>
      </c>
      <c r="G95" s="310">
        <v>69.0398</v>
      </c>
      <c r="H95" s="310">
        <v>45.753300000000003</v>
      </c>
      <c r="I95" s="310">
        <v>13.330399999999999</v>
      </c>
      <c r="J95" s="310">
        <v>17.008500000000002</v>
      </c>
      <c r="K95" s="310">
        <v>69.831299999999999</v>
      </c>
      <c r="L95" s="310">
        <v>52.562199999999997</v>
      </c>
      <c r="M95" s="310">
        <v>62.022500000000001</v>
      </c>
      <c r="N95" s="8"/>
      <c r="O95" s="8"/>
      <c r="P95" s="8"/>
      <c r="Q95" s="8"/>
      <c r="R95" s="8"/>
      <c r="S95" s="8"/>
      <c r="T95" s="8"/>
    </row>
    <row r="96" spans="2:20" ht="15" customHeight="1">
      <c r="B96" s="292" t="s">
        <v>1343</v>
      </c>
      <c r="C96" s="292" t="s">
        <v>1344</v>
      </c>
      <c r="D96" s="310">
        <v>-73.742199999999997</v>
      </c>
      <c r="E96" s="310">
        <v>-49.780200000000001</v>
      </c>
      <c r="F96" s="310">
        <v>-35.641199999999998</v>
      </c>
      <c r="G96" s="310">
        <v>-22.247699999999998</v>
      </c>
      <c r="H96" s="310">
        <v>-19.198</v>
      </c>
      <c r="I96" s="310">
        <v>2.6568000000000001</v>
      </c>
      <c r="J96" s="310">
        <v>0.89300000000000002</v>
      </c>
      <c r="K96" s="310">
        <v>-46.543399999999998</v>
      </c>
      <c r="L96" s="310">
        <v>-39.946100000000001</v>
      </c>
      <c r="M96" s="310">
        <v>-46.314599999999999</v>
      </c>
      <c r="N96" s="8"/>
      <c r="O96" s="8"/>
      <c r="P96" s="8"/>
      <c r="Q96" s="8"/>
      <c r="R96" s="8"/>
      <c r="S96" s="8"/>
      <c r="T96" s="8"/>
    </row>
    <row r="97" spans="2:20" ht="15" customHeight="1">
      <c r="B97" s="292" t="s">
        <v>1345</v>
      </c>
      <c r="C97" s="292" t="s">
        <v>1346</v>
      </c>
      <c r="D97" s="310">
        <v>1.2518</v>
      </c>
      <c r="E97" s="310">
        <v>1.3521000000000001</v>
      </c>
      <c r="F97" s="310">
        <v>1.5670999999999999</v>
      </c>
      <c r="G97" s="310">
        <v>0.87929999999999997</v>
      </c>
      <c r="H97" s="310">
        <v>1.3529</v>
      </c>
      <c r="I97" s="310">
        <v>1.3989</v>
      </c>
      <c r="J97" s="310">
        <v>1.2164999999999999</v>
      </c>
      <c r="K97" s="310">
        <v>0.90669999999999995</v>
      </c>
      <c r="L97" s="310">
        <v>1.1713</v>
      </c>
      <c r="M97" s="310">
        <v>1.1598999999999999</v>
      </c>
      <c r="N97" s="8"/>
      <c r="O97" s="8"/>
      <c r="P97" s="8"/>
      <c r="Q97" s="8"/>
      <c r="R97" s="8"/>
      <c r="S97" s="8"/>
      <c r="T97" s="8"/>
    </row>
    <row r="98" spans="2:20" ht="15" customHeight="1">
      <c r="B98" s="292" t="s">
        <v>1347</v>
      </c>
      <c r="C98" s="292" t="s">
        <v>1348</v>
      </c>
      <c r="D98" s="310">
        <v>140.33580000000001</v>
      </c>
      <c r="E98" s="310">
        <v>151.04349999999999</v>
      </c>
      <c r="F98" s="310">
        <v>147.74289999999999</v>
      </c>
      <c r="G98" s="310">
        <v>191.1003</v>
      </c>
      <c r="H98" s="310">
        <v>231.48339999999999</v>
      </c>
      <c r="I98" s="310">
        <v>88.176900000000003</v>
      </c>
      <c r="J98" s="310">
        <v>70.691500000000005</v>
      </c>
      <c r="K98" s="310">
        <v>113.7176</v>
      </c>
      <c r="L98" s="310">
        <v>158.80160000000001</v>
      </c>
      <c r="M98" s="310">
        <v>187.29050000000001</v>
      </c>
      <c r="N98" s="8"/>
      <c r="O98" s="292" t="s">
        <v>456</v>
      </c>
      <c r="P98" s="8"/>
      <c r="Q98" s="8"/>
      <c r="R98" s="8"/>
      <c r="S98" s="8"/>
      <c r="T98" s="8"/>
    </row>
    <row r="99" spans="2:20" ht="15" customHeight="1">
      <c r="B99" s="292" t="s">
        <v>1349</v>
      </c>
      <c r="C99" s="292" t="s">
        <v>1350</v>
      </c>
      <c r="D99" s="310">
        <v>96500</v>
      </c>
      <c r="E99" s="310">
        <v>90200</v>
      </c>
      <c r="F99" s="310">
        <v>92400</v>
      </c>
      <c r="G99" s="461" t="s">
        <v>568</v>
      </c>
      <c r="H99" s="461" t="s">
        <v>568</v>
      </c>
      <c r="I99" s="461" t="s">
        <v>568</v>
      </c>
      <c r="J99" s="461" t="s">
        <v>568</v>
      </c>
      <c r="K99" s="310">
        <v>88000</v>
      </c>
      <c r="L99" s="310">
        <v>81000</v>
      </c>
      <c r="M99" s="310">
        <v>75000</v>
      </c>
      <c r="N99" s="8"/>
      <c r="O99" s="8"/>
      <c r="P99" s="8"/>
      <c r="Q99" s="8"/>
      <c r="R99" s="8"/>
      <c r="S99" s="8"/>
      <c r="T99" s="8"/>
    </row>
    <row r="100" spans="2:20" ht="15" customHeight="1">
      <c r="B100" s="306" t="s">
        <v>539</v>
      </c>
      <c r="C100" s="156"/>
      <c r="D100" s="156"/>
      <c r="E100" s="156"/>
      <c r="F100" s="156"/>
      <c r="G100" s="156"/>
      <c r="H100" s="156"/>
      <c r="I100" s="156"/>
      <c r="J100" s="156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 ht="9.75" customHeight="1"/>
    <row r="102" spans="2:20" ht="9.75" customHeight="1"/>
    <row r="103" spans="2:20" ht="9.75" customHeight="1"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BD5E1"/>
  </sheetPr>
  <dimension ref="B1:Z202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1" outlineLevelCol="1"/>
  <cols>
    <col min="1" max="1" width="2" style="9" customWidth="1"/>
    <col min="2" max="2" width="38" style="9" customWidth="1"/>
    <col min="3" max="3" width="22" style="9" hidden="1" customWidth="1"/>
    <col min="4" max="4" width="12.42578125" style="9" hidden="1" customWidth="1" outlineLevel="1"/>
    <col min="5" max="5" width="12.42578125" style="9" customWidth="1" collapsed="1"/>
    <col min="6" max="10" width="12.42578125" style="9" customWidth="1"/>
    <col min="11" max="13" width="12.42578125" style="9" hidden="1" customWidth="1" outlineLevel="1"/>
    <col min="14" max="14" width="12.42578125" style="9" customWidth="1" collapsed="1"/>
    <col min="15" max="15" width="12.42578125" style="9" customWidth="1"/>
    <col min="16" max="21" width="8.7109375" style="9" customWidth="1"/>
    <col min="22" max="16384" width="8.710937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As Reported Balance Sheet"</f>
        <v>Pfizer Inc - As Reported Balance Sheet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2:26" ht="16" customHeight="1">
      <c r="B3" s="249" t="s">
        <v>1351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542</v>
      </c>
      <c r="C4" s="26"/>
      <c r="D4" s="343" t="s">
        <v>487</v>
      </c>
      <c r="E4" s="343" t="s">
        <v>486</v>
      </c>
      <c r="F4" s="343" t="s">
        <v>485</v>
      </c>
      <c r="G4" s="343" t="s">
        <v>484</v>
      </c>
      <c r="H4" s="343" t="s">
        <v>483</v>
      </c>
      <c r="I4" s="343" t="s">
        <v>482</v>
      </c>
      <c r="J4" s="343" t="s">
        <v>481</v>
      </c>
      <c r="K4" s="295" t="s">
        <v>480</v>
      </c>
      <c r="L4" s="295" t="s">
        <v>479</v>
      </c>
      <c r="M4" s="295" t="s">
        <v>478</v>
      </c>
      <c r="N4" s="26"/>
      <c r="O4" s="26"/>
    </row>
    <row r="5" spans="2:26" ht="15" customHeight="1">
      <c r="B5" s="438" t="s">
        <v>488</v>
      </c>
      <c r="C5" s="26"/>
      <c r="D5" s="440" t="s">
        <v>498</v>
      </c>
      <c r="E5" s="440" t="s">
        <v>497</v>
      </c>
      <c r="F5" s="440" t="s">
        <v>496</v>
      </c>
      <c r="G5" s="440" t="s">
        <v>495</v>
      </c>
      <c r="H5" s="440" t="s">
        <v>494</v>
      </c>
      <c r="I5" s="440" t="s">
        <v>493</v>
      </c>
      <c r="J5" s="440" t="s">
        <v>492</v>
      </c>
      <c r="K5" s="295" t="s">
        <v>491</v>
      </c>
      <c r="L5" s="295" t="s">
        <v>490</v>
      </c>
      <c r="M5" s="295" t="s">
        <v>489</v>
      </c>
      <c r="N5" s="26"/>
      <c r="O5" s="26"/>
    </row>
    <row r="6" spans="2:26" ht="20.25" customHeight="1">
      <c r="B6" s="306" t="s">
        <v>1352</v>
      </c>
      <c r="C6" s="179"/>
      <c r="D6" s="179"/>
      <c r="E6" s="179"/>
      <c r="F6" s="179"/>
      <c r="G6" s="179"/>
      <c r="H6" s="179"/>
      <c r="I6" s="179"/>
      <c r="J6" s="179"/>
      <c r="K6" s="180"/>
      <c r="L6" s="180"/>
      <c r="M6" s="180"/>
      <c r="N6" s="162"/>
      <c r="O6" s="162"/>
    </row>
    <row r="7" spans="2:26" ht="15" customHeight="1">
      <c r="B7" s="462" t="s">
        <v>827</v>
      </c>
      <c r="C7" s="181"/>
      <c r="D7" s="20"/>
      <c r="E7" s="20"/>
      <c r="F7" s="20"/>
      <c r="G7" s="20"/>
      <c r="H7" s="20"/>
      <c r="I7" s="20"/>
      <c r="J7" s="20"/>
      <c r="K7" s="20"/>
      <c r="L7" s="20"/>
      <c r="M7" s="20"/>
      <c r="N7" s="8"/>
      <c r="O7" s="8"/>
    </row>
    <row r="8" spans="2:26" ht="15" customHeight="1">
      <c r="B8" s="295" t="s">
        <v>1353</v>
      </c>
      <c r="C8" s="295" t="s">
        <v>1354</v>
      </c>
      <c r="D8" s="446">
        <v>4225</v>
      </c>
      <c r="E8" s="446">
        <v>9953</v>
      </c>
      <c r="F8" s="446">
        <v>8831</v>
      </c>
      <c r="G8" s="446">
        <v>16195</v>
      </c>
      <c r="H8" s="446">
        <v>2703</v>
      </c>
      <c r="I8" s="446">
        <v>2241</v>
      </c>
      <c r="J8" s="446">
        <v>2945</v>
      </c>
      <c r="K8" s="446">
        <v>10350</v>
      </c>
      <c r="L8" s="446">
        <v>6946</v>
      </c>
      <c r="M8" s="446">
        <v>3154</v>
      </c>
      <c r="N8" s="15"/>
      <c r="O8" s="15"/>
    </row>
    <row r="9" spans="2:26" ht="15" customHeight="1">
      <c r="B9" s="462" t="s">
        <v>1355</v>
      </c>
      <c r="C9" s="181"/>
      <c r="D9" s="182"/>
      <c r="E9" s="182"/>
      <c r="F9" s="182"/>
      <c r="G9" s="182"/>
      <c r="H9" s="182"/>
      <c r="I9" s="182"/>
      <c r="J9" s="182"/>
      <c r="K9" s="20"/>
      <c r="L9" s="20"/>
      <c r="M9" s="20"/>
      <c r="N9" s="8"/>
      <c r="O9" s="8"/>
    </row>
    <row r="10" spans="2:26" ht="15" customHeight="1">
      <c r="B10" s="292" t="s">
        <v>1356</v>
      </c>
      <c r="C10" s="292" t="s">
        <v>1357</v>
      </c>
      <c r="D10" s="463">
        <v>2595</v>
      </c>
      <c r="E10" s="463">
        <v>1342</v>
      </c>
      <c r="F10" s="463">
        <v>1139</v>
      </c>
      <c r="G10" s="463">
        <v>1121</v>
      </c>
      <c r="H10" s="463">
        <v>1786</v>
      </c>
      <c r="I10" s="463">
        <v>1944</v>
      </c>
      <c r="J10" s="463">
        <v>416</v>
      </c>
      <c r="K10" s="463">
        <v>2853</v>
      </c>
      <c r="L10" s="463">
        <v>1043</v>
      </c>
      <c r="M10" s="463">
        <v>1142</v>
      </c>
      <c r="N10" s="8"/>
      <c r="O10" s="8"/>
    </row>
    <row r="11" spans="2:26" ht="15" customHeight="1">
      <c r="B11" s="292" t="s">
        <v>1358</v>
      </c>
      <c r="C11" s="292" t="s">
        <v>1359</v>
      </c>
      <c r="D11" s="463">
        <v>8225</v>
      </c>
      <c r="E11" s="463">
        <v>8221</v>
      </c>
      <c r="F11" s="463">
        <v>8025</v>
      </c>
      <c r="G11" s="463">
        <v>6772</v>
      </c>
      <c r="H11" s="463">
        <v>7913</v>
      </c>
      <c r="I11" s="463">
        <v>11479</v>
      </c>
      <c r="J11" s="463">
        <v>10952</v>
      </c>
      <c r="K11" s="463">
        <v>11177</v>
      </c>
      <c r="L11" s="463">
        <v>11463</v>
      </c>
      <c r="M11" s="463">
        <v>11874</v>
      </c>
      <c r="N11" s="8"/>
      <c r="O11" s="8"/>
    </row>
    <row r="12" spans="2:26" ht="15" customHeight="1">
      <c r="B12" s="292" t="s">
        <v>163</v>
      </c>
      <c r="C12" s="292" t="s">
        <v>1360</v>
      </c>
      <c r="D12" s="463">
        <v>6783</v>
      </c>
      <c r="E12" s="463">
        <v>7578</v>
      </c>
      <c r="F12" s="463">
        <v>7508</v>
      </c>
      <c r="G12" s="463">
        <v>7068</v>
      </c>
      <c r="H12" s="463">
        <v>8020</v>
      </c>
      <c r="I12" s="463">
        <v>9059</v>
      </c>
      <c r="J12" s="463">
        <v>8981</v>
      </c>
      <c r="K12" s="463">
        <v>10189</v>
      </c>
      <c r="L12" s="463">
        <v>10851</v>
      </c>
      <c r="M12" s="463">
        <v>10654</v>
      </c>
      <c r="N12" s="8"/>
      <c r="O12" s="8"/>
    </row>
    <row r="13" spans="2:26" ht="15" customHeight="1">
      <c r="B13" s="292" t="s">
        <v>1361</v>
      </c>
      <c r="C13" s="292" t="s">
        <v>1362</v>
      </c>
      <c r="D13" s="463">
        <v>3041</v>
      </c>
      <c r="E13" s="463">
        <v>3050</v>
      </c>
      <c r="F13" s="463">
        <v>3374</v>
      </c>
      <c r="G13" s="463">
        <v>2736</v>
      </c>
      <c r="H13" s="463">
        <v>3264</v>
      </c>
      <c r="I13" s="463">
        <v>4266</v>
      </c>
      <c r="J13" s="463">
        <v>3577</v>
      </c>
      <c r="K13" s="463">
        <v>3978</v>
      </c>
      <c r="L13" s="463">
        <v>3314</v>
      </c>
      <c r="M13" s="463">
        <v>3967</v>
      </c>
      <c r="N13" s="8"/>
      <c r="O13" s="8"/>
    </row>
    <row r="14" spans="2:26" ht="15" customHeight="1">
      <c r="B14" s="292" t="s">
        <v>1363</v>
      </c>
      <c r="C14" s="292" t="s">
        <v>1364</v>
      </c>
      <c r="D14" s="463">
        <v>801</v>
      </c>
      <c r="E14" s="463">
        <v>12</v>
      </c>
      <c r="F14" s="463">
        <v>9725</v>
      </c>
      <c r="G14" s="463">
        <v>4224</v>
      </c>
      <c r="H14" s="447" t="s">
        <v>568</v>
      </c>
      <c r="I14" s="447" t="s">
        <v>568</v>
      </c>
      <c r="J14" s="447" t="s">
        <v>568</v>
      </c>
      <c r="K14" s="447" t="s">
        <v>568</v>
      </c>
      <c r="L14" s="447" t="s">
        <v>568</v>
      </c>
      <c r="M14" s="447" t="s">
        <v>568</v>
      </c>
      <c r="N14" s="8"/>
      <c r="O14" s="8"/>
    </row>
    <row r="15" spans="2:26" ht="15" customHeight="1">
      <c r="B15" s="292" t="s">
        <v>1365</v>
      </c>
      <c r="C15" s="292" t="s">
        <v>1366</v>
      </c>
      <c r="D15" s="463">
        <v>2249</v>
      </c>
      <c r="E15" s="463">
        <v>2287</v>
      </c>
      <c r="F15" s="463">
        <v>2460</v>
      </c>
      <c r="G15" s="463">
        <v>2357</v>
      </c>
      <c r="H15" s="463">
        <v>3648</v>
      </c>
      <c r="I15" s="463">
        <v>3820</v>
      </c>
      <c r="J15" s="463">
        <v>5017</v>
      </c>
      <c r="K15" s="463">
        <v>5298</v>
      </c>
      <c r="L15" s="463">
        <v>4253</v>
      </c>
      <c r="M15" s="463">
        <v>2807</v>
      </c>
      <c r="N15" s="8"/>
      <c r="O15" s="8"/>
    </row>
    <row r="16" spans="2:26" ht="15" customHeight="1">
      <c r="B16" s="292" t="s">
        <v>1367</v>
      </c>
      <c r="C16" s="292" t="s">
        <v>1368</v>
      </c>
      <c r="D16" s="463">
        <v>609</v>
      </c>
      <c r="E16" s="463">
        <v>584</v>
      </c>
      <c r="F16" s="463">
        <v>541</v>
      </c>
      <c r="G16" s="463">
        <v>493</v>
      </c>
      <c r="H16" s="463">
        <v>508</v>
      </c>
      <c r="I16" s="463">
        <v>492</v>
      </c>
      <c r="J16" s="463">
        <v>449</v>
      </c>
      <c r="K16" s="463">
        <v>470</v>
      </c>
      <c r="L16" s="463">
        <v>438</v>
      </c>
      <c r="M16" s="463">
        <v>427</v>
      </c>
      <c r="N16" s="8"/>
      <c r="O16" s="8"/>
    </row>
    <row r="17" spans="2:15" ht="15" customHeight="1">
      <c r="B17" s="292" t="s">
        <v>1369</v>
      </c>
      <c r="C17" s="292" t="s">
        <v>1370</v>
      </c>
      <c r="D17" s="463">
        <v>15255</v>
      </c>
      <c r="E17" s="463">
        <v>18650</v>
      </c>
      <c r="F17" s="463">
        <v>17694</v>
      </c>
      <c r="G17" s="463">
        <v>8525</v>
      </c>
      <c r="H17" s="463">
        <v>10437</v>
      </c>
      <c r="I17" s="463">
        <v>29125</v>
      </c>
      <c r="J17" s="463">
        <v>22316</v>
      </c>
      <c r="K17" s="463">
        <v>9837</v>
      </c>
      <c r="L17" s="463">
        <v>19434</v>
      </c>
      <c r="M17" s="463">
        <v>12454</v>
      </c>
      <c r="N17" s="8"/>
      <c r="O17" s="8"/>
    </row>
    <row r="18" spans="2:15" ht="15" customHeight="1">
      <c r="B18" s="295" t="s">
        <v>165</v>
      </c>
      <c r="C18" s="295" t="s">
        <v>1371</v>
      </c>
      <c r="D18" s="446">
        <v>38949</v>
      </c>
      <c r="E18" s="446">
        <v>41141</v>
      </c>
      <c r="F18" s="446">
        <v>49926</v>
      </c>
      <c r="G18" s="446">
        <v>32803</v>
      </c>
      <c r="H18" s="446">
        <v>35067</v>
      </c>
      <c r="I18" s="446">
        <v>59693</v>
      </c>
      <c r="J18" s="446">
        <v>51259</v>
      </c>
      <c r="K18" s="446">
        <v>43333</v>
      </c>
      <c r="L18" s="446">
        <v>50358</v>
      </c>
      <c r="M18" s="446">
        <v>42898</v>
      </c>
      <c r="N18" s="15"/>
      <c r="O18" s="15"/>
    </row>
    <row r="19" spans="2:15" ht="15" customHeight="1">
      <c r="B19" s="462" t="s">
        <v>1372</v>
      </c>
      <c r="C19" s="181"/>
      <c r="D19" s="182"/>
      <c r="E19" s="182"/>
      <c r="F19" s="182"/>
      <c r="G19" s="182"/>
      <c r="H19" s="182"/>
      <c r="I19" s="182"/>
      <c r="J19" s="182"/>
      <c r="K19" s="20"/>
      <c r="L19" s="20"/>
      <c r="M19" s="20"/>
      <c r="N19" s="8"/>
      <c r="O19" s="8"/>
    </row>
    <row r="20" spans="2:15" ht="15" customHeight="1">
      <c r="B20" s="292" t="s">
        <v>1373</v>
      </c>
      <c r="C20" s="292" t="s">
        <v>1374</v>
      </c>
      <c r="D20" s="463">
        <v>7116</v>
      </c>
      <c r="E20" s="463">
        <v>7015</v>
      </c>
      <c r="F20" s="463">
        <v>2767</v>
      </c>
      <c r="G20" s="463">
        <v>3014</v>
      </c>
      <c r="H20" s="463">
        <v>3406</v>
      </c>
      <c r="I20" s="463">
        <v>5054</v>
      </c>
      <c r="J20" s="463">
        <v>4036</v>
      </c>
      <c r="K20" s="463">
        <v>3731</v>
      </c>
      <c r="L20" s="463">
        <v>2010</v>
      </c>
      <c r="M20" s="463">
        <v>1621</v>
      </c>
      <c r="N20" s="8"/>
      <c r="O20" s="8"/>
    </row>
    <row r="21" spans="2:15" ht="15" customHeight="1">
      <c r="B21" s="292" t="s">
        <v>1375</v>
      </c>
      <c r="C21" s="292" t="s">
        <v>1376</v>
      </c>
      <c r="D21" s="463">
        <v>13318</v>
      </c>
      <c r="E21" s="463">
        <v>13865</v>
      </c>
      <c r="F21" s="463">
        <v>13385</v>
      </c>
      <c r="G21" s="463">
        <v>12969</v>
      </c>
      <c r="H21" s="463">
        <v>13745</v>
      </c>
      <c r="I21" s="463">
        <v>14882</v>
      </c>
      <c r="J21" s="463">
        <v>16274</v>
      </c>
      <c r="K21" s="463">
        <v>18940</v>
      </c>
      <c r="L21" s="463">
        <v>18393</v>
      </c>
      <c r="M21" s="463">
        <v>19317</v>
      </c>
      <c r="N21" s="8"/>
      <c r="O21" s="8"/>
    </row>
    <row r="22" spans="2:15" ht="15" customHeight="1">
      <c r="B22" s="292" t="s">
        <v>1377</v>
      </c>
      <c r="C22" s="292" t="s">
        <v>1378</v>
      </c>
      <c r="D22" s="463">
        <v>1812</v>
      </c>
      <c r="E22" s="463">
        <v>1855</v>
      </c>
      <c r="F22" s="463">
        <v>1924</v>
      </c>
      <c r="G22" s="463">
        <v>1911</v>
      </c>
      <c r="H22" s="463">
        <v>2383</v>
      </c>
      <c r="I22" s="463">
        <v>3341</v>
      </c>
      <c r="J22" s="463">
        <v>6693</v>
      </c>
      <c r="K22" s="463">
        <v>3706</v>
      </c>
      <c r="L22" s="463">
        <v>8662</v>
      </c>
      <c r="M22" s="463">
        <v>9699</v>
      </c>
      <c r="N22" s="8"/>
      <c r="O22" s="8"/>
    </row>
    <row r="23" spans="2:15" ht="15" customHeight="1">
      <c r="B23" s="292" t="s">
        <v>1379</v>
      </c>
      <c r="C23" s="292" t="s">
        <v>1380</v>
      </c>
      <c r="D23" s="463">
        <v>52648</v>
      </c>
      <c r="E23" s="463">
        <v>48741</v>
      </c>
      <c r="F23" s="463">
        <v>35211</v>
      </c>
      <c r="G23" s="463">
        <v>33936</v>
      </c>
      <c r="H23" s="463">
        <v>28337</v>
      </c>
      <c r="I23" s="463">
        <v>25146</v>
      </c>
      <c r="J23" s="463">
        <v>43370</v>
      </c>
      <c r="K23" s="463">
        <v>64900</v>
      </c>
      <c r="L23" s="463">
        <v>55411</v>
      </c>
      <c r="M23" s="463">
        <v>53731</v>
      </c>
      <c r="N23" s="8"/>
      <c r="O23" s="8"/>
    </row>
    <row r="24" spans="2:15" ht="15" customHeight="1">
      <c r="B24" s="292" t="s">
        <v>1381</v>
      </c>
      <c r="C24" s="292" t="s">
        <v>1382</v>
      </c>
      <c r="D24" s="463">
        <v>54449</v>
      </c>
      <c r="E24" s="463">
        <v>55952</v>
      </c>
      <c r="F24" s="463">
        <v>53411</v>
      </c>
      <c r="G24" s="463">
        <v>48202</v>
      </c>
      <c r="H24" s="463">
        <v>49556</v>
      </c>
      <c r="I24" s="463">
        <v>49208</v>
      </c>
      <c r="J24" s="463">
        <v>51375</v>
      </c>
      <c r="K24" s="463">
        <v>67783</v>
      </c>
      <c r="L24" s="463">
        <v>68527</v>
      </c>
      <c r="M24" s="463">
        <v>71264</v>
      </c>
      <c r="N24" s="8"/>
      <c r="O24" s="8"/>
    </row>
    <row r="25" spans="2:15" ht="15" customHeight="1">
      <c r="B25" s="292" t="s">
        <v>1383</v>
      </c>
      <c r="C25" s="292" t="s">
        <v>1384</v>
      </c>
      <c r="D25" s="463">
        <v>3323</v>
      </c>
      <c r="E25" s="463">
        <v>3229</v>
      </c>
      <c r="F25" s="463">
        <v>2798</v>
      </c>
      <c r="G25" s="463">
        <v>17627</v>
      </c>
      <c r="H25" s="463">
        <v>4879</v>
      </c>
      <c r="I25" s="463">
        <v>7680</v>
      </c>
      <c r="J25" s="463">
        <v>13165</v>
      </c>
      <c r="K25" s="463">
        <v>12472</v>
      </c>
      <c r="L25" s="463">
        <v>9818</v>
      </c>
      <c r="M25" s="463">
        <v>9630</v>
      </c>
      <c r="N25" s="8"/>
      <c r="O25" s="8"/>
    </row>
    <row r="26" spans="2:15" ht="15" customHeight="1">
      <c r="B26" s="292" t="s">
        <v>1385</v>
      </c>
      <c r="C26" s="292" t="s">
        <v>1386</v>
      </c>
      <c r="D26" s="447" t="s">
        <v>568</v>
      </c>
      <c r="E26" s="447" t="s">
        <v>568</v>
      </c>
      <c r="F26" s="447" t="s">
        <v>568</v>
      </c>
      <c r="G26" s="463">
        <v>17133</v>
      </c>
      <c r="H26" s="463">
        <v>16856</v>
      </c>
      <c r="I26" s="463">
        <v>16472</v>
      </c>
      <c r="J26" s="463">
        <v>11033</v>
      </c>
      <c r="K26" s="463">
        <v>11637</v>
      </c>
      <c r="L26" s="463">
        <v>217</v>
      </c>
      <c r="M26" s="447" t="s">
        <v>568</v>
      </c>
      <c r="N26" s="8"/>
      <c r="O26" s="8"/>
    </row>
    <row r="27" spans="2:15" ht="15" customHeight="1">
      <c r="B27" s="292" t="s">
        <v>400</v>
      </c>
      <c r="C27" s="292" t="s">
        <v>1387</v>
      </c>
      <c r="D27" s="447" t="s">
        <v>568</v>
      </c>
      <c r="E27" s="447" t="s">
        <v>568</v>
      </c>
      <c r="F27" s="447" t="s">
        <v>568</v>
      </c>
      <c r="G27" s="447" t="s">
        <v>568</v>
      </c>
      <c r="H27" s="463">
        <v>119162</v>
      </c>
      <c r="I27" s="463">
        <v>121783</v>
      </c>
      <c r="J27" s="463">
        <v>145946</v>
      </c>
      <c r="K27" s="463">
        <v>183168</v>
      </c>
      <c r="L27" s="447" t="s">
        <v>568</v>
      </c>
      <c r="M27" s="447" t="s">
        <v>568</v>
      </c>
      <c r="N27" s="8"/>
      <c r="O27" s="8"/>
    </row>
    <row r="28" spans="2:15" ht="15" customHeight="1">
      <c r="B28" s="295" t="s">
        <v>401</v>
      </c>
      <c r="C28" s="295" t="s">
        <v>1388</v>
      </c>
      <c r="D28" s="446">
        <v>171615</v>
      </c>
      <c r="E28" s="446">
        <v>171797</v>
      </c>
      <c r="F28" s="446">
        <v>159422</v>
      </c>
      <c r="G28" s="446">
        <v>167594</v>
      </c>
      <c r="H28" s="446">
        <v>154229</v>
      </c>
      <c r="I28" s="446">
        <v>181476</v>
      </c>
      <c r="J28" s="446">
        <v>197205</v>
      </c>
      <c r="K28" s="446">
        <v>226501</v>
      </c>
      <c r="L28" s="446">
        <v>213396</v>
      </c>
      <c r="M28" s="446">
        <v>208160</v>
      </c>
      <c r="N28" s="15"/>
      <c r="O28" s="15"/>
    </row>
    <row r="29" spans="2:15" ht="15" customHeight="1">
      <c r="B29" s="462" t="s">
        <v>1389</v>
      </c>
      <c r="C29" s="181"/>
      <c r="D29" s="182"/>
      <c r="E29" s="182"/>
      <c r="F29" s="182"/>
      <c r="G29" s="182"/>
      <c r="H29" s="182"/>
      <c r="I29" s="182"/>
      <c r="J29" s="182"/>
      <c r="K29" s="20"/>
      <c r="L29" s="20"/>
      <c r="M29" s="20"/>
      <c r="N29" s="8"/>
      <c r="O29" s="8"/>
    </row>
    <row r="30" spans="2:15" ht="15" customHeight="1">
      <c r="B30" s="292" t="s">
        <v>1390</v>
      </c>
      <c r="C30" s="292" t="s">
        <v>1391</v>
      </c>
      <c r="D30" s="463">
        <v>4536</v>
      </c>
      <c r="E30" s="463">
        <v>4656</v>
      </c>
      <c r="F30" s="463">
        <v>4674</v>
      </c>
      <c r="G30" s="463">
        <v>3887</v>
      </c>
      <c r="H30" s="463">
        <v>4283</v>
      </c>
      <c r="I30" s="463">
        <v>5578</v>
      </c>
      <c r="J30" s="463">
        <v>6809</v>
      </c>
      <c r="K30" s="463">
        <v>6710</v>
      </c>
      <c r="L30" s="463">
        <v>5633</v>
      </c>
      <c r="M30" s="463">
        <v>5240</v>
      </c>
      <c r="N30" s="8"/>
      <c r="O30" s="8"/>
    </row>
    <row r="31" spans="2:15" ht="15" customHeight="1">
      <c r="B31" s="292" t="s">
        <v>1392</v>
      </c>
      <c r="C31" s="292" t="s">
        <v>1393</v>
      </c>
      <c r="D31" s="463">
        <v>2487</v>
      </c>
      <c r="E31" s="463">
        <v>2196</v>
      </c>
      <c r="F31" s="463">
        <v>2397</v>
      </c>
      <c r="G31" s="463">
        <v>2390</v>
      </c>
      <c r="H31" s="463">
        <v>3049</v>
      </c>
      <c r="I31" s="463">
        <v>3332</v>
      </c>
      <c r="J31" s="463">
        <v>3407</v>
      </c>
      <c r="K31" s="463">
        <v>2776</v>
      </c>
      <c r="L31" s="463">
        <v>3838</v>
      </c>
      <c r="M31" s="463">
        <v>3610</v>
      </c>
      <c r="N31" s="8"/>
      <c r="O31" s="8"/>
    </row>
    <row r="32" spans="2:15" ht="15" customHeight="1">
      <c r="B32" s="292" t="s">
        <v>1394</v>
      </c>
      <c r="C32" s="292" t="s">
        <v>1395</v>
      </c>
      <c r="D32" s="447" t="s">
        <v>568</v>
      </c>
      <c r="E32" s="447" t="s">
        <v>568</v>
      </c>
      <c r="F32" s="447" t="s">
        <v>568</v>
      </c>
      <c r="G32" s="447" t="s">
        <v>568</v>
      </c>
      <c r="H32" s="463">
        <v>1113</v>
      </c>
      <c r="I32" s="463">
        <v>3067</v>
      </c>
      <c r="J32" s="463">
        <v>2520</v>
      </c>
      <c r="K32" s="463">
        <v>2700</v>
      </c>
      <c r="L32" s="463">
        <v>1511</v>
      </c>
      <c r="M32" s="463">
        <v>784</v>
      </c>
      <c r="N32" s="8"/>
      <c r="O32" s="8"/>
    </row>
    <row r="33" spans="2:15" ht="15" customHeight="1">
      <c r="B33" s="292" t="s">
        <v>1396</v>
      </c>
      <c r="C33" s="292" t="s">
        <v>1397</v>
      </c>
      <c r="D33" s="463">
        <v>1944</v>
      </c>
      <c r="E33" s="463">
        <v>2029</v>
      </c>
      <c r="F33" s="463">
        <v>2047</v>
      </c>
      <c r="G33" s="463">
        <v>2104</v>
      </c>
      <c r="H33" s="463">
        <v>2162</v>
      </c>
      <c r="I33" s="463">
        <v>2249</v>
      </c>
      <c r="J33" s="463">
        <v>2303</v>
      </c>
      <c r="K33" s="463">
        <v>2372</v>
      </c>
      <c r="L33" s="463">
        <v>2437</v>
      </c>
      <c r="M33" s="463">
        <v>2445</v>
      </c>
      <c r="N33" s="8"/>
      <c r="O33" s="8"/>
    </row>
    <row r="34" spans="2:15" ht="15" customHeight="1">
      <c r="B34" s="292" t="s">
        <v>168</v>
      </c>
      <c r="C34" s="292" t="s">
        <v>1398</v>
      </c>
      <c r="D34" s="463">
        <v>11023</v>
      </c>
      <c r="E34" s="463">
        <v>11116</v>
      </c>
      <c r="F34" s="463">
        <v>10754</v>
      </c>
      <c r="G34" s="463">
        <v>11748</v>
      </c>
      <c r="H34" s="463">
        <v>11561</v>
      </c>
      <c r="I34" s="463">
        <v>24939</v>
      </c>
      <c r="J34" s="463">
        <v>22567</v>
      </c>
      <c r="K34" s="463">
        <v>20537</v>
      </c>
      <c r="L34" s="463">
        <v>19720</v>
      </c>
      <c r="M34" s="463">
        <v>18648</v>
      </c>
      <c r="N34" s="8"/>
      <c r="O34" s="8"/>
    </row>
    <row r="35" spans="2:15" ht="15" customHeight="1">
      <c r="B35" s="292" t="s">
        <v>1399</v>
      </c>
      <c r="C35" s="292" t="s">
        <v>1400</v>
      </c>
      <c r="D35" s="463">
        <v>437</v>
      </c>
      <c r="E35" s="463">
        <v>477</v>
      </c>
      <c r="F35" s="463">
        <v>1265</v>
      </c>
      <c r="G35" s="463">
        <v>980</v>
      </c>
      <c r="H35" s="463">
        <v>1049</v>
      </c>
      <c r="I35" s="463">
        <v>1266</v>
      </c>
      <c r="J35" s="463">
        <v>1587</v>
      </c>
      <c r="K35" s="463">
        <v>2349</v>
      </c>
      <c r="L35" s="463">
        <v>2910</v>
      </c>
      <c r="M35" s="463">
        <v>3103</v>
      </c>
      <c r="N35" s="8"/>
      <c r="O35" s="8"/>
    </row>
    <row r="36" spans="2:15" ht="15" customHeight="1">
      <c r="B36" s="292" t="s">
        <v>1401</v>
      </c>
      <c r="C36" s="292" t="s">
        <v>1402</v>
      </c>
      <c r="D36" s="463">
        <v>10688</v>
      </c>
      <c r="E36" s="463">
        <v>9953</v>
      </c>
      <c r="F36" s="463">
        <v>8831</v>
      </c>
      <c r="G36" s="463">
        <v>16195</v>
      </c>
      <c r="H36" s="463">
        <v>2703</v>
      </c>
      <c r="I36" s="463">
        <v>2241</v>
      </c>
      <c r="J36" s="463">
        <v>2945</v>
      </c>
      <c r="K36" s="463">
        <v>10350</v>
      </c>
      <c r="L36" s="463">
        <v>6946</v>
      </c>
      <c r="M36" s="463">
        <v>3154</v>
      </c>
      <c r="N36" s="8"/>
      <c r="O36" s="8"/>
    </row>
    <row r="37" spans="2:15" ht="15" customHeight="1">
      <c r="B37" s="292" t="s">
        <v>1403</v>
      </c>
      <c r="C37" s="292" t="s">
        <v>1404</v>
      </c>
      <c r="D37" s="447" t="s">
        <v>568</v>
      </c>
      <c r="E37" s="447" t="s">
        <v>568</v>
      </c>
      <c r="F37" s="463">
        <v>1890</v>
      </c>
      <c r="G37" s="447" t="s">
        <v>568</v>
      </c>
      <c r="H37" s="447" t="s">
        <v>568</v>
      </c>
      <c r="I37" s="447" t="s">
        <v>568</v>
      </c>
      <c r="J37" s="447" t="s">
        <v>568</v>
      </c>
      <c r="K37" s="447" t="s">
        <v>568</v>
      </c>
      <c r="L37" s="447" t="s">
        <v>568</v>
      </c>
      <c r="M37" s="447" t="s">
        <v>568</v>
      </c>
      <c r="N37" s="8"/>
      <c r="O37" s="8"/>
    </row>
    <row r="38" spans="2:15" ht="15" customHeight="1">
      <c r="B38" s="295" t="s">
        <v>169</v>
      </c>
      <c r="C38" s="295" t="s">
        <v>1405</v>
      </c>
      <c r="D38" s="446">
        <v>31115</v>
      </c>
      <c r="E38" s="446">
        <v>30427</v>
      </c>
      <c r="F38" s="446">
        <v>31858</v>
      </c>
      <c r="G38" s="446">
        <v>37304</v>
      </c>
      <c r="H38" s="446">
        <v>25920</v>
      </c>
      <c r="I38" s="446">
        <v>42672</v>
      </c>
      <c r="J38" s="446">
        <v>42138</v>
      </c>
      <c r="K38" s="446">
        <v>47794</v>
      </c>
      <c r="L38" s="446">
        <v>42995</v>
      </c>
      <c r="M38" s="446">
        <v>36984</v>
      </c>
      <c r="N38" s="15"/>
      <c r="O38" s="15"/>
    </row>
    <row r="39" spans="2:15" ht="15" customHeight="1">
      <c r="B39" s="462" t="s">
        <v>1406</v>
      </c>
      <c r="C39" s="181"/>
      <c r="D39" s="182"/>
      <c r="E39" s="182"/>
      <c r="F39" s="182"/>
      <c r="G39" s="182"/>
      <c r="H39" s="182"/>
      <c r="I39" s="182"/>
      <c r="J39" s="182"/>
      <c r="K39" s="20"/>
      <c r="L39" s="20"/>
      <c r="M39" s="20"/>
      <c r="N39" s="8"/>
      <c r="O39" s="8"/>
    </row>
    <row r="40" spans="2:15" ht="15" customHeight="1">
      <c r="B40" s="292" t="s">
        <v>1303</v>
      </c>
      <c r="C40" s="292" t="s">
        <v>1407</v>
      </c>
      <c r="D40" s="447" t="s">
        <v>568</v>
      </c>
      <c r="E40" s="447" t="s">
        <v>568</v>
      </c>
      <c r="F40" s="447" t="s">
        <v>568</v>
      </c>
      <c r="G40" s="447" t="s">
        <v>568</v>
      </c>
      <c r="H40" s="447" t="s">
        <v>568</v>
      </c>
      <c r="I40" s="447" t="s">
        <v>568</v>
      </c>
      <c r="J40" s="463">
        <v>59150</v>
      </c>
      <c r="K40" s="463">
        <v>89419</v>
      </c>
      <c r="L40" s="447" t="s">
        <v>568</v>
      </c>
      <c r="M40" s="447" t="s">
        <v>568</v>
      </c>
      <c r="N40" s="8"/>
      <c r="O40" s="8"/>
    </row>
    <row r="41" spans="2:15" ht="15" customHeight="1">
      <c r="B41" s="292" t="s">
        <v>1408</v>
      </c>
      <c r="C41" s="292" t="s">
        <v>1409</v>
      </c>
      <c r="D41" s="463">
        <v>31398</v>
      </c>
      <c r="E41" s="463">
        <v>33538</v>
      </c>
      <c r="F41" s="463">
        <v>32909</v>
      </c>
      <c r="G41" s="463">
        <v>35955</v>
      </c>
      <c r="H41" s="463">
        <v>37133</v>
      </c>
      <c r="I41" s="463">
        <v>36195</v>
      </c>
      <c r="J41" s="463">
        <v>32884</v>
      </c>
      <c r="K41" s="463">
        <v>61538</v>
      </c>
      <c r="L41" s="463">
        <v>57405</v>
      </c>
      <c r="M41" s="463">
        <v>61641</v>
      </c>
      <c r="N41" s="8"/>
      <c r="O41" s="8"/>
    </row>
    <row r="42" spans="2:15" ht="15" customHeight="1">
      <c r="B42" s="292" t="s">
        <v>1410</v>
      </c>
      <c r="C42" s="292" t="s">
        <v>1411</v>
      </c>
      <c r="D42" s="463">
        <v>30753</v>
      </c>
      <c r="E42" s="463">
        <v>3900</v>
      </c>
      <c r="F42" s="463">
        <v>3700</v>
      </c>
      <c r="G42" s="463">
        <v>5652</v>
      </c>
      <c r="H42" s="463">
        <v>4063</v>
      </c>
      <c r="I42" s="463">
        <v>349</v>
      </c>
      <c r="J42" s="463">
        <v>1023</v>
      </c>
      <c r="K42" s="463">
        <v>640</v>
      </c>
      <c r="L42" s="463">
        <v>2122</v>
      </c>
      <c r="M42" s="463">
        <v>2401</v>
      </c>
      <c r="N42" s="8"/>
      <c r="O42" s="8"/>
    </row>
    <row r="43" spans="2:15" ht="15" customHeight="1">
      <c r="B43" s="292" t="s">
        <v>1412</v>
      </c>
      <c r="C43" s="292" t="s">
        <v>1413</v>
      </c>
      <c r="D43" s="463">
        <v>8172</v>
      </c>
      <c r="E43" s="463">
        <v>7430</v>
      </c>
      <c r="F43" s="463">
        <v>6610</v>
      </c>
      <c r="G43" s="463">
        <v>6217</v>
      </c>
      <c r="H43" s="463">
        <v>5411</v>
      </c>
      <c r="I43" s="463">
        <v>3724</v>
      </c>
      <c r="J43" s="463">
        <v>2251</v>
      </c>
      <c r="K43" s="463">
        <v>2167</v>
      </c>
      <c r="L43" s="463">
        <v>2115</v>
      </c>
      <c r="M43" s="463">
        <v>2041</v>
      </c>
      <c r="N43" s="8"/>
      <c r="O43" s="8"/>
    </row>
    <row r="44" spans="2:15" ht="15" customHeight="1">
      <c r="B44" s="292" t="s">
        <v>1414</v>
      </c>
      <c r="C44" s="292" t="s">
        <v>1415</v>
      </c>
      <c r="D44" s="463">
        <v>6337</v>
      </c>
      <c r="E44" s="463">
        <v>6149</v>
      </c>
      <c r="F44" s="463">
        <v>5850</v>
      </c>
      <c r="G44" s="463">
        <v>6894</v>
      </c>
      <c r="H44" s="463">
        <v>6669</v>
      </c>
      <c r="I44" s="463">
        <v>9743</v>
      </c>
      <c r="J44" s="463">
        <v>13180</v>
      </c>
      <c r="K44" s="463">
        <v>16540</v>
      </c>
      <c r="L44" s="463">
        <v>14150</v>
      </c>
      <c r="M44" s="463">
        <v>14727</v>
      </c>
      <c r="N44" s="8"/>
      <c r="O44" s="8"/>
    </row>
    <row r="45" spans="2:15" ht="15" customHeight="1">
      <c r="B45" s="292" t="s">
        <v>1416</v>
      </c>
      <c r="C45" s="292" t="s">
        <v>1417</v>
      </c>
      <c r="D45" s="463">
        <v>4000</v>
      </c>
      <c r="E45" s="463">
        <v>18697</v>
      </c>
      <c r="F45" s="463">
        <v>14737</v>
      </c>
      <c r="G45" s="463">
        <v>12126</v>
      </c>
      <c r="H45" s="463">
        <v>11560</v>
      </c>
      <c r="I45" s="463">
        <v>11331</v>
      </c>
      <c r="J45" s="463">
        <v>9812</v>
      </c>
      <c r="K45" s="463">
        <v>8534</v>
      </c>
      <c r="L45" s="463">
        <v>6112</v>
      </c>
      <c r="M45" s="463">
        <v>3591</v>
      </c>
      <c r="N45" s="8"/>
      <c r="O45" s="8"/>
    </row>
    <row r="46" spans="2:15" ht="15" customHeight="1">
      <c r="B46" s="295" t="s">
        <v>407</v>
      </c>
      <c r="C46" s="295" t="s">
        <v>1418</v>
      </c>
      <c r="D46" s="446">
        <v>111775</v>
      </c>
      <c r="E46" s="446">
        <v>100141</v>
      </c>
      <c r="F46" s="446">
        <v>95664</v>
      </c>
      <c r="G46" s="446">
        <v>104148</v>
      </c>
      <c r="H46" s="446">
        <v>90756</v>
      </c>
      <c r="I46" s="446">
        <v>104013</v>
      </c>
      <c r="J46" s="446">
        <v>101288</v>
      </c>
      <c r="K46" s="446">
        <v>137213</v>
      </c>
      <c r="L46" s="446">
        <v>124899</v>
      </c>
      <c r="M46" s="446">
        <v>121385</v>
      </c>
      <c r="N46" s="15"/>
      <c r="O46" s="15"/>
    </row>
    <row r="47" spans="2:15" ht="15" customHeight="1">
      <c r="B47" s="462" t="s">
        <v>1419</v>
      </c>
      <c r="C47" s="181"/>
      <c r="D47" s="182"/>
      <c r="E47" s="182"/>
      <c r="F47" s="182"/>
      <c r="G47" s="182"/>
      <c r="H47" s="182"/>
      <c r="I47" s="182"/>
      <c r="J47" s="182"/>
      <c r="K47" s="20"/>
      <c r="L47" s="20"/>
      <c r="M47" s="20"/>
      <c r="N47" s="8"/>
      <c r="O47" s="8"/>
    </row>
    <row r="48" spans="2:15" ht="15" customHeight="1">
      <c r="B48" s="292" t="s">
        <v>1420</v>
      </c>
      <c r="C48" s="292" t="s">
        <v>1421</v>
      </c>
      <c r="D48" s="463">
        <v>24</v>
      </c>
      <c r="E48" s="463">
        <v>21</v>
      </c>
      <c r="F48" s="463">
        <v>19</v>
      </c>
      <c r="G48" s="463">
        <v>17</v>
      </c>
      <c r="H48" s="463">
        <v>0</v>
      </c>
      <c r="I48" s="463">
        <v>0</v>
      </c>
      <c r="J48" s="463">
        <v>0</v>
      </c>
      <c r="K48" s="463">
        <v>0</v>
      </c>
      <c r="L48" s="447" t="s">
        <v>568</v>
      </c>
      <c r="M48" s="447" t="s">
        <v>568</v>
      </c>
      <c r="N48" s="8"/>
      <c r="O48" s="8"/>
    </row>
    <row r="49" spans="2:15" ht="15" customHeight="1">
      <c r="B49" s="292" t="s">
        <v>1422</v>
      </c>
      <c r="C49" s="292" t="s">
        <v>1423</v>
      </c>
      <c r="D49" s="463">
        <v>296</v>
      </c>
      <c r="E49" s="463">
        <v>348</v>
      </c>
      <c r="F49" s="463">
        <v>351</v>
      </c>
      <c r="G49" s="463">
        <v>303</v>
      </c>
      <c r="H49" s="463">
        <v>235</v>
      </c>
      <c r="I49" s="463">
        <v>262</v>
      </c>
      <c r="J49" s="463">
        <v>256</v>
      </c>
      <c r="K49" s="463">
        <v>274</v>
      </c>
      <c r="L49" s="463">
        <v>294</v>
      </c>
      <c r="M49" s="463">
        <v>299</v>
      </c>
      <c r="N49" s="8"/>
      <c r="O49" s="8"/>
    </row>
    <row r="50" spans="2:15" ht="15" customHeight="1">
      <c r="B50" s="292" t="s">
        <v>1424</v>
      </c>
      <c r="C50" s="292" t="s">
        <v>1425</v>
      </c>
      <c r="D50" s="463">
        <v>461</v>
      </c>
      <c r="E50" s="463">
        <v>464</v>
      </c>
      <c r="F50" s="463">
        <v>467</v>
      </c>
      <c r="G50" s="463">
        <v>468</v>
      </c>
      <c r="H50" s="463">
        <v>470</v>
      </c>
      <c r="I50" s="463">
        <v>473</v>
      </c>
      <c r="J50" s="463">
        <v>476</v>
      </c>
      <c r="K50" s="463">
        <v>478</v>
      </c>
      <c r="L50" s="463">
        <v>480</v>
      </c>
      <c r="M50" s="463">
        <v>481</v>
      </c>
      <c r="N50" s="8"/>
      <c r="O50" s="8"/>
    </row>
    <row r="51" spans="2:15" ht="15" customHeight="1">
      <c r="B51" s="292" t="s">
        <v>1426</v>
      </c>
      <c r="C51" s="292" t="s">
        <v>1427</v>
      </c>
      <c r="D51" s="463">
        <v>82685</v>
      </c>
      <c r="E51" s="463">
        <v>84278</v>
      </c>
      <c r="F51" s="463">
        <v>86253</v>
      </c>
      <c r="G51" s="463">
        <v>87428</v>
      </c>
      <c r="H51" s="463">
        <v>88674</v>
      </c>
      <c r="I51" s="463">
        <v>90591</v>
      </c>
      <c r="J51" s="463">
        <v>91802</v>
      </c>
      <c r="K51" s="463">
        <v>92631</v>
      </c>
      <c r="L51" s="463">
        <v>93603</v>
      </c>
      <c r="M51" s="463">
        <v>94469</v>
      </c>
      <c r="N51" s="8"/>
      <c r="O51" s="8"/>
    </row>
    <row r="52" spans="2:15" ht="15" customHeight="1">
      <c r="B52" s="292" t="s">
        <v>1428</v>
      </c>
      <c r="C52" s="292" t="s">
        <v>1429</v>
      </c>
      <c r="D52" s="463">
        <v>-84364</v>
      </c>
      <c r="E52" s="463">
        <v>-89425</v>
      </c>
      <c r="F52" s="463">
        <v>-101610</v>
      </c>
      <c r="G52" s="463">
        <v>-110801</v>
      </c>
      <c r="H52" s="463">
        <v>-110988</v>
      </c>
      <c r="I52" s="463">
        <v>-111361</v>
      </c>
      <c r="J52" s="463">
        <v>-113969</v>
      </c>
      <c r="K52" s="463">
        <v>-114487</v>
      </c>
      <c r="L52" s="463">
        <v>-114763</v>
      </c>
      <c r="M52" s="463">
        <v>-115015</v>
      </c>
      <c r="N52" s="8"/>
      <c r="O52" s="8"/>
    </row>
    <row r="53" spans="2:15" ht="15" customHeight="1">
      <c r="B53" s="292" t="s">
        <v>1430</v>
      </c>
      <c r="C53" s="292" t="s">
        <v>1431</v>
      </c>
      <c r="D53" s="463">
        <v>-11036</v>
      </c>
      <c r="E53" s="463">
        <v>-9321</v>
      </c>
      <c r="F53" s="463">
        <v>-11275</v>
      </c>
      <c r="G53" s="463">
        <v>-11641</v>
      </c>
      <c r="H53" s="463">
        <v>-5310</v>
      </c>
      <c r="I53" s="463">
        <v>-5897</v>
      </c>
      <c r="J53" s="463">
        <v>-8304</v>
      </c>
      <c r="K53" s="463">
        <v>-7961</v>
      </c>
      <c r="L53" s="463">
        <v>-7842</v>
      </c>
      <c r="M53" s="463">
        <v>-8069</v>
      </c>
      <c r="N53" s="8"/>
      <c r="O53" s="8"/>
    </row>
    <row r="54" spans="2:15" ht="15" customHeight="1">
      <c r="B54" s="292" t="s">
        <v>1432</v>
      </c>
      <c r="C54" s="292" t="s">
        <v>1433</v>
      </c>
      <c r="D54" s="463">
        <v>71774</v>
      </c>
      <c r="E54" s="463">
        <v>85291</v>
      </c>
      <c r="F54" s="463">
        <v>89554</v>
      </c>
      <c r="G54" s="463">
        <v>97670</v>
      </c>
      <c r="H54" s="463">
        <v>90392</v>
      </c>
      <c r="I54" s="463">
        <v>103394</v>
      </c>
      <c r="J54" s="463">
        <v>125656</v>
      </c>
      <c r="K54" s="463">
        <v>118353</v>
      </c>
      <c r="L54" s="463">
        <v>116725</v>
      </c>
      <c r="M54" s="463">
        <v>114610</v>
      </c>
      <c r="N54" s="8"/>
      <c r="O54" s="8"/>
    </row>
    <row r="55" spans="2:15" ht="15" customHeight="1">
      <c r="B55" s="292" t="s">
        <v>1434</v>
      </c>
      <c r="C55" s="292" t="s">
        <v>1435</v>
      </c>
      <c r="D55" s="447" t="s">
        <v>568</v>
      </c>
      <c r="E55" s="447" t="s">
        <v>568</v>
      </c>
      <c r="F55" s="463">
        <v>-1</v>
      </c>
      <c r="G55" s="463">
        <v>2</v>
      </c>
      <c r="H55" s="447" t="s">
        <v>568</v>
      </c>
      <c r="I55" s="447" t="s">
        <v>568</v>
      </c>
      <c r="J55" s="447" t="s">
        <v>568</v>
      </c>
      <c r="K55" s="447" t="s">
        <v>568</v>
      </c>
      <c r="L55" s="447" t="s">
        <v>568</v>
      </c>
      <c r="M55" s="447" t="s">
        <v>568</v>
      </c>
      <c r="N55" s="8"/>
      <c r="O55" s="8"/>
    </row>
    <row r="56" spans="2:15" ht="15" customHeight="1">
      <c r="B56" s="292" t="s">
        <v>1436</v>
      </c>
      <c r="C56" s="292" t="s">
        <v>1437</v>
      </c>
      <c r="D56" s="464">
        <v>0.05</v>
      </c>
      <c r="E56" s="464">
        <v>0.05</v>
      </c>
      <c r="F56" s="464">
        <v>0.05</v>
      </c>
      <c r="G56" s="461" t="s">
        <v>568</v>
      </c>
      <c r="H56" s="464">
        <v>0.05</v>
      </c>
      <c r="I56" s="464">
        <v>0.05</v>
      </c>
      <c r="J56" s="464">
        <v>0.05</v>
      </c>
      <c r="K56" s="464">
        <v>0.05</v>
      </c>
      <c r="L56" s="464">
        <v>0.05</v>
      </c>
      <c r="M56" s="464">
        <v>0.05</v>
      </c>
      <c r="N56" s="8"/>
      <c r="O56" s="8"/>
    </row>
    <row r="57" spans="2:15" ht="15" customHeight="1">
      <c r="B57" s="292" t="s">
        <v>1438</v>
      </c>
      <c r="C57" s="292" t="s">
        <v>1439</v>
      </c>
      <c r="D57" s="463">
        <v>3160</v>
      </c>
      <c r="E57" s="463">
        <v>3296</v>
      </c>
      <c r="F57" s="463">
        <v>3615</v>
      </c>
      <c r="G57" s="463">
        <v>3835</v>
      </c>
      <c r="H57" s="463">
        <v>3840</v>
      </c>
      <c r="I57" s="463">
        <v>3851</v>
      </c>
      <c r="J57" s="463">
        <v>3903</v>
      </c>
      <c r="K57" s="463">
        <v>3916</v>
      </c>
      <c r="L57" s="463">
        <v>3926</v>
      </c>
      <c r="M57" s="463">
        <v>3935</v>
      </c>
      <c r="N57" s="8"/>
      <c r="O57" s="8"/>
    </row>
    <row r="58" spans="2:15" ht="15" customHeight="1">
      <c r="B58" s="292" t="s">
        <v>1440</v>
      </c>
      <c r="C58" s="292" t="s">
        <v>1441</v>
      </c>
      <c r="D58" s="463">
        <v>9230</v>
      </c>
      <c r="E58" s="463">
        <v>9275</v>
      </c>
      <c r="F58" s="463">
        <v>9332</v>
      </c>
      <c r="G58" s="463">
        <v>9369</v>
      </c>
      <c r="H58" s="463">
        <v>9407</v>
      </c>
      <c r="I58" s="463">
        <v>9471</v>
      </c>
      <c r="J58" s="463">
        <v>9519</v>
      </c>
      <c r="K58" s="463">
        <v>9562</v>
      </c>
      <c r="L58" s="463">
        <v>9593</v>
      </c>
      <c r="M58" s="447" t="s">
        <v>568</v>
      </c>
      <c r="N58" s="8"/>
      <c r="O58" s="8"/>
    </row>
    <row r="59" spans="2:15" ht="15" customHeight="1">
      <c r="B59" s="292" t="s">
        <v>1442</v>
      </c>
      <c r="C59" s="292" t="s">
        <v>1443</v>
      </c>
      <c r="D59" s="463">
        <v>59840</v>
      </c>
      <c r="E59" s="463">
        <v>71656</v>
      </c>
      <c r="F59" s="463">
        <v>63758</v>
      </c>
      <c r="G59" s="463">
        <v>63447</v>
      </c>
      <c r="H59" s="463">
        <v>63473</v>
      </c>
      <c r="I59" s="463">
        <v>77462</v>
      </c>
      <c r="J59" s="463">
        <v>95917</v>
      </c>
      <c r="K59" s="463">
        <v>89288</v>
      </c>
      <c r="L59" s="463">
        <v>88497</v>
      </c>
      <c r="M59" s="463">
        <v>86775</v>
      </c>
      <c r="N59" s="8"/>
      <c r="O59" s="8"/>
    </row>
    <row r="60" spans="2:15" ht="15" customHeight="1">
      <c r="B60" s="292" t="s">
        <v>1444</v>
      </c>
      <c r="C60" s="292" t="s">
        <v>1445</v>
      </c>
      <c r="D60" s="463">
        <v>12000</v>
      </c>
      <c r="E60" s="463">
        <v>12000</v>
      </c>
      <c r="F60" s="463">
        <v>12000</v>
      </c>
      <c r="G60" s="447" t="s">
        <v>568</v>
      </c>
      <c r="H60" s="463">
        <v>12000</v>
      </c>
      <c r="I60" s="463">
        <v>12000</v>
      </c>
      <c r="J60" s="463">
        <v>12000</v>
      </c>
      <c r="K60" s="463">
        <v>12000</v>
      </c>
      <c r="L60" s="463">
        <v>12000</v>
      </c>
      <c r="M60" s="463">
        <v>12000</v>
      </c>
      <c r="N60" s="8"/>
      <c r="O60" s="8"/>
    </row>
    <row r="61" spans="2:15" ht="15" customHeight="1">
      <c r="B61" s="292" t="s">
        <v>1446</v>
      </c>
      <c r="C61" s="292" t="s">
        <v>1447</v>
      </c>
      <c r="D61" s="463">
        <v>59544</v>
      </c>
      <c r="E61" s="463">
        <v>71308</v>
      </c>
      <c r="F61" s="463">
        <v>63407</v>
      </c>
      <c r="G61" s="463">
        <v>63143</v>
      </c>
      <c r="H61" s="463">
        <v>63238</v>
      </c>
      <c r="I61" s="463">
        <v>77201</v>
      </c>
      <c r="J61" s="463">
        <v>95661</v>
      </c>
      <c r="K61" s="463">
        <v>89014</v>
      </c>
      <c r="L61" s="463">
        <v>88203</v>
      </c>
      <c r="M61" s="463">
        <v>86476</v>
      </c>
      <c r="N61" s="8"/>
      <c r="O61" s="8"/>
    </row>
    <row r="62" spans="2:15" ht="15" customHeight="1">
      <c r="B62" s="295" t="s">
        <v>1448</v>
      </c>
      <c r="C62" s="295" t="s">
        <v>1449</v>
      </c>
      <c r="D62" s="446">
        <v>171615</v>
      </c>
      <c r="E62" s="446">
        <v>171797</v>
      </c>
      <c r="F62" s="446">
        <v>159422</v>
      </c>
      <c r="G62" s="446">
        <v>167594</v>
      </c>
      <c r="H62" s="446">
        <v>154229</v>
      </c>
      <c r="I62" s="446">
        <v>181476</v>
      </c>
      <c r="J62" s="446">
        <v>197205</v>
      </c>
      <c r="K62" s="446">
        <v>226501</v>
      </c>
      <c r="L62" s="446">
        <v>213396</v>
      </c>
      <c r="M62" s="446">
        <v>208160</v>
      </c>
      <c r="N62" s="15"/>
      <c r="O62" s="15"/>
    </row>
    <row r="63" spans="2:15" ht="15" customHeight="1">
      <c r="B63" s="462" t="s">
        <v>828</v>
      </c>
      <c r="C63" s="181"/>
      <c r="D63" s="182"/>
      <c r="E63" s="182"/>
      <c r="F63" s="182"/>
      <c r="G63" s="182"/>
      <c r="H63" s="182"/>
      <c r="I63" s="182"/>
      <c r="J63" s="182"/>
      <c r="K63" s="20"/>
      <c r="L63" s="20"/>
      <c r="M63" s="20"/>
      <c r="N63" s="8"/>
      <c r="O63" s="8"/>
    </row>
    <row r="64" spans="2:15" ht="15" customHeight="1">
      <c r="B64" s="292" t="s">
        <v>163</v>
      </c>
      <c r="C64" s="292" t="s">
        <v>1450</v>
      </c>
      <c r="D64" s="463">
        <v>6783</v>
      </c>
      <c r="E64" s="463">
        <v>7578</v>
      </c>
      <c r="F64" s="463">
        <v>7508</v>
      </c>
      <c r="G64" s="463">
        <v>7068</v>
      </c>
      <c r="H64" s="463">
        <v>8020</v>
      </c>
      <c r="I64" s="463">
        <v>9059</v>
      </c>
      <c r="J64" s="463">
        <v>8981</v>
      </c>
      <c r="K64" s="463">
        <v>10189</v>
      </c>
      <c r="L64" s="463">
        <v>10851</v>
      </c>
      <c r="M64" s="463">
        <v>10654</v>
      </c>
      <c r="N64" s="8"/>
      <c r="O64" s="8"/>
    </row>
    <row r="65" spans="2:15" ht="15" customHeight="1">
      <c r="B65" s="292" t="s">
        <v>1451</v>
      </c>
      <c r="C65" s="292" t="s">
        <v>1452</v>
      </c>
      <c r="D65" s="463">
        <v>530</v>
      </c>
      <c r="E65" s="463">
        <v>540</v>
      </c>
      <c r="F65" s="463">
        <v>500</v>
      </c>
      <c r="G65" s="463">
        <v>495</v>
      </c>
      <c r="H65" s="463">
        <v>443</v>
      </c>
      <c r="I65" s="463">
        <v>423</v>
      </c>
      <c r="J65" s="463">
        <v>368</v>
      </c>
      <c r="K65" s="463">
        <v>353</v>
      </c>
      <c r="L65" s="463">
        <v>291</v>
      </c>
      <c r="M65" s="463">
        <v>299</v>
      </c>
      <c r="N65" s="8"/>
      <c r="O65" s="8"/>
    </row>
    <row r="66" spans="2:15" ht="15" customHeight="1">
      <c r="B66" s="292" t="s">
        <v>1453</v>
      </c>
      <c r="C66" s="292" t="s">
        <v>1454</v>
      </c>
      <c r="D66" s="463">
        <v>9810</v>
      </c>
      <c r="E66" s="463">
        <v>10254</v>
      </c>
      <c r="F66" s="463">
        <v>9920</v>
      </c>
      <c r="G66" s="463">
        <v>9181</v>
      </c>
      <c r="H66" s="463">
        <v>8998</v>
      </c>
      <c r="I66" s="463">
        <v>9001</v>
      </c>
      <c r="J66" s="463">
        <v>8832</v>
      </c>
      <c r="K66" s="463">
        <v>9046</v>
      </c>
      <c r="L66" s="463">
        <v>9036</v>
      </c>
      <c r="M66" s="463">
        <v>9744</v>
      </c>
      <c r="N66" s="8"/>
      <c r="O66" s="8"/>
    </row>
    <row r="67" spans="2:15" ht="15" customHeight="1">
      <c r="B67" s="292" t="s">
        <v>1455</v>
      </c>
      <c r="C67" s="292" t="s">
        <v>1456</v>
      </c>
      <c r="D67" s="463">
        <v>2127</v>
      </c>
      <c r="E67" s="463">
        <v>2680</v>
      </c>
      <c r="F67" s="463">
        <v>2992</v>
      </c>
      <c r="G67" s="463">
        <v>2794</v>
      </c>
      <c r="H67" s="463">
        <v>3481</v>
      </c>
      <c r="I67" s="463">
        <v>3822</v>
      </c>
      <c r="J67" s="463">
        <v>4875</v>
      </c>
      <c r="K67" s="463">
        <v>5925</v>
      </c>
      <c r="L67" s="463">
        <v>4937</v>
      </c>
      <c r="M67" s="463">
        <v>4805</v>
      </c>
      <c r="N67" s="8"/>
      <c r="O67" s="8"/>
    </row>
    <row r="68" spans="2:15" ht="15" customHeight="1">
      <c r="B68" s="292" t="s">
        <v>1457</v>
      </c>
      <c r="C68" s="292" t="s">
        <v>1458</v>
      </c>
      <c r="D68" s="463">
        <v>15658</v>
      </c>
      <c r="E68" s="463">
        <v>16563</v>
      </c>
      <c r="F68" s="463">
        <v>16564</v>
      </c>
      <c r="G68" s="463">
        <v>15488</v>
      </c>
      <c r="H68" s="463">
        <v>15484</v>
      </c>
      <c r="I68" s="463">
        <v>16710</v>
      </c>
      <c r="J68" s="463">
        <v>17372</v>
      </c>
      <c r="K68" s="463">
        <v>19662</v>
      </c>
      <c r="L68" s="463">
        <v>20612</v>
      </c>
      <c r="M68" s="463">
        <v>21856</v>
      </c>
      <c r="N68" s="8"/>
      <c r="O68" s="8"/>
    </row>
    <row r="69" spans="2:15" ht="15" customHeight="1">
      <c r="B69" s="292" t="s">
        <v>1459</v>
      </c>
      <c r="C69" s="292" t="s">
        <v>1460</v>
      </c>
      <c r="D69" s="463">
        <v>28125</v>
      </c>
      <c r="E69" s="447" t="s">
        <v>568</v>
      </c>
      <c r="F69" s="447" t="s">
        <v>568</v>
      </c>
      <c r="G69" s="447" t="s">
        <v>568</v>
      </c>
      <c r="H69" s="447" t="s">
        <v>568</v>
      </c>
      <c r="I69" s="447" t="s">
        <v>568</v>
      </c>
      <c r="J69" s="463">
        <v>31448</v>
      </c>
      <c r="K69" s="463">
        <v>34985</v>
      </c>
      <c r="L69" s="463">
        <v>34876</v>
      </c>
      <c r="M69" s="463">
        <v>36702</v>
      </c>
      <c r="N69" s="8"/>
      <c r="O69" s="8"/>
    </row>
    <row r="70" spans="2:15" ht="15" customHeight="1">
      <c r="B70" s="292" t="s">
        <v>1461</v>
      </c>
      <c r="C70" s="292" t="s">
        <v>1462</v>
      </c>
      <c r="D70" s="463">
        <v>14807</v>
      </c>
      <c r="E70" s="463">
        <v>16172</v>
      </c>
      <c r="F70" s="463">
        <v>16591</v>
      </c>
      <c r="G70" s="463">
        <v>14990</v>
      </c>
      <c r="H70" s="463">
        <v>14661</v>
      </c>
      <c r="I70" s="463">
        <v>15074</v>
      </c>
      <c r="J70" s="463">
        <v>15174</v>
      </c>
      <c r="K70" s="463">
        <v>16045</v>
      </c>
      <c r="L70" s="463">
        <v>16483</v>
      </c>
      <c r="M70" s="463">
        <v>17386</v>
      </c>
      <c r="N70" s="8"/>
      <c r="O70" s="8"/>
    </row>
    <row r="71" spans="2:15" ht="15" customHeight="1">
      <c r="B71" s="292" t="s">
        <v>1375</v>
      </c>
      <c r="C71" s="292" t="s">
        <v>1463</v>
      </c>
      <c r="D71" s="463">
        <v>13318</v>
      </c>
      <c r="E71" s="463">
        <v>13865</v>
      </c>
      <c r="F71" s="463">
        <v>13385</v>
      </c>
      <c r="G71" s="463">
        <v>12969</v>
      </c>
      <c r="H71" s="463">
        <v>13745</v>
      </c>
      <c r="I71" s="463">
        <v>14882</v>
      </c>
      <c r="J71" s="463">
        <v>16274</v>
      </c>
      <c r="K71" s="463">
        <v>18940</v>
      </c>
      <c r="L71" s="463">
        <v>18393</v>
      </c>
      <c r="M71" s="463">
        <v>19317</v>
      </c>
      <c r="N71" s="8"/>
      <c r="O71" s="8"/>
    </row>
    <row r="72" spans="2:15" ht="15" customHeight="1">
      <c r="B72" s="292" t="s">
        <v>1464</v>
      </c>
      <c r="C72" s="292" t="s">
        <v>1465</v>
      </c>
      <c r="D72" s="463">
        <v>9857</v>
      </c>
      <c r="E72" s="463">
        <v>8529</v>
      </c>
      <c r="F72" s="463">
        <v>6508</v>
      </c>
      <c r="G72" s="463">
        <v>7288</v>
      </c>
      <c r="H72" s="463">
        <v>7604</v>
      </c>
      <c r="I72" s="463">
        <v>8983</v>
      </c>
      <c r="J72" s="463">
        <v>13265</v>
      </c>
      <c r="K72" s="463">
        <v>17299</v>
      </c>
      <c r="L72" s="463">
        <v>17474</v>
      </c>
      <c r="M72" s="463">
        <v>17001</v>
      </c>
      <c r="N72" s="8"/>
      <c r="O72" s="8"/>
    </row>
    <row r="73" spans="2:15" ht="15" customHeight="1">
      <c r="B73" s="292" t="s">
        <v>1466</v>
      </c>
      <c r="C73" s="292" t="s">
        <v>1467</v>
      </c>
      <c r="D73" s="447" t="s">
        <v>568</v>
      </c>
      <c r="E73" s="447" t="s">
        <v>568</v>
      </c>
      <c r="F73" s="447" t="s">
        <v>568</v>
      </c>
      <c r="G73" s="447" t="s">
        <v>568</v>
      </c>
      <c r="H73" s="463">
        <v>77893</v>
      </c>
      <c r="I73" s="463">
        <v>74354</v>
      </c>
      <c r="J73" s="463">
        <v>94745</v>
      </c>
      <c r="K73" s="463">
        <v>132683</v>
      </c>
      <c r="L73" s="463">
        <v>123938</v>
      </c>
      <c r="M73" s="463">
        <v>124995</v>
      </c>
      <c r="N73" s="8"/>
      <c r="O73" s="8"/>
    </row>
    <row r="74" spans="2:15" ht="15" customHeight="1">
      <c r="B74" s="292" t="s">
        <v>1379</v>
      </c>
      <c r="C74" s="292" t="s">
        <v>1468</v>
      </c>
      <c r="D74" s="463">
        <v>10101</v>
      </c>
      <c r="E74" s="463">
        <v>5249</v>
      </c>
      <c r="F74" s="463">
        <v>2171</v>
      </c>
      <c r="G74" s="463">
        <v>7819</v>
      </c>
      <c r="H74" s="463">
        <v>4575</v>
      </c>
      <c r="I74" s="463">
        <v>4432</v>
      </c>
      <c r="J74" s="463">
        <v>13155</v>
      </c>
      <c r="K74" s="463">
        <v>24783</v>
      </c>
      <c r="L74" s="463">
        <v>670</v>
      </c>
      <c r="M74" s="463">
        <v>460</v>
      </c>
      <c r="N74" s="8"/>
      <c r="O74" s="8"/>
    </row>
    <row r="75" spans="2:15" ht="15" customHeight="1">
      <c r="B75" s="292" t="s">
        <v>1469</v>
      </c>
      <c r="C75" s="292" t="s">
        <v>1470</v>
      </c>
      <c r="D75" s="463">
        <v>300</v>
      </c>
      <c r="E75" s="463">
        <v>454</v>
      </c>
      <c r="F75" s="463">
        <v>401</v>
      </c>
      <c r="G75" s="463">
        <v>453</v>
      </c>
      <c r="H75" s="463">
        <v>522</v>
      </c>
      <c r="I75" s="463">
        <v>1927</v>
      </c>
      <c r="J75" s="463">
        <v>1451</v>
      </c>
      <c r="K75" s="463">
        <v>1920</v>
      </c>
      <c r="L75" s="463">
        <v>1992</v>
      </c>
      <c r="M75" s="463">
        <v>2444</v>
      </c>
      <c r="N75" s="8"/>
      <c r="O75" s="8"/>
    </row>
    <row r="76" spans="2:15" ht="15" customHeight="1">
      <c r="B76" s="292" t="s">
        <v>1381</v>
      </c>
      <c r="C76" s="292" t="s">
        <v>1471</v>
      </c>
      <c r="D76" s="463">
        <v>54449</v>
      </c>
      <c r="E76" s="463">
        <v>55952</v>
      </c>
      <c r="F76" s="463">
        <v>53411</v>
      </c>
      <c r="G76" s="463">
        <v>48202</v>
      </c>
      <c r="H76" s="463">
        <v>49556</v>
      </c>
      <c r="I76" s="463">
        <v>49208</v>
      </c>
      <c r="J76" s="463">
        <v>51375</v>
      </c>
      <c r="K76" s="463">
        <v>67783</v>
      </c>
      <c r="L76" s="463">
        <v>68527</v>
      </c>
      <c r="M76" s="463">
        <v>71264</v>
      </c>
      <c r="N76" s="8"/>
      <c r="O76" s="8"/>
    </row>
    <row r="77" spans="2:15" ht="15" customHeight="1">
      <c r="B77" s="292" t="s">
        <v>1472</v>
      </c>
      <c r="C77" s="292" t="s">
        <v>1473</v>
      </c>
      <c r="D77" s="463">
        <v>42547</v>
      </c>
      <c r="E77" s="463">
        <v>43491</v>
      </c>
      <c r="F77" s="463">
        <v>33040</v>
      </c>
      <c r="G77" s="463">
        <v>26117</v>
      </c>
      <c r="H77" s="463">
        <v>23762</v>
      </c>
      <c r="I77" s="463">
        <v>20714</v>
      </c>
      <c r="J77" s="463">
        <v>30216</v>
      </c>
      <c r="K77" s="463">
        <v>40115</v>
      </c>
      <c r="L77" s="463">
        <v>35848</v>
      </c>
      <c r="M77" s="463">
        <v>31510</v>
      </c>
      <c r="N77" s="8"/>
      <c r="O77" s="8"/>
    </row>
    <row r="78" spans="2:15" ht="15" customHeight="1">
      <c r="B78" s="292" t="s">
        <v>1353</v>
      </c>
      <c r="C78" s="292" t="s">
        <v>1354</v>
      </c>
      <c r="D78" s="463">
        <v>4225</v>
      </c>
      <c r="E78" s="463">
        <v>9953</v>
      </c>
      <c r="F78" s="463">
        <v>8831</v>
      </c>
      <c r="G78" s="463">
        <v>16195</v>
      </c>
      <c r="H78" s="463">
        <v>2703</v>
      </c>
      <c r="I78" s="463">
        <v>2241</v>
      </c>
      <c r="J78" s="463">
        <v>2945</v>
      </c>
      <c r="K78" s="463">
        <v>10350</v>
      </c>
      <c r="L78" s="463">
        <v>6946</v>
      </c>
      <c r="M78" s="463">
        <v>3154</v>
      </c>
      <c r="N78" s="8"/>
      <c r="O78" s="8"/>
    </row>
    <row r="79" spans="2:15" ht="15" customHeight="1">
      <c r="B79" s="292" t="s">
        <v>1410</v>
      </c>
      <c r="C79" s="292" t="s">
        <v>1474</v>
      </c>
      <c r="D79" s="463">
        <v>39956</v>
      </c>
      <c r="E79" s="463">
        <v>11767</v>
      </c>
      <c r="F79" s="463">
        <v>9456</v>
      </c>
      <c r="G79" s="463">
        <v>11988</v>
      </c>
      <c r="H79" s="463">
        <v>10726</v>
      </c>
      <c r="I79" s="463">
        <v>7714</v>
      </c>
      <c r="J79" s="463">
        <v>9519</v>
      </c>
      <c r="K79" s="463">
        <v>16172</v>
      </c>
      <c r="L79" s="463">
        <v>13023</v>
      </c>
      <c r="M79" s="463">
        <v>11968</v>
      </c>
      <c r="N79" s="8"/>
      <c r="O79" s="8"/>
    </row>
    <row r="80" spans="2:15" ht="15" customHeight="1">
      <c r="B80" s="292" t="s">
        <v>1412</v>
      </c>
      <c r="C80" s="292" t="s">
        <v>1475</v>
      </c>
      <c r="D80" s="463">
        <v>8172</v>
      </c>
      <c r="E80" s="463">
        <v>7430</v>
      </c>
      <c r="F80" s="463">
        <v>6683</v>
      </c>
      <c r="G80" s="463">
        <v>6761</v>
      </c>
      <c r="H80" s="463">
        <v>5410</v>
      </c>
      <c r="I80" s="463">
        <v>3724</v>
      </c>
      <c r="J80" s="463">
        <v>2251</v>
      </c>
      <c r="K80" s="463">
        <v>2167</v>
      </c>
      <c r="L80" s="463">
        <v>2115</v>
      </c>
      <c r="M80" s="463">
        <v>2041</v>
      </c>
      <c r="N80" s="8"/>
      <c r="O80" s="8"/>
    </row>
    <row r="81" spans="2:15" ht="15" customHeight="1">
      <c r="B81" s="292" t="s">
        <v>1420</v>
      </c>
      <c r="C81" s="292" t="s">
        <v>1476</v>
      </c>
      <c r="D81" s="463">
        <v>24</v>
      </c>
      <c r="E81" s="463">
        <v>21</v>
      </c>
      <c r="F81" s="463">
        <v>19</v>
      </c>
      <c r="G81" s="447" t="s">
        <v>568</v>
      </c>
      <c r="H81" s="463">
        <v>0</v>
      </c>
      <c r="I81" s="463">
        <v>0</v>
      </c>
      <c r="J81" s="463">
        <v>0</v>
      </c>
      <c r="K81" s="463">
        <v>0</v>
      </c>
      <c r="L81" s="447" t="s">
        <v>568</v>
      </c>
      <c r="M81" s="447" t="s">
        <v>568</v>
      </c>
      <c r="N81" s="8"/>
      <c r="O81" s="8"/>
    </row>
    <row r="82" spans="2:15" ht="15" customHeight="1">
      <c r="B82" s="292" t="s">
        <v>1477</v>
      </c>
      <c r="C82" s="292" t="s">
        <v>1478</v>
      </c>
      <c r="D82" s="463">
        <v>296</v>
      </c>
      <c r="E82" s="463">
        <v>348</v>
      </c>
      <c r="F82" s="463">
        <v>351</v>
      </c>
      <c r="G82" s="463">
        <v>303</v>
      </c>
      <c r="H82" s="463">
        <v>235</v>
      </c>
      <c r="I82" s="463">
        <v>262</v>
      </c>
      <c r="J82" s="463">
        <v>255</v>
      </c>
      <c r="K82" s="463">
        <v>274</v>
      </c>
      <c r="L82" s="463">
        <v>294</v>
      </c>
      <c r="M82" s="463">
        <v>299</v>
      </c>
      <c r="N82" s="8"/>
      <c r="O82" s="8"/>
    </row>
    <row r="83" spans="2:15" ht="15" customHeight="1">
      <c r="B83" s="292" t="s">
        <v>1424</v>
      </c>
      <c r="C83" s="292" t="s">
        <v>1479</v>
      </c>
      <c r="D83" s="463">
        <v>461</v>
      </c>
      <c r="E83" s="463">
        <v>464</v>
      </c>
      <c r="F83" s="463">
        <v>467</v>
      </c>
      <c r="G83" s="463">
        <v>468</v>
      </c>
      <c r="H83" s="463">
        <v>470</v>
      </c>
      <c r="I83" s="463">
        <v>473</v>
      </c>
      <c r="J83" s="463">
        <v>476</v>
      </c>
      <c r="K83" s="463">
        <v>478</v>
      </c>
      <c r="L83" s="463">
        <v>480</v>
      </c>
      <c r="M83" s="463">
        <v>481</v>
      </c>
      <c r="N83" s="8"/>
      <c r="O83" s="8"/>
    </row>
    <row r="84" spans="2:15" ht="15" customHeight="1">
      <c r="B84" s="292" t="s">
        <v>1426</v>
      </c>
      <c r="C84" s="292" t="s">
        <v>1480</v>
      </c>
      <c r="D84" s="463">
        <v>82685</v>
      </c>
      <c r="E84" s="463">
        <v>84278</v>
      </c>
      <c r="F84" s="463">
        <v>86253</v>
      </c>
      <c r="G84" s="463">
        <v>87428</v>
      </c>
      <c r="H84" s="463">
        <v>88674</v>
      </c>
      <c r="I84" s="463">
        <v>90591</v>
      </c>
      <c r="J84" s="463">
        <v>91802</v>
      </c>
      <c r="K84" s="463">
        <v>92631</v>
      </c>
      <c r="L84" s="463">
        <v>93603</v>
      </c>
      <c r="M84" s="463">
        <v>94469</v>
      </c>
      <c r="N84" s="8"/>
      <c r="O84" s="8"/>
    </row>
    <row r="85" spans="2:15" ht="15" customHeight="1">
      <c r="B85" s="292" t="s">
        <v>1428</v>
      </c>
      <c r="C85" s="292" t="s">
        <v>1481</v>
      </c>
      <c r="D85" s="463">
        <v>-84364</v>
      </c>
      <c r="E85" s="463">
        <v>-89425</v>
      </c>
      <c r="F85" s="463">
        <v>-101610</v>
      </c>
      <c r="G85" s="463">
        <v>-110801</v>
      </c>
      <c r="H85" s="463">
        <v>-110988</v>
      </c>
      <c r="I85" s="463">
        <v>-111361</v>
      </c>
      <c r="J85" s="463">
        <v>-113969</v>
      </c>
      <c r="K85" s="463">
        <v>-114487</v>
      </c>
      <c r="L85" s="463">
        <v>-114763</v>
      </c>
      <c r="M85" s="463">
        <v>-115015</v>
      </c>
      <c r="N85" s="8"/>
      <c r="O85" s="8"/>
    </row>
    <row r="86" spans="2:15" ht="15" customHeight="1">
      <c r="B86" s="292" t="s">
        <v>1430</v>
      </c>
      <c r="C86" s="292" t="s">
        <v>1482</v>
      </c>
      <c r="D86" s="463">
        <v>-11036</v>
      </c>
      <c r="E86" s="463">
        <v>-9321</v>
      </c>
      <c r="F86" s="463">
        <v>-11275</v>
      </c>
      <c r="G86" s="463">
        <v>-11641</v>
      </c>
      <c r="H86" s="463">
        <v>-5310</v>
      </c>
      <c r="I86" s="463">
        <v>-5897</v>
      </c>
      <c r="J86" s="463">
        <v>-8304</v>
      </c>
      <c r="K86" s="463">
        <v>-7961</v>
      </c>
      <c r="L86" s="463">
        <v>-7842</v>
      </c>
      <c r="M86" s="463">
        <v>-8069</v>
      </c>
      <c r="N86" s="8"/>
      <c r="O86" s="8"/>
    </row>
    <row r="87" spans="2:15" ht="15" customHeight="1">
      <c r="B87" s="292" t="s">
        <v>1432</v>
      </c>
      <c r="C87" s="292" t="s">
        <v>1483</v>
      </c>
      <c r="D87" s="463">
        <v>71774</v>
      </c>
      <c r="E87" s="463">
        <v>85291</v>
      </c>
      <c r="F87" s="463">
        <v>89554</v>
      </c>
      <c r="G87" s="463">
        <v>97670</v>
      </c>
      <c r="H87" s="463">
        <v>90392</v>
      </c>
      <c r="I87" s="463">
        <v>103394</v>
      </c>
      <c r="J87" s="463">
        <v>125656</v>
      </c>
      <c r="K87" s="463">
        <v>118353</v>
      </c>
      <c r="L87" s="463">
        <v>116725</v>
      </c>
      <c r="M87" s="463">
        <v>114610</v>
      </c>
      <c r="N87" s="8"/>
      <c r="O87" s="8"/>
    </row>
    <row r="88" spans="2:15" ht="15" customHeight="1">
      <c r="B88" s="292" t="s">
        <v>1436</v>
      </c>
      <c r="C88" s="292" t="s">
        <v>1484</v>
      </c>
      <c r="D88" s="464">
        <v>0.05</v>
      </c>
      <c r="E88" s="464">
        <v>0.05</v>
      </c>
      <c r="F88" s="464">
        <v>0.05</v>
      </c>
      <c r="G88" s="464">
        <v>0.05</v>
      </c>
      <c r="H88" s="464">
        <v>0.05</v>
      </c>
      <c r="I88" s="464">
        <v>0.05</v>
      </c>
      <c r="J88" s="464">
        <v>0.05</v>
      </c>
      <c r="K88" s="464">
        <v>0.05</v>
      </c>
      <c r="L88" s="464">
        <v>0.05</v>
      </c>
      <c r="M88" s="464">
        <v>0.05</v>
      </c>
      <c r="N88" s="8"/>
      <c r="O88" s="8"/>
    </row>
    <row r="89" spans="2:15" ht="15" customHeight="1">
      <c r="B89" s="292" t="s">
        <v>1438</v>
      </c>
      <c r="C89" s="292" t="s">
        <v>1485</v>
      </c>
      <c r="D89" s="463">
        <v>3160</v>
      </c>
      <c r="E89" s="463">
        <v>3296</v>
      </c>
      <c r="F89" s="463">
        <v>3615</v>
      </c>
      <c r="G89" s="463">
        <v>3835</v>
      </c>
      <c r="H89" s="463">
        <v>3840</v>
      </c>
      <c r="I89" s="463">
        <v>3851</v>
      </c>
      <c r="J89" s="463">
        <v>3903</v>
      </c>
      <c r="K89" s="463">
        <v>3916</v>
      </c>
      <c r="L89" s="463">
        <v>3926</v>
      </c>
      <c r="M89" s="463">
        <v>3935</v>
      </c>
      <c r="N89" s="8"/>
      <c r="O89" s="8"/>
    </row>
    <row r="90" spans="2:15" ht="15" customHeight="1">
      <c r="B90" s="292" t="s">
        <v>1486</v>
      </c>
      <c r="C90" s="292" t="s">
        <v>1487</v>
      </c>
      <c r="D90" s="463">
        <v>793</v>
      </c>
      <c r="E90" s="463">
        <v>788</v>
      </c>
      <c r="F90" s="463">
        <v>546</v>
      </c>
      <c r="G90" s="463">
        <v>672</v>
      </c>
      <c r="H90" s="463">
        <v>716</v>
      </c>
      <c r="I90" s="463">
        <v>994</v>
      </c>
      <c r="J90" s="463">
        <v>859</v>
      </c>
      <c r="K90" s="463">
        <v>1007</v>
      </c>
      <c r="L90" s="463">
        <v>976</v>
      </c>
      <c r="M90" s="463">
        <v>907</v>
      </c>
      <c r="N90" s="8"/>
      <c r="O90" s="8"/>
    </row>
    <row r="91" spans="2:15" ht="15" customHeight="1">
      <c r="B91" s="292" t="s">
        <v>1488</v>
      </c>
      <c r="C91" s="292" t="s">
        <v>1489</v>
      </c>
      <c r="D91" s="463">
        <v>3696</v>
      </c>
      <c r="E91" s="463">
        <v>3908</v>
      </c>
      <c r="F91" s="463">
        <v>4701</v>
      </c>
      <c r="G91" s="463">
        <v>4131</v>
      </c>
      <c r="H91" s="463">
        <v>4436</v>
      </c>
      <c r="I91" s="463">
        <v>4424</v>
      </c>
      <c r="J91" s="463">
        <v>5519</v>
      </c>
      <c r="K91" s="463">
        <v>5688</v>
      </c>
      <c r="L91" s="463">
        <v>6101</v>
      </c>
      <c r="M91" s="463">
        <v>5634</v>
      </c>
      <c r="N91" s="8"/>
      <c r="O91" s="8"/>
    </row>
    <row r="92" spans="2:15" ht="15" customHeight="1">
      <c r="B92" s="292" t="s">
        <v>1490</v>
      </c>
      <c r="C92" s="292" t="s">
        <v>1491</v>
      </c>
      <c r="D92" s="463">
        <v>2294</v>
      </c>
      <c r="E92" s="463">
        <v>2883</v>
      </c>
      <c r="F92" s="463">
        <v>2262</v>
      </c>
      <c r="G92" s="463">
        <v>2265</v>
      </c>
      <c r="H92" s="463">
        <v>2867</v>
      </c>
      <c r="I92" s="463">
        <v>3641</v>
      </c>
      <c r="J92" s="463">
        <v>2603</v>
      </c>
      <c r="K92" s="463">
        <v>3495</v>
      </c>
      <c r="L92" s="463">
        <v>3774</v>
      </c>
      <c r="M92" s="463">
        <v>4113</v>
      </c>
      <c r="N92" s="8"/>
      <c r="O92" s="8"/>
    </row>
    <row r="93" spans="2:15" ht="15" customHeight="1">
      <c r="B93" s="292" t="s">
        <v>1440</v>
      </c>
      <c r="C93" s="292" t="s">
        <v>1492</v>
      </c>
      <c r="D93" s="463">
        <v>9230</v>
      </c>
      <c r="E93" s="463">
        <v>9275</v>
      </c>
      <c r="F93" s="463">
        <v>9332</v>
      </c>
      <c r="G93" s="463">
        <v>9369</v>
      </c>
      <c r="H93" s="463">
        <v>9407</v>
      </c>
      <c r="I93" s="463">
        <v>9471</v>
      </c>
      <c r="J93" s="463">
        <v>9519</v>
      </c>
      <c r="K93" s="463">
        <v>9562</v>
      </c>
      <c r="L93" s="463">
        <v>9593</v>
      </c>
      <c r="M93" s="463">
        <v>9621</v>
      </c>
      <c r="N93" s="8"/>
      <c r="O93" s="8"/>
    </row>
    <row r="94" spans="2:15" ht="15" customHeight="1">
      <c r="B94" s="292" t="s">
        <v>1493</v>
      </c>
      <c r="C94" s="292" t="s">
        <v>1494</v>
      </c>
      <c r="D94" s="463">
        <v>7900</v>
      </c>
      <c r="E94" s="463">
        <v>7800</v>
      </c>
      <c r="F94" s="463">
        <v>7500</v>
      </c>
      <c r="G94" s="463">
        <v>15500</v>
      </c>
      <c r="H94" s="463">
        <v>11300</v>
      </c>
      <c r="I94" s="463">
        <v>7360</v>
      </c>
      <c r="J94" s="463">
        <v>7321</v>
      </c>
      <c r="K94" s="463">
        <v>15305</v>
      </c>
      <c r="L94" s="463">
        <v>15276</v>
      </c>
      <c r="M94" s="463">
        <v>7237</v>
      </c>
      <c r="N94" s="8"/>
      <c r="O94" s="8"/>
    </row>
    <row r="95" spans="2:15" ht="15" customHeight="1">
      <c r="B95" s="292" t="s">
        <v>1495</v>
      </c>
      <c r="C95" s="292" t="s">
        <v>1496</v>
      </c>
      <c r="D95" s="463">
        <v>7800</v>
      </c>
      <c r="E95" s="463">
        <v>7700</v>
      </c>
      <c r="F95" s="463">
        <v>7500</v>
      </c>
      <c r="G95" s="463">
        <v>15500</v>
      </c>
      <c r="H95" s="463">
        <v>11300</v>
      </c>
      <c r="I95" s="463">
        <v>7038</v>
      </c>
      <c r="J95" s="463">
        <v>7029</v>
      </c>
      <c r="K95" s="463">
        <v>15031</v>
      </c>
      <c r="L95" s="463">
        <v>15033</v>
      </c>
      <c r="M95" s="463">
        <v>6961</v>
      </c>
      <c r="N95" s="8"/>
      <c r="O95" s="8"/>
    </row>
    <row r="96" spans="2:15" ht="15" customHeight="1">
      <c r="B96" s="292" t="s">
        <v>1332</v>
      </c>
      <c r="C96" s="292" t="s">
        <v>1497</v>
      </c>
      <c r="D96" s="447" t="s">
        <v>568</v>
      </c>
      <c r="E96" s="447" t="s">
        <v>568</v>
      </c>
      <c r="F96" s="447" t="s">
        <v>568</v>
      </c>
      <c r="G96" s="463">
        <v>1530</v>
      </c>
      <c r="H96" s="463">
        <v>1618</v>
      </c>
      <c r="I96" s="463">
        <v>3621</v>
      </c>
      <c r="J96" s="463">
        <v>3844</v>
      </c>
      <c r="K96" s="463">
        <v>3824</v>
      </c>
      <c r="L96" s="463">
        <v>3198</v>
      </c>
      <c r="M96" s="463">
        <v>3199</v>
      </c>
      <c r="N96" s="8"/>
      <c r="O96" s="8"/>
    </row>
    <row r="97" spans="2:15" ht="15" customHeight="1">
      <c r="B97" s="292" t="s">
        <v>900</v>
      </c>
      <c r="C97" s="292" t="s">
        <v>901</v>
      </c>
      <c r="D97" s="463">
        <v>292</v>
      </c>
      <c r="E97" s="463">
        <v>314</v>
      </c>
      <c r="F97" s="463">
        <v>301</v>
      </c>
      <c r="G97" s="463">
        <v>702</v>
      </c>
      <c r="H97" s="463">
        <v>772</v>
      </c>
      <c r="I97" s="463">
        <v>888</v>
      </c>
      <c r="J97" s="463">
        <v>1218</v>
      </c>
      <c r="K97" s="463">
        <v>1283</v>
      </c>
      <c r="L97" s="463">
        <v>1177</v>
      </c>
      <c r="M97" s="463">
        <v>924</v>
      </c>
      <c r="N97" s="8"/>
      <c r="O97" s="8"/>
    </row>
    <row r="98" spans="2:15" ht="15" customHeight="1">
      <c r="B98" s="292" t="s">
        <v>1498</v>
      </c>
      <c r="C98" s="292" t="s">
        <v>1499</v>
      </c>
      <c r="D98" s="463">
        <v>220</v>
      </c>
      <c r="E98" s="463">
        <v>209</v>
      </c>
      <c r="F98" s="463">
        <v>300</v>
      </c>
      <c r="G98" s="463">
        <v>323</v>
      </c>
      <c r="H98" s="463">
        <v>357</v>
      </c>
      <c r="I98" s="463">
        <v>520</v>
      </c>
      <c r="J98" s="463">
        <v>662</v>
      </c>
      <c r="K98" s="463">
        <v>639</v>
      </c>
      <c r="L98" s="463">
        <v>443</v>
      </c>
      <c r="M98" s="463">
        <v>417</v>
      </c>
      <c r="N98" s="8"/>
      <c r="O98" s="8"/>
    </row>
    <row r="99" spans="2:15" ht="15" customHeight="1">
      <c r="B99" s="292" t="s">
        <v>1500</v>
      </c>
      <c r="C99" s="292" t="s">
        <v>1501</v>
      </c>
      <c r="D99" s="463">
        <v>188</v>
      </c>
      <c r="E99" s="463">
        <v>172</v>
      </c>
      <c r="F99" s="463">
        <v>252</v>
      </c>
      <c r="G99" s="463">
        <v>286</v>
      </c>
      <c r="H99" s="463">
        <v>299</v>
      </c>
      <c r="I99" s="463">
        <v>417</v>
      </c>
      <c r="J99" s="463">
        <v>489</v>
      </c>
      <c r="K99" s="463">
        <v>474</v>
      </c>
      <c r="L99" s="463">
        <v>406</v>
      </c>
      <c r="M99" s="463">
        <v>408</v>
      </c>
      <c r="N99" s="8"/>
      <c r="O99" s="8"/>
    </row>
    <row r="100" spans="2:15" ht="15" customHeight="1">
      <c r="B100" s="292" t="s">
        <v>1502</v>
      </c>
      <c r="C100" s="292" t="s">
        <v>1503</v>
      </c>
      <c r="D100" s="463">
        <v>163</v>
      </c>
      <c r="E100" s="463">
        <v>150</v>
      </c>
      <c r="F100" s="463">
        <v>210</v>
      </c>
      <c r="G100" s="463">
        <v>220</v>
      </c>
      <c r="H100" s="463">
        <v>250</v>
      </c>
      <c r="I100" s="463">
        <v>322</v>
      </c>
      <c r="J100" s="463">
        <v>356</v>
      </c>
      <c r="K100" s="463">
        <v>387</v>
      </c>
      <c r="L100" s="463">
        <v>361</v>
      </c>
      <c r="M100" s="463">
        <v>334</v>
      </c>
      <c r="N100" s="8"/>
      <c r="O100" s="8"/>
    </row>
    <row r="101" spans="2:15" ht="15" customHeight="1">
      <c r="B101" s="292" t="s">
        <v>1504</v>
      </c>
      <c r="C101" s="292" t="s">
        <v>1505</v>
      </c>
      <c r="D101" s="463">
        <v>138</v>
      </c>
      <c r="E101" s="463">
        <v>136</v>
      </c>
      <c r="F101" s="463">
        <v>267</v>
      </c>
      <c r="G101" s="463">
        <v>180</v>
      </c>
      <c r="H101" s="463">
        <v>167</v>
      </c>
      <c r="I101" s="463">
        <v>279</v>
      </c>
      <c r="J101" s="463">
        <v>300</v>
      </c>
      <c r="K101" s="463">
        <v>319</v>
      </c>
      <c r="L101" s="463">
        <v>281</v>
      </c>
      <c r="M101" s="463">
        <v>282</v>
      </c>
      <c r="N101" s="8"/>
      <c r="O101" s="8"/>
    </row>
    <row r="102" spans="2:15" ht="15" customHeight="1">
      <c r="B102" s="292" t="s">
        <v>1506</v>
      </c>
      <c r="C102" s="292" t="s">
        <v>1507</v>
      </c>
      <c r="D102" s="463">
        <v>125</v>
      </c>
      <c r="E102" s="463">
        <v>123</v>
      </c>
      <c r="F102" s="463">
        <v>248</v>
      </c>
      <c r="G102" s="463">
        <v>97</v>
      </c>
      <c r="H102" s="463">
        <v>137</v>
      </c>
      <c r="I102" s="463">
        <v>218</v>
      </c>
      <c r="J102" s="463">
        <v>246</v>
      </c>
      <c r="K102" s="463">
        <v>262</v>
      </c>
      <c r="L102" s="463">
        <v>239</v>
      </c>
      <c r="M102" s="463">
        <v>234</v>
      </c>
      <c r="N102" s="8"/>
      <c r="O102" s="8"/>
    </row>
    <row r="103" spans="2:15" ht="15" customHeight="1">
      <c r="B103" s="292" t="s">
        <v>1508</v>
      </c>
      <c r="C103" s="292" t="s">
        <v>1509</v>
      </c>
      <c r="D103" s="463">
        <v>967</v>
      </c>
      <c r="E103" s="463">
        <v>891</v>
      </c>
      <c r="F103" s="463">
        <v>2040</v>
      </c>
      <c r="G103" s="463">
        <v>424</v>
      </c>
      <c r="H103" s="463">
        <v>408</v>
      </c>
      <c r="I103" s="463">
        <v>1865</v>
      </c>
      <c r="J103" s="463">
        <v>1791</v>
      </c>
      <c r="K103" s="463">
        <v>1743</v>
      </c>
      <c r="L103" s="463">
        <v>1468</v>
      </c>
      <c r="M103" s="463">
        <v>1524</v>
      </c>
      <c r="N103" s="8"/>
      <c r="O103" s="8"/>
    </row>
    <row r="104" spans="2:15" ht="15" customHeight="1">
      <c r="B104" s="292" t="s">
        <v>1510</v>
      </c>
      <c r="C104" s="292" t="s">
        <v>1511</v>
      </c>
      <c r="D104" s="463">
        <v>39956</v>
      </c>
      <c r="E104" s="463">
        <v>11767</v>
      </c>
      <c r="F104" s="463">
        <v>9456</v>
      </c>
      <c r="G104" s="463">
        <v>11988</v>
      </c>
      <c r="H104" s="463">
        <v>10726</v>
      </c>
      <c r="I104" s="463">
        <v>7714</v>
      </c>
      <c r="J104" s="463">
        <v>9519</v>
      </c>
      <c r="K104" s="463">
        <v>16172</v>
      </c>
      <c r="L104" s="463">
        <v>13023</v>
      </c>
      <c r="M104" s="463">
        <v>11968</v>
      </c>
      <c r="N104" s="8"/>
      <c r="O104" s="8"/>
    </row>
    <row r="105" spans="2:15" ht="15" customHeight="1">
      <c r="B105" s="292" t="s">
        <v>1512</v>
      </c>
      <c r="C105" s="292" t="s">
        <v>1513</v>
      </c>
      <c r="D105" s="463">
        <v>9857</v>
      </c>
      <c r="E105" s="463">
        <v>8529</v>
      </c>
      <c r="F105" s="463">
        <v>6508</v>
      </c>
      <c r="G105" s="463">
        <v>9215</v>
      </c>
      <c r="H105" s="463">
        <v>9190</v>
      </c>
      <c r="I105" s="463">
        <v>10446</v>
      </c>
      <c r="J105" s="463">
        <v>14806</v>
      </c>
      <c r="K105" s="463">
        <v>19037</v>
      </c>
      <c r="L105" s="463">
        <v>19112</v>
      </c>
      <c r="M105" s="463">
        <v>18547</v>
      </c>
      <c r="N105" s="8"/>
      <c r="O105" s="8"/>
    </row>
    <row r="106" spans="2:15" ht="15" customHeight="1">
      <c r="B106" s="292" t="s">
        <v>1442</v>
      </c>
      <c r="C106" s="292" t="s">
        <v>1514</v>
      </c>
      <c r="D106" s="463">
        <v>59840</v>
      </c>
      <c r="E106" s="463">
        <v>71656</v>
      </c>
      <c r="F106" s="463">
        <v>63758</v>
      </c>
      <c r="G106" s="463">
        <v>63447</v>
      </c>
      <c r="H106" s="463">
        <v>63473</v>
      </c>
      <c r="I106" s="463">
        <v>77462</v>
      </c>
      <c r="J106" s="463">
        <v>95917</v>
      </c>
      <c r="K106" s="463">
        <v>89288</v>
      </c>
      <c r="L106" s="463">
        <v>88497</v>
      </c>
      <c r="M106" s="463">
        <v>86775</v>
      </c>
      <c r="N106" s="8"/>
      <c r="O106" s="8"/>
    </row>
    <row r="107" spans="2:15" ht="15" customHeight="1">
      <c r="B107" s="292" t="s">
        <v>1515</v>
      </c>
      <c r="C107" s="292" t="s">
        <v>1516</v>
      </c>
      <c r="D107" s="463">
        <v>566</v>
      </c>
      <c r="E107" s="463">
        <v>338</v>
      </c>
      <c r="F107" s="463">
        <v>574</v>
      </c>
      <c r="G107" s="463">
        <v>466</v>
      </c>
      <c r="H107" s="463">
        <v>252</v>
      </c>
      <c r="I107" s="463">
        <v>708</v>
      </c>
      <c r="J107" s="463">
        <v>714</v>
      </c>
      <c r="K107" s="463">
        <v>298</v>
      </c>
      <c r="L107" s="463">
        <v>1056</v>
      </c>
      <c r="M107" s="463">
        <v>416</v>
      </c>
      <c r="N107" s="8"/>
      <c r="O107" s="8"/>
    </row>
    <row r="108" spans="2:15" ht="15" customHeight="1">
      <c r="B108" s="292" t="s">
        <v>1517</v>
      </c>
      <c r="C108" s="292" t="s">
        <v>1518</v>
      </c>
      <c r="D108" s="463">
        <v>5800</v>
      </c>
      <c r="E108" s="463">
        <v>6100</v>
      </c>
      <c r="F108" s="463">
        <v>3100</v>
      </c>
      <c r="G108" s="463">
        <v>13915</v>
      </c>
      <c r="H108" s="463">
        <v>556</v>
      </c>
      <c r="I108" s="463">
        <v>0</v>
      </c>
      <c r="J108" s="463">
        <v>0</v>
      </c>
      <c r="K108" s="463">
        <v>7965</v>
      </c>
      <c r="L108" s="463">
        <v>2453</v>
      </c>
      <c r="M108" s="463">
        <v>0</v>
      </c>
      <c r="N108" s="8"/>
      <c r="O108" s="8"/>
    </row>
    <row r="109" spans="2:15" ht="15" customHeight="1">
      <c r="B109" s="292" t="s">
        <v>1519</v>
      </c>
      <c r="C109" s="292" t="s">
        <v>1520</v>
      </c>
      <c r="D109" s="463">
        <v>689</v>
      </c>
      <c r="E109" s="463">
        <v>484</v>
      </c>
      <c r="F109" s="463">
        <v>567</v>
      </c>
      <c r="G109" s="463">
        <v>527</v>
      </c>
      <c r="H109" s="463">
        <v>122</v>
      </c>
      <c r="I109" s="463">
        <v>258</v>
      </c>
      <c r="J109" s="463">
        <v>364</v>
      </c>
      <c r="K109" s="463">
        <v>402</v>
      </c>
      <c r="L109" s="463">
        <v>460</v>
      </c>
      <c r="M109" s="463">
        <v>116</v>
      </c>
      <c r="N109" s="8"/>
      <c r="O109" s="8"/>
    </row>
    <row r="110" spans="2:15" ht="15" customHeight="1">
      <c r="B110" s="292" t="s">
        <v>1349</v>
      </c>
      <c r="C110" s="292" t="s">
        <v>1521</v>
      </c>
      <c r="D110" s="461" t="s">
        <v>568</v>
      </c>
      <c r="E110" s="461" t="s">
        <v>568</v>
      </c>
      <c r="F110" s="461" t="s">
        <v>568</v>
      </c>
      <c r="G110" s="461" t="s">
        <v>568</v>
      </c>
      <c r="H110" s="461" t="s">
        <v>568</v>
      </c>
      <c r="I110" s="464">
        <v>79000</v>
      </c>
      <c r="J110" s="464">
        <v>83000</v>
      </c>
      <c r="K110" s="464">
        <v>88000</v>
      </c>
      <c r="L110" s="464">
        <v>81000</v>
      </c>
      <c r="M110" s="464">
        <v>75000</v>
      </c>
      <c r="N110" s="8"/>
      <c r="O110" s="8"/>
    </row>
    <row r="111" spans="2:15" ht="15" customHeight="1">
      <c r="B111" s="292" t="s">
        <v>1522</v>
      </c>
      <c r="C111" s="292" t="s">
        <v>1523</v>
      </c>
      <c r="D111" s="463">
        <v>24</v>
      </c>
      <c r="E111" s="463">
        <v>21</v>
      </c>
      <c r="F111" s="463">
        <v>19</v>
      </c>
      <c r="G111" s="463">
        <v>17</v>
      </c>
      <c r="H111" s="463">
        <v>0</v>
      </c>
      <c r="I111" s="463">
        <v>0</v>
      </c>
      <c r="J111" s="463">
        <v>0</v>
      </c>
      <c r="K111" s="463">
        <v>0</v>
      </c>
      <c r="L111" s="447" t="s">
        <v>568</v>
      </c>
      <c r="M111" s="447" t="s">
        <v>568</v>
      </c>
      <c r="N111" s="8"/>
      <c r="O111" s="8"/>
    </row>
    <row r="112" spans="2:15" ht="15" customHeight="1">
      <c r="B112" s="292" t="s">
        <v>1524</v>
      </c>
      <c r="C112" s="292" t="s">
        <v>1525</v>
      </c>
      <c r="D112" s="463">
        <v>1247</v>
      </c>
      <c r="E112" s="463">
        <v>202</v>
      </c>
      <c r="F112" s="463">
        <v>83</v>
      </c>
      <c r="G112" s="463">
        <v>114</v>
      </c>
      <c r="H112" s="463">
        <v>501</v>
      </c>
      <c r="I112" s="463">
        <v>476</v>
      </c>
      <c r="J112" s="463">
        <v>704</v>
      </c>
      <c r="K112" s="463">
        <v>420</v>
      </c>
      <c r="L112" s="463">
        <v>245</v>
      </c>
      <c r="M112" s="463">
        <v>523</v>
      </c>
      <c r="N112" s="8"/>
      <c r="O112" s="8"/>
    </row>
    <row r="113" spans="2:15" ht="15" customHeight="1">
      <c r="B113" s="292" t="s">
        <v>1526</v>
      </c>
      <c r="C113" s="292" t="s">
        <v>1527</v>
      </c>
      <c r="D113" s="463">
        <v>444</v>
      </c>
      <c r="E113" s="463">
        <v>490</v>
      </c>
      <c r="F113" s="463">
        <v>942</v>
      </c>
      <c r="G113" s="463">
        <v>604</v>
      </c>
      <c r="H113" s="463">
        <v>599</v>
      </c>
      <c r="I113" s="463">
        <v>405</v>
      </c>
      <c r="J113" s="463">
        <v>1185</v>
      </c>
      <c r="K113" s="463">
        <v>1000</v>
      </c>
      <c r="L113" s="463">
        <v>1121</v>
      </c>
      <c r="M113" s="463">
        <v>2725</v>
      </c>
      <c r="N113" s="8"/>
      <c r="O113" s="8"/>
    </row>
    <row r="114" spans="2:15" ht="15" customHeight="1">
      <c r="B114" s="292" t="s">
        <v>1528</v>
      </c>
      <c r="C114" s="292" t="s">
        <v>1529</v>
      </c>
      <c r="D114" s="463">
        <v>5951.8721999999998</v>
      </c>
      <c r="E114" s="463">
        <v>5952.8648000000003</v>
      </c>
      <c r="F114" s="463">
        <v>5551.8047999999999</v>
      </c>
      <c r="G114" s="463">
        <v>5547.6390000000001</v>
      </c>
      <c r="H114" s="463">
        <v>5623.3464999999997</v>
      </c>
      <c r="I114" s="463">
        <v>5623.3464999999997</v>
      </c>
      <c r="J114" s="463">
        <v>5619.0745999999999</v>
      </c>
      <c r="K114" s="463">
        <v>5646.7784000000001</v>
      </c>
      <c r="L114" s="463">
        <v>5667.3404</v>
      </c>
      <c r="M114" s="463">
        <v>5686.2673999999997</v>
      </c>
      <c r="N114" s="8"/>
      <c r="O114" s="8"/>
    </row>
    <row r="115" spans="2:15" ht="15" customHeight="1">
      <c r="B115" s="292" t="s">
        <v>1530</v>
      </c>
      <c r="C115" s="292" t="s">
        <v>1531</v>
      </c>
      <c r="D115" s="463">
        <v>51687</v>
      </c>
      <c r="E115" s="463">
        <v>57033</v>
      </c>
      <c r="F115" s="463">
        <v>60743</v>
      </c>
      <c r="G115" s="463">
        <v>48941</v>
      </c>
      <c r="H115" s="463">
        <v>52493</v>
      </c>
      <c r="I115" s="463">
        <v>55838</v>
      </c>
      <c r="J115" s="463">
        <v>58548</v>
      </c>
      <c r="K115" s="463">
        <v>62828</v>
      </c>
      <c r="L115" s="463">
        <v>67549</v>
      </c>
      <c r="M115" s="463">
        <v>72496</v>
      </c>
      <c r="N115" s="8"/>
      <c r="O115" s="8"/>
    </row>
    <row r="116" spans="2:15" ht="15" customHeight="1">
      <c r="B116" s="292" t="s">
        <v>1532</v>
      </c>
      <c r="C116" s="292" t="s">
        <v>1533</v>
      </c>
      <c r="D116" s="447" t="s">
        <v>568</v>
      </c>
      <c r="E116" s="447" t="s">
        <v>568</v>
      </c>
      <c r="F116" s="447" t="s">
        <v>568</v>
      </c>
      <c r="G116" s="447" t="s">
        <v>568</v>
      </c>
      <c r="H116" s="447" t="s">
        <v>568</v>
      </c>
      <c r="I116" s="447" t="s">
        <v>568</v>
      </c>
      <c r="J116" s="447" t="s">
        <v>568</v>
      </c>
      <c r="K116" s="447" t="s">
        <v>568</v>
      </c>
      <c r="L116" s="463">
        <v>18893</v>
      </c>
      <c r="M116" s="463">
        <v>21760</v>
      </c>
      <c r="N116" s="8"/>
      <c r="O116" s="8"/>
    </row>
    <row r="117" spans="2:15" ht="15" customHeight="1">
      <c r="B117" s="292" t="s">
        <v>1336</v>
      </c>
      <c r="C117" s="292" t="s">
        <v>1534</v>
      </c>
      <c r="D117" s="463">
        <v>1.371</v>
      </c>
      <c r="E117" s="463">
        <v>1.375</v>
      </c>
      <c r="F117" s="463">
        <v>1.3720000000000001</v>
      </c>
      <c r="G117" s="463">
        <v>1.181</v>
      </c>
      <c r="H117" s="463">
        <v>1.7549999999999999</v>
      </c>
      <c r="I117" s="463">
        <v>0.77900000000000003</v>
      </c>
      <c r="J117" s="463">
        <v>0.42899999999999999</v>
      </c>
      <c r="K117" s="463">
        <v>0.63500000000000001</v>
      </c>
      <c r="L117" s="463">
        <v>1.3720000000000001</v>
      </c>
      <c r="M117" s="463">
        <v>2.0379999999999998</v>
      </c>
      <c r="N117" s="8"/>
      <c r="O117" s="8"/>
    </row>
    <row r="118" spans="2:15" ht="15" customHeight="1">
      <c r="B118" s="292" t="s">
        <v>1535</v>
      </c>
      <c r="C118" s="292" t="s">
        <v>1536</v>
      </c>
      <c r="D118" s="463">
        <v>186.67599999999999</v>
      </c>
      <c r="E118" s="463">
        <v>150.75700000000001</v>
      </c>
      <c r="F118" s="463">
        <v>103.791</v>
      </c>
      <c r="G118" s="463">
        <v>88.6</v>
      </c>
      <c r="H118" s="463">
        <v>75.402000000000001</v>
      </c>
      <c r="I118" s="463">
        <v>44.874000000000002</v>
      </c>
      <c r="J118" s="463">
        <v>35.28</v>
      </c>
      <c r="K118" s="463">
        <v>28.452000000000002</v>
      </c>
      <c r="L118" s="463">
        <v>19.620999999999999</v>
      </c>
      <c r="M118" s="463">
        <v>7.8150000000000004</v>
      </c>
      <c r="N118" s="8"/>
      <c r="O118" s="8"/>
    </row>
    <row r="119" spans="2:15" ht="15" customHeight="1">
      <c r="B119" s="292" t="s">
        <v>1537</v>
      </c>
      <c r="C119" s="292" t="s">
        <v>1538</v>
      </c>
      <c r="D119" s="463">
        <v>597</v>
      </c>
      <c r="E119" s="463">
        <v>524</v>
      </c>
      <c r="F119" s="463">
        <v>478</v>
      </c>
      <c r="G119" s="463">
        <v>431</v>
      </c>
      <c r="H119" s="463">
        <v>0</v>
      </c>
      <c r="I119" s="463">
        <v>0</v>
      </c>
      <c r="J119" s="463">
        <v>0</v>
      </c>
      <c r="K119" s="447" t="s">
        <v>568</v>
      </c>
      <c r="L119" s="447" t="s">
        <v>568</v>
      </c>
      <c r="M119" s="447" t="s">
        <v>568</v>
      </c>
      <c r="N119" s="8"/>
      <c r="O119" s="8"/>
    </row>
    <row r="120" spans="2:15" ht="15" customHeight="1">
      <c r="B120" s="292" t="s">
        <v>1539</v>
      </c>
      <c r="C120" s="292" t="s">
        <v>1540</v>
      </c>
      <c r="D120" s="447" t="s">
        <v>568</v>
      </c>
      <c r="E120" s="447" t="s">
        <v>568</v>
      </c>
      <c r="F120" s="447" t="s">
        <v>568</v>
      </c>
      <c r="G120" s="447" t="s">
        <v>568</v>
      </c>
      <c r="H120" s="463">
        <v>63238</v>
      </c>
      <c r="I120" s="463">
        <v>77201</v>
      </c>
      <c r="J120" s="463">
        <v>95661</v>
      </c>
      <c r="K120" s="463">
        <v>89014</v>
      </c>
      <c r="L120" s="463">
        <v>88203</v>
      </c>
      <c r="M120" s="463">
        <v>86476</v>
      </c>
      <c r="N120" s="8"/>
      <c r="O120" s="8"/>
    </row>
    <row r="121" spans="2:15" ht="15" customHeight="1">
      <c r="B121" s="292" t="s">
        <v>1541</v>
      </c>
      <c r="C121" s="292" t="s">
        <v>1542</v>
      </c>
      <c r="D121" s="463">
        <v>42.55</v>
      </c>
      <c r="E121" s="463">
        <v>34.686</v>
      </c>
      <c r="F121" s="463">
        <v>47.74</v>
      </c>
      <c r="G121" s="463">
        <v>15.964</v>
      </c>
      <c r="H121" s="463">
        <v>18.492000000000001</v>
      </c>
      <c r="I121" s="463">
        <v>31.036000000000001</v>
      </c>
      <c r="J121" s="463">
        <v>9.859</v>
      </c>
      <c r="K121" s="463">
        <v>6.7089999999999996</v>
      </c>
      <c r="L121" s="463">
        <v>4.0000000000000001E-3</v>
      </c>
      <c r="M121" s="447" t="s">
        <v>568</v>
      </c>
      <c r="N121" s="8"/>
      <c r="O121" s="8"/>
    </row>
    <row r="122" spans="2:15" ht="15" customHeight="1">
      <c r="B122" s="292" t="s">
        <v>1543</v>
      </c>
      <c r="C122" s="292" t="s">
        <v>1544</v>
      </c>
      <c r="D122" s="463">
        <v>1.75</v>
      </c>
      <c r="E122" s="463">
        <v>1.4</v>
      </c>
      <c r="F122" s="463">
        <v>0.379</v>
      </c>
      <c r="G122" s="463">
        <v>0.35299999999999998</v>
      </c>
      <c r="H122" s="463">
        <v>0.32600000000000001</v>
      </c>
      <c r="I122" s="463">
        <v>0.18099999999999999</v>
      </c>
      <c r="J122" s="463">
        <v>0.13800000000000001</v>
      </c>
      <c r="K122" s="463">
        <v>0.71799999999999997</v>
      </c>
      <c r="L122" s="463">
        <v>9.9640000000000004</v>
      </c>
      <c r="M122" s="463">
        <v>13.666</v>
      </c>
      <c r="N122" s="8"/>
      <c r="O122" s="8"/>
    </row>
    <row r="123" spans="2:15" ht="15" customHeight="1">
      <c r="B123" s="292" t="s">
        <v>1545</v>
      </c>
      <c r="C123" s="292" t="s">
        <v>1546</v>
      </c>
      <c r="D123" s="463">
        <v>30099</v>
      </c>
      <c r="E123" s="463">
        <v>3238</v>
      </c>
      <c r="F123" s="463">
        <v>2948</v>
      </c>
      <c r="G123" s="463">
        <v>4700</v>
      </c>
      <c r="H123" s="463">
        <v>3123</v>
      </c>
      <c r="I123" s="463">
        <v>1269</v>
      </c>
      <c r="J123" s="463">
        <v>3746</v>
      </c>
      <c r="K123" s="463">
        <v>1128</v>
      </c>
      <c r="L123" s="463">
        <v>4451</v>
      </c>
      <c r="M123" s="463">
        <v>5033</v>
      </c>
      <c r="N123" s="8"/>
      <c r="O123" s="8"/>
    </row>
    <row r="124" spans="2:15" ht="15" customHeight="1">
      <c r="B124" s="292" t="s">
        <v>1547</v>
      </c>
      <c r="C124" s="292" t="s">
        <v>1548</v>
      </c>
      <c r="D124" s="447" t="s">
        <v>568</v>
      </c>
      <c r="E124" s="447" t="s">
        <v>568</v>
      </c>
      <c r="F124" s="447" t="s">
        <v>568</v>
      </c>
      <c r="G124" s="447" t="s">
        <v>568</v>
      </c>
      <c r="H124" s="447" t="s">
        <v>568</v>
      </c>
      <c r="I124" s="463">
        <v>322</v>
      </c>
      <c r="J124" s="463">
        <v>292</v>
      </c>
      <c r="K124" s="463">
        <v>274</v>
      </c>
      <c r="L124" s="463">
        <v>274</v>
      </c>
      <c r="M124" s="463">
        <v>276</v>
      </c>
      <c r="N124" s="8"/>
      <c r="O124" s="8"/>
    </row>
    <row r="125" spans="2:15" ht="15" customHeight="1">
      <c r="B125" s="292" t="s">
        <v>1549</v>
      </c>
      <c r="C125" s="292" t="s">
        <v>1550</v>
      </c>
      <c r="D125" s="463">
        <v>4726</v>
      </c>
      <c r="E125" s="463">
        <v>4524</v>
      </c>
      <c r="F125" s="463">
        <v>3722</v>
      </c>
      <c r="G125" s="463">
        <v>2534</v>
      </c>
      <c r="H125" s="447" t="s">
        <v>568</v>
      </c>
      <c r="I125" s="463">
        <v>5200</v>
      </c>
      <c r="J125" s="463">
        <v>4400</v>
      </c>
      <c r="K125" s="463">
        <v>5200</v>
      </c>
      <c r="L125" s="463">
        <v>4100</v>
      </c>
      <c r="M125" s="463">
        <v>5000</v>
      </c>
      <c r="N125" s="8"/>
      <c r="O125" s="8"/>
    </row>
    <row r="126" spans="2:15" ht="15" customHeight="1">
      <c r="B126" s="292" t="s">
        <v>1551</v>
      </c>
      <c r="C126" s="292" t="s">
        <v>1552</v>
      </c>
      <c r="D126" s="463">
        <v>2595</v>
      </c>
      <c r="E126" s="463">
        <v>1342</v>
      </c>
      <c r="F126" s="463">
        <v>1139</v>
      </c>
      <c r="G126" s="463">
        <v>1121</v>
      </c>
      <c r="H126" s="463">
        <v>1786</v>
      </c>
      <c r="I126" s="463">
        <v>1944</v>
      </c>
      <c r="J126" s="463">
        <v>416</v>
      </c>
      <c r="K126" s="463">
        <v>2853</v>
      </c>
      <c r="L126" s="463">
        <v>1043</v>
      </c>
      <c r="M126" s="463">
        <v>1142</v>
      </c>
      <c r="N126" s="8"/>
      <c r="O126" s="8"/>
    </row>
    <row r="127" spans="2:15" ht="15" customHeight="1">
      <c r="B127" s="292" t="s">
        <v>1553</v>
      </c>
      <c r="C127" s="292" t="s">
        <v>1554</v>
      </c>
      <c r="D127" s="463">
        <v>3567</v>
      </c>
      <c r="E127" s="447" t="s">
        <v>568</v>
      </c>
      <c r="F127" s="447" t="s">
        <v>568</v>
      </c>
      <c r="G127" s="447" t="s">
        <v>568</v>
      </c>
      <c r="H127" s="447" t="s">
        <v>568</v>
      </c>
      <c r="I127" s="447" t="s">
        <v>568</v>
      </c>
      <c r="J127" s="447" t="s">
        <v>568</v>
      </c>
      <c r="K127" s="447" t="s">
        <v>568</v>
      </c>
      <c r="L127" s="447" t="s">
        <v>568</v>
      </c>
      <c r="M127" s="447" t="s">
        <v>568</v>
      </c>
      <c r="N127" s="8"/>
      <c r="O127" s="8"/>
    </row>
    <row r="128" spans="2:15" ht="15" customHeight="1">
      <c r="B128" s="292" t="s">
        <v>1555</v>
      </c>
      <c r="C128" s="292" t="s">
        <v>1556</v>
      </c>
      <c r="D128" s="463">
        <v>3350</v>
      </c>
      <c r="E128" s="447" t="s">
        <v>568</v>
      </c>
      <c r="F128" s="447" t="s">
        <v>568</v>
      </c>
      <c r="G128" s="447" t="s">
        <v>568</v>
      </c>
      <c r="H128" s="447" t="s">
        <v>568</v>
      </c>
      <c r="I128" s="447" t="s">
        <v>568</v>
      </c>
      <c r="J128" s="447" t="s">
        <v>568</v>
      </c>
      <c r="K128" s="447" t="s">
        <v>568</v>
      </c>
      <c r="L128" s="447" t="s">
        <v>568</v>
      </c>
      <c r="M128" s="447" t="s">
        <v>568</v>
      </c>
      <c r="N128" s="8"/>
      <c r="O128" s="8"/>
    </row>
    <row r="129" spans="2:15" ht="15" customHeight="1">
      <c r="B129" s="292" t="s">
        <v>1557</v>
      </c>
      <c r="C129" s="292" t="s">
        <v>1558</v>
      </c>
      <c r="D129" s="463">
        <v>360</v>
      </c>
      <c r="E129" s="447" t="s">
        <v>568</v>
      </c>
      <c r="F129" s="447" t="s">
        <v>568</v>
      </c>
      <c r="G129" s="447" t="s">
        <v>568</v>
      </c>
      <c r="H129" s="447" t="s">
        <v>568</v>
      </c>
      <c r="I129" s="447" t="s">
        <v>568</v>
      </c>
      <c r="J129" s="447" t="s">
        <v>568</v>
      </c>
      <c r="K129" s="447" t="s">
        <v>568</v>
      </c>
      <c r="L129" s="447" t="s">
        <v>568</v>
      </c>
      <c r="M129" s="447" t="s">
        <v>568</v>
      </c>
      <c r="N129" s="8"/>
      <c r="O129" s="8"/>
    </row>
    <row r="130" spans="2:15" ht="15" customHeight="1">
      <c r="B130" s="292" t="s">
        <v>1559</v>
      </c>
      <c r="C130" s="292" t="s">
        <v>1560</v>
      </c>
      <c r="D130" s="463">
        <v>4241</v>
      </c>
      <c r="E130" s="447" t="s">
        <v>568</v>
      </c>
      <c r="F130" s="447" t="s">
        <v>568</v>
      </c>
      <c r="G130" s="447" t="s">
        <v>568</v>
      </c>
      <c r="H130" s="447" t="s">
        <v>568</v>
      </c>
      <c r="I130" s="447" t="s">
        <v>568</v>
      </c>
      <c r="J130" s="447" t="s">
        <v>568</v>
      </c>
      <c r="K130" s="447" t="s">
        <v>568</v>
      </c>
      <c r="L130" s="447" t="s">
        <v>568</v>
      </c>
      <c r="M130" s="447" t="s">
        <v>568</v>
      </c>
      <c r="N130" s="8"/>
      <c r="O130" s="8"/>
    </row>
    <row r="131" spans="2:15" ht="15" customHeight="1">
      <c r="B131" s="292" t="s">
        <v>1561</v>
      </c>
      <c r="C131" s="292" t="s">
        <v>1562</v>
      </c>
      <c r="D131" s="463">
        <v>19879</v>
      </c>
      <c r="E131" s="447" t="s">
        <v>568</v>
      </c>
      <c r="F131" s="447" t="s">
        <v>568</v>
      </c>
      <c r="G131" s="447" t="s">
        <v>568</v>
      </c>
      <c r="H131" s="447" t="s">
        <v>568</v>
      </c>
      <c r="I131" s="447" t="s">
        <v>568</v>
      </c>
      <c r="J131" s="447" t="s">
        <v>568</v>
      </c>
      <c r="K131" s="447" t="s">
        <v>568</v>
      </c>
      <c r="L131" s="447" t="s">
        <v>568</v>
      </c>
      <c r="M131" s="447" t="s">
        <v>568</v>
      </c>
      <c r="N131" s="8"/>
      <c r="O131" s="8"/>
    </row>
    <row r="132" spans="2:15" ht="15" customHeight="1">
      <c r="B132" s="292" t="s">
        <v>1563</v>
      </c>
      <c r="C132" s="292" t="s">
        <v>1564</v>
      </c>
      <c r="D132" s="463">
        <v>42085</v>
      </c>
      <c r="E132" s="463">
        <v>43491</v>
      </c>
      <c r="F132" s="463">
        <v>41740</v>
      </c>
      <c r="G132" s="463">
        <v>52150</v>
      </c>
      <c r="H132" s="463">
        <v>39836</v>
      </c>
      <c r="I132" s="463">
        <v>38436</v>
      </c>
      <c r="J132" s="463">
        <v>35829</v>
      </c>
      <c r="K132" s="463">
        <v>71888</v>
      </c>
      <c r="L132" s="463">
        <v>64351</v>
      </c>
      <c r="M132" s="463">
        <v>64795</v>
      </c>
      <c r="N132" s="8"/>
      <c r="O132" s="8"/>
    </row>
    <row r="133" spans="2:15" ht="15" customHeight="1">
      <c r="B133" s="292" t="s">
        <v>1565</v>
      </c>
      <c r="C133" s="292" t="s">
        <v>1566</v>
      </c>
      <c r="D133" s="463">
        <v>31398</v>
      </c>
      <c r="E133" s="463">
        <v>33538</v>
      </c>
      <c r="F133" s="463">
        <v>32909</v>
      </c>
      <c r="G133" s="463">
        <v>35955</v>
      </c>
      <c r="H133" s="463">
        <v>37133</v>
      </c>
      <c r="I133" s="463">
        <v>36195</v>
      </c>
      <c r="J133" s="463">
        <v>32884</v>
      </c>
      <c r="K133" s="463">
        <v>61538</v>
      </c>
      <c r="L133" s="463">
        <v>57405</v>
      </c>
      <c r="M133" s="463">
        <v>61641</v>
      </c>
      <c r="N133" s="8"/>
      <c r="O133" s="8"/>
    </row>
    <row r="134" spans="2:15" ht="15" customHeight="1">
      <c r="B134" s="292" t="s">
        <v>1567</v>
      </c>
      <c r="C134" s="292" t="s">
        <v>1568</v>
      </c>
      <c r="D134" s="463">
        <v>159.113</v>
      </c>
      <c r="E134" s="463">
        <v>156.07579999999999</v>
      </c>
      <c r="F134" s="463">
        <v>313.80610000000001</v>
      </c>
      <c r="G134" s="463">
        <v>220.43940000000001</v>
      </c>
      <c r="H134" s="463">
        <v>6.1384999999999996</v>
      </c>
      <c r="I134" s="463">
        <v>4.6699999999999998E-2</v>
      </c>
      <c r="J134" s="463">
        <v>52.006100000000004</v>
      </c>
      <c r="K134" s="463">
        <v>12.221299999999999</v>
      </c>
      <c r="L134" s="463">
        <v>10.020899999999999</v>
      </c>
      <c r="M134" s="463">
        <v>9.6088000000000005</v>
      </c>
      <c r="N134" s="8"/>
      <c r="O134" s="8"/>
    </row>
    <row r="135" spans="2:15" ht="15" customHeight="1">
      <c r="B135" s="292" t="s">
        <v>1569</v>
      </c>
      <c r="C135" s="292" t="s">
        <v>1570</v>
      </c>
      <c r="D135" s="447" t="s">
        <v>568</v>
      </c>
      <c r="E135" s="447" t="s">
        <v>568</v>
      </c>
      <c r="F135" s="447" t="s">
        <v>568</v>
      </c>
      <c r="G135" s="463">
        <v>1299</v>
      </c>
      <c r="H135" s="463">
        <v>1428</v>
      </c>
      <c r="I135" s="463">
        <v>2959</v>
      </c>
      <c r="J135" s="463">
        <v>3217</v>
      </c>
      <c r="K135" s="463">
        <v>3153</v>
      </c>
      <c r="L135" s="463">
        <v>2642</v>
      </c>
      <c r="M135" s="463">
        <v>2621</v>
      </c>
      <c r="N135" s="8"/>
      <c r="O135" s="8"/>
    </row>
    <row r="136" spans="2:15" ht="15" customHeight="1">
      <c r="B136" s="292" t="s">
        <v>1571</v>
      </c>
      <c r="C136" s="292" t="s">
        <v>1572</v>
      </c>
      <c r="D136" s="464">
        <v>1.3</v>
      </c>
      <c r="E136" s="464">
        <v>1.36</v>
      </c>
      <c r="F136" s="464">
        <v>2.42</v>
      </c>
      <c r="G136" s="464">
        <v>1.92</v>
      </c>
      <c r="H136" s="464">
        <v>0.13</v>
      </c>
      <c r="I136" s="464">
        <v>0.13</v>
      </c>
      <c r="J136" s="461" t="s">
        <v>568</v>
      </c>
      <c r="K136" s="461" t="s">
        <v>568</v>
      </c>
      <c r="L136" s="461" t="s">
        <v>568</v>
      </c>
      <c r="M136" s="461" t="s">
        <v>568</v>
      </c>
      <c r="N136" s="8"/>
      <c r="O136" s="8"/>
    </row>
    <row r="137" spans="2:15" ht="15" customHeight="1">
      <c r="B137" s="292" t="s">
        <v>1573</v>
      </c>
      <c r="C137" s="292" t="s">
        <v>1574</v>
      </c>
      <c r="D137" s="447" t="s">
        <v>568</v>
      </c>
      <c r="E137" s="463">
        <v>0</v>
      </c>
      <c r="F137" s="463">
        <v>1261</v>
      </c>
      <c r="G137" s="463">
        <v>1863</v>
      </c>
      <c r="H137" s="463">
        <v>2776</v>
      </c>
      <c r="I137" s="463">
        <v>3849</v>
      </c>
      <c r="J137" s="463">
        <v>2823</v>
      </c>
      <c r="K137" s="463">
        <v>2772</v>
      </c>
      <c r="L137" s="463">
        <v>7701</v>
      </c>
      <c r="M137" s="463">
        <v>642</v>
      </c>
      <c r="N137" s="8"/>
      <c r="O137" s="8"/>
    </row>
    <row r="138" spans="2:15" ht="15" customHeight="1">
      <c r="B138" s="292" t="s">
        <v>1575</v>
      </c>
      <c r="C138" s="292" t="s">
        <v>1576</v>
      </c>
      <c r="D138" s="447" t="s">
        <v>568</v>
      </c>
      <c r="E138" s="463">
        <v>0</v>
      </c>
      <c r="F138" s="463">
        <v>18335</v>
      </c>
      <c r="G138" s="463">
        <v>9274</v>
      </c>
      <c r="H138" s="463">
        <v>11502</v>
      </c>
      <c r="I138" s="463">
        <v>29702</v>
      </c>
      <c r="J138" s="463">
        <v>22438</v>
      </c>
      <c r="K138" s="463">
        <v>11171</v>
      </c>
      <c r="L138" s="463">
        <v>14665</v>
      </c>
      <c r="M138" s="463">
        <v>13311</v>
      </c>
      <c r="N138" s="8"/>
      <c r="O138" s="8"/>
    </row>
    <row r="139" spans="2:15" ht="15" customHeight="1">
      <c r="B139" s="292" t="s">
        <v>1577</v>
      </c>
      <c r="C139" s="292" t="s">
        <v>1578</v>
      </c>
      <c r="D139" s="447" t="s">
        <v>568</v>
      </c>
      <c r="E139" s="463">
        <v>50</v>
      </c>
      <c r="F139" s="447" t="s">
        <v>568</v>
      </c>
      <c r="G139" s="447" t="s">
        <v>568</v>
      </c>
      <c r="H139" s="447" t="s">
        <v>568</v>
      </c>
      <c r="I139" s="447" t="s">
        <v>568</v>
      </c>
      <c r="J139" s="447" t="s">
        <v>568</v>
      </c>
      <c r="K139" s="447" t="s">
        <v>568</v>
      </c>
      <c r="L139" s="447" t="s">
        <v>568</v>
      </c>
      <c r="M139" s="447" t="s">
        <v>568</v>
      </c>
      <c r="N139" s="8"/>
      <c r="O139" s="8"/>
    </row>
    <row r="140" spans="2:15" ht="15" customHeight="1">
      <c r="B140" s="292" t="s">
        <v>1579</v>
      </c>
      <c r="C140" s="292" t="s">
        <v>1580</v>
      </c>
      <c r="D140" s="463">
        <v>24300</v>
      </c>
      <c r="E140" s="463">
        <v>50</v>
      </c>
      <c r="F140" s="463">
        <v>19596</v>
      </c>
      <c r="G140" s="463">
        <v>11137</v>
      </c>
      <c r="H140" s="463">
        <v>14278</v>
      </c>
      <c r="I140" s="463">
        <v>29702</v>
      </c>
      <c r="J140" s="463">
        <v>25261</v>
      </c>
      <c r="K140" s="463">
        <v>13943</v>
      </c>
      <c r="L140" s="463">
        <v>22366</v>
      </c>
      <c r="M140" s="463">
        <v>13953</v>
      </c>
      <c r="N140" s="8"/>
      <c r="O140" s="8"/>
    </row>
    <row r="141" spans="2:15" ht="15" customHeight="1">
      <c r="B141" s="292" t="s">
        <v>1581</v>
      </c>
      <c r="C141" s="292" t="s">
        <v>1582</v>
      </c>
      <c r="D141" s="447" t="s">
        <v>568</v>
      </c>
      <c r="E141" s="447" t="s">
        <v>568</v>
      </c>
      <c r="F141" s="463">
        <v>0</v>
      </c>
      <c r="G141" s="463">
        <v>0</v>
      </c>
      <c r="H141" s="447" t="s">
        <v>568</v>
      </c>
      <c r="I141" s="463">
        <v>0</v>
      </c>
      <c r="J141" s="463">
        <v>0</v>
      </c>
      <c r="K141" s="463">
        <v>0</v>
      </c>
      <c r="L141" s="463">
        <v>0</v>
      </c>
      <c r="M141" s="463">
        <v>0</v>
      </c>
      <c r="N141" s="8"/>
      <c r="O141" s="8"/>
    </row>
    <row r="142" spans="2:15" ht="15" customHeight="1">
      <c r="B142" s="292" t="s">
        <v>1583</v>
      </c>
      <c r="C142" s="292" t="s">
        <v>1584</v>
      </c>
      <c r="D142" s="447" t="s">
        <v>568</v>
      </c>
      <c r="E142" s="447" t="s">
        <v>568</v>
      </c>
      <c r="F142" s="463">
        <v>1025</v>
      </c>
      <c r="G142" s="463">
        <v>718</v>
      </c>
      <c r="H142" s="463">
        <v>1100</v>
      </c>
      <c r="I142" s="463">
        <v>881</v>
      </c>
      <c r="J142" s="463">
        <v>1889</v>
      </c>
      <c r="K142" s="463">
        <v>1420</v>
      </c>
      <c r="L142" s="463">
        <v>1366</v>
      </c>
      <c r="M142" s="463">
        <v>1458</v>
      </c>
      <c r="N142" s="8"/>
      <c r="O142" s="8"/>
    </row>
    <row r="143" spans="2:15" ht="15" customHeight="1">
      <c r="B143" s="292" t="s">
        <v>1585</v>
      </c>
      <c r="C143" s="292" t="s">
        <v>1586</v>
      </c>
      <c r="D143" s="447" t="s">
        <v>568</v>
      </c>
      <c r="E143" s="447" t="s">
        <v>568</v>
      </c>
      <c r="F143" s="447" t="s">
        <v>568</v>
      </c>
      <c r="G143" s="447" t="s">
        <v>568</v>
      </c>
      <c r="H143" s="447" t="s">
        <v>568</v>
      </c>
      <c r="I143" s="447" t="s">
        <v>568</v>
      </c>
      <c r="J143" s="447" t="s">
        <v>568</v>
      </c>
      <c r="K143" s="447" t="s">
        <v>568</v>
      </c>
      <c r="L143" s="447" t="s">
        <v>568</v>
      </c>
      <c r="M143" s="463">
        <v>1695</v>
      </c>
      <c r="N143" s="8"/>
      <c r="O143" s="8"/>
    </row>
    <row r="144" spans="2:15" ht="15" customHeight="1">
      <c r="B144" s="292" t="s">
        <v>1587</v>
      </c>
      <c r="C144" s="292" t="s">
        <v>1588</v>
      </c>
      <c r="D144" s="463">
        <v>43750</v>
      </c>
      <c r="E144" s="463">
        <v>691</v>
      </c>
      <c r="F144" s="463">
        <v>1025</v>
      </c>
      <c r="G144" s="463">
        <v>718</v>
      </c>
      <c r="H144" s="463">
        <v>1100</v>
      </c>
      <c r="I144" s="463">
        <v>881</v>
      </c>
      <c r="J144" s="463">
        <v>1889</v>
      </c>
      <c r="K144" s="463">
        <v>1420</v>
      </c>
      <c r="L144" s="463">
        <v>1366</v>
      </c>
      <c r="M144" s="463">
        <v>3248</v>
      </c>
      <c r="N144" s="8"/>
      <c r="O144" s="8"/>
    </row>
    <row r="145" spans="2:15" ht="15" customHeight="1">
      <c r="B145" s="292" t="s">
        <v>1589</v>
      </c>
      <c r="C145" s="292" t="s">
        <v>1590</v>
      </c>
      <c r="D145" s="463">
        <v>2.9489999999999998</v>
      </c>
      <c r="E145" s="463">
        <v>1.208</v>
      </c>
      <c r="F145" s="463">
        <v>0.219</v>
      </c>
      <c r="G145" s="463">
        <v>5.5E-2</v>
      </c>
      <c r="H145" s="463">
        <v>0.16</v>
      </c>
      <c r="I145" s="463">
        <v>8.8999999999999996E-2</v>
      </c>
      <c r="J145" s="463">
        <v>2.5999999999999999E-2</v>
      </c>
      <c r="K145" s="463">
        <v>3.5999999999999997E-2</v>
      </c>
      <c r="L145" s="463">
        <v>0.23499999999999999</v>
      </c>
      <c r="M145" s="463">
        <v>0.17799999999999999</v>
      </c>
      <c r="N145" s="8"/>
      <c r="O145" s="8"/>
    </row>
    <row r="146" spans="2:15" ht="15" customHeight="1">
      <c r="B146" s="292" t="s">
        <v>1591</v>
      </c>
      <c r="C146" s="292" t="s">
        <v>1592</v>
      </c>
      <c r="D146" s="463">
        <v>7389</v>
      </c>
      <c r="E146" s="463">
        <v>6536</v>
      </c>
      <c r="F146" s="463">
        <v>9074</v>
      </c>
      <c r="G146" s="463">
        <v>5056</v>
      </c>
      <c r="H146" s="447" t="s">
        <v>568</v>
      </c>
      <c r="I146" s="447" t="s">
        <v>568</v>
      </c>
      <c r="J146" s="447" t="s">
        <v>568</v>
      </c>
      <c r="K146" s="447" t="s">
        <v>568</v>
      </c>
      <c r="L146" s="447" t="s">
        <v>568</v>
      </c>
      <c r="M146" s="447" t="s">
        <v>568</v>
      </c>
      <c r="N146" s="8"/>
      <c r="O146" s="8"/>
    </row>
    <row r="147" spans="2:15" ht="15" customHeight="1">
      <c r="B147" s="292" t="s">
        <v>1593</v>
      </c>
      <c r="C147" s="292" t="s">
        <v>1594</v>
      </c>
      <c r="D147" s="463">
        <v>11465</v>
      </c>
      <c r="E147" s="463">
        <v>13323</v>
      </c>
      <c r="F147" s="463">
        <v>12595</v>
      </c>
      <c r="G147" s="463">
        <v>11210</v>
      </c>
      <c r="H147" s="447" t="s">
        <v>568</v>
      </c>
      <c r="I147" s="447" t="s">
        <v>568</v>
      </c>
      <c r="J147" s="447" t="s">
        <v>568</v>
      </c>
      <c r="K147" s="447" t="s">
        <v>568</v>
      </c>
      <c r="L147" s="447" t="s">
        <v>568</v>
      </c>
      <c r="M147" s="447" t="s">
        <v>568</v>
      </c>
      <c r="N147" s="8"/>
      <c r="O147" s="8"/>
    </row>
    <row r="148" spans="2:15" ht="15" customHeight="1">
      <c r="B148" s="292" t="s">
        <v>1595</v>
      </c>
      <c r="C148" s="292" t="s">
        <v>1596</v>
      </c>
      <c r="D148" s="463">
        <v>8791</v>
      </c>
      <c r="E148" s="463">
        <v>11215</v>
      </c>
      <c r="F148" s="463">
        <v>9573</v>
      </c>
      <c r="G148" s="463">
        <v>11511</v>
      </c>
      <c r="H148" s="447" t="s">
        <v>568</v>
      </c>
      <c r="I148" s="447" t="s">
        <v>568</v>
      </c>
      <c r="J148" s="447" t="s">
        <v>568</v>
      </c>
      <c r="K148" s="447" t="s">
        <v>568</v>
      </c>
      <c r="L148" s="447" t="s">
        <v>568</v>
      </c>
      <c r="M148" s="447" t="s">
        <v>568</v>
      </c>
      <c r="N148" s="8"/>
      <c r="O148" s="8"/>
    </row>
    <row r="149" spans="2:15" ht="15" customHeight="1">
      <c r="B149" s="292" t="s">
        <v>1597</v>
      </c>
      <c r="C149" s="292" t="s">
        <v>1598</v>
      </c>
      <c r="D149" s="463">
        <v>37435</v>
      </c>
      <c r="E149" s="463">
        <v>49743</v>
      </c>
      <c r="F149" s="463">
        <v>47979</v>
      </c>
      <c r="G149" s="463">
        <v>49369</v>
      </c>
      <c r="H149" s="447" t="s">
        <v>568</v>
      </c>
      <c r="I149" s="447" t="s">
        <v>568</v>
      </c>
      <c r="J149" s="447" t="s">
        <v>568</v>
      </c>
      <c r="K149" s="447" t="s">
        <v>568</v>
      </c>
      <c r="L149" s="447" t="s">
        <v>568</v>
      </c>
      <c r="M149" s="447" t="s">
        <v>568</v>
      </c>
      <c r="N149" s="8"/>
      <c r="O149" s="8"/>
    </row>
    <row r="150" spans="2:15" ht="15" customHeight="1">
      <c r="B150" s="292" t="s">
        <v>1599</v>
      </c>
      <c r="C150" s="292" t="s">
        <v>1600</v>
      </c>
      <c r="D150" s="463">
        <v>65080</v>
      </c>
      <c r="E150" s="463">
        <v>65617</v>
      </c>
      <c r="F150" s="463">
        <v>68220</v>
      </c>
      <c r="G150" s="463">
        <v>77144</v>
      </c>
      <c r="H150" s="447" t="s">
        <v>568</v>
      </c>
      <c r="I150" s="447" t="s">
        <v>568</v>
      </c>
      <c r="J150" s="447" t="s">
        <v>568</v>
      </c>
      <c r="K150" s="447" t="s">
        <v>568</v>
      </c>
      <c r="L150" s="447" t="s">
        <v>568</v>
      </c>
      <c r="M150" s="447" t="s">
        <v>568</v>
      </c>
      <c r="N150" s="8"/>
      <c r="O150" s="8"/>
    </row>
    <row r="151" spans="2:15" ht="15" customHeight="1">
      <c r="B151" s="292" t="s">
        <v>1601</v>
      </c>
      <c r="C151" s="292" t="s">
        <v>1602</v>
      </c>
      <c r="D151" s="464">
        <v>7.2</v>
      </c>
      <c r="E151" s="464">
        <v>9.4</v>
      </c>
      <c r="F151" s="461" t="s">
        <v>568</v>
      </c>
      <c r="G151" s="461" t="s">
        <v>568</v>
      </c>
      <c r="H151" s="461" t="s">
        <v>568</v>
      </c>
      <c r="I151" s="461" t="s">
        <v>568</v>
      </c>
      <c r="J151" s="461" t="s">
        <v>568</v>
      </c>
      <c r="K151" s="461" t="s">
        <v>568</v>
      </c>
      <c r="L151" s="461" t="s">
        <v>568</v>
      </c>
      <c r="M151" s="461" t="s">
        <v>568</v>
      </c>
      <c r="N151" s="8"/>
      <c r="O151" s="8"/>
    </row>
    <row r="152" spans="2:15" ht="15" customHeight="1">
      <c r="B152" s="292" t="s">
        <v>1603</v>
      </c>
      <c r="C152" s="292" t="s">
        <v>1604</v>
      </c>
      <c r="D152" s="463">
        <v>2920</v>
      </c>
      <c r="E152" s="447" t="s">
        <v>568</v>
      </c>
      <c r="F152" s="447" t="s">
        <v>568</v>
      </c>
      <c r="G152" s="463">
        <v>1711</v>
      </c>
      <c r="H152" s="463">
        <v>1469</v>
      </c>
      <c r="I152" s="463">
        <v>-34</v>
      </c>
      <c r="J152" s="463">
        <v>-1515</v>
      </c>
      <c r="K152" s="463">
        <v>-1140</v>
      </c>
      <c r="L152" s="463">
        <v>-95</v>
      </c>
      <c r="M152" s="463">
        <v>-3239</v>
      </c>
      <c r="N152" s="8"/>
      <c r="O152" s="8"/>
    </row>
    <row r="153" spans="2:15" ht="15" customHeight="1">
      <c r="B153" s="292" t="s">
        <v>1605</v>
      </c>
      <c r="C153" s="292" t="s">
        <v>1606</v>
      </c>
      <c r="D153" s="447" t="s">
        <v>568</v>
      </c>
      <c r="E153" s="447" t="s">
        <v>568</v>
      </c>
      <c r="F153" s="447" t="s">
        <v>568</v>
      </c>
      <c r="G153" s="463">
        <v>1324</v>
      </c>
      <c r="H153" s="463">
        <v>1428</v>
      </c>
      <c r="I153" s="463">
        <v>2960</v>
      </c>
      <c r="J153" s="463">
        <v>3217</v>
      </c>
      <c r="K153" s="463">
        <v>3153</v>
      </c>
      <c r="L153" s="463">
        <v>2642</v>
      </c>
      <c r="M153" s="463">
        <v>2620</v>
      </c>
      <c r="N153" s="8"/>
      <c r="O153" s="8"/>
    </row>
    <row r="154" spans="2:15" ht="15" customHeight="1">
      <c r="B154" s="292" t="s">
        <v>1607</v>
      </c>
      <c r="C154" s="292" t="s">
        <v>1608</v>
      </c>
      <c r="D154" s="463">
        <v>50</v>
      </c>
      <c r="E154" s="463">
        <v>217</v>
      </c>
      <c r="F154" s="463">
        <v>225</v>
      </c>
      <c r="G154" s="463">
        <v>243</v>
      </c>
      <c r="H154" s="463">
        <v>158</v>
      </c>
      <c r="I154" s="463">
        <v>177</v>
      </c>
      <c r="J154" s="463">
        <v>143</v>
      </c>
      <c r="K154" s="463">
        <v>128</v>
      </c>
      <c r="L154" s="463">
        <v>126</v>
      </c>
      <c r="M154" s="463">
        <v>127</v>
      </c>
      <c r="N154" s="8"/>
      <c r="O154" s="8"/>
    </row>
    <row r="155" spans="2:15" ht="15" customHeight="1">
      <c r="B155" s="292" t="s">
        <v>1609</v>
      </c>
      <c r="C155" s="292" t="s">
        <v>1610</v>
      </c>
      <c r="D155" s="464">
        <v>1.55</v>
      </c>
      <c r="E155" s="464">
        <v>2.23</v>
      </c>
      <c r="F155" s="464">
        <v>2.85</v>
      </c>
      <c r="G155" s="464">
        <v>2.5499999999999998</v>
      </c>
      <c r="H155" s="464">
        <v>1.25</v>
      </c>
      <c r="I155" s="464">
        <v>1.27</v>
      </c>
      <c r="J155" s="464">
        <v>1.93</v>
      </c>
      <c r="K155" s="464">
        <v>4.03</v>
      </c>
      <c r="L155" s="464">
        <v>4.32</v>
      </c>
      <c r="M155" s="464">
        <v>4.12</v>
      </c>
      <c r="N155" s="8"/>
      <c r="O155" s="8"/>
    </row>
    <row r="156" spans="2:15" ht="15" customHeight="1">
      <c r="B156" s="292" t="s">
        <v>1611</v>
      </c>
      <c r="C156" s="292" t="s">
        <v>1612</v>
      </c>
      <c r="D156" s="464">
        <v>6.75</v>
      </c>
      <c r="E156" s="464">
        <v>6.75</v>
      </c>
      <c r="F156" s="464">
        <v>6.75</v>
      </c>
      <c r="G156" s="464">
        <v>5.13</v>
      </c>
      <c r="H156" s="464">
        <v>5.12</v>
      </c>
      <c r="I156" s="464">
        <v>6.75</v>
      </c>
      <c r="J156" s="464">
        <v>6.5</v>
      </c>
      <c r="K156" s="464">
        <v>6.5</v>
      </c>
      <c r="L156" s="464">
        <v>6.5</v>
      </c>
      <c r="M156" s="464">
        <v>6.25</v>
      </c>
      <c r="N156" s="8"/>
      <c r="O156" s="8"/>
    </row>
    <row r="157" spans="2:15" ht="15" customHeight="1">
      <c r="B157" s="292" t="s">
        <v>1613</v>
      </c>
      <c r="C157" s="292" t="s">
        <v>1614</v>
      </c>
      <c r="D157" s="464">
        <v>21.64</v>
      </c>
      <c r="E157" s="464">
        <v>18.39</v>
      </c>
      <c r="F157" s="464">
        <v>20.02</v>
      </c>
      <c r="G157" s="464">
        <v>18.34</v>
      </c>
      <c r="H157" s="464">
        <v>20.97</v>
      </c>
      <c r="I157" s="464">
        <v>26.54</v>
      </c>
      <c r="J157" s="464">
        <v>29.21</v>
      </c>
      <c r="K157" s="464">
        <v>23.23</v>
      </c>
      <c r="L157" s="464">
        <v>26.56</v>
      </c>
      <c r="M157" s="464">
        <v>22.38</v>
      </c>
      <c r="N157" s="8"/>
      <c r="O157" s="8"/>
    </row>
    <row r="158" spans="2:15" ht="15" customHeight="1">
      <c r="B158" s="292" t="s">
        <v>1615</v>
      </c>
      <c r="C158" s="292" t="s">
        <v>1616</v>
      </c>
      <c r="D158" s="464">
        <v>3.85</v>
      </c>
      <c r="E158" s="464">
        <v>3.69</v>
      </c>
      <c r="F158" s="464">
        <v>3.73</v>
      </c>
      <c r="G158" s="464">
        <v>3.27</v>
      </c>
      <c r="H158" s="464">
        <v>4.3600000000000003</v>
      </c>
      <c r="I158" s="464">
        <v>4.51</v>
      </c>
      <c r="J158" s="464">
        <v>3.42</v>
      </c>
      <c r="K158" s="464">
        <v>3.8</v>
      </c>
      <c r="L158" s="464">
        <v>6.06</v>
      </c>
      <c r="M158" s="464">
        <v>6.47</v>
      </c>
      <c r="N158" s="8"/>
      <c r="O158" s="8"/>
    </row>
    <row r="159" spans="2:15" ht="15" customHeight="1">
      <c r="B159" s="292" t="s">
        <v>1617</v>
      </c>
      <c r="C159" s="292" t="s">
        <v>1618</v>
      </c>
      <c r="D159" s="461" t="s">
        <v>568</v>
      </c>
      <c r="E159" s="464">
        <v>24.49</v>
      </c>
      <c r="F159" s="464">
        <v>27.47</v>
      </c>
      <c r="G159" s="464">
        <v>28.04</v>
      </c>
      <c r="H159" s="464">
        <v>27.97</v>
      </c>
      <c r="I159" s="464">
        <v>29.81</v>
      </c>
      <c r="J159" s="464">
        <v>31.18</v>
      </c>
      <c r="K159" s="464">
        <v>32.19</v>
      </c>
      <c r="L159" s="464">
        <v>33.119999999999997</v>
      </c>
      <c r="M159" s="464">
        <v>35.049999999999997</v>
      </c>
      <c r="N159" s="8"/>
      <c r="O159" s="8"/>
    </row>
    <row r="160" spans="2:15" ht="15" customHeight="1">
      <c r="B160" s="292" t="s">
        <v>1619</v>
      </c>
      <c r="C160" s="292" t="s">
        <v>1620</v>
      </c>
      <c r="D160" s="464">
        <v>26.86</v>
      </c>
      <c r="E160" s="464">
        <v>27.27</v>
      </c>
      <c r="F160" s="464">
        <v>27.69</v>
      </c>
      <c r="G160" s="464">
        <v>28.39</v>
      </c>
      <c r="H160" s="464">
        <v>28.31</v>
      </c>
      <c r="I160" s="464">
        <v>30.2</v>
      </c>
      <c r="J160" s="464">
        <v>31.47</v>
      </c>
      <c r="K160" s="464">
        <v>32.659999999999997</v>
      </c>
      <c r="L160" s="464">
        <v>33.24</v>
      </c>
      <c r="M160" s="464">
        <v>32.090000000000003</v>
      </c>
      <c r="N160" s="8"/>
      <c r="O160" s="292" t="s">
        <v>380</v>
      </c>
    </row>
    <row r="161" spans="2:15" ht="15" customHeight="1">
      <c r="B161" s="292" t="s">
        <v>1621</v>
      </c>
      <c r="C161" s="292" t="s">
        <v>1622</v>
      </c>
      <c r="D161" s="463">
        <v>105.86199999999999</v>
      </c>
      <c r="E161" s="463">
        <v>108.747</v>
      </c>
      <c r="F161" s="463">
        <v>100.078</v>
      </c>
      <c r="G161" s="463">
        <v>85.372</v>
      </c>
      <c r="H161" s="463">
        <v>71.731999999999999</v>
      </c>
      <c r="I161" s="463">
        <v>41.582999999999998</v>
      </c>
      <c r="J161" s="463">
        <v>32.46</v>
      </c>
      <c r="K161" s="463">
        <v>26.667000000000002</v>
      </c>
      <c r="L161" s="463">
        <v>17.446999999999999</v>
      </c>
      <c r="M161" s="463">
        <v>4.1959999999999997</v>
      </c>
      <c r="N161" s="8"/>
      <c r="O161" s="8"/>
    </row>
    <row r="162" spans="2:15" ht="15" customHeight="1">
      <c r="B162" s="292" t="s">
        <v>1623</v>
      </c>
      <c r="C162" s="292" t="s">
        <v>1624</v>
      </c>
      <c r="D162" s="463">
        <v>1949</v>
      </c>
      <c r="E162" s="463">
        <v>2203</v>
      </c>
      <c r="F162" s="463">
        <v>2068</v>
      </c>
      <c r="G162" s="463">
        <v>1927</v>
      </c>
      <c r="H162" s="463">
        <v>1586</v>
      </c>
      <c r="I162" s="463">
        <v>1462</v>
      </c>
      <c r="J162" s="463">
        <v>1541</v>
      </c>
      <c r="K162" s="463">
        <v>1738</v>
      </c>
      <c r="L162" s="463">
        <v>1638</v>
      </c>
      <c r="M162" s="463">
        <v>1546</v>
      </c>
      <c r="N162" s="8"/>
      <c r="O162" s="8"/>
    </row>
    <row r="163" spans="2:15" ht="15" customHeight="1">
      <c r="B163" s="292" t="s">
        <v>1625</v>
      </c>
      <c r="C163" s="292" t="s">
        <v>1626</v>
      </c>
      <c r="D163" s="463">
        <v>22000</v>
      </c>
      <c r="E163" s="463">
        <v>10000</v>
      </c>
      <c r="F163" s="463">
        <v>14000</v>
      </c>
      <c r="G163" s="463">
        <v>5300</v>
      </c>
      <c r="H163" s="463">
        <v>5300</v>
      </c>
      <c r="I163" s="463">
        <v>5300</v>
      </c>
      <c r="J163" s="463">
        <v>3300</v>
      </c>
      <c r="K163" s="463">
        <v>3300</v>
      </c>
      <c r="L163" s="463">
        <v>3300</v>
      </c>
      <c r="M163" s="463">
        <v>3300</v>
      </c>
      <c r="N163" s="8"/>
      <c r="O163" s="8"/>
    </row>
    <row r="164" spans="2:15" ht="15" customHeight="1">
      <c r="B164" s="292" t="s">
        <v>1627</v>
      </c>
      <c r="C164" s="292" t="s">
        <v>1628</v>
      </c>
      <c r="D164" s="463">
        <v>11355.8621</v>
      </c>
      <c r="E164" s="463">
        <v>6355.8621000000003</v>
      </c>
      <c r="F164" s="463">
        <v>14000</v>
      </c>
      <c r="G164" s="463">
        <v>5292.8816999999999</v>
      </c>
      <c r="H164" s="463">
        <v>5292.8816999999999</v>
      </c>
      <c r="I164" s="463">
        <v>5292.8816999999999</v>
      </c>
      <c r="J164" s="463">
        <v>3292.8824</v>
      </c>
      <c r="K164" s="463">
        <v>3292.8824</v>
      </c>
      <c r="L164" s="463">
        <v>3292.8824</v>
      </c>
      <c r="M164" s="463">
        <v>3292.8824</v>
      </c>
      <c r="N164" s="8"/>
      <c r="O164" s="8"/>
    </row>
    <row r="165" spans="2:15" ht="15" customHeight="1">
      <c r="B165" s="292" t="s">
        <v>1629</v>
      </c>
      <c r="C165" s="292" t="s">
        <v>1630</v>
      </c>
      <c r="D165" s="447" t="s">
        <v>568</v>
      </c>
      <c r="E165" s="447" t="s">
        <v>568</v>
      </c>
      <c r="F165" s="463">
        <v>0</v>
      </c>
      <c r="G165" s="463">
        <v>0</v>
      </c>
      <c r="H165" s="447" t="s">
        <v>568</v>
      </c>
      <c r="I165" s="463">
        <v>0</v>
      </c>
      <c r="J165" s="463">
        <v>2823</v>
      </c>
      <c r="K165" s="463">
        <v>2772</v>
      </c>
      <c r="L165" s="463">
        <v>7701</v>
      </c>
      <c r="M165" s="463">
        <v>642</v>
      </c>
      <c r="N165" s="8"/>
      <c r="O165" s="8"/>
    </row>
    <row r="166" spans="2:15" ht="15" customHeight="1">
      <c r="B166" s="292" t="s">
        <v>1631</v>
      </c>
      <c r="C166" s="292" t="s">
        <v>1632</v>
      </c>
      <c r="D166" s="447" t="s">
        <v>568</v>
      </c>
      <c r="E166" s="447" t="s">
        <v>568</v>
      </c>
      <c r="F166" s="463">
        <v>17</v>
      </c>
      <c r="G166" s="463">
        <v>0</v>
      </c>
      <c r="H166" s="447" t="s">
        <v>568</v>
      </c>
      <c r="I166" s="463">
        <v>0</v>
      </c>
      <c r="J166" s="463">
        <v>0</v>
      </c>
      <c r="K166" s="463">
        <v>0</v>
      </c>
      <c r="L166" s="463">
        <v>0</v>
      </c>
      <c r="M166" s="463">
        <v>0</v>
      </c>
      <c r="N166" s="8"/>
      <c r="O166" s="8"/>
    </row>
    <row r="167" spans="2:15" ht="15" customHeight="1">
      <c r="B167" s="292" t="s">
        <v>1633</v>
      </c>
      <c r="C167" s="292" t="s">
        <v>1634</v>
      </c>
      <c r="D167" s="447" t="s">
        <v>568</v>
      </c>
      <c r="E167" s="447" t="s">
        <v>568</v>
      </c>
      <c r="F167" s="463">
        <v>1</v>
      </c>
      <c r="G167" s="463">
        <v>0</v>
      </c>
      <c r="H167" s="447" t="s">
        <v>568</v>
      </c>
      <c r="I167" s="447" t="s">
        <v>568</v>
      </c>
      <c r="J167" s="463">
        <v>0</v>
      </c>
      <c r="K167" s="463">
        <v>0</v>
      </c>
      <c r="L167" s="463">
        <v>0</v>
      </c>
      <c r="M167" s="463">
        <v>0</v>
      </c>
      <c r="N167" s="8"/>
      <c r="O167" s="8"/>
    </row>
    <row r="168" spans="2:15" ht="15" customHeight="1">
      <c r="B168" s="292" t="s">
        <v>1635</v>
      </c>
      <c r="C168" s="292" t="s">
        <v>1636</v>
      </c>
      <c r="D168" s="447" t="s">
        <v>568</v>
      </c>
      <c r="E168" s="447" t="s">
        <v>568</v>
      </c>
      <c r="F168" s="463">
        <v>0</v>
      </c>
      <c r="G168" s="463">
        <v>0</v>
      </c>
      <c r="H168" s="463">
        <v>2776</v>
      </c>
      <c r="I168" s="463">
        <v>3849</v>
      </c>
      <c r="J168" s="463">
        <v>0</v>
      </c>
      <c r="K168" s="463">
        <v>0</v>
      </c>
      <c r="L168" s="463">
        <v>0</v>
      </c>
      <c r="M168" s="463">
        <v>0</v>
      </c>
      <c r="N168" s="8"/>
      <c r="O168" s="8"/>
    </row>
    <row r="169" spans="2:15" ht="15" customHeight="1">
      <c r="B169" s="292" t="s">
        <v>1637</v>
      </c>
      <c r="C169" s="292" t="s">
        <v>1638</v>
      </c>
      <c r="D169" s="447" t="s">
        <v>568</v>
      </c>
      <c r="E169" s="463">
        <v>0</v>
      </c>
      <c r="F169" s="463">
        <v>1243</v>
      </c>
      <c r="G169" s="463">
        <v>1863</v>
      </c>
      <c r="H169" s="447" t="s">
        <v>568</v>
      </c>
      <c r="I169" s="463">
        <v>0</v>
      </c>
      <c r="J169" s="463">
        <v>0</v>
      </c>
      <c r="K169" s="463">
        <v>0</v>
      </c>
      <c r="L169" s="463">
        <v>0</v>
      </c>
      <c r="M169" s="463">
        <v>0</v>
      </c>
      <c r="N169" s="8"/>
      <c r="O169" s="8"/>
    </row>
    <row r="170" spans="2:15" ht="15" customHeight="1">
      <c r="B170" s="292" t="s">
        <v>1639</v>
      </c>
      <c r="C170" s="292" t="s">
        <v>1640</v>
      </c>
      <c r="D170" s="447" t="s">
        <v>568</v>
      </c>
      <c r="E170" s="447" t="s">
        <v>568</v>
      </c>
      <c r="F170" s="463">
        <v>1571</v>
      </c>
      <c r="G170" s="463">
        <v>705</v>
      </c>
      <c r="H170" s="447" t="s">
        <v>568</v>
      </c>
      <c r="I170" s="447" t="s">
        <v>568</v>
      </c>
      <c r="J170" s="463">
        <v>1601</v>
      </c>
      <c r="K170" s="463">
        <v>5131</v>
      </c>
      <c r="L170" s="463">
        <v>1392</v>
      </c>
      <c r="M170" s="463">
        <v>2596</v>
      </c>
      <c r="N170" s="8"/>
      <c r="O170" s="8"/>
    </row>
    <row r="171" spans="2:15" ht="15" customHeight="1">
      <c r="B171" s="292" t="s">
        <v>1641</v>
      </c>
      <c r="C171" s="292" t="s">
        <v>1642</v>
      </c>
      <c r="D171" s="447" t="s">
        <v>568</v>
      </c>
      <c r="E171" s="447" t="s">
        <v>568</v>
      </c>
      <c r="F171" s="463">
        <v>11</v>
      </c>
      <c r="G171" s="463">
        <v>1013</v>
      </c>
      <c r="H171" s="447" t="s">
        <v>568</v>
      </c>
      <c r="I171" s="447" t="s">
        <v>568</v>
      </c>
      <c r="J171" s="463">
        <v>16195</v>
      </c>
      <c r="K171" s="463">
        <v>941</v>
      </c>
      <c r="L171" s="463">
        <v>6855</v>
      </c>
      <c r="M171" s="463">
        <v>4859</v>
      </c>
      <c r="N171" s="8"/>
      <c r="O171" s="8"/>
    </row>
    <row r="172" spans="2:15" ht="15" customHeight="1">
      <c r="B172" s="292" t="s">
        <v>1643</v>
      </c>
      <c r="C172" s="292" t="s">
        <v>1644</v>
      </c>
      <c r="D172" s="447" t="s">
        <v>568</v>
      </c>
      <c r="E172" s="447" t="s">
        <v>568</v>
      </c>
      <c r="F172" s="463">
        <v>15091</v>
      </c>
      <c r="G172" s="463">
        <v>5977</v>
      </c>
      <c r="H172" s="447" t="s">
        <v>568</v>
      </c>
      <c r="I172" s="447" t="s">
        <v>568</v>
      </c>
      <c r="J172" s="463">
        <v>1313</v>
      </c>
      <c r="K172" s="463">
        <v>2601</v>
      </c>
      <c r="L172" s="463">
        <v>2853</v>
      </c>
      <c r="M172" s="463">
        <v>3030</v>
      </c>
      <c r="N172" s="8"/>
      <c r="O172" s="8"/>
    </row>
    <row r="173" spans="2:15" ht="15" customHeight="1">
      <c r="B173" s="292" t="s">
        <v>1645</v>
      </c>
      <c r="C173" s="292" t="s">
        <v>1646</v>
      </c>
      <c r="D173" s="447" t="s">
        <v>568</v>
      </c>
      <c r="E173" s="447" t="s">
        <v>568</v>
      </c>
      <c r="F173" s="463">
        <v>1141</v>
      </c>
      <c r="G173" s="463">
        <v>993</v>
      </c>
      <c r="H173" s="463">
        <v>11502</v>
      </c>
      <c r="I173" s="463">
        <v>29702</v>
      </c>
      <c r="J173" s="463">
        <v>1078</v>
      </c>
      <c r="K173" s="463">
        <v>700</v>
      </c>
      <c r="L173" s="463">
        <v>1516</v>
      </c>
      <c r="M173" s="463">
        <v>532</v>
      </c>
      <c r="N173" s="8"/>
      <c r="O173" s="8"/>
    </row>
    <row r="174" spans="2:15" ht="15" customHeight="1">
      <c r="B174" s="292" t="s">
        <v>1647</v>
      </c>
      <c r="C174" s="292" t="s">
        <v>1648</v>
      </c>
      <c r="D174" s="447" t="s">
        <v>568</v>
      </c>
      <c r="E174" s="463">
        <v>0</v>
      </c>
      <c r="F174" s="463">
        <v>521</v>
      </c>
      <c r="G174" s="463">
        <v>586</v>
      </c>
      <c r="H174" s="447" t="s">
        <v>568</v>
      </c>
      <c r="I174" s="447" t="s">
        <v>568</v>
      </c>
      <c r="J174" s="463">
        <v>2251</v>
      </c>
      <c r="K174" s="463">
        <v>1798</v>
      </c>
      <c r="L174" s="463">
        <v>2049</v>
      </c>
      <c r="M174" s="463">
        <v>2294</v>
      </c>
      <c r="N174" s="8"/>
      <c r="O174" s="8"/>
    </row>
    <row r="175" spans="2:15" ht="15" customHeight="1">
      <c r="B175" s="292" t="s">
        <v>1649</v>
      </c>
      <c r="C175" s="292" t="s">
        <v>1650</v>
      </c>
      <c r="D175" s="447" t="s">
        <v>568</v>
      </c>
      <c r="E175" s="463">
        <v>50</v>
      </c>
      <c r="F175" s="447" t="s">
        <v>568</v>
      </c>
      <c r="G175" s="447" t="s">
        <v>568</v>
      </c>
      <c r="H175" s="447" t="s">
        <v>568</v>
      </c>
      <c r="I175" s="447" t="s">
        <v>568</v>
      </c>
      <c r="J175" s="447" t="s">
        <v>568</v>
      </c>
      <c r="K175" s="447" t="s">
        <v>568</v>
      </c>
      <c r="L175" s="447" t="s">
        <v>568</v>
      </c>
      <c r="M175" s="447" t="s">
        <v>568</v>
      </c>
      <c r="N175" s="8"/>
      <c r="O175" s="8"/>
    </row>
    <row r="176" spans="2:15" ht="15" customHeight="1">
      <c r="B176" s="292" t="s">
        <v>1651</v>
      </c>
      <c r="C176" s="292" t="s">
        <v>1652</v>
      </c>
      <c r="D176" s="447" t="s">
        <v>568</v>
      </c>
      <c r="E176" s="447" t="s">
        <v>568</v>
      </c>
      <c r="F176" s="463">
        <v>1571</v>
      </c>
      <c r="G176" s="463">
        <v>705</v>
      </c>
      <c r="H176" s="447" t="s">
        <v>568</v>
      </c>
      <c r="I176" s="447" t="s">
        <v>568</v>
      </c>
      <c r="J176" s="463">
        <v>4424</v>
      </c>
      <c r="K176" s="463">
        <v>7903</v>
      </c>
      <c r="L176" s="463">
        <v>9094</v>
      </c>
      <c r="M176" s="463">
        <v>3238</v>
      </c>
      <c r="N176" s="8"/>
      <c r="O176" s="8"/>
    </row>
    <row r="177" spans="2:15" ht="15" customHeight="1">
      <c r="B177" s="292" t="s">
        <v>1653</v>
      </c>
      <c r="C177" s="292" t="s">
        <v>1654</v>
      </c>
      <c r="D177" s="447" t="s">
        <v>568</v>
      </c>
      <c r="E177" s="447" t="s">
        <v>568</v>
      </c>
      <c r="F177" s="463">
        <v>16884</v>
      </c>
      <c r="G177" s="463">
        <v>6990</v>
      </c>
      <c r="H177" s="447" t="s">
        <v>568</v>
      </c>
      <c r="I177" s="447" t="s">
        <v>568</v>
      </c>
      <c r="J177" s="463">
        <v>17508</v>
      </c>
      <c r="K177" s="463">
        <v>3542</v>
      </c>
      <c r="L177" s="463">
        <v>9708</v>
      </c>
      <c r="M177" s="463">
        <v>3030</v>
      </c>
      <c r="N177" s="8"/>
      <c r="O177" s="8"/>
    </row>
    <row r="178" spans="2:15" ht="15" customHeight="1">
      <c r="B178" s="292" t="s">
        <v>1655</v>
      </c>
      <c r="C178" s="292" t="s">
        <v>1656</v>
      </c>
      <c r="D178" s="447" t="s">
        <v>568</v>
      </c>
      <c r="E178" s="447" t="s">
        <v>568</v>
      </c>
      <c r="F178" s="463">
        <v>1141</v>
      </c>
      <c r="G178" s="463">
        <v>993</v>
      </c>
      <c r="H178" s="463">
        <v>14278</v>
      </c>
      <c r="I178" s="463">
        <v>32743</v>
      </c>
      <c r="J178" s="463">
        <v>1078</v>
      </c>
      <c r="K178" s="463">
        <v>700</v>
      </c>
      <c r="L178" s="463">
        <v>1516</v>
      </c>
      <c r="M178" s="463">
        <v>532</v>
      </c>
      <c r="N178" s="8"/>
      <c r="O178" s="8"/>
    </row>
    <row r="179" spans="2:15" ht="15" customHeight="1">
      <c r="B179" s="292" t="s">
        <v>1657</v>
      </c>
      <c r="C179" s="292" t="s">
        <v>1658</v>
      </c>
      <c r="D179" s="447" t="s">
        <v>568</v>
      </c>
      <c r="E179" s="463">
        <v>50</v>
      </c>
      <c r="F179" s="447" t="s">
        <v>568</v>
      </c>
      <c r="G179" s="463">
        <v>2449</v>
      </c>
      <c r="H179" s="447" t="s">
        <v>568</v>
      </c>
      <c r="I179" s="463">
        <v>808</v>
      </c>
      <c r="J179" s="463">
        <v>2251</v>
      </c>
      <c r="K179" s="463">
        <v>1798</v>
      </c>
      <c r="L179" s="463">
        <v>2048</v>
      </c>
      <c r="M179" s="463">
        <v>2294</v>
      </c>
      <c r="N179" s="8"/>
      <c r="O179" s="8"/>
    </row>
    <row r="180" spans="2:15" ht="15" customHeight="1">
      <c r="B180" s="292" t="s">
        <v>1659</v>
      </c>
      <c r="C180" s="292" t="s">
        <v>1660</v>
      </c>
      <c r="D180" s="447" t="s">
        <v>568</v>
      </c>
      <c r="E180" s="447" t="s">
        <v>568</v>
      </c>
      <c r="F180" s="463">
        <v>0</v>
      </c>
      <c r="G180" s="463">
        <v>0</v>
      </c>
      <c r="H180" s="447" t="s">
        <v>568</v>
      </c>
      <c r="I180" s="463">
        <v>0</v>
      </c>
      <c r="J180" s="463">
        <v>0</v>
      </c>
      <c r="K180" s="463">
        <v>0</v>
      </c>
      <c r="L180" s="463">
        <v>0</v>
      </c>
      <c r="M180" s="463">
        <v>0</v>
      </c>
      <c r="N180" s="8"/>
      <c r="O180" s="8"/>
    </row>
    <row r="181" spans="2:15" ht="15" customHeight="1">
      <c r="B181" s="292" t="s">
        <v>1661</v>
      </c>
      <c r="C181" s="292" t="s">
        <v>1662</v>
      </c>
      <c r="D181" s="447" t="s">
        <v>568</v>
      </c>
      <c r="E181" s="447" t="s">
        <v>568</v>
      </c>
      <c r="F181" s="463">
        <v>1025</v>
      </c>
      <c r="G181" s="463">
        <v>718</v>
      </c>
      <c r="H181" s="463">
        <v>1100</v>
      </c>
      <c r="I181" s="463">
        <v>881</v>
      </c>
      <c r="J181" s="463">
        <v>1889</v>
      </c>
      <c r="K181" s="463">
        <v>1420</v>
      </c>
      <c r="L181" s="463">
        <v>1366</v>
      </c>
      <c r="M181" s="463">
        <v>1458</v>
      </c>
      <c r="N181" s="8"/>
      <c r="O181" s="8"/>
    </row>
    <row r="182" spans="2:15" ht="15" customHeight="1">
      <c r="B182" s="292" t="s">
        <v>1663</v>
      </c>
      <c r="C182" s="292" t="s">
        <v>1664</v>
      </c>
      <c r="D182" s="447" t="s">
        <v>568</v>
      </c>
      <c r="E182" s="447" t="s">
        <v>568</v>
      </c>
      <c r="F182" s="447" t="s">
        <v>568</v>
      </c>
      <c r="G182" s="447" t="s">
        <v>568</v>
      </c>
      <c r="H182" s="447" t="s">
        <v>568</v>
      </c>
      <c r="I182" s="447" t="s">
        <v>568</v>
      </c>
      <c r="J182" s="447" t="s">
        <v>568</v>
      </c>
      <c r="K182" s="447" t="s">
        <v>568</v>
      </c>
      <c r="L182" s="447" t="s">
        <v>568</v>
      </c>
      <c r="M182" s="463">
        <v>1695</v>
      </c>
      <c r="N182" s="8"/>
      <c r="O182" s="8"/>
    </row>
    <row r="183" spans="2:15" ht="15" customHeight="1">
      <c r="B183" s="292" t="s">
        <v>1665</v>
      </c>
      <c r="C183" s="292" t="s">
        <v>1666</v>
      </c>
      <c r="D183" s="447" t="s">
        <v>568</v>
      </c>
      <c r="E183" s="447" t="s">
        <v>568</v>
      </c>
      <c r="F183" s="463">
        <v>1025</v>
      </c>
      <c r="G183" s="463">
        <v>718</v>
      </c>
      <c r="H183" s="463">
        <v>1100</v>
      </c>
      <c r="I183" s="463">
        <v>881</v>
      </c>
      <c r="J183" s="463">
        <v>1889</v>
      </c>
      <c r="K183" s="463">
        <v>1420</v>
      </c>
      <c r="L183" s="463">
        <v>1366</v>
      </c>
      <c r="M183" s="463">
        <v>1458</v>
      </c>
      <c r="N183" s="8"/>
      <c r="O183" s="8"/>
    </row>
    <row r="184" spans="2:15" ht="15" customHeight="1">
      <c r="B184" s="292" t="s">
        <v>1667</v>
      </c>
      <c r="C184" s="292" t="s">
        <v>1668</v>
      </c>
      <c r="D184" s="463">
        <v>6406</v>
      </c>
      <c r="E184" s="463">
        <v>5926</v>
      </c>
      <c r="F184" s="463">
        <v>5272</v>
      </c>
      <c r="G184" s="463">
        <v>5291</v>
      </c>
      <c r="H184" s="463">
        <v>4766</v>
      </c>
      <c r="I184" s="463">
        <v>3489</v>
      </c>
      <c r="J184" s="463">
        <v>2173</v>
      </c>
      <c r="K184" s="463">
        <v>2093</v>
      </c>
      <c r="L184" s="463">
        <v>2041</v>
      </c>
      <c r="M184" s="463">
        <v>1966</v>
      </c>
      <c r="N184" s="8"/>
      <c r="O184" s="8"/>
    </row>
    <row r="185" spans="2:15" ht="15" customHeight="1">
      <c r="B185" s="292" t="s">
        <v>1669</v>
      </c>
      <c r="C185" s="292" t="s">
        <v>1670</v>
      </c>
      <c r="D185" s="463">
        <v>2957</v>
      </c>
      <c r="E185" s="463">
        <v>4502</v>
      </c>
      <c r="F185" s="463">
        <v>2512</v>
      </c>
      <c r="G185" s="463">
        <v>2427</v>
      </c>
      <c r="H185" s="463">
        <v>1761</v>
      </c>
      <c r="I185" s="463">
        <v>1431</v>
      </c>
      <c r="J185" s="463">
        <v>2224</v>
      </c>
      <c r="K185" s="463">
        <v>2708</v>
      </c>
      <c r="L185" s="463">
        <v>2028</v>
      </c>
      <c r="M185" s="463">
        <v>1763</v>
      </c>
      <c r="N185" s="8"/>
      <c r="O185" s="8"/>
    </row>
    <row r="186" spans="2:15" ht="15" customHeight="1">
      <c r="B186" s="292" t="s">
        <v>1671</v>
      </c>
      <c r="C186" s="292" t="s">
        <v>1672</v>
      </c>
      <c r="D186" s="463">
        <v>232.554</v>
      </c>
      <c r="E186" s="463">
        <v>186.67599999999999</v>
      </c>
      <c r="F186" s="463">
        <v>150.75700000000001</v>
      </c>
      <c r="G186" s="463">
        <v>103.791</v>
      </c>
      <c r="H186" s="463">
        <v>88.6</v>
      </c>
      <c r="I186" s="463">
        <v>75.402000000000001</v>
      </c>
      <c r="J186" s="463">
        <v>44.874000000000002</v>
      </c>
      <c r="K186" s="463">
        <v>35.28</v>
      </c>
      <c r="L186" s="463">
        <v>28.452000000000002</v>
      </c>
      <c r="M186" s="463">
        <v>19.620999999999999</v>
      </c>
      <c r="N186" s="8"/>
      <c r="O186" s="8"/>
    </row>
    <row r="187" spans="2:15" ht="15" customHeight="1">
      <c r="B187" s="292" t="s">
        <v>1673</v>
      </c>
      <c r="C187" s="292" t="s">
        <v>1674</v>
      </c>
      <c r="D187" s="447" t="s">
        <v>568</v>
      </c>
      <c r="E187" s="447" t="s">
        <v>568</v>
      </c>
      <c r="F187" s="447" t="s">
        <v>568</v>
      </c>
      <c r="G187" s="447" t="s">
        <v>568</v>
      </c>
      <c r="H187" s="463">
        <v>4.024</v>
      </c>
      <c r="I187" s="447" t="s">
        <v>568</v>
      </c>
      <c r="J187" s="447" t="s">
        <v>568</v>
      </c>
      <c r="K187" s="447" t="s">
        <v>568</v>
      </c>
      <c r="L187" s="447" t="s">
        <v>568</v>
      </c>
      <c r="M187" s="447" t="s">
        <v>568</v>
      </c>
      <c r="N187" s="8"/>
      <c r="O187" s="8"/>
    </row>
    <row r="188" spans="2:15" ht="15" customHeight="1">
      <c r="B188" s="292" t="s">
        <v>1675</v>
      </c>
      <c r="C188" s="292" t="s">
        <v>1676</v>
      </c>
      <c r="D188" s="464">
        <v>29.728300000000001</v>
      </c>
      <c r="E188" s="464">
        <v>32.067</v>
      </c>
      <c r="F188" s="464">
        <v>39.64</v>
      </c>
      <c r="G188" s="464">
        <v>41.83</v>
      </c>
      <c r="H188" s="461" t="s">
        <v>568</v>
      </c>
      <c r="I188" s="464">
        <v>52.27</v>
      </c>
      <c r="J188" s="464">
        <v>49.93</v>
      </c>
      <c r="K188" s="464">
        <v>36.755000000000003</v>
      </c>
      <c r="L188" s="464">
        <v>27.67</v>
      </c>
      <c r="M188" s="464">
        <v>26.21</v>
      </c>
      <c r="N188" s="8"/>
      <c r="O188" s="8"/>
    </row>
    <row r="189" spans="2:15" ht="15" customHeight="1">
      <c r="B189" s="292" t="s">
        <v>1677</v>
      </c>
      <c r="C189" s="292" t="s">
        <v>1678</v>
      </c>
      <c r="D189" s="463">
        <v>-5919</v>
      </c>
      <c r="E189" s="463">
        <v>-5826</v>
      </c>
      <c r="F189" s="463">
        <v>-6558</v>
      </c>
      <c r="G189" s="463">
        <v>-6259</v>
      </c>
      <c r="H189" s="463">
        <v>-5381</v>
      </c>
      <c r="I189" s="463">
        <v>-5595</v>
      </c>
      <c r="J189" s="463">
        <v>-6068</v>
      </c>
      <c r="K189" s="463">
        <v>-4494</v>
      </c>
      <c r="L189" s="463">
        <v>-4802</v>
      </c>
      <c r="M189" s="463">
        <v>-4530</v>
      </c>
      <c r="N189" s="8"/>
      <c r="O189" s="8"/>
    </row>
    <row r="190" spans="2:15" ht="15" customHeight="1">
      <c r="B190" s="292" t="s">
        <v>1679</v>
      </c>
      <c r="C190" s="292" t="s">
        <v>1680</v>
      </c>
      <c r="D190" s="463">
        <v>-5826</v>
      </c>
      <c r="E190" s="463">
        <v>-6558</v>
      </c>
      <c r="F190" s="463">
        <v>-6259</v>
      </c>
      <c r="G190" s="447" t="s">
        <v>568</v>
      </c>
      <c r="H190" s="463">
        <v>-5595</v>
      </c>
      <c r="I190" s="463">
        <v>-6068</v>
      </c>
      <c r="J190" s="463">
        <v>-4494</v>
      </c>
      <c r="K190" s="463">
        <v>-4802</v>
      </c>
      <c r="L190" s="463">
        <v>-4530</v>
      </c>
      <c r="M190" s="463">
        <v>-4746</v>
      </c>
      <c r="N190" s="8"/>
      <c r="O190" s="8"/>
    </row>
    <row r="191" spans="2:15" ht="15" customHeight="1">
      <c r="B191" s="292" t="s">
        <v>1681</v>
      </c>
      <c r="C191" s="292" t="s">
        <v>1682</v>
      </c>
      <c r="D191" s="463">
        <v>-489</v>
      </c>
      <c r="E191" s="463">
        <v>-753</v>
      </c>
      <c r="F191" s="463">
        <v>-370</v>
      </c>
      <c r="G191" s="463">
        <v>-383</v>
      </c>
      <c r="H191" s="463">
        <v>-411</v>
      </c>
      <c r="I191" s="463">
        <v>-550</v>
      </c>
      <c r="J191" s="463">
        <v>-701</v>
      </c>
      <c r="K191" s="463">
        <v>-515</v>
      </c>
      <c r="L191" s="463">
        <v>-433</v>
      </c>
      <c r="M191" s="463">
        <v>-375</v>
      </c>
      <c r="N191" s="8"/>
      <c r="O191" s="8"/>
    </row>
    <row r="192" spans="2:15" ht="15" customHeight="1">
      <c r="B192" s="292" t="s">
        <v>1683</v>
      </c>
      <c r="C192" s="292" t="s">
        <v>1684</v>
      </c>
      <c r="D192" s="463">
        <v>-11</v>
      </c>
      <c r="E192" s="463">
        <v>-49</v>
      </c>
      <c r="F192" s="463">
        <v>-192</v>
      </c>
      <c r="G192" s="463">
        <v>-36</v>
      </c>
      <c r="H192" s="463">
        <v>-232</v>
      </c>
      <c r="I192" s="463">
        <v>-111</v>
      </c>
      <c r="J192" s="463">
        <v>-67</v>
      </c>
      <c r="K192" s="463">
        <v>-158</v>
      </c>
      <c r="L192" s="463">
        <v>-934</v>
      </c>
      <c r="M192" s="463">
        <v>-298</v>
      </c>
      <c r="N192" s="8"/>
      <c r="O192" s="8"/>
    </row>
    <row r="193" spans="2:15" ht="15" customHeight="1">
      <c r="B193" s="292" t="s">
        <v>1685</v>
      </c>
      <c r="C193" s="292" t="s">
        <v>1686</v>
      </c>
      <c r="D193" s="463">
        <v>409</v>
      </c>
      <c r="E193" s="463">
        <v>28</v>
      </c>
      <c r="F193" s="463">
        <v>561</v>
      </c>
      <c r="G193" s="463">
        <v>1109</v>
      </c>
      <c r="H193" s="463">
        <v>64</v>
      </c>
      <c r="I193" s="463">
        <v>103</v>
      </c>
      <c r="J193" s="463">
        <v>1339</v>
      </c>
      <c r="K193" s="463">
        <v>310</v>
      </c>
      <c r="L193" s="463">
        <v>599</v>
      </c>
      <c r="M193" s="463">
        <v>197</v>
      </c>
      <c r="N193" s="8"/>
      <c r="O193" s="8"/>
    </row>
    <row r="194" spans="2:15" ht="15" customHeight="1">
      <c r="B194" s="292" t="s">
        <v>1687</v>
      </c>
      <c r="C194" s="292" t="s">
        <v>1688</v>
      </c>
      <c r="D194" s="463">
        <v>126</v>
      </c>
      <c r="E194" s="463">
        <v>35</v>
      </c>
      <c r="F194" s="463">
        <v>123</v>
      </c>
      <c r="G194" s="463">
        <v>100</v>
      </c>
      <c r="H194" s="463">
        <v>15</v>
      </c>
      <c r="I194" s="463">
        <v>24</v>
      </c>
      <c r="J194" s="463">
        <v>842</v>
      </c>
      <c r="K194" s="463">
        <v>85</v>
      </c>
      <c r="L194" s="463">
        <v>911</v>
      </c>
      <c r="M194" s="463">
        <v>112</v>
      </c>
      <c r="N194" s="8"/>
      <c r="O194" s="8"/>
    </row>
    <row r="195" spans="2:15" ht="15" customHeight="1">
      <c r="B195" s="292" t="s">
        <v>1689</v>
      </c>
      <c r="C195" s="292" t="s">
        <v>1690</v>
      </c>
      <c r="D195" s="463">
        <v>58</v>
      </c>
      <c r="E195" s="463">
        <v>7</v>
      </c>
      <c r="F195" s="463">
        <v>177</v>
      </c>
      <c r="G195" s="463">
        <v>88</v>
      </c>
      <c r="H195" s="463">
        <v>350</v>
      </c>
      <c r="I195" s="463">
        <v>62</v>
      </c>
      <c r="J195" s="463">
        <v>160</v>
      </c>
      <c r="K195" s="463">
        <v>-32</v>
      </c>
      <c r="L195" s="463">
        <v>130</v>
      </c>
      <c r="M195" s="463">
        <v>148</v>
      </c>
      <c r="N195" s="8"/>
      <c r="O195" s="8"/>
    </row>
    <row r="196" spans="2:15" ht="15" customHeight="1">
      <c r="B196" s="292" t="s">
        <v>1691</v>
      </c>
      <c r="C196" s="292" t="s">
        <v>1692</v>
      </c>
      <c r="D196" s="463">
        <v>86000</v>
      </c>
      <c r="E196" s="447" t="s">
        <v>568</v>
      </c>
      <c r="F196" s="447" t="s">
        <v>568</v>
      </c>
      <c r="G196" s="447" t="s">
        <v>568</v>
      </c>
      <c r="H196" s="447" t="s">
        <v>568</v>
      </c>
      <c r="I196" s="447" t="s">
        <v>568</v>
      </c>
      <c r="J196" s="447" t="s">
        <v>568</v>
      </c>
      <c r="K196" s="447" t="s">
        <v>568</v>
      </c>
      <c r="L196" s="447" t="s">
        <v>568</v>
      </c>
      <c r="M196" s="447" t="s">
        <v>568</v>
      </c>
      <c r="N196" s="8"/>
      <c r="O196" s="8"/>
    </row>
    <row r="197" spans="2:15" ht="15" customHeight="1">
      <c r="B197" s="292" t="s">
        <v>1693</v>
      </c>
      <c r="C197" s="292" t="s">
        <v>1694</v>
      </c>
      <c r="D197" s="463">
        <v>29.605</v>
      </c>
      <c r="E197" s="463">
        <v>22.241</v>
      </c>
      <c r="F197" s="463">
        <v>27.276</v>
      </c>
      <c r="G197" s="463">
        <v>23.407</v>
      </c>
      <c r="H197" s="463">
        <v>23.692</v>
      </c>
      <c r="I197" s="463">
        <v>206.99600000000001</v>
      </c>
      <c r="J197" s="463">
        <v>180.18199999999999</v>
      </c>
      <c r="K197" s="463">
        <v>163.572</v>
      </c>
      <c r="L197" s="463">
        <v>167.977</v>
      </c>
      <c r="M197" s="463">
        <v>164.73599999999999</v>
      </c>
      <c r="N197" s="8"/>
      <c r="O197" s="8"/>
    </row>
    <row r="198" spans="2:15" ht="15" customHeight="1">
      <c r="B198" s="292" t="s">
        <v>1695</v>
      </c>
      <c r="C198" s="292" t="s">
        <v>1696</v>
      </c>
      <c r="D198" s="464">
        <v>32.590000000000003</v>
      </c>
      <c r="E198" s="464">
        <v>32.64</v>
      </c>
      <c r="F198" s="464">
        <v>33.700000000000003</v>
      </c>
      <c r="G198" s="464">
        <v>37.54</v>
      </c>
      <c r="H198" s="464">
        <v>35.5</v>
      </c>
      <c r="I198" s="464">
        <v>31.71</v>
      </c>
      <c r="J198" s="464">
        <v>34.51</v>
      </c>
      <c r="K198" s="464">
        <v>36.83</v>
      </c>
      <c r="L198" s="464">
        <v>34.17</v>
      </c>
      <c r="M198" s="464">
        <v>32.619999999999997</v>
      </c>
      <c r="N198" s="8"/>
      <c r="O198" s="8"/>
    </row>
    <row r="199" spans="2:15" ht="15" customHeight="1">
      <c r="B199" s="292" t="s">
        <v>1697</v>
      </c>
      <c r="C199" s="292" t="s">
        <v>1698</v>
      </c>
      <c r="D199" s="447" t="s">
        <v>568</v>
      </c>
      <c r="E199" s="447" t="s">
        <v>568</v>
      </c>
      <c r="F199" s="447" t="s">
        <v>568</v>
      </c>
      <c r="G199" s="463">
        <v>5536</v>
      </c>
      <c r="H199" s="463">
        <v>5571</v>
      </c>
      <c r="I199" s="463">
        <v>5622</v>
      </c>
      <c r="J199" s="463">
        <v>5617</v>
      </c>
      <c r="K199" s="463">
        <v>5655</v>
      </c>
      <c r="L199" s="463">
        <v>5691</v>
      </c>
      <c r="M199" s="463">
        <v>5697</v>
      </c>
      <c r="N199" s="8"/>
      <c r="O199" s="8"/>
    </row>
    <row r="200" spans="2:15" ht="15" customHeight="1">
      <c r="B200" s="292" t="s">
        <v>1699</v>
      </c>
      <c r="C200" s="292" t="s">
        <v>1700</v>
      </c>
      <c r="D200" s="463">
        <v>1766</v>
      </c>
      <c r="E200" s="463">
        <v>1504</v>
      </c>
      <c r="F200" s="463">
        <v>1338</v>
      </c>
      <c r="G200" s="463">
        <v>926</v>
      </c>
      <c r="H200" s="463">
        <v>645</v>
      </c>
      <c r="I200" s="463">
        <v>235</v>
      </c>
      <c r="J200" s="463">
        <v>78</v>
      </c>
      <c r="K200" s="463">
        <v>74</v>
      </c>
      <c r="L200" s="463">
        <v>74</v>
      </c>
      <c r="M200" s="463">
        <v>75</v>
      </c>
      <c r="N200" s="8"/>
      <c r="O200" s="8"/>
    </row>
    <row r="201" spans="2:15" ht="15" customHeight="1">
      <c r="B201" s="292" t="s">
        <v>1701</v>
      </c>
      <c r="C201" s="292" t="s">
        <v>1702</v>
      </c>
      <c r="D201" s="463">
        <v>0</v>
      </c>
      <c r="E201" s="463">
        <v>0</v>
      </c>
      <c r="F201" s="463">
        <v>313.80610000000001</v>
      </c>
      <c r="G201" s="447" t="s">
        <v>568</v>
      </c>
      <c r="H201" s="463">
        <v>0</v>
      </c>
      <c r="I201" s="447" t="s">
        <v>568</v>
      </c>
      <c r="J201" s="447" t="s">
        <v>568</v>
      </c>
      <c r="K201" s="447" t="s">
        <v>568</v>
      </c>
      <c r="L201" s="447" t="s">
        <v>568</v>
      </c>
      <c r="M201" s="447" t="s">
        <v>568</v>
      </c>
      <c r="N201" s="8"/>
      <c r="O201" s="8"/>
    </row>
    <row r="202" spans="2:15" ht="15" customHeight="1">
      <c r="B202" s="292" t="s">
        <v>539</v>
      </c>
      <c r="C202" s="22"/>
      <c r="D202" s="292" t="s">
        <v>540</v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2E6B8A"/>
  </sheetPr>
  <dimension ref="A1"/>
  <sheetViews>
    <sheetView showGridLines="0" zoomScaleNormal="100" workbookViewId="0"/>
  </sheetViews>
  <sheetFormatPr baseColWidth="10" defaultColWidth="8.42578125" defaultRowHeight="15"/>
  <cols>
    <col min="1" max="1" width="2" customWidth="1"/>
    <col min="2" max="2" width="34" customWidth="1"/>
    <col min="3" max="3" width="80" customWidth="1"/>
  </cols>
  <sheetData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636E72"/>
  </sheetPr>
  <dimension ref="A1"/>
  <sheetViews>
    <sheetView showGridLines="0" workbookViewId="0"/>
  </sheetViews>
  <sheetFormatPr baseColWidth="10" defaultColWidth="8.85546875" defaultRowHeight="15"/>
  <cols>
    <col min="1" max="1" width="2" customWidth="1"/>
    <col min="2" max="2" width="14" customWidth="1"/>
    <col min="3" max="3" width="18" customWidth="1"/>
    <col min="4" max="4" width="24" customWidth="1"/>
    <col min="5" max="5" width="44" customWidth="1"/>
    <col min="6" max="6" width="54" customWidth="1"/>
    <col min="7" max="7" width="28" customWidth="1"/>
  </cols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3A8A"/>
  </sheetPr>
  <dimension ref="A1:AB197"/>
  <sheetViews>
    <sheetView showGridLines="0" zoomScaleNormal="100" workbookViewId="0"/>
  </sheetViews>
  <sheetFormatPr baseColWidth="10" defaultColWidth="8.85546875" defaultRowHeight="15"/>
  <cols>
    <col min="1" max="1" width="2" customWidth="1"/>
    <col min="2" max="2" width="34" customWidth="1"/>
    <col min="3" max="28" width="12.42578125" customWidth="1"/>
  </cols>
  <sheetData>
    <row r="1" spans="1:28" ht="8" customHeight="1">
      <c r="A1" s="284" t="s">
        <v>77</v>
      </c>
    </row>
    <row r="2" spans="1:28" ht="22" customHeight="1">
      <c r="B2" s="248" t="str">
        <f>Data!C5&amp;" - Discounted Cash Flow Valuation"</f>
        <v>Pfizer Inc - Discounted Cash Flow Valuation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2"/>
      <c r="AB2" s="12"/>
    </row>
    <row r="3" spans="1:28" ht="16" customHeight="1">
      <c r="B3" s="249" t="s">
        <v>78</v>
      </c>
    </row>
    <row r="4" spans="1:28" ht="15" customHeight="1">
      <c r="B4" s="292" t="s">
        <v>79</v>
      </c>
      <c r="C4" s="293">
        <v>44986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ht="15" customHeight="1">
      <c r="B5" s="292" t="s">
        <v>80</v>
      </c>
      <c r="C5" s="293">
        <v>44926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ht="15" customHeight="1">
      <c r="B6" s="292" t="s">
        <v>81</v>
      </c>
      <c r="C6" s="292" t="s">
        <v>82</v>
      </c>
      <c r="D6" s="28"/>
      <c r="E6" s="28"/>
      <c r="F6" s="28"/>
      <c r="G6" s="28"/>
      <c r="H6" s="46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15" customHeight="1">
      <c r="B7" s="292" t="s">
        <v>83</v>
      </c>
      <c r="C7" s="292" t="s">
        <v>82</v>
      </c>
      <c r="D7" s="28"/>
      <c r="E7" s="28"/>
      <c r="F7" s="28"/>
      <c r="G7" s="28"/>
      <c r="H7" s="46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9.75" customHeight="1"/>
    <row r="9" spans="1:28" ht="20.25" customHeight="1">
      <c r="A9" s="134"/>
      <c r="B9" s="294" t="s">
        <v>84</v>
      </c>
      <c r="C9" s="160"/>
      <c r="D9" s="161"/>
      <c r="E9" s="161"/>
      <c r="F9" s="161"/>
      <c r="G9" s="161"/>
      <c r="H9" s="161"/>
      <c r="I9" s="474" t="s">
        <v>85</v>
      </c>
      <c r="J9" s="466"/>
      <c r="K9" s="466"/>
      <c r="L9" s="466"/>
      <c r="M9" s="466"/>
      <c r="N9" s="466"/>
      <c r="O9" s="294" t="s">
        <v>86</v>
      </c>
      <c r="P9" s="162"/>
      <c r="Q9" s="162"/>
      <c r="R9" s="162"/>
      <c r="S9" s="162"/>
      <c r="T9" s="162"/>
      <c r="U9" s="162"/>
      <c r="V9" s="162"/>
      <c r="W9" s="162"/>
      <c r="X9" s="7"/>
      <c r="Y9" s="7"/>
      <c r="Z9" s="7"/>
      <c r="AA9" s="7"/>
      <c r="AB9" s="7"/>
    </row>
    <row r="10" spans="1:28" ht="15" customHeight="1">
      <c r="A10" s="134"/>
      <c r="B10" s="26"/>
      <c r="C10" s="295" t="s">
        <v>87</v>
      </c>
      <c r="D10" s="295" t="s">
        <v>87</v>
      </c>
      <c r="E10" s="295" t="s">
        <v>87</v>
      </c>
      <c r="F10" s="295" t="s">
        <v>87</v>
      </c>
      <c r="G10" s="295" t="s">
        <v>87</v>
      </c>
      <c r="H10" s="295" t="s">
        <v>80</v>
      </c>
      <c r="I10" s="295" t="s">
        <v>88</v>
      </c>
      <c r="J10" s="295" t="s">
        <v>88</v>
      </c>
      <c r="K10" s="295" t="s">
        <v>88</v>
      </c>
      <c r="L10" s="295" t="s">
        <v>88</v>
      </c>
      <c r="M10" s="295" t="s">
        <v>88</v>
      </c>
      <c r="N10" s="295" t="s">
        <v>88</v>
      </c>
      <c r="O10" s="295" t="s">
        <v>88</v>
      </c>
      <c r="P10" s="26"/>
      <c r="Q10" s="26"/>
      <c r="R10" s="26"/>
      <c r="S10" s="26"/>
      <c r="T10" s="26"/>
      <c r="U10" s="26"/>
      <c r="V10" s="26"/>
      <c r="W10" s="26"/>
      <c r="X10" s="14"/>
      <c r="Y10" s="14"/>
      <c r="Z10" s="14"/>
      <c r="AA10" s="14"/>
      <c r="AB10" s="14"/>
    </row>
    <row r="11" spans="1:28" ht="15" customHeight="1">
      <c r="B11" s="249" t="s">
        <v>89</v>
      </c>
      <c r="C11" s="296">
        <f>DATE(YEAR(D11)-1,MONTH(D11),DAY(D11))</f>
        <v>43100</v>
      </c>
      <c r="D11" s="296">
        <f>DATE(YEAR(E11)-1,MONTH(E11),DAY(E11))</f>
        <v>43465</v>
      </c>
      <c r="E11" s="296">
        <f>DATE(YEAR(F11)-1,MONTH(F11),DAY(F11))</f>
        <v>43830</v>
      </c>
      <c r="F11" s="296">
        <f>DATE(YEAR(G11)-1,MONTH(G11),DAY(G11))</f>
        <v>44196</v>
      </c>
      <c r="G11" s="296">
        <f>DATE(YEAR(H11)-1,MONTH(H11),DAY(H11))</f>
        <v>44561</v>
      </c>
      <c r="H11" s="296">
        <f>C5</f>
        <v>44926</v>
      </c>
      <c r="I11" s="296">
        <f t="shared" ref="I11:O11" si="0">DATE(YEAR(H11)+1,MONTH(H11),DAY(H11))</f>
        <v>45291</v>
      </c>
      <c r="J11" s="296">
        <f t="shared" si="0"/>
        <v>45657</v>
      </c>
      <c r="K11" s="296">
        <f t="shared" si="0"/>
        <v>46022</v>
      </c>
      <c r="L11" s="296">
        <f t="shared" si="0"/>
        <v>46387</v>
      </c>
      <c r="M11" s="296">
        <f t="shared" si="0"/>
        <v>46752</v>
      </c>
      <c r="N11" s="296">
        <f t="shared" si="0"/>
        <v>47118</v>
      </c>
      <c r="O11" s="296">
        <f t="shared" si="0"/>
        <v>47483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5" customHeight="1">
      <c r="B12" s="292" t="s">
        <v>90</v>
      </c>
      <c r="C12" s="297">
        <f>Data!C19</f>
        <v>52546</v>
      </c>
      <c r="D12" s="298">
        <f>Data!D19</f>
        <v>53647</v>
      </c>
      <c r="E12" s="298">
        <f>Data!E19</f>
        <v>40905</v>
      </c>
      <c r="F12" s="298">
        <f>Data!F19</f>
        <v>41651</v>
      </c>
      <c r="G12" s="298">
        <f>Data!G19</f>
        <v>81288</v>
      </c>
      <c r="H12" s="298">
        <f>Data!H19</f>
        <v>100330</v>
      </c>
      <c r="I12" s="299">
        <f t="shared" ref="I12:O12" si="1">H12*(1+I112)</f>
        <v>65214.5</v>
      </c>
      <c r="J12" s="299">
        <f t="shared" si="1"/>
        <v>68475.225000000006</v>
      </c>
      <c r="K12" s="299">
        <f t="shared" si="1"/>
        <v>70529.481750000006</v>
      </c>
      <c r="L12" s="299">
        <f t="shared" si="1"/>
        <v>72645.366202500009</v>
      </c>
      <c r="M12" s="299">
        <f t="shared" si="1"/>
        <v>74824.727188575009</v>
      </c>
      <c r="N12" s="299">
        <f t="shared" si="1"/>
        <v>77069.469004232262</v>
      </c>
      <c r="O12" s="299">
        <f t="shared" si="1"/>
        <v>79381.553074359239</v>
      </c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5" customHeight="1">
      <c r="B13" s="292" t="s">
        <v>91</v>
      </c>
      <c r="C13" s="47"/>
      <c r="D13" s="300">
        <f t="shared" ref="D13:O13" si="2">IF(ISERROR(D12/C12-1),0,D12/C12-1)</f>
        <v>2.0953069691318049E-2</v>
      </c>
      <c r="E13" s="300">
        <f t="shared" si="2"/>
        <v>-0.23751561131097731</v>
      </c>
      <c r="F13" s="300">
        <f t="shared" si="2"/>
        <v>1.8237379293484901E-2</v>
      </c>
      <c r="G13" s="300">
        <f t="shared" si="2"/>
        <v>0.95164581882787935</v>
      </c>
      <c r="H13" s="300">
        <f t="shared" si="2"/>
        <v>0.23425351835449271</v>
      </c>
      <c r="I13" s="300">
        <f t="shared" si="2"/>
        <v>-0.35</v>
      </c>
      <c r="J13" s="300">
        <f t="shared" si="2"/>
        <v>5.0000000000000044E-2</v>
      </c>
      <c r="K13" s="300">
        <f t="shared" si="2"/>
        <v>3.0000000000000027E-2</v>
      </c>
      <c r="L13" s="300">
        <f t="shared" si="2"/>
        <v>3.0000000000000027E-2</v>
      </c>
      <c r="M13" s="300">
        <f t="shared" si="2"/>
        <v>3.0000000000000027E-2</v>
      </c>
      <c r="N13" s="300">
        <f t="shared" si="2"/>
        <v>3.0000000000000027E-2</v>
      </c>
      <c r="O13" s="300">
        <f t="shared" si="2"/>
        <v>3.0000000000000027E-2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5" customHeight="1">
      <c r="B14" s="292" t="s">
        <v>92</v>
      </c>
      <c r="C14" s="297">
        <f>Data!C20</f>
        <v>-11228</v>
      </c>
      <c r="D14" s="298">
        <f>Data!D20</f>
        <v>-11248</v>
      </c>
      <c r="E14" s="298">
        <f>Data!E20</f>
        <v>-8054</v>
      </c>
      <c r="F14" s="298">
        <f>Data!F20</f>
        <v>-8484</v>
      </c>
      <c r="G14" s="298">
        <f>Data!G20</f>
        <v>-30821</v>
      </c>
      <c r="H14" s="298">
        <f>Data!H20</f>
        <v>-34344</v>
      </c>
      <c r="I14" s="299">
        <f t="shared" ref="I14:O14" si="3">0-(I113*I12)</f>
        <v>-23477.219999999998</v>
      </c>
      <c r="J14" s="299">
        <f t="shared" si="3"/>
        <v>-23966.328750000004</v>
      </c>
      <c r="K14" s="299">
        <f t="shared" si="3"/>
        <v>-23980.023795000005</v>
      </c>
      <c r="L14" s="299">
        <f t="shared" si="3"/>
        <v>-23972.970846824999</v>
      </c>
      <c r="M14" s="299">
        <f t="shared" si="3"/>
        <v>-23943.912700344004</v>
      </c>
      <c r="N14" s="299">
        <f t="shared" si="3"/>
        <v>-23891.535391312002</v>
      </c>
      <c r="O14" s="299">
        <f t="shared" si="3"/>
        <v>-23814.465922307772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5" customHeight="1">
      <c r="B15" s="295" t="s">
        <v>93</v>
      </c>
      <c r="C15" s="301">
        <f t="shared" ref="C15:O15" si="4">C12+C14</f>
        <v>41318</v>
      </c>
      <c r="D15" s="302">
        <f t="shared" si="4"/>
        <v>42399</v>
      </c>
      <c r="E15" s="302">
        <f t="shared" si="4"/>
        <v>32851</v>
      </c>
      <c r="F15" s="302">
        <f t="shared" si="4"/>
        <v>33167</v>
      </c>
      <c r="G15" s="302">
        <f t="shared" si="4"/>
        <v>50467</v>
      </c>
      <c r="H15" s="302">
        <f t="shared" si="4"/>
        <v>65986</v>
      </c>
      <c r="I15" s="302">
        <f t="shared" si="4"/>
        <v>41737.279999999999</v>
      </c>
      <c r="J15" s="302">
        <f t="shared" si="4"/>
        <v>44508.896250000005</v>
      </c>
      <c r="K15" s="302">
        <f t="shared" si="4"/>
        <v>46549.457955000005</v>
      </c>
      <c r="L15" s="302">
        <f t="shared" si="4"/>
        <v>48672.395355675006</v>
      </c>
      <c r="M15" s="302">
        <f t="shared" si="4"/>
        <v>50880.814488231001</v>
      </c>
      <c r="N15" s="302">
        <f t="shared" si="4"/>
        <v>53177.933612920257</v>
      </c>
      <c r="O15" s="302">
        <f t="shared" si="4"/>
        <v>55567.087152051463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5" customHeight="1">
      <c r="B16" s="292" t="s">
        <v>94</v>
      </c>
      <c r="C16" s="303">
        <f t="shared" ref="C16:O16" si="5">IF(ISERROR(C15/C12),0,C15/C12)</f>
        <v>0.78632055722604954</v>
      </c>
      <c r="D16" s="300">
        <f t="shared" si="5"/>
        <v>0.7903331034354204</v>
      </c>
      <c r="E16" s="300">
        <f t="shared" si="5"/>
        <v>0.80310475491993649</v>
      </c>
      <c r="F16" s="300">
        <f t="shared" si="5"/>
        <v>0.79630741158675666</v>
      </c>
      <c r="G16" s="300">
        <f t="shared" si="5"/>
        <v>0.62084194469048326</v>
      </c>
      <c r="H16" s="300">
        <f t="shared" si="5"/>
        <v>0.65768962424000799</v>
      </c>
      <c r="I16" s="300">
        <f t="shared" si="5"/>
        <v>0.64</v>
      </c>
      <c r="J16" s="300">
        <f t="shared" si="5"/>
        <v>0.65</v>
      </c>
      <c r="K16" s="300">
        <f t="shared" si="5"/>
        <v>0.66</v>
      </c>
      <c r="L16" s="300">
        <f t="shared" si="5"/>
        <v>0.67</v>
      </c>
      <c r="M16" s="300">
        <f t="shared" si="5"/>
        <v>0.67999999999999994</v>
      </c>
      <c r="N16" s="300">
        <f t="shared" si="5"/>
        <v>0.69</v>
      </c>
      <c r="O16" s="300">
        <f t="shared" si="5"/>
        <v>0.7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2:28" ht="15" customHeight="1">
      <c r="B17" s="292" t="s">
        <v>95</v>
      </c>
      <c r="C17" s="297">
        <f>-SUMIFS('IS Reconciliation'!E:E,'IS Reconciliation'!$O:$O,'Question 1 - DCF'!$B17)</f>
        <v>0</v>
      </c>
      <c r="D17" s="298">
        <f>-SUMIFS('IS Reconciliation'!F:F,'IS Reconciliation'!$O:$O,'Question 1 - DCF'!$B17)</f>
        <v>0</v>
      </c>
      <c r="E17" s="298">
        <f>-SUMIFS('IS Reconciliation'!G:G,'IS Reconciliation'!$O:$O,'Question 1 - DCF'!$B17)</f>
        <v>-376</v>
      </c>
      <c r="F17" s="298">
        <f>-SUMIFS('IS Reconciliation'!H:H,'IS Reconciliation'!$O:$O,'Question 1 - DCF'!$B17)</f>
        <v>-392</v>
      </c>
      <c r="G17" s="298">
        <f>-SUMIFS('IS Reconciliation'!I:I,'IS Reconciliation'!$O:$O,'Question 1 - DCF'!$B17)</f>
        <v>-507</v>
      </c>
      <c r="H17" s="298">
        <f>-SUMIFS('IS Reconciliation'!J:J,'IS Reconciliation'!$O:$O,'Question 1 - DCF'!$B17)</f>
        <v>-682</v>
      </c>
      <c r="I17" s="299">
        <f t="shared" ref="I17:O17" si="6">0-(I114*I12)</f>
        <v>-586.93049999999994</v>
      </c>
      <c r="J17" s="299">
        <f t="shared" si="6"/>
        <v>-574.05063625000014</v>
      </c>
      <c r="K17" s="299">
        <f t="shared" si="6"/>
        <v>-547.77897492500006</v>
      </c>
      <c r="L17" s="299">
        <f t="shared" si="6"/>
        <v>-519.4143683478751</v>
      </c>
      <c r="M17" s="299">
        <f t="shared" si="6"/>
        <v>-488.85488429869019</v>
      </c>
      <c r="N17" s="299">
        <f t="shared" si="6"/>
        <v>-455.99435827504095</v>
      </c>
      <c r="O17" s="299">
        <f t="shared" si="6"/>
        <v>-420.72223129410395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2:28" ht="15" customHeight="1">
      <c r="B18" s="292" t="s">
        <v>96</v>
      </c>
      <c r="C18" s="297">
        <f>Data!C23</f>
        <v>-21327</v>
      </c>
      <c r="D18" s="298">
        <f>Data!D23</f>
        <v>-22014</v>
      </c>
      <c r="E18" s="298">
        <f>Data!E23</f>
        <v>-12279</v>
      </c>
      <c r="F18" s="298">
        <f>Data!F23</f>
        <v>4681</v>
      </c>
      <c r="G18" s="298">
        <f>Data!G23</f>
        <v>-25843</v>
      </c>
      <c r="H18" s="298">
        <f>Data!H23</f>
        <v>-25978</v>
      </c>
      <c r="I18" s="299">
        <f t="shared" ref="I18:O18" si="7">0-(I115*I12)</f>
        <v>-26085.800000000003</v>
      </c>
      <c r="J18" s="299">
        <f t="shared" si="7"/>
        <v>-26819.463125000006</v>
      </c>
      <c r="K18" s="299">
        <f t="shared" si="7"/>
        <v>-27036.301337500005</v>
      </c>
      <c r="L18" s="299">
        <f t="shared" si="7"/>
        <v>-27242.012325937503</v>
      </c>
      <c r="M18" s="299">
        <f t="shared" si="7"/>
        <v>-27435.733302477507</v>
      </c>
      <c r="N18" s="299">
        <f t="shared" si="7"/>
        <v>-27616.55972651656</v>
      </c>
      <c r="O18" s="299">
        <f t="shared" si="7"/>
        <v>-27783.543576025731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2:28" ht="15" customHeight="1">
      <c r="B19" s="292" t="s">
        <v>74</v>
      </c>
      <c r="C19" s="304">
        <f t="shared" ref="C19:O19" si="8">C15+C18-C17</f>
        <v>19991</v>
      </c>
      <c r="D19" s="299">
        <f t="shared" si="8"/>
        <v>20385</v>
      </c>
      <c r="E19" s="299">
        <f t="shared" si="8"/>
        <v>20948</v>
      </c>
      <c r="F19" s="299">
        <f t="shared" si="8"/>
        <v>38240</v>
      </c>
      <c r="G19" s="299">
        <f t="shared" si="8"/>
        <v>25131</v>
      </c>
      <c r="H19" s="299">
        <f t="shared" si="8"/>
        <v>40690</v>
      </c>
      <c r="I19" s="299">
        <f t="shared" si="8"/>
        <v>16238.410499999996</v>
      </c>
      <c r="J19" s="299">
        <f t="shared" si="8"/>
        <v>18263.483761250001</v>
      </c>
      <c r="K19" s="299">
        <f t="shared" si="8"/>
        <v>20060.935592425001</v>
      </c>
      <c r="L19" s="299">
        <f t="shared" si="8"/>
        <v>21949.797398085379</v>
      </c>
      <c r="M19" s="299">
        <f t="shared" si="8"/>
        <v>23933.936070052183</v>
      </c>
      <c r="N19" s="299">
        <f t="shared" si="8"/>
        <v>26017.368244678739</v>
      </c>
      <c r="O19" s="299">
        <f t="shared" si="8"/>
        <v>28204.265807319836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2:28" ht="15" customHeight="1">
      <c r="B20" s="292" t="s">
        <v>94</v>
      </c>
      <c r="C20" s="303">
        <f t="shared" ref="C20:O20" si="9">IF(ISERROR(C19/C12),0,C19/C12)</f>
        <v>0.38044760781029957</v>
      </c>
      <c r="D20" s="300">
        <f t="shared" si="9"/>
        <v>0.37998396928066808</v>
      </c>
      <c r="E20" s="300">
        <f t="shared" si="9"/>
        <v>0.51211343356557881</v>
      </c>
      <c r="F20" s="300">
        <f t="shared" si="9"/>
        <v>0.91810520755804181</v>
      </c>
      <c r="G20" s="300">
        <f t="shared" si="9"/>
        <v>0.30916002361972245</v>
      </c>
      <c r="H20" s="300">
        <f t="shared" si="9"/>
        <v>0.40556164656633109</v>
      </c>
      <c r="I20" s="300">
        <f t="shared" si="9"/>
        <v>0.24899999999999994</v>
      </c>
      <c r="J20" s="300">
        <f t="shared" si="9"/>
        <v>0.26671666666666666</v>
      </c>
      <c r="K20" s="300">
        <f t="shared" si="9"/>
        <v>0.28443333333333332</v>
      </c>
      <c r="L20" s="300">
        <f t="shared" si="9"/>
        <v>0.30215000000000003</v>
      </c>
      <c r="M20" s="300">
        <f t="shared" si="9"/>
        <v>0.31986666666666652</v>
      </c>
      <c r="N20" s="300">
        <f t="shared" si="9"/>
        <v>0.33758333333333329</v>
      </c>
      <c r="O20" s="300">
        <f t="shared" si="9"/>
        <v>0.3553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2:28" ht="15" customHeight="1">
      <c r="B21" s="292" t="s">
        <v>91</v>
      </c>
      <c r="C21" s="47"/>
      <c r="D21" s="300">
        <f t="shared" ref="D21:O21" si="10">IF(ISERROR(D19/C19-1),0,D19/C19-1)</f>
        <v>1.9708868991046069E-2</v>
      </c>
      <c r="E21" s="300">
        <f t="shared" si="10"/>
        <v>2.7618346823644835E-2</v>
      </c>
      <c r="F21" s="300">
        <f t="shared" si="10"/>
        <v>0.82547259881611601</v>
      </c>
      <c r="G21" s="300">
        <f t="shared" si="10"/>
        <v>-0.3428085774058578</v>
      </c>
      <c r="H21" s="300">
        <f t="shared" si="10"/>
        <v>0.61911583303489715</v>
      </c>
      <c r="I21" s="300">
        <f t="shared" si="10"/>
        <v>-0.60092380191693295</v>
      </c>
      <c r="J21" s="300">
        <f t="shared" si="10"/>
        <v>0.1247088353413659</v>
      </c>
      <c r="K21" s="300">
        <f t="shared" si="10"/>
        <v>9.8417796663125667E-2</v>
      </c>
      <c r="L21" s="300">
        <f t="shared" si="10"/>
        <v>9.4156217039728318E-2</v>
      </c>
      <c r="M21" s="300">
        <f t="shared" si="10"/>
        <v>9.0394395719564757E-2</v>
      </c>
      <c r="N21" s="300">
        <f t="shared" si="10"/>
        <v>8.7049291371405157E-2</v>
      </c>
      <c r="O21" s="300">
        <f t="shared" si="10"/>
        <v>8.4055294988891749E-2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2:28" ht="15" customHeight="1">
      <c r="B22" s="292" t="s">
        <v>97</v>
      </c>
      <c r="C22" s="297">
        <f>Data!C24</f>
        <v>-6269</v>
      </c>
      <c r="D22" s="298">
        <f>Data!D24</f>
        <v>-6384</v>
      </c>
      <c r="E22" s="298">
        <f>Data!E24</f>
        <v>-5755</v>
      </c>
      <c r="F22" s="298">
        <f>Data!F24</f>
        <v>-4681</v>
      </c>
      <c r="G22" s="298">
        <f>Data!G24</f>
        <v>-5191</v>
      </c>
      <c r="H22" s="298">
        <f>Data!H24</f>
        <v>-5064</v>
      </c>
      <c r="I22" s="299">
        <f t="shared" ref="I22:O22" si="11">0-(I116*I12)</f>
        <v>-5217.16</v>
      </c>
      <c r="J22" s="299">
        <f t="shared" si="11"/>
        <v>-5249.7672500000008</v>
      </c>
      <c r="K22" s="299">
        <f t="shared" si="11"/>
        <v>-5172.1619950000004</v>
      </c>
      <c r="L22" s="299">
        <f t="shared" si="11"/>
        <v>-5085.1756341750015</v>
      </c>
      <c r="M22" s="299">
        <f t="shared" si="11"/>
        <v>-4988.3151459050014</v>
      </c>
      <c r="N22" s="299">
        <f t="shared" si="11"/>
        <v>-4881.066370268044</v>
      </c>
      <c r="O22" s="299">
        <f t="shared" si="11"/>
        <v>-4762.8931844615545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28" ht="15" customHeight="1">
      <c r="B23" s="292" t="s">
        <v>98</v>
      </c>
      <c r="C23" s="304">
        <f t="shared" ref="C23:O23" si="12">C19+C22+C17</f>
        <v>13722</v>
      </c>
      <c r="D23" s="299">
        <f t="shared" si="12"/>
        <v>14001</v>
      </c>
      <c r="E23" s="299">
        <f t="shared" si="12"/>
        <v>14817</v>
      </c>
      <c r="F23" s="299">
        <f t="shared" si="12"/>
        <v>33167</v>
      </c>
      <c r="G23" s="299">
        <f t="shared" si="12"/>
        <v>19433</v>
      </c>
      <c r="H23" s="299">
        <f t="shared" si="12"/>
        <v>34944</v>
      </c>
      <c r="I23" s="299">
        <f t="shared" si="12"/>
        <v>10434.319999999996</v>
      </c>
      <c r="J23" s="299">
        <f t="shared" si="12"/>
        <v>12439.665875000001</v>
      </c>
      <c r="K23" s="299">
        <f t="shared" si="12"/>
        <v>14340.9946225</v>
      </c>
      <c r="L23" s="299">
        <f t="shared" si="12"/>
        <v>16345.207395562502</v>
      </c>
      <c r="M23" s="299">
        <f t="shared" si="12"/>
        <v>18456.766039848491</v>
      </c>
      <c r="N23" s="299">
        <f t="shared" si="12"/>
        <v>20680.307516135654</v>
      </c>
      <c r="O23" s="299">
        <f t="shared" si="12"/>
        <v>23020.650391564177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2:28" ht="15" customHeight="1">
      <c r="B24" s="292" t="s">
        <v>94</v>
      </c>
      <c r="C24" s="303">
        <f t="shared" ref="C24:O24" si="13">IF(ISERROR(C23/C12),0,C23/C12)</f>
        <v>0.26114261789670001</v>
      </c>
      <c r="D24" s="300">
        <f t="shared" si="13"/>
        <v>0.26098383879806886</v>
      </c>
      <c r="E24" s="300">
        <f t="shared" si="13"/>
        <v>0.36222955628896225</v>
      </c>
      <c r="F24" s="300">
        <f t="shared" si="13"/>
        <v>0.79630741158675666</v>
      </c>
      <c r="G24" s="300">
        <f t="shared" si="13"/>
        <v>0.23906357641964374</v>
      </c>
      <c r="H24" s="300">
        <f t="shared" si="13"/>
        <v>0.34829064088507922</v>
      </c>
      <c r="I24" s="300">
        <f t="shared" si="13"/>
        <v>0.15999999999999995</v>
      </c>
      <c r="J24" s="300">
        <f t="shared" si="13"/>
        <v>0.18166666666666667</v>
      </c>
      <c r="K24" s="300">
        <f t="shared" si="13"/>
        <v>0.20333333333333331</v>
      </c>
      <c r="L24" s="300">
        <f t="shared" si="13"/>
        <v>0.22500000000000001</v>
      </c>
      <c r="M24" s="300">
        <f t="shared" si="13"/>
        <v>0.24666666666666653</v>
      </c>
      <c r="N24" s="300">
        <f t="shared" si="13"/>
        <v>0.26833333333333331</v>
      </c>
      <c r="O24" s="300">
        <f t="shared" si="13"/>
        <v>0.28999999999999998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28" ht="15" customHeight="1">
      <c r="B25" s="292" t="s">
        <v>99</v>
      </c>
      <c r="C25" s="297">
        <f>-SUMIFS('IS - As Reported'!E:E,'IS - As Reported'!$O:$O,'Question 1 - DCF'!$B25)</f>
        <v>-695</v>
      </c>
      <c r="D25" s="298">
        <f>-SUMIFS('IS - As Reported'!F:F,'IS - As Reported'!$O:$O,'Question 1 - DCF'!$B25)</f>
        <v>2</v>
      </c>
      <c r="E25" s="298">
        <f>-SUMIFS('IS - As Reported'!G:G,'IS - As Reported'!$O:$O,'Question 1 - DCF'!$B25)</f>
        <v>-331</v>
      </c>
      <c r="F25" s="298">
        <f>-SUMIFS('IS - As Reported'!H:H,'IS - As Reported'!$O:$O,'Question 1 - DCF'!$B25)</f>
        <v>-809</v>
      </c>
      <c r="G25" s="298">
        <f>-SUMIFS('IS - As Reported'!I:I,'IS - As Reported'!$O:$O,'Question 1 - DCF'!$B25)</f>
        <v>2011</v>
      </c>
      <c r="H25" s="298">
        <f>-SUMIFS('IS - As Reported'!J:J,'IS - As Reported'!$O:$O,'Question 1 - DCF'!$B25)</f>
        <v>129</v>
      </c>
      <c r="I25" s="31"/>
      <c r="J25" s="31"/>
      <c r="K25" s="31"/>
      <c r="L25" s="31"/>
      <c r="M25" s="31"/>
      <c r="N25" s="31"/>
      <c r="O25" s="31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28" ht="15" customHeight="1">
      <c r="B26" s="292" t="s">
        <v>100</v>
      </c>
      <c r="C26" s="297">
        <f>-SUMIFS('IS - As Reported'!E:E,'IS - As Reported'!$O:$O,'Question 1 - DCF'!$B26)</f>
        <v>-464</v>
      </c>
      <c r="D26" s="298">
        <f>-SUMIFS('IS - As Reported'!F:F,'IS - As Reported'!$O:$O,'Question 1 - DCF'!$B26)</f>
        <v>-136</v>
      </c>
      <c r="E26" s="298">
        <f>-SUMIFS('IS - As Reported'!G:G,'IS - As Reported'!$O:$O,'Question 1 - DCF'!$B26)</f>
        <v>-125</v>
      </c>
      <c r="F26" s="298">
        <f>-SUMIFS('IS - As Reported'!H:H,'IS - As Reported'!$O:$O,'Question 1 - DCF'!$B26)</f>
        <v>-146</v>
      </c>
      <c r="G26" s="298">
        <f>-SUMIFS('IS - As Reported'!I:I,'IS - As Reported'!$O:$O,'Question 1 - DCF'!$B26)</f>
        <v>-130</v>
      </c>
      <c r="H26" s="298">
        <f>-SUMIFS('IS - As Reported'!J:J,'IS - As Reported'!$O:$O,'Question 1 - DCF'!$B26)</f>
        <v>-116</v>
      </c>
      <c r="I26" s="31"/>
      <c r="J26" s="31"/>
      <c r="K26" s="31"/>
      <c r="L26" s="31"/>
      <c r="M26" s="31"/>
      <c r="N26" s="31"/>
      <c r="O26" s="31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28" ht="15" customHeight="1">
      <c r="B27" s="292" t="s">
        <v>101</v>
      </c>
      <c r="C27" s="297">
        <f>(1-C118)*-SUMIFS('IS - GAAP'!E:E,'IS - GAAP'!$O:$O,'Question 1 - DCF'!$B27)</f>
        <v>-1417</v>
      </c>
      <c r="D27" s="298">
        <f>(1-D118)*-SUMIFS('IS - GAAP'!F:F,'IS - GAAP'!$O:$O,'Question 1 - DCF'!$B27)</f>
        <v>-1990.3096</v>
      </c>
      <c r="E27" s="298">
        <f>(1-E118)*-SUMIFS('IS - GAAP'!G:G,'IS - GAAP'!$O:$O,'Question 1 - DCF'!$B27)</f>
        <v>-3315.9560000000001</v>
      </c>
      <c r="F27" s="298">
        <f>(1-F118)*-SUMIFS('IS - GAAP'!H:H,'IS - GAAP'!$O:$O,'Question 1 - DCF'!$B27)</f>
        <v>-1155.828</v>
      </c>
      <c r="G27" s="298">
        <f>(1-G118)*-SUMIFS('IS - GAAP'!I:I,'IS - GAAP'!$O:$O,'Question 1 - DCF'!$B27)</f>
        <v>4506.2964000000002</v>
      </c>
      <c r="H27" s="298">
        <f>(1-H118)*-SUMIFS('IS - GAAP'!J:J,'IS - GAAP'!$O:$O,'Question 1 - DCF'!$B27)</f>
        <v>-194.40299999999999</v>
      </c>
      <c r="I27" s="31"/>
      <c r="J27" s="31"/>
      <c r="K27" s="31"/>
      <c r="L27" s="31"/>
      <c r="M27" s="31"/>
      <c r="N27" s="31"/>
      <c r="O27" s="305" t="s">
        <v>102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28" ht="15" customHeight="1">
      <c r="B28" s="292" t="s">
        <v>103</v>
      </c>
      <c r="C28" s="297">
        <f>-SUMIFS('IS - GAAP'!E:E,'IS - GAAP'!$O:$O,"*"&amp;"Taxes"&amp;"*")</f>
        <v>9048</v>
      </c>
      <c r="D28" s="298">
        <f>-SUMIFS('IS - GAAP'!F:F,'IS - GAAP'!$O:$O,"*"&amp;"Taxes"&amp;"*")</f>
        <v>-706</v>
      </c>
      <c r="E28" s="298">
        <f>-SUMIFS('IS - GAAP'!G:G,'IS - GAAP'!$O:$O,"*"&amp;"Taxes"&amp;"*")</f>
        <v>-583</v>
      </c>
      <c r="F28" s="298">
        <f>-SUMIFS('IS - GAAP'!H:H,'IS - GAAP'!$O:$O,"*"&amp;"Taxes"&amp;"*")</f>
        <v>-370</v>
      </c>
      <c r="G28" s="298">
        <f>-SUMIFS('IS - GAAP'!I:I,'IS - GAAP'!$O:$O,"*"&amp;"Taxes"&amp;"*")</f>
        <v>-1852</v>
      </c>
      <c r="H28" s="298">
        <f>-SUMIFS('IS - GAAP'!J:J,'IS - GAAP'!$O:$O,"*"&amp;"Taxes"&amp;"*")</f>
        <v>-3328</v>
      </c>
      <c r="I28" s="299">
        <f t="shared" ref="I28:O28" si="14">0-(I23*I118)</f>
        <v>-1043.4319999999996</v>
      </c>
      <c r="J28" s="299">
        <f t="shared" si="14"/>
        <v>-1243.9665875000001</v>
      </c>
      <c r="K28" s="299">
        <f t="shared" si="14"/>
        <v>-1434.0994622500002</v>
      </c>
      <c r="L28" s="299">
        <f t="shared" si="14"/>
        <v>-1634.5207395562502</v>
      </c>
      <c r="M28" s="299">
        <f t="shared" si="14"/>
        <v>-1845.6766039848492</v>
      </c>
      <c r="N28" s="299">
        <f t="shared" si="14"/>
        <v>-2068.0307516135654</v>
      </c>
      <c r="O28" s="299">
        <f t="shared" si="14"/>
        <v>-2302.0650391564177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28" ht="15" customHeight="1">
      <c r="B29" s="292" t="s">
        <v>104</v>
      </c>
      <c r="C29" s="304">
        <f t="shared" ref="C29:H29" si="15">C23+C28+C27+C26+C25</f>
        <v>20194</v>
      </c>
      <c r="D29" s="299">
        <f t="shared" si="15"/>
        <v>11170.690399999999</v>
      </c>
      <c r="E29" s="299">
        <f t="shared" si="15"/>
        <v>10462.044</v>
      </c>
      <c r="F29" s="299">
        <f t="shared" si="15"/>
        <v>30686.171999999999</v>
      </c>
      <c r="G29" s="299">
        <f t="shared" si="15"/>
        <v>23968.296399999999</v>
      </c>
      <c r="H29" s="299">
        <f t="shared" si="15"/>
        <v>31434.597000000002</v>
      </c>
      <c r="I29" s="299">
        <f t="shared" ref="I29:O29" si="16">I23+I28</f>
        <v>9390.8879999999972</v>
      </c>
      <c r="J29" s="299">
        <f t="shared" si="16"/>
        <v>11195.6992875</v>
      </c>
      <c r="K29" s="299">
        <f t="shared" si="16"/>
        <v>12906.89516025</v>
      </c>
      <c r="L29" s="299">
        <f t="shared" si="16"/>
        <v>14710.686656006252</v>
      </c>
      <c r="M29" s="299">
        <f t="shared" si="16"/>
        <v>16611.089435863643</v>
      </c>
      <c r="N29" s="299">
        <f t="shared" si="16"/>
        <v>18612.276764522088</v>
      </c>
      <c r="O29" s="299">
        <f t="shared" si="16"/>
        <v>20718.585352407761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2:28" ht="15" customHeight="1">
      <c r="B30" s="292" t="s">
        <v>94</v>
      </c>
      <c r="C30" s="303">
        <f t="shared" ref="C30:O30" si="17">IF(ISERROR(C29/C12),0,C29/C12)</f>
        <v>0.38431088950633729</v>
      </c>
      <c r="D30" s="300">
        <f t="shared" si="17"/>
        <v>0.20822581691427292</v>
      </c>
      <c r="E30" s="300">
        <f t="shared" si="17"/>
        <v>0.25576442977631098</v>
      </c>
      <c r="F30" s="300">
        <f t="shared" si="17"/>
        <v>0.73674514417420944</v>
      </c>
      <c r="G30" s="300">
        <f t="shared" si="17"/>
        <v>0.29485651510678079</v>
      </c>
      <c r="H30" s="300">
        <f t="shared" si="17"/>
        <v>0.31331204026711851</v>
      </c>
      <c r="I30" s="300">
        <f t="shared" si="17"/>
        <v>0.14399999999999996</v>
      </c>
      <c r="J30" s="300">
        <f t="shared" si="17"/>
        <v>0.16349999999999998</v>
      </c>
      <c r="K30" s="300">
        <f t="shared" si="17"/>
        <v>0.183</v>
      </c>
      <c r="L30" s="300">
        <f t="shared" si="17"/>
        <v>0.20250000000000001</v>
      </c>
      <c r="M30" s="300">
        <f t="shared" si="17"/>
        <v>0.22199999999999989</v>
      </c>
      <c r="N30" s="300">
        <f t="shared" si="17"/>
        <v>0.24149999999999996</v>
      </c>
      <c r="O30" s="300">
        <f t="shared" si="17"/>
        <v>0.26100000000000001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28" ht="15" customHeight="1">
      <c r="B31" s="292" t="s">
        <v>91</v>
      </c>
      <c r="C31" s="47"/>
      <c r="D31" s="300">
        <f t="shared" ref="D31:O31" si="18">IF(ISERROR(D29/C29-1),0,D29/C29-1)</f>
        <v>-0.44683121719322572</v>
      </c>
      <c r="E31" s="300">
        <f t="shared" si="18"/>
        <v>-6.3438012748075034E-2</v>
      </c>
      <c r="F31" s="300">
        <f t="shared" si="18"/>
        <v>1.9330952918951594</v>
      </c>
      <c r="G31" s="300">
        <f t="shared" si="18"/>
        <v>-0.21892191701200137</v>
      </c>
      <c r="H31" s="300">
        <f t="shared" si="18"/>
        <v>0.31150735435664934</v>
      </c>
      <c r="I31" s="300">
        <f t="shared" si="18"/>
        <v>-0.70125629413986135</v>
      </c>
      <c r="J31" s="300">
        <f t="shared" si="18"/>
        <v>0.1921875000000004</v>
      </c>
      <c r="K31" s="300">
        <f t="shared" si="18"/>
        <v>0.15284403669724766</v>
      </c>
      <c r="L31" s="300">
        <f t="shared" si="18"/>
        <v>0.13975409836065578</v>
      </c>
      <c r="M31" s="300">
        <f t="shared" si="18"/>
        <v>0.12918518518518463</v>
      </c>
      <c r="N31" s="300">
        <f t="shared" si="18"/>
        <v>0.12047297297297344</v>
      </c>
      <c r="O31" s="300">
        <f t="shared" si="18"/>
        <v>0.11316770186335434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28" ht="9.75" customHeight="1">
      <c r="B32" s="48"/>
      <c r="C32" s="49"/>
      <c r="D32" s="49"/>
      <c r="E32" s="49"/>
      <c r="F32" s="49"/>
      <c r="G32" s="49"/>
      <c r="H32" s="49"/>
      <c r="I32" s="50"/>
      <c r="J32" s="51"/>
      <c r="K32" s="51"/>
      <c r="L32" s="51"/>
      <c r="M32" s="51"/>
      <c r="N32" s="51"/>
      <c r="O32" s="51"/>
    </row>
    <row r="33" spans="1:28" ht="15" customHeight="1">
      <c r="B33" s="292" t="s">
        <v>105</v>
      </c>
      <c r="C33" s="304">
        <f t="shared" ref="C33:O33" si="19">0-C22</f>
        <v>6269</v>
      </c>
      <c r="D33" s="299">
        <f t="shared" si="19"/>
        <v>6384</v>
      </c>
      <c r="E33" s="299">
        <f t="shared" si="19"/>
        <v>5755</v>
      </c>
      <c r="F33" s="299">
        <f t="shared" si="19"/>
        <v>4681</v>
      </c>
      <c r="G33" s="299">
        <f t="shared" si="19"/>
        <v>5191</v>
      </c>
      <c r="H33" s="299">
        <f t="shared" si="19"/>
        <v>5064</v>
      </c>
      <c r="I33" s="299">
        <f t="shared" si="19"/>
        <v>5217.16</v>
      </c>
      <c r="J33" s="299">
        <f t="shared" si="19"/>
        <v>5249.7672500000008</v>
      </c>
      <c r="K33" s="299">
        <f t="shared" si="19"/>
        <v>5172.1619950000004</v>
      </c>
      <c r="L33" s="299">
        <f t="shared" si="19"/>
        <v>5085.1756341750015</v>
      </c>
      <c r="M33" s="299">
        <f t="shared" si="19"/>
        <v>4988.3151459050014</v>
      </c>
      <c r="N33" s="299">
        <f t="shared" si="19"/>
        <v>4881.066370268044</v>
      </c>
      <c r="O33" s="299">
        <f t="shared" si="19"/>
        <v>4762.8931844615545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5" customHeight="1">
      <c r="B34" s="292" t="s">
        <v>106</v>
      </c>
      <c r="C34" s="297">
        <f>Data!C80</f>
        <v>-2217</v>
      </c>
      <c r="D34" s="298">
        <f>Data!D80</f>
        <v>-2196</v>
      </c>
      <c r="E34" s="298">
        <f>Data!E80</f>
        <v>-2046</v>
      </c>
      <c r="F34" s="298">
        <f>Data!F80</f>
        <v>-2226</v>
      </c>
      <c r="G34" s="298">
        <f>Data!G80</f>
        <v>-2711</v>
      </c>
      <c r="H34" s="298">
        <f>Data!H80</f>
        <v>-3236</v>
      </c>
      <c r="I34" s="299">
        <f t="shared" ref="I34:O34" si="20">0-I117*I12</f>
        <v>-3260.7250000000004</v>
      </c>
      <c r="J34" s="299">
        <f t="shared" si="20"/>
        <v>-3309.6358750000009</v>
      </c>
      <c r="K34" s="299">
        <f t="shared" si="20"/>
        <v>-3291.3758150000008</v>
      </c>
      <c r="L34" s="299">
        <f t="shared" si="20"/>
        <v>-3269.0414791125004</v>
      </c>
      <c r="M34" s="299">
        <f t="shared" si="20"/>
        <v>-3242.4048448382509</v>
      </c>
      <c r="N34" s="299">
        <f t="shared" si="20"/>
        <v>-3211.2278751763447</v>
      </c>
      <c r="O34" s="299">
        <f t="shared" si="20"/>
        <v>-3175.2621229743695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5" customHeight="1">
      <c r="B35" s="292" t="s">
        <v>107</v>
      </c>
      <c r="C35" s="304">
        <f t="shared" ref="C35:O35" si="21">C144</f>
        <v>-675</v>
      </c>
      <c r="D35" s="299">
        <f t="shared" si="21"/>
        <v>-7391</v>
      </c>
      <c r="E35" s="299">
        <f t="shared" si="21"/>
        <v>5749</v>
      </c>
      <c r="F35" s="299">
        <f t="shared" si="21"/>
        <v>2370</v>
      </c>
      <c r="G35" s="299">
        <f t="shared" si="21"/>
        <v>11305</v>
      </c>
      <c r="H35" s="299">
        <f t="shared" si="21"/>
        <v>-1312</v>
      </c>
      <c r="I35" s="299">
        <f t="shared" si="21"/>
        <v>-10626.67705479452</v>
      </c>
      <c r="J35" s="299">
        <f t="shared" si="21"/>
        <v>-1241.4205419520513</v>
      </c>
      <c r="K35" s="299">
        <f t="shared" si="21"/>
        <v>-1249.9605147294606</v>
      </c>
      <c r="L35" s="299">
        <f t="shared" si="21"/>
        <v>-1268.2537336226487</v>
      </c>
      <c r="M35" s="299">
        <f t="shared" si="21"/>
        <v>-1284.8676454615852</v>
      </c>
      <c r="N35" s="299">
        <f t="shared" si="21"/>
        <v>-1299.6354698542564</v>
      </c>
      <c r="O35" s="299">
        <f t="shared" si="21"/>
        <v>-1312.3804442193286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5" customHeight="1">
      <c r="B36" s="292" t="s">
        <v>108</v>
      </c>
      <c r="C36" s="304">
        <f t="shared" ref="C36:O36" si="22">C29+SUM(C33:C35)</f>
        <v>23571</v>
      </c>
      <c r="D36" s="299">
        <f t="shared" si="22"/>
        <v>7967.6903999999995</v>
      </c>
      <c r="E36" s="299">
        <f t="shared" si="22"/>
        <v>19920.044000000002</v>
      </c>
      <c r="F36" s="299">
        <f t="shared" si="22"/>
        <v>35511.171999999999</v>
      </c>
      <c r="G36" s="299">
        <f t="shared" si="22"/>
        <v>37753.296399999999</v>
      </c>
      <c r="H36" s="299">
        <f t="shared" si="22"/>
        <v>31950.597000000002</v>
      </c>
      <c r="I36" s="299">
        <f t="shared" si="22"/>
        <v>720.64594520547689</v>
      </c>
      <c r="J36" s="299">
        <f t="shared" si="22"/>
        <v>11894.410120547949</v>
      </c>
      <c r="K36" s="299">
        <f t="shared" si="22"/>
        <v>13537.720825520539</v>
      </c>
      <c r="L36" s="299">
        <f t="shared" si="22"/>
        <v>15258.567077446103</v>
      </c>
      <c r="M36" s="299">
        <f t="shared" si="22"/>
        <v>17072.132091468808</v>
      </c>
      <c r="N36" s="299">
        <f t="shared" si="22"/>
        <v>18982.479789759531</v>
      </c>
      <c r="O36" s="299">
        <f t="shared" si="22"/>
        <v>20993.835969675616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15" customHeight="1">
      <c r="B37" s="292" t="s">
        <v>91</v>
      </c>
      <c r="C37" s="31"/>
      <c r="D37" s="300">
        <f t="shared" ref="D37:O37" si="23">IF(ISERROR(D36/C36-1),0,D36/C36-1)</f>
        <v>-0.66197062492045311</v>
      </c>
      <c r="E37" s="300">
        <f t="shared" si="23"/>
        <v>1.500102664631648</v>
      </c>
      <c r="F37" s="300">
        <f t="shared" si="23"/>
        <v>0.78268541977116102</v>
      </c>
      <c r="G37" s="300">
        <f t="shared" si="23"/>
        <v>6.3138563829997052E-2</v>
      </c>
      <c r="H37" s="300">
        <f t="shared" si="23"/>
        <v>-0.15370046998068221</v>
      </c>
      <c r="I37" s="300">
        <f t="shared" si="23"/>
        <v>-0.97744499280544028</v>
      </c>
      <c r="J37" s="300">
        <f t="shared" si="23"/>
        <v>15.50520647438946</v>
      </c>
      <c r="K37" s="300">
        <f t="shared" si="23"/>
        <v>0.13815823469326327</v>
      </c>
      <c r="L37" s="300">
        <f t="shared" si="23"/>
        <v>0.12711491646965589</v>
      </c>
      <c r="M37" s="300">
        <f t="shared" si="23"/>
        <v>0.11885552587066717</v>
      </c>
      <c r="N37" s="300">
        <f t="shared" si="23"/>
        <v>0.11189860106842486</v>
      </c>
      <c r="O37" s="300">
        <f t="shared" si="23"/>
        <v>0.10595855769071605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5" customHeight="1">
      <c r="B38" s="306" t="s">
        <v>109</v>
      </c>
      <c r="C38" s="158"/>
      <c r="D38" s="158"/>
      <c r="E38" s="158"/>
      <c r="F38" s="36"/>
      <c r="G38" s="36"/>
      <c r="H38" s="36"/>
      <c r="I38" s="36"/>
      <c r="J38" s="36"/>
      <c r="K38" s="36"/>
      <c r="L38" s="36"/>
      <c r="M38" s="36"/>
      <c r="N38" s="307">
        <f>E51</f>
        <v>253838.39226587853</v>
      </c>
      <c r="O38" s="308" t="str">
        <f>IF(O13/O37-1&gt;10%,"Check that "&amp;YEAR(O11)&amp;"E Sales g and FCF g are closer","")</f>
        <v/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5" customHeight="1">
      <c r="B39" s="292" t="s">
        <v>110</v>
      </c>
      <c r="C39" s="309">
        <f>D177</f>
        <v>7.5953999999999994E-2</v>
      </c>
      <c r="D39" s="300">
        <f>+D177</f>
        <v>7.5953999999999994E-2</v>
      </c>
      <c r="E39" s="36"/>
      <c r="F39" s="36"/>
      <c r="G39" s="36"/>
      <c r="H39" s="36"/>
      <c r="I39" s="52"/>
      <c r="J39" s="52"/>
      <c r="K39" s="36"/>
      <c r="L39" s="36"/>
      <c r="M39" s="36"/>
      <c r="N39" s="36"/>
      <c r="O39" s="36"/>
      <c r="P39" s="8"/>
      <c r="Q39" s="242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5" customHeight="1">
      <c r="B40" s="292" t="s">
        <v>111</v>
      </c>
      <c r="C40" s="36"/>
      <c r="D40" s="36"/>
      <c r="E40" s="36"/>
      <c r="F40" s="36"/>
      <c r="G40" s="36"/>
      <c r="H40" s="36"/>
      <c r="I40" s="310">
        <f t="shared" ref="I40:N40" si="24">YEAR(I11)-YEAR($C$5)</f>
        <v>1</v>
      </c>
      <c r="J40" s="310">
        <f t="shared" si="24"/>
        <v>2</v>
      </c>
      <c r="K40" s="310">
        <f t="shared" si="24"/>
        <v>3</v>
      </c>
      <c r="L40" s="310">
        <f t="shared" si="24"/>
        <v>4</v>
      </c>
      <c r="M40" s="310">
        <f t="shared" si="24"/>
        <v>5</v>
      </c>
      <c r="N40" s="310">
        <f t="shared" si="24"/>
        <v>6</v>
      </c>
      <c r="O40" s="5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5" customHeight="1">
      <c r="B41" s="292" t="s">
        <v>112</v>
      </c>
      <c r="C41" s="36"/>
      <c r="D41" s="36"/>
      <c r="E41" s="36"/>
      <c r="F41" s="36"/>
      <c r="G41" s="36"/>
      <c r="H41" s="36"/>
      <c r="I41" s="310">
        <f t="shared" ref="I41:N41" si="25">1/((1+$C$39)^(I40))</f>
        <v>0.92940776278539783</v>
      </c>
      <c r="J41" s="310">
        <f t="shared" si="25"/>
        <v>0.86379878952575839</v>
      </c>
      <c r="K41" s="310">
        <f t="shared" si="25"/>
        <v>0.80282130046986977</v>
      </c>
      <c r="L41" s="310">
        <f t="shared" si="25"/>
        <v>0.74614834878616532</v>
      </c>
      <c r="M41" s="310">
        <f t="shared" si="25"/>
        <v>0.6934760675513687</v>
      </c>
      <c r="N41" s="310">
        <f t="shared" si="25"/>
        <v>0.644522040488133</v>
      </c>
      <c r="O41" s="5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5" customHeight="1">
      <c r="B42" s="292" t="s">
        <v>113</v>
      </c>
      <c r="C42" s="8"/>
      <c r="D42" s="8"/>
      <c r="E42" s="8"/>
      <c r="F42" s="8"/>
      <c r="G42" s="8"/>
      <c r="H42" s="8"/>
      <c r="I42" s="299">
        <f t="shared" ref="I42:N42" si="26">I36*I41</f>
        <v>669.77393569379069</v>
      </c>
      <c r="J42" s="299">
        <f t="shared" si="26"/>
        <v>10274.377064252249</v>
      </c>
      <c r="K42" s="299">
        <f t="shared" si="26"/>
        <v>10868.370638542438</v>
      </c>
      <c r="L42" s="299">
        <f t="shared" si="26"/>
        <v>11385.154629679355</v>
      </c>
      <c r="M42" s="299">
        <f t="shared" si="26"/>
        <v>11839.115027509311</v>
      </c>
      <c r="N42" s="299">
        <f t="shared" si="26"/>
        <v>12234.626607620559</v>
      </c>
      <c r="O42" s="5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5" customHeight="1">
      <c r="B43" s="292" t="s">
        <v>114</v>
      </c>
      <c r="C43" s="8"/>
      <c r="D43" s="8"/>
      <c r="E43" s="8"/>
      <c r="F43" s="8"/>
      <c r="G43" s="8"/>
      <c r="H43" s="8"/>
      <c r="I43" s="31"/>
      <c r="J43" s="31"/>
      <c r="K43" s="31"/>
      <c r="L43" s="31"/>
      <c r="M43" s="31"/>
      <c r="N43" s="299">
        <f>N38*N41</f>
        <v>163604.43853743115</v>
      </c>
      <c r="O43" s="5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9.75" customHeight="1"/>
    <row r="45" spans="1:28" ht="15" customHeight="1">
      <c r="B45" s="469" t="s">
        <v>115</v>
      </c>
      <c r="C45" s="468"/>
      <c r="D45" s="468"/>
      <c r="E45" s="468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ht="15" customHeight="1">
      <c r="B46" s="292" t="s">
        <v>116</v>
      </c>
      <c r="C46" s="8"/>
      <c r="D46" s="8"/>
      <c r="E46" s="299">
        <f>+SUM(I42:N42)</f>
        <v>57271.417903297697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9.75" customHeight="1">
      <c r="B47" s="55"/>
      <c r="C47" s="56"/>
      <c r="D47" s="56"/>
      <c r="E47" s="57"/>
      <c r="F47" s="56"/>
    </row>
    <row r="48" spans="1:28" ht="20.25" customHeight="1">
      <c r="A48" s="134"/>
      <c r="B48" s="292" t="str">
        <f>"Terminal Value Calculation in "&amp;YEAR(N11)&amp;"E"</f>
        <v>Terminal Value Calculation in 2028E</v>
      </c>
      <c r="C48" s="162"/>
      <c r="D48" s="162"/>
      <c r="E48" s="163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7"/>
      <c r="Y48" s="7"/>
      <c r="Z48" s="7"/>
      <c r="AA48" s="7"/>
      <c r="AB48" s="7"/>
    </row>
    <row r="49" spans="2:28" ht="15" customHeight="1">
      <c r="B49" s="292" t="str">
        <f>"Steady-state EBITDA ("&amp;YEAR(O11)&amp; "E)"</f>
        <v>Steady-state EBITDA (2029E)</v>
      </c>
      <c r="C49" s="8"/>
      <c r="D49" s="8"/>
      <c r="E49" s="299">
        <f>+O19</f>
        <v>28204.265807319836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2:28" ht="15" customHeight="1">
      <c r="B50" s="292" t="s">
        <v>117</v>
      </c>
      <c r="C50" s="8"/>
      <c r="D50" s="8"/>
      <c r="E50" s="311">
        <f>'Executive Summary'!$F$24</f>
        <v>9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2:28" ht="15" customHeight="1">
      <c r="B51" s="292" t="str">
        <f>"Terminal Value in "&amp;YEAR(N11)&amp;"E"</f>
        <v>Terminal Value in 2028E</v>
      </c>
      <c r="C51" s="8"/>
      <c r="D51" s="8"/>
      <c r="E51" s="312">
        <f>E49*E50</f>
        <v>253838.39226587853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2:28" ht="15" customHeight="1">
      <c r="B52" s="292" t="s">
        <v>118</v>
      </c>
      <c r="C52" s="8"/>
      <c r="D52" s="8"/>
      <c r="E52" s="310">
        <f>N41</f>
        <v>0.644522040488133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2:28" ht="15" customHeight="1">
      <c r="B53" s="292" t="s">
        <v>119</v>
      </c>
      <c r="C53" s="8"/>
      <c r="D53" s="8"/>
      <c r="E53" s="299">
        <f>E51*E52</f>
        <v>163604.43853743115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2:28" ht="15" customHeight="1">
      <c r="B54" s="292" t="s">
        <v>120</v>
      </c>
      <c r="C54" s="8"/>
      <c r="D54" s="8"/>
      <c r="E54" s="300">
        <f>IF(ISERROR(E53/E55),"- %",E53/E55)</f>
        <v>0.74070765892574475</v>
      </c>
      <c r="F54" s="465" t="s">
        <v>121</v>
      </c>
      <c r="G54" s="466"/>
      <c r="H54" s="46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2:28" ht="15" customHeight="1">
      <c r="B55" s="313" t="s">
        <v>115</v>
      </c>
      <c r="C55" s="54"/>
      <c r="D55" s="54"/>
      <c r="E55" s="314">
        <f>+E53+E46</f>
        <v>220875.85644072885</v>
      </c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</row>
    <row r="56" spans="2:28" ht="15" customHeight="1">
      <c r="B56" s="292" t="s">
        <v>122</v>
      </c>
      <c r="C56" s="8"/>
      <c r="D56" s="8"/>
      <c r="E56" s="299">
        <f>E55*E66*E67</f>
        <v>231884.36186431383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2:28" ht="9.75" customHeight="1">
      <c r="B57" s="58"/>
      <c r="C57" s="59"/>
      <c r="D57" s="59"/>
      <c r="E57" s="60"/>
      <c r="F57" s="61"/>
    </row>
    <row r="58" spans="2:28" ht="15" customHeight="1">
      <c r="B58" s="473" t="s">
        <v>123</v>
      </c>
      <c r="C58" s="466"/>
      <c r="D58" s="466"/>
      <c r="E58" s="466"/>
      <c r="F58" s="8"/>
      <c r="G58" s="465" t="s">
        <v>124</v>
      </c>
      <c r="H58" s="466"/>
      <c r="I58" s="466"/>
      <c r="J58" s="466"/>
      <c r="K58" s="8"/>
      <c r="L58" s="62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2:28" ht="15" customHeight="1">
      <c r="B59" s="313" t="s">
        <v>115</v>
      </c>
      <c r="C59" s="54"/>
      <c r="D59" s="54"/>
      <c r="E59" s="314">
        <f>+E55</f>
        <v>220875.85644072885</v>
      </c>
      <c r="F59" s="54"/>
      <c r="G59" s="315" t="str">
        <f>"Steady-state FCF ("&amp;YEAR(O11)&amp;"E)"</f>
        <v>Steady-state FCF (2029E)</v>
      </c>
      <c r="H59" s="54"/>
      <c r="I59" s="54"/>
      <c r="J59" s="316">
        <f>+O36</f>
        <v>20993.835969675616</v>
      </c>
      <c r="K59" s="54"/>
      <c r="L59" s="63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</row>
    <row r="60" spans="2:28" ht="15" customHeight="1">
      <c r="B60" s="292" t="s">
        <v>125</v>
      </c>
      <c r="C60" s="8"/>
      <c r="D60" s="8"/>
      <c r="E60" s="298">
        <f>0-(Data!H57+Data!H62)</f>
        <v>-39046</v>
      </c>
      <c r="F60" s="8"/>
      <c r="G60" s="292" t="s">
        <v>126</v>
      </c>
      <c r="H60" s="8"/>
      <c r="I60" s="8"/>
      <c r="J60" s="300">
        <f>C39</f>
        <v>7.5953999999999994E-2</v>
      </c>
      <c r="K60" s="8"/>
      <c r="L60" s="62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2:28" ht="15" customHeight="1">
      <c r="B61" s="292" t="s">
        <v>127</v>
      </c>
      <c r="C61" s="8"/>
      <c r="D61" s="8"/>
      <c r="E61" s="299">
        <v>0</v>
      </c>
      <c r="F61" s="8"/>
      <c r="G61" s="317" t="str">
        <f>"Terminal Value in "&amp;YEAR(N11)&amp;"E"</f>
        <v>Terminal Value in 2028E</v>
      </c>
      <c r="H61" s="8"/>
      <c r="I61" s="8"/>
      <c r="J61" s="312">
        <f>+E51</f>
        <v>253838.39226587853</v>
      </c>
      <c r="K61" s="8"/>
      <c r="L61" s="62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2:28" ht="15" customHeight="1">
      <c r="B62" s="292" t="s">
        <v>128</v>
      </c>
      <c r="C62" s="8"/>
      <c r="D62" s="8"/>
      <c r="E62" s="298">
        <f>0-Data!H69</f>
        <v>-256</v>
      </c>
      <c r="F62" s="8"/>
      <c r="G62" s="8"/>
      <c r="H62" s="8"/>
      <c r="I62" s="8"/>
      <c r="J62" s="8"/>
      <c r="K62" s="8"/>
      <c r="L62" s="62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2:28" ht="15" customHeight="1">
      <c r="B63" s="292" t="s">
        <v>129</v>
      </c>
      <c r="C63" s="8"/>
      <c r="D63" s="8"/>
      <c r="E63" s="299">
        <v>0</v>
      </c>
      <c r="F63" s="8"/>
      <c r="G63" s="292" t="s">
        <v>130</v>
      </c>
      <c r="H63" s="8"/>
      <c r="I63" s="8"/>
      <c r="J63" s="300">
        <f>IF(ISERROR(((E51*J60)-J59))/(E51+J59),"- %",((E51*J60)-J59))/(E51+J59)</f>
        <v>-6.2357851352288149E-3</v>
      </c>
      <c r="K63" s="8"/>
      <c r="L63" s="62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2:28" ht="15" customHeight="1">
      <c r="B64" s="292" t="s">
        <v>131</v>
      </c>
      <c r="C64" s="8"/>
      <c r="D64" s="8"/>
      <c r="E64" s="298">
        <f>Data!H45</f>
        <v>22732</v>
      </c>
      <c r="F64" s="8"/>
      <c r="G64" s="8"/>
      <c r="H64" s="8"/>
      <c r="I64" s="8"/>
      <c r="J64" s="8"/>
      <c r="K64" s="8"/>
      <c r="L64" s="62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5" customHeight="1">
      <c r="B65" s="313" t="s">
        <v>132</v>
      </c>
      <c r="C65" s="54"/>
      <c r="D65" s="54"/>
      <c r="E65" s="314">
        <f>+E59+SUM(E60:E64)</f>
        <v>204305.85644072885</v>
      </c>
      <c r="F65" s="54"/>
      <c r="G65" s="467" t="s">
        <v>133</v>
      </c>
      <c r="H65" s="468"/>
      <c r="I65" s="468"/>
      <c r="J65" s="468"/>
      <c r="K65" s="54"/>
      <c r="L65" s="63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 spans="1:28" ht="15" customHeight="1">
      <c r="B66" s="292" t="s">
        <v>134</v>
      </c>
      <c r="C66" s="8"/>
      <c r="D66" s="8"/>
      <c r="E66" s="310">
        <f>IF(C6="Yes",(1+C39)^0.5,1)</f>
        <v>1.0372820252949533</v>
      </c>
      <c r="F66" s="8"/>
      <c r="G66" s="318" t="str">
        <f>+B59</f>
        <v>Enterprise Value</v>
      </c>
      <c r="H66" s="8"/>
      <c r="I66" s="8"/>
      <c r="J66" s="299">
        <f>E55</f>
        <v>220875.85644072885</v>
      </c>
      <c r="K66" s="8"/>
      <c r="L66" s="62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5" customHeight="1">
      <c r="B67" s="292" t="s">
        <v>135</v>
      </c>
      <c r="C67" s="8"/>
      <c r="D67" s="8"/>
      <c r="E67" s="310">
        <f>IF(AND(C4&gt;H11,C7="Yes"),(1+C39)^(_xlfn.DAYS(C4,H11)/365),1)</f>
        <v>1.0121068457459348</v>
      </c>
      <c r="F67" s="8"/>
      <c r="G67" s="317" t="str">
        <f>"Fiscal "&amp;YEAR(C5)&amp;" EBITDA"</f>
        <v>Fiscal 2022 EBITDA</v>
      </c>
      <c r="H67" s="8"/>
      <c r="I67" s="8"/>
      <c r="J67" s="299">
        <f>H19</f>
        <v>40690</v>
      </c>
      <c r="K67" s="8"/>
      <c r="L67" s="62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5" customHeight="1">
      <c r="B68" s="292" t="s">
        <v>136</v>
      </c>
      <c r="C68" s="8"/>
      <c r="D68" s="8"/>
      <c r="E68" s="299">
        <f>E65*E66*E67</f>
        <v>214488.50910789112</v>
      </c>
      <c r="F68" s="8"/>
      <c r="G68" s="317" t="str">
        <f>"Implied "&amp;YEAR(C5)&amp;" EV/EBITDA"</f>
        <v>Implied 2022 EV/EBITDA</v>
      </c>
      <c r="H68" s="8"/>
      <c r="I68" s="8"/>
      <c r="J68" s="319">
        <f>IF(ISERROR(J66/J67),"- x",J66/J67)</f>
        <v>5.4282589442302491</v>
      </c>
      <c r="K68" s="8"/>
      <c r="L68" s="62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5" customHeight="1">
      <c r="B69" s="292" t="s">
        <v>137</v>
      </c>
      <c r="C69" s="8"/>
      <c r="D69" s="8"/>
      <c r="E69" s="310">
        <f>F197</f>
        <v>5615.6478048780491</v>
      </c>
      <c r="F69" s="8"/>
      <c r="G69" s="8"/>
      <c r="H69" s="8"/>
      <c r="I69" s="8"/>
      <c r="J69" s="64"/>
      <c r="K69" s="8"/>
      <c r="L69" s="62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5" customHeight="1">
      <c r="B70" s="292" t="s">
        <v>138</v>
      </c>
      <c r="C70" s="8"/>
      <c r="D70" s="8"/>
      <c r="E70" s="320">
        <f>IF(ISERROR(E68/E69),"NA",E68/E69)</f>
        <v>38.194793648129973</v>
      </c>
      <c r="F70" s="8"/>
      <c r="G70" s="8"/>
      <c r="H70" s="8"/>
      <c r="I70" s="8"/>
      <c r="J70" s="64"/>
      <c r="K70" s="8"/>
      <c r="L70" s="62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9.75" customHeight="1">
      <c r="B71" s="61"/>
      <c r="C71" s="61"/>
      <c r="D71" s="61"/>
      <c r="E71" s="61"/>
      <c r="F71" s="65"/>
      <c r="K71" s="61"/>
      <c r="L71" s="65"/>
      <c r="M71" s="61"/>
      <c r="N71" s="61"/>
      <c r="O71" s="61"/>
    </row>
    <row r="72" spans="1:28" ht="9.75" customHeight="1">
      <c r="B72" s="61"/>
      <c r="C72" s="61"/>
      <c r="D72" s="61"/>
      <c r="E72" s="61"/>
      <c r="F72" s="65"/>
      <c r="K72" s="61"/>
      <c r="L72" s="65"/>
      <c r="M72" s="61"/>
      <c r="N72" s="61"/>
      <c r="O72" s="61"/>
    </row>
    <row r="73" spans="1:28" ht="20.25" customHeight="1">
      <c r="A73" s="134"/>
      <c r="B73" s="292" t="str">
        <f>""&amp;Data!C5&amp;" - Discounted Cash Flow Valuation (continued)"</f>
        <v>Pfizer Inc - Discounted Cash Flow Valuation (continued)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7"/>
      <c r="Y73" s="7"/>
      <c r="Z73" s="7"/>
      <c r="AA73" s="7"/>
      <c r="AB73" s="7"/>
    </row>
    <row r="74" spans="1:28" ht="9.75" customHeight="1">
      <c r="B74" s="45"/>
    </row>
    <row r="75" spans="1:28" ht="20.25" customHeight="1">
      <c r="A75" s="134"/>
      <c r="B75" s="294" t="s">
        <v>139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7"/>
      <c r="Y75" s="7"/>
      <c r="Z75" s="7"/>
      <c r="AA75" s="7"/>
      <c r="AB75" s="7"/>
    </row>
    <row r="76" spans="1:28" ht="9.75" customHeight="1">
      <c r="B76" s="66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1:28" ht="15" customHeight="1">
      <c r="B77" s="5"/>
      <c r="C77" s="472" t="s">
        <v>115</v>
      </c>
      <c r="D77" s="466"/>
      <c r="E77" s="466"/>
      <c r="F77" s="466"/>
      <c r="G77" s="466"/>
      <c r="H77" s="466"/>
      <c r="I77" s="8"/>
      <c r="J77" s="472" t="s">
        <v>132</v>
      </c>
      <c r="K77" s="466"/>
      <c r="L77" s="466"/>
      <c r="M77" s="466"/>
      <c r="N77" s="466"/>
      <c r="O77" s="466"/>
      <c r="P77" s="465" t="s">
        <v>140</v>
      </c>
      <c r="Q77" s="466"/>
      <c r="R77" s="466"/>
      <c r="S77" s="466"/>
      <c r="T77" s="466"/>
      <c r="U77" s="8"/>
      <c r="V77" s="8"/>
      <c r="W77" s="472" t="s">
        <v>132</v>
      </c>
      <c r="X77" s="466"/>
      <c r="Y77" s="466"/>
      <c r="Z77" s="466"/>
      <c r="AA77" s="466"/>
      <c r="AB77" s="466"/>
    </row>
    <row r="78" spans="1:28" ht="15" customHeight="1">
      <c r="B78" s="5"/>
      <c r="C78" s="8"/>
      <c r="D78" s="465" t="s">
        <v>141</v>
      </c>
      <c r="E78" s="466"/>
      <c r="F78" s="466"/>
      <c r="G78" s="466"/>
      <c r="H78" s="466"/>
      <c r="I78" s="8"/>
      <c r="J78" s="8"/>
      <c r="K78" s="465" t="s">
        <v>141</v>
      </c>
      <c r="L78" s="466"/>
      <c r="M78" s="466"/>
      <c r="N78" s="466"/>
      <c r="O78" s="466"/>
      <c r="P78" s="466"/>
      <c r="Q78" s="466"/>
      <c r="R78" s="466"/>
      <c r="S78" s="466"/>
      <c r="T78" s="466"/>
      <c r="U78" s="8"/>
      <c r="V78" s="8"/>
      <c r="W78" s="8"/>
      <c r="X78" s="465" t="s">
        <v>141</v>
      </c>
      <c r="Y78" s="466"/>
      <c r="Z78" s="466"/>
      <c r="AA78" s="466"/>
      <c r="AB78" s="466"/>
    </row>
    <row r="79" spans="1:28" ht="15" customHeight="1">
      <c r="B79" s="5"/>
      <c r="C79" s="322">
        <f>+E56</f>
        <v>231884.36186431383</v>
      </c>
      <c r="D79" s="319">
        <f>+E79-0.5</f>
        <v>8</v>
      </c>
      <c r="E79" s="319">
        <f>+F79-0.5</f>
        <v>8.5</v>
      </c>
      <c r="F79" s="319">
        <v>9</v>
      </c>
      <c r="G79" s="319">
        <f>+F79+0.5</f>
        <v>9.5</v>
      </c>
      <c r="H79" s="319">
        <f>+G79+0.5</f>
        <v>10</v>
      </c>
      <c r="I79" s="43"/>
      <c r="J79" s="310">
        <f>E68</f>
        <v>214488.50910789112</v>
      </c>
      <c r="K79" s="319">
        <f>+L79-0.5</f>
        <v>8</v>
      </c>
      <c r="L79" s="319">
        <f>+M79-0.5</f>
        <v>8.5</v>
      </c>
      <c r="M79" s="319">
        <f>F79</f>
        <v>9</v>
      </c>
      <c r="N79" s="319">
        <f>+M79+0.5</f>
        <v>9.5</v>
      </c>
      <c r="O79" s="319">
        <f>+N79+0.5</f>
        <v>10</v>
      </c>
      <c r="P79" s="466"/>
      <c r="Q79" s="466"/>
      <c r="R79" s="466"/>
      <c r="S79" s="466"/>
      <c r="T79" s="466"/>
      <c r="U79" s="8"/>
      <c r="V79" s="43"/>
      <c r="W79" s="310">
        <f>R68</f>
        <v>0</v>
      </c>
      <c r="X79" s="319">
        <f>K79</f>
        <v>8</v>
      </c>
      <c r="Y79" s="319">
        <f>L79</f>
        <v>8.5</v>
      </c>
      <c r="Z79" s="319">
        <f>M79</f>
        <v>9</v>
      </c>
      <c r="AA79" s="319">
        <f>N79</f>
        <v>9.5</v>
      </c>
      <c r="AB79" s="319">
        <f>O79</f>
        <v>10</v>
      </c>
    </row>
    <row r="80" spans="1:28" ht="15" customHeight="1">
      <c r="B80" s="470" t="s">
        <v>126</v>
      </c>
      <c r="C80" s="323">
        <f>+C81-0.005</f>
        <v>6.0000000000000005E-2</v>
      </c>
      <c r="D80" s="324">
        <v>240057.60103635999</v>
      </c>
      <c r="E80" s="324">
        <v>250390.672981813</v>
      </c>
      <c r="F80" s="324">
        <v>260723.74492726699</v>
      </c>
      <c r="G80" s="324">
        <v>271056.81687272101</v>
      </c>
      <c r="H80" s="324">
        <v>281389.88881817402</v>
      </c>
      <c r="I80" s="470" t="s">
        <v>126</v>
      </c>
      <c r="J80" s="324">
        <f>+J81-0.005</f>
        <v>6.0000000000000005E-2</v>
      </c>
      <c r="K80" s="324">
        <v>222833.549776128</v>
      </c>
      <c r="L80" s="324">
        <v>233166.62172158199</v>
      </c>
      <c r="M80" s="324">
        <v>243499.693667035</v>
      </c>
      <c r="N80" s="324">
        <v>253832.76561248899</v>
      </c>
      <c r="O80" s="324">
        <v>264165.83755794301</v>
      </c>
      <c r="P80" s="466"/>
      <c r="Q80" s="466"/>
      <c r="R80" s="466"/>
      <c r="S80" s="466"/>
      <c r="T80" s="466"/>
      <c r="U80" s="54"/>
      <c r="V80" s="470" t="s">
        <v>126</v>
      </c>
      <c r="W80" s="324">
        <f>J80</f>
        <v>6.0000000000000005E-2</v>
      </c>
      <c r="X80" s="324">
        <f>(K80-Z82)/Z82</f>
        <v>-3.9280347691018132E-2</v>
      </c>
      <c r="Y80" s="324">
        <f>(L80-Z82)/Z82</f>
        <v>5.269430817171971E-3</v>
      </c>
      <c r="Z80" s="324">
        <f>(M80-Z82)/Z82</f>
        <v>4.9819209325357806E-2</v>
      </c>
      <c r="AA80" s="324">
        <f>(N80-Z82)/Z82</f>
        <v>9.4368987833547899E-2</v>
      </c>
      <c r="AB80" s="324">
        <f>(O80-Z82)/Z82</f>
        <v>0.13891876634173814</v>
      </c>
    </row>
    <row r="81" spans="2:28" ht="15" customHeight="1">
      <c r="B81" s="471"/>
      <c r="C81" s="303">
        <f>+C82-0.005</f>
        <v>6.5000000000000002E-2</v>
      </c>
      <c r="D81" s="310">
        <v>234764.891594079</v>
      </c>
      <c r="E81" s="310">
        <v>244841.74236510499</v>
      </c>
      <c r="F81" s="310">
        <v>254918.59313613101</v>
      </c>
      <c r="G81" s="310">
        <v>264995.44390715699</v>
      </c>
      <c r="H81" s="310">
        <v>275072.29467818298</v>
      </c>
      <c r="I81" s="471"/>
      <c r="J81" s="300">
        <f>+J82-0.005</f>
        <v>6.5000000000000002E-2</v>
      </c>
      <c r="K81" s="310">
        <v>217486.904779565</v>
      </c>
      <c r="L81" s="310">
        <v>227563.75555059101</v>
      </c>
      <c r="M81" s="310">
        <v>237640.606321617</v>
      </c>
      <c r="N81" s="310">
        <v>247717.45709264299</v>
      </c>
      <c r="O81" s="310">
        <v>257794.307863669</v>
      </c>
      <c r="P81" s="466"/>
      <c r="Q81" s="466"/>
      <c r="R81" s="466"/>
      <c r="S81" s="466"/>
      <c r="T81" s="466"/>
      <c r="U81" s="8"/>
      <c r="V81" s="471"/>
      <c r="W81" s="300">
        <f>J81</f>
        <v>6.5000000000000002E-2</v>
      </c>
      <c r="X81" s="300">
        <f>(K81-Z82)/Z82</f>
        <v>-6.2331755018496998E-2</v>
      </c>
      <c r="Y81" s="300">
        <f>(L81-Z82)/Z82</f>
        <v>-1.8886642831235458E-2</v>
      </c>
      <c r="Z81" s="300">
        <f>(M81-Z82)/Z82</f>
        <v>2.4558469356025962E-2</v>
      </c>
      <c r="AA81" s="300">
        <f>(N81-Z82)/Z82</f>
        <v>6.8003581543287381E-2</v>
      </c>
      <c r="AB81" s="300">
        <f>(O81-Z82)/Z82</f>
        <v>0.11144869373054893</v>
      </c>
    </row>
    <row r="82" spans="2:28" ht="15" customHeight="1">
      <c r="B82" s="471"/>
      <c r="C82" s="300">
        <v>7.0000000000000007E-2</v>
      </c>
      <c r="D82" s="310">
        <v>229619.96677517201</v>
      </c>
      <c r="E82" s="310">
        <v>239448.105471583</v>
      </c>
      <c r="F82" s="310">
        <v>249276.244167995</v>
      </c>
      <c r="G82" s="310">
        <v>259104.38286440601</v>
      </c>
      <c r="H82" s="310">
        <v>268932.52156081802</v>
      </c>
      <c r="I82" s="471"/>
      <c r="J82" s="300">
        <f>C82</f>
        <v>7.0000000000000007E-2</v>
      </c>
      <c r="K82" s="310">
        <v>212288.129324134</v>
      </c>
      <c r="L82" s="310">
        <v>222116.26802054499</v>
      </c>
      <c r="M82" s="310">
        <v>231944.40671695699</v>
      </c>
      <c r="N82" s="310">
        <v>241772.545413368</v>
      </c>
      <c r="O82" s="310">
        <v>251600.68410978001</v>
      </c>
      <c r="P82" s="466"/>
      <c r="Q82" s="466"/>
      <c r="R82" s="466"/>
      <c r="S82" s="466"/>
      <c r="T82" s="466"/>
      <c r="U82" s="8"/>
      <c r="V82" s="471"/>
      <c r="W82" s="300">
        <f>J82</f>
        <v>7.0000000000000007E-2</v>
      </c>
      <c r="X82" s="300">
        <f>(K82-Z82)/Z82</f>
        <v>-8.4745640867337879E-2</v>
      </c>
      <c r="Y82" s="300">
        <f>(L82-Z82)/Z82</f>
        <v>-4.2372820433671132E-2</v>
      </c>
      <c r="Z82" s="310">
        <f>M82</f>
        <v>231944.40671695699</v>
      </c>
      <c r="AA82" s="300">
        <f>(N82-Z82)/Z82</f>
        <v>4.2372820433666865E-2</v>
      </c>
      <c r="AB82" s="300">
        <f>(O82-Z82)/Z82</f>
        <v>8.4745640867338004E-2</v>
      </c>
    </row>
    <row r="83" spans="2:28" ht="15" customHeight="1">
      <c r="B83" s="471"/>
      <c r="C83" s="303">
        <f>+C82+0.005</f>
        <v>7.5000000000000011E-2</v>
      </c>
      <c r="D83" s="310">
        <v>224617.96552693399</v>
      </c>
      <c r="E83" s="310">
        <v>234204.64761841999</v>
      </c>
      <c r="F83" s="310">
        <v>243791.32970990599</v>
      </c>
      <c r="G83" s="310">
        <v>253378.011801391</v>
      </c>
      <c r="H83" s="310">
        <v>262964.69389287703</v>
      </c>
      <c r="I83" s="471"/>
      <c r="J83" s="300">
        <f>+J82+0.005</f>
        <v>7.5000000000000011E-2</v>
      </c>
      <c r="K83" s="310">
        <v>207232.36182755401</v>
      </c>
      <c r="L83" s="310">
        <v>216819.04391904001</v>
      </c>
      <c r="M83" s="310">
        <v>226405.72601052601</v>
      </c>
      <c r="N83" s="310">
        <v>235992.40810201201</v>
      </c>
      <c r="O83" s="310">
        <v>245579.09019349699</v>
      </c>
      <c r="P83" s="466"/>
      <c r="Q83" s="466"/>
      <c r="R83" s="466"/>
      <c r="S83" s="466"/>
      <c r="T83" s="466"/>
      <c r="U83" s="8"/>
      <c r="V83" s="471"/>
      <c r="W83" s="300">
        <f>J83</f>
        <v>7.5000000000000011E-2</v>
      </c>
      <c r="X83" s="300">
        <f>(K83-Z82)/Z82</f>
        <v>-0.10654296535617358</v>
      </c>
      <c r="Y83" s="300">
        <f>(L83-Z82)/Z82</f>
        <v>-6.5211155604086399E-2</v>
      </c>
      <c r="Z83" s="300">
        <f>(M83-Z82)/Z82</f>
        <v>-2.3879345851999204E-2</v>
      </c>
      <c r="AA83" s="300">
        <f>(N83-Z82)/Z82</f>
        <v>1.7452463900087985E-2</v>
      </c>
      <c r="AB83" s="300">
        <f>(O83-Z82)/Z82</f>
        <v>5.8784273652170781E-2</v>
      </c>
    </row>
    <row r="84" spans="2:28" ht="15" customHeight="1">
      <c r="B84" s="471"/>
      <c r="C84" s="303">
        <f>+C83+0.005</f>
        <v>8.0000000000000016E-2</v>
      </c>
      <c r="D84" s="310">
        <v>219754.20943462799</v>
      </c>
      <c r="E84" s="310">
        <v>229106.446450591</v>
      </c>
      <c r="F84" s="310">
        <v>238458.68346655299</v>
      </c>
      <c r="G84" s="310">
        <v>247810.92048251501</v>
      </c>
      <c r="H84" s="310">
        <v>257163.15749847799</v>
      </c>
      <c r="I84" s="471"/>
      <c r="J84" s="300">
        <f>+J83+0.005</f>
        <v>8.0000000000000016E-2</v>
      </c>
      <c r="K84" s="310">
        <v>202314.923351259</v>
      </c>
      <c r="L84" s="310">
        <v>211667.16036722201</v>
      </c>
      <c r="M84" s="310">
        <v>221019.397383184</v>
      </c>
      <c r="N84" s="310">
        <v>230371.63439914599</v>
      </c>
      <c r="O84" s="310">
        <v>239723.871415109</v>
      </c>
      <c r="P84" s="466"/>
      <c r="Q84" s="466"/>
      <c r="R84" s="466"/>
      <c r="S84" s="466"/>
      <c r="T84" s="466"/>
      <c r="U84" s="8"/>
      <c r="V84" s="471"/>
      <c r="W84" s="300">
        <f>J84</f>
        <v>8.0000000000000016E-2</v>
      </c>
      <c r="X84" s="300">
        <f>(K84-Z82)/Z82</f>
        <v>-0.12774390115755199</v>
      </c>
      <c r="Y84" s="300">
        <f>(L84-Z82)/Z82</f>
        <v>-8.7422872733807347E-2</v>
      </c>
      <c r="Z84" s="300">
        <f>(M84-Z82)/Z82</f>
        <v>-4.7101844310067108E-2</v>
      </c>
      <c r="AA84" s="300">
        <f>(N84-Z82)/Z82</f>
        <v>-6.7808158863268703E-3</v>
      </c>
      <c r="AB84" s="300">
        <f>(O84-Z82)/Z82</f>
        <v>3.3540212537417763E-2</v>
      </c>
    </row>
    <row r="85" spans="2:28" ht="9.75" customHeight="1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466"/>
      <c r="Q85" s="466"/>
      <c r="R85" s="466"/>
      <c r="S85" s="466"/>
      <c r="T85" s="466"/>
    </row>
    <row r="86" spans="2:28" ht="9.75" customHeight="1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466"/>
      <c r="Q86" s="466"/>
      <c r="R86" s="466"/>
      <c r="S86" s="466"/>
      <c r="T86" s="466"/>
    </row>
    <row r="87" spans="2:28" ht="15" customHeight="1">
      <c r="B87" s="5"/>
      <c r="C87" s="472" t="s">
        <v>142</v>
      </c>
      <c r="D87" s="466"/>
      <c r="E87" s="466"/>
      <c r="F87" s="466"/>
      <c r="G87" s="466"/>
      <c r="H87" s="466"/>
      <c r="I87" s="1"/>
      <c r="J87" s="472" t="s">
        <v>143</v>
      </c>
      <c r="K87" s="466"/>
      <c r="L87" s="466"/>
      <c r="M87" s="466"/>
      <c r="N87" s="466"/>
      <c r="O87" s="466"/>
      <c r="P87" s="466"/>
      <c r="Q87" s="466"/>
      <c r="R87" s="466"/>
      <c r="S87" s="466"/>
      <c r="T87" s="466"/>
      <c r="U87" s="8"/>
      <c r="V87" s="8"/>
      <c r="W87" s="8"/>
      <c r="X87" s="8"/>
      <c r="Y87" s="8"/>
      <c r="Z87" s="8"/>
      <c r="AA87" s="8"/>
      <c r="AB87" s="8"/>
    </row>
    <row r="88" spans="2:28" ht="15" customHeight="1">
      <c r="B88" s="5"/>
      <c r="C88" s="8"/>
      <c r="D88" s="465" t="s">
        <v>141</v>
      </c>
      <c r="E88" s="466"/>
      <c r="F88" s="466"/>
      <c r="G88" s="466"/>
      <c r="H88" s="466"/>
      <c r="I88" s="8"/>
      <c r="J88" s="8"/>
      <c r="K88" s="465" t="s">
        <v>141</v>
      </c>
      <c r="L88" s="466"/>
      <c r="M88" s="466"/>
      <c r="N88" s="466"/>
      <c r="O88" s="466"/>
      <c r="P88" s="466"/>
      <c r="Q88" s="466"/>
      <c r="R88" s="466"/>
      <c r="S88" s="466"/>
      <c r="T88" s="466"/>
      <c r="U88" s="8"/>
      <c r="V88" s="8"/>
      <c r="W88" s="8"/>
      <c r="X88" s="8"/>
      <c r="Y88" s="8"/>
      <c r="Z88" s="8"/>
      <c r="AA88" s="8"/>
      <c r="AB88" s="8"/>
    </row>
    <row r="89" spans="2:28" ht="15" customHeight="1">
      <c r="B89" s="5"/>
      <c r="C89" s="322">
        <f>E54</f>
        <v>0.74070765892574475</v>
      </c>
      <c r="D89" s="319">
        <f>+E89-0.5</f>
        <v>8</v>
      </c>
      <c r="E89" s="319">
        <f>+F89-0.5</f>
        <v>8.5</v>
      </c>
      <c r="F89" s="319">
        <f>F79</f>
        <v>9</v>
      </c>
      <c r="G89" s="319">
        <f>+F89+0.5</f>
        <v>9.5</v>
      </c>
      <c r="H89" s="319">
        <f>+G89+0.5</f>
        <v>10</v>
      </c>
      <c r="I89" s="8"/>
      <c r="J89" s="310">
        <f>E70</f>
        <v>38.194793648129973</v>
      </c>
      <c r="K89" s="319">
        <f>+L89-0.5</f>
        <v>8</v>
      </c>
      <c r="L89" s="319">
        <f>+M89-0.5</f>
        <v>8.5</v>
      </c>
      <c r="M89" s="319">
        <f>F79</f>
        <v>9</v>
      </c>
      <c r="N89" s="319">
        <f>+M89+0.5</f>
        <v>9.5</v>
      </c>
      <c r="O89" s="319">
        <f>+N89+0.5</f>
        <v>10</v>
      </c>
      <c r="P89" s="466"/>
      <c r="Q89" s="466"/>
      <c r="R89" s="466"/>
      <c r="S89" s="466"/>
      <c r="T89" s="466"/>
      <c r="U89" s="8"/>
      <c r="V89" s="8"/>
      <c r="W89" s="8"/>
      <c r="X89" s="8"/>
      <c r="Y89" s="8"/>
      <c r="Z89" s="8"/>
      <c r="AA89" s="8"/>
      <c r="AB89" s="8"/>
    </row>
    <row r="90" spans="2:28" ht="15" customHeight="1">
      <c r="B90" s="470" t="s">
        <v>126</v>
      </c>
      <c r="C90" s="323">
        <f>+C91-0.005</f>
        <v>6.0000000000000005E-2</v>
      </c>
      <c r="D90" s="324">
        <v>0.68870617057535699</v>
      </c>
      <c r="E90" s="324">
        <v>0.70155258173482604</v>
      </c>
      <c r="F90" s="324">
        <v>0.71338072821120202</v>
      </c>
      <c r="G90" s="324">
        <v>0.72430706310481197</v>
      </c>
      <c r="H90" s="324">
        <v>0.73443093416413097</v>
      </c>
      <c r="I90" s="470" t="s">
        <v>126</v>
      </c>
      <c r="J90" s="324">
        <f>+J91-0.005</f>
        <v>6.0000000000000005E-2</v>
      </c>
      <c r="K90" s="324">
        <v>39.680827131388703</v>
      </c>
      <c r="L90" s="324">
        <v>41.520876989301399</v>
      </c>
      <c r="M90" s="324">
        <v>43.360926847214103</v>
      </c>
      <c r="N90" s="324">
        <v>45.200976705126799</v>
      </c>
      <c r="O90" s="324">
        <v>47.041026563039502</v>
      </c>
      <c r="P90" s="466"/>
      <c r="Q90" s="466"/>
      <c r="R90" s="466"/>
      <c r="S90" s="466"/>
      <c r="T90" s="466"/>
      <c r="U90" s="54"/>
      <c r="V90" s="54"/>
      <c r="W90" s="54"/>
      <c r="X90" s="54"/>
      <c r="Y90" s="54"/>
      <c r="Z90" s="54"/>
      <c r="AA90" s="54"/>
      <c r="AB90" s="54"/>
    </row>
    <row r="91" spans="2:28" ht="15" customHeight="1">
      <c r="B91" s="471"/>
      <c r="C91" s="303">
        <f>+C92-0.005</f>
        <v>6.5000000000000002E-2</v>
      </c>
      <c r="D91" s="300">
        <v>0.68677054410329197</v>
      </c>
      <c r="E91" s="300">
        <v>0.699661999839847</v>
      </c>
      <c r="F91" s="300">
        <v>0.71153426530016195</v>
      </c>
      <c r="G91" s="300">
        <v>0.72250360921893197</v>
      </c>
      <c r="H91" s="300">
        <v>0.73266926302521795</v>
      </c>
      <c r="I91" s="471"/>
      <c r="J91" s="300">
        <f>+J92-0.005</f>
        <v>6.5000000000000002E-2</v>
      </c>
      <c r="K91" s="310">
        <v>38.728729495935298</v>
      </c>
      <c r="L91" s="310">
        <v>40.523153064000397</v>
      </c>
      <c r="M91" s="310">
        <v>42.317576632065403</v>
      </c>
      <c r="N91" s="310">
        <v>44.112000200130502</v>
      </c>
      <c r="O91" s="310">
        <v>45.906423768195602</v>
      </c>
      <c r="P91" s="466"/>
      <c r="Q91" s="466"/>
      <c r="R91" s="466"/>
      <c r="S91" s="466"/>
      <c r="T91" s="466"/>
      <c r="U91" s="8"/>
      <c r="V91" s="8"/>
      <c r="W91" s="8"/>
      <c r="X91" s="8"/>
      <c r="Y91" s="8"/>
      <c r="Z91" s="8"/>
      <c r="AA91" s="8"/>
      <c r="AB91" s="8"/>
    </row>
    <row r="92" spans="2:28" ht="15" customHeight="1">
      <c r="B92" s="471"/>
      <c r="C92" s="303">
        <f>C82</f>
        <v>7.0000000000000007E-2</v>
      </c>
      <c r="D92" s="300">
        <v>0.68482815911454697</v>
      </c>
      <c r="E92" s="300">
        <v>0.69776437575040295</v>
      </c>
      <c r="F92" s="300">
        <v>0.70968052782512603</v>
      </c>
      <c r="G92" s="300">
        <v>0.72069269213998699</v>
      </c>
      <c r="H92" s="300">
        <v>0.73089997738997403</v>
      </c>
      <c r="I92" s="471"/>
      <c r="J92" s="300">
        <f>C82</f>
        <v>7.0000000000000007E-2</v>
      </c>
      <c r="K92" s="310">
        <v>37.802963558314502</v>
      </c>
      <c r="L92" s="310">
        <v>39.553098010812498</v>
      </c>
      <c r="M92" s="310">
        <v>41.303232463310401</v>
      </c>
      <c r="N92" s="310">
        <v>43.053366915808397</v>
      </c>
      <c r="O92" s="310">
        <v>44.8035013683063</v>
      </c>
      <c r="P92" s="466"/>
      <c r="Q92" s="466"/>
      <c r="R92" s="466"/>
      <c r="S92" s="466"/>
      <c r="T92" s="466"/>
      <c r="U92" s="8"/>
      <c r="V92" s="8"/>
      <c r="W92" s="8"/>
      <c r="X92" s="8"/>
      <c r="Y92" s="8"/>
      <c r="Z92" s="8"/>
      <c r="AA92" s="8"/>
      <c r="AB92" s="8"/>
    </row>
    <row r="93" spans="2:28" ht="15" customHeight="1">
      <c r="B93" s="471"/>
      <c r="C93" s="303">
        <f>+C92+0.005</f>
        <v>7.5000000000000011E-2</v>
      </c>
      <c r="D93" s="300">
        <v>0.68287909697668603</v>
      </c>
      <c r="E93" s="300">
        <v>0.69585978422078598</v>
      </c>
      <c r="F93" s="300">
        <v>0.70781958428168601</v>
      </c>
      <c r="G93" s="300">
        <v>0.71887437447020897</v>
      </c>
      <c r="H93" s="300">
        <v>0.72912313433156895</v>
      </c>
      <c r="I93" s="471"/>
      <c r="J93" s="300">
        <f>+J92+0.005</f>
        <v>7.5000000000000011E-2</v>
      </c>
      <c r="K93" s="310">
        <v>36.902663597874003</v>
      </c>
      <c r="L93" s="310">
        <v>38.609800944193701</v>
      </c>
      <c r="M93" s="310">
        <v>40.316938290513498</v>
      </c>
      <c r="N93" s="310">
        <v>42.024075636833203</v>
      </c>
      <c r="O93" s="310">
        <v>43.731212983153</v>
      </c>
      <c r="P93" s="466"/>
      <c r="Q93" s="466"/>
      <c r="R93" s="466"/>
      <c r="S93" s="466"/>
      <c r="T93" s="466"/>
      <c r="U93" s="8"/>
      <c r="V93" s="8"/>
      <c r="W93" s="8"/>
      <c r="X93" s="8"/>
      <c r="Y93" s="8"/>
      <c r="Z93" s="8"/>
      <c r="AA93" s="8"/>
      <c r="AB93" s="8"/>
    </row>
    <row r="94" spans="2:28" ht="15" customHeight="1">
      <c r="B94" s="471"/>
      <c r="C94" s="303">
        <f>+C93+0.005</f>
        <v>8.0000000000000016E-2</v>
      </c>
      <c r="D94" s="300">
        <v>0.68092344005774896</v>
      </c>
      <c r="E94" s="300">
        <v>0.69394830103852201</v>
      </c>
      <c r="F94" s="300">
        <v>0.70595150421911501</v>
      </c>
      <c r="G94" s="300">
        <v>0.71704871987601804</v>
      </c>
      <c r="H94" s="300">
        <v>0.72733879198988605</v>
      </c>
      <c r="I94" s="471"/>
      <c r="J94" s="300">
        <f>+J93+0.005</f>
        <v>8.0000000000000016E-2</v>
      </c>
      <c r="K94" s="310">
        <v>36.026996418029903</v>
      </c>
      <c r="L94" s="310">
        <v>37.692385228175503</v>
      </c>
      <c r="M94" s="310">
        <v>39.357774038321097</v>
      </c>
      <c r="N94" s="310">
        <v>41.023162848466598</v>
      </c>
      <c r="O94" s="310">
        <v>42.688551658612198</v>
      </c>
      <c r="P94" s="466"/>
      <c r="Q94" s="466"/>
      <c r="R94" s="466"/>
      <c r="S94" s="466"/>
      <c r="T94" s="466"/>
      <c r="U94" s="8"/>
      <c r="V94" s="8"/>
      <c r="W94" s="8"/>
      <c r="X94" s="8"/>
      <c r="Y94" s="8"/>
      <c r="Z94" s="8"/>
      <c r="AA94" s="8"/>
      <c r="AB94" s="8"/>
    </row>
    <row r="95" spans="2:28" ht="9.75" customHeight="1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466"/>
      <c r="Q95" s="466"/>
      <c r="R95" s="466"/>
      <c r="S95" s="466"/>
      <c r="T95" s="466"/>
    </row>
    <row r="96" spans="2:28" ht="9.75" customHeight="1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466"/>
      <c r="Q96" s="466"/>
      <c r="R96" s="466"/>
      <c r="S96" s="466"/>
      <c r="T96" s="466"/>
    </row>
    <row r="97" spans="1:28" ht="15" customHeight="1">
      <c r="B97" s="5"/>
      <c r="C97" s="472" t="s">
        <v>130</v>
      </c>
      <c r="D97" s="466"/>
      <c r="E97" s="466"/>
      <c r="F97" s="466"/>
      <c r="G97" s="466"/>
      <c r="H97" s="466"/>
      <c r="I97" s="8"/>
      <c r="J97" s="475" t="str">
        <f>"Implied "&amp;YEAR(C5)&amp;" EV/EBITDA"</f>
        <v>Implied 2022 EV/EBITDA</v>
      </c>
      <c r="K97" s="466"/>
      <c r="L97" s="466"/>
      <c r="M97" s="466"/>
      <c r="N97" s="466"/>
      <c r="O97" s="466"/>
      <c r="P97" s="466"/>
      <c r="Q97" s="466"/>
      <c r="R97" s="466"/>
      <c r="S97" s="466"/>
      <c r="T97" s="466"/>
      <c r="U97" s="8"/>
      <c r="V97" s="8"/>
      <c r="W97" s="8"/>
      <c r="X97" s="8"/>
      <c r="Y97" s="8"/>
      <c r="Z97" s="8"/>
      <c r="AA97" s="8"/>
      <c r="AB97" s="8"/>
    </row>
    <row r="98" spans="1:28" ht="15" customHeight="1">
      <c r="B98" s="5"/>
      <c r="C98" s="8"/>
      <c r="D98" s="465" t="s">
        <v>141</v>
      </c>
      <c r="E98" s="466"/>
      <c r="F98" s="466"/>
      <c r="G98" s="466"/>
      <c r="H98" s="466"/>
      <c r="I98" s="8"/>
      <c r="J98" s="8"/>
      <c r="K98" s="465" t="s">
        <v>141</v>
      </c>
      <c r="L98" s="466"/>
      <c r="M98" s="466"/>
      <c r="N98" s="466"/>
      <c r="O98" s="466"/>
      <c r="P98" s="466"/>
      <c r="Q98" s="466"/>
      <c r="R98" s="466"/>
      <c r="S98" s="466"/>
      <c r="T98" s="466"/>
      <c r="U98" s="8"/>
      <c r="V98" s="8"/>
      <c r="W98" s="8"/>
      <c r="X98" s="8"/>
      <c r="Y98" s="8"/>
      <c r="Z98" s="8"/>
      <c r="AA98" s="8"/>
      <c r="AB98" s="8"/>
    </row>
    <row r="99" spans="1:28" ht="15" customHeight="1">
      <c r="B99" s="5"/>
      <c r="C99" s="322">
        <f>J63</f>
        <v>-6.2357851352288149E-3</v>
      </c>
      <c r="D99" s="319">
        <f>+E99-0.5</f>
        <v>8</v>
      </c>
      <c r="E99" s="319">
        <f>+F99-0.5</f>
        <v>8.5</v>
      </c>
      <c r="F99" s="319">
        <f>F79</f>
        <v>9</v>
      </c>
      <c r="G99" s="319">
        <f>+F99+0.5</f>
        <v>9.5</v>
      </c>
      <c r="H99" s="319">
        <f>+G99+0.5</f>
        <v>10</v>
      </c>
      <c r="I99" s="8"/>
      <c r="J99" s="310">
        <f>J68</f>
        <v>5.4282589442302491</v>
      </c>
      <c r="K99" s="319">
        <f>+L99-0.5</f>
        <v>8</v>
      </c>
      <c r="L99" s="319">
        <f>+M99-0.5</f>
        <v>8.5</v>
      </c>
      <c r="M99" s="319">
        <f>F79</f>
        <v>9</v>
      </c>
      <c r="N99" s="319">
        <f>+M99+0.5</f>
        <v>9.5</v>
      </c>
      <c r="O99" s="319">
        <f>+N99+0.5</f>
        <v>10</v>
      </c>
      <c r="P99" s="466"/>
      <c r="Q99" s="466"/>
      <c r="R99" s="466"/>
      <c r="S99" s="466"/>
      <c r="T99" s="466"/>
      <c r="U99" s="8"/>
      <c r="V99" s="8"/>
      <c r="W99" s="8"/>
      <c r="X99" s="8"/>
      <c r="Y99" s="8"/>
      <c r="Z99" s="8"/>
      <c r="AA99" s="8"/>
      <c r="AB99" s="8"/>
    </row>
    <row r="100" spans="1:28" ht="15" customHeight="1">
      <c r="B100" s="470" t="s">
        <v>126</v>
      </c>
      <c r="C100" s="323">
        <f>+C101-0.005</f>
        <v>6.0000000000000005E-2</v>
      </c>
      <c r="D100" s="324">
        <v>-3.4436225017135301E-2</v>
      </c>
      <c r="E100" s="324">
        <v>-2.9349400464931601E-2</v>
      </c>
      <c r="F100" s="324">
        <v>-2.47825717154464E-2</v>
      </c>
      <c r="G100" s="324">
        <v>-2.0659881854448899E-2</v>
      </c>
      <c r="H100" s="324">
        <v>-1.6919544429934801E-2</v>
      </c>
      <c r="I100" s="470" t="s">
        <v>126</v>
      </c>
      <c r="J100" s="324">
        <f>+J101-0.005</f>
        <v>6.0000000000000005E-2</v>
      </c>
      <c r="K100" s="326">
        <v>5.6756417015481704</v>
      </c>
      <c r="L100" s="326">
        <v>5.9199447929126103</v>
      </c>
      <c r="M100" s="326">
        <v>6.1642478842770503</v>
      </c>
      <c r="N100" s="326">
        <v>6.4085509756414902</v>
      </c>
      <c r="O100" s="326">
        <v>6.6528540670059302</v>
      </c>
      <c r="P100" s="466"/>
      <c r="Q100" s="466"/>
      <c r="R100" s="466"/>
      <c r="S100" s="466"/>
      <c r="T100" s="466"/>
      <c r="U100" s="54"/>
      <c r="V100" s="54"/>
      <c r="W100" s="54"/>
      <c r="X100" s="54"/>
      <c r="Y100" s="54"/>
      <c r="Z100" s="54"/>
      <c r="AA100" s="54"/>
      <c r="AB100" s="54"/>
    </row>
    <row r="101" spans="1:28" ht="15" customHeight="1">
      <c r="B101" s="471"/>
      <c r="C101" s="303">
        <f>+C102-0.005</f>
        <v>6.5000000000000002E-2</v>
      </c>
      <c r="D101" s="300">
        <v>-2.9881678908725499E-2</v>
      </c>
      <c r="E101" s="300">
        <v>-2.4770859901086899E-2</v>
      </c>
      <c r="F101" s="300">
        <v>-2.0182489506556999E-2</v>
      </c>
      <c r="G101" s="300">
        <v>-1.60403529952718E-2</v>
      </c>
      <c r="H101" s="300">
        <v>-1.2282372469698599E-2</v>
      </c>
      <c r="I101" s="471"/>
      <c r="J101" s="300">
        <f>+J102-0.005</f>
        <v>6.5000000000000002E-2</v>
      </c>
      <c r="K101" s="319">
        <v>5.5331804050597997</v>
      </c>
      <c r="L101" s="319">
        <v>5.7706819873975901</v>
      </c>
      <c r="M101" s="319">
        <v>6.0081835697353796</v>
      </c>
      <c r="N101" s="319">
        <v>6.24568515207317</v>
      </c>
      <c r="O101" s="319">
        <v>6.4831867344109497</v>
      </c>
      <c r="P101" s="466"/>
      <c r="Q101" s="466"/>
      <c r="R101" s="466"/>
      <c r="S101" s="466"/>
      <c r="T101" s="466"/>
      <c r="U101" s="8"/>
      <c r="V101" s="8"/>
      <c r="W101" s="8"/>
      <c r="X101" s="8"/>
      <c r="Y101" s="8"/>
      <c r="Z101" s="8"/>
      <c r="AA101" s="8"/>
      <c r="AB101" s="8"/>
    </row>
    <row r="102" spans="1:28" ht="15" customHeight="1">
      <c r="B102" s="471"/>
      <c r="C102" s="303">
        <f>C82</f>
        <v>7.0000000000000007E-2</v>
      </c>
      <c r="D102" s="300">
        <v>-2.5327132800315798E-2</v>
      </c>
      <c r="E102" s="300">
        <v>-2.01923193372422E-2</v>
      </c>
      <c r="F102" s="300">
        <v>-1.55824072976676E-2</v>
      </c>
      <c r="G102" s="300">
        <v>-1.14208241360946E-2</v>
      </c>
      <c r="H102" s="300">
        <v>-7.64520050946247E-3</v>
      </c>
      <c r="I102" s="471"/>
      <c r="J102" s="300">
        <f>C82</f>
        <v>7.0000000000000007E-2</v>
      </c>
      <c r="K102" s="319">
        <v>5.3951044989146899</v>
      </c>
      <c r="L102" s="319">
        <v>5.6260244665535799</v>
      </c>
      <c r="M102" s="319">
        <v>5.8569444341924797</v>
      </c>
      <c r="N102" s="319">
        <v>6.0878644018313803</v>
      </c>
      <c r="O102" s="319">
        <v>6.3187843694702703</v>
      </c>
      <c r="P102" s="466"/>
      <c r="Q102" s="466"/>
      <c r="R102" s="466"/>
      <c r="S102" s="466"/>
      <c r="T102" s="466"/>
      <c r="U102" s="8"/>
      <c r="V102" s="8"/>
      <c r="W102" s="8"/>
      <c r="X102" s="8"/>
      <c r="Y102" s="8"/>
      <c r="Z102" s="8"/>
      <c r="AA102" s="8"/>
      <c r="AB102" s="8"/>
    </row>
    <row r="103" spans="1:28" ht="15" customHeight="1">
      <c r="B103" s="471"/>
      <c r="C103" s="303">
        <f>+C102+0.005</f>
        <v>7.5000000000000011E-2</v>
      </c>
      <c r="D103" s="300">
        <v>-2.0772586691906E-2</v>
      </c>
      <c r="E103" s="300">
        <v>-1.5613778773397501E-2</v>
      </c>
      <c r="F103" s="300">
        <v>-1.0982325088778101E-2</v>
      </c>
      <c r="G103" s="300">
        <v>-6.8012952769175104E-3</v>
      </c>
      <c r="H103" s="300">
        <v>-3.0080285492263101E-3</v>
      </c>
      <c r="I103" s="471"/>
      <c r="J103" s="300">
        <f>+J102+0.005</f>
        <v>7.5000000000000011E-2</v>
      </c>
      <c r="K103" s="319">
        <v>5.2612571882269803</v>
      </c>
      <c r="L103" s="319">
        <v>5.4858073480806402</v>
      </c>
      <c r="M103" s="319">
        <v>5.7103575079343001</v>
      </c>
      <c r="N103" s="319">
        <v>5.93490766778796</v>
      </c>
      <c r="O103" s="319">
        <v>6.1594578276416199</v>
      </c>
      <c r="P103" s="466"/>
      <c r="Q103" s="466"/>
      <c r="R103" s="466"/>
      <c r="S103" s="466"/>
      <c r="T103" s="466"/>
      <c r="U103" s="8"/>
      <c r="V103" s="8"/>
      <c r="W103" s="8"/>
      <c r="X103" s="8"/>
      <c r="Y103" s="8"/>
      <c r="Z103" s="8"/>
      <c r="AA103" s="8"/>
      <c r="AB103" s="8"/>
    </row>
    <row r="104" spans="1:28" ht="15" customHeight="1">
      <c r="B104" s="471"/>
      <c r="C104" s="303">
        <f>+C103+0.005</f>
        <v>8.0000000000000016E-2</v>
      </c>
      <c r="D104" s="300">
        <v>-1.6218040583496299E-2</v>
      </c>
      <c r="E104" s="300">
        <v>-1.10352382095529E-2</v>
      </c>
      <c r="F104" s="300">
        <v>-6.3822428798887302E-3</v>
      </c>
      <c r="G104" s="300">
        <v>-2.18176641774038E-3</v>
      </c>
      <c r="H104" s="300">
        <v>1.6291434110098501E-3</v>
      </c>
      <c r="I104" s="471"/>
      <c r="J104" s="300">
        <f>+J103+0.005</f>
        <v>8.0000000000000016E-2</v>
      </c>
      <c r="K104" s="319">
        <v>5.1314880190298604</v>
      </c>
      <c r="L104" s="319">
        <v>5.3498724236881703</v>
      </c>
      <c r="M104" s="319">
        <v>5.5682568283464802</v>
      </c>
      <c r="N104" s="319">
        <v>5.7866412330047901</v>
      </c>
      <c r="O104" s="319">
        <v>6.0050256376630999</v>
      </c>
      <c r="P104" s="466"/>
      <c r="Q104" s="466"/>
      <c r="R104" s="466"/>
      <c r="S104" s="466"/>
      <c r="T104" s="466"/>
      <c r="U104" s="8"/>
      <c r="V104" s="8"/>
      <c r="W104" s="8"/>
      <c r="X104" s="8"/>
      <c r="Y104" s="8"/>
      <c r="Z104" s="8"/>
      <c r="AA104" s="8"/>
      <c r="AB104" s="8"/>
    </row>
    <row r="105" spans="1:28" ht="9.75" customHeight="1">
      <c r="B105" s="69"/>
      <c r="C105" s="70"/>
      <c r="D105" s="71"/>
      <c r="E105" s="71"/>
      <c r="F105" s="71"/>
      <c r="G105" s="71"/>
      <c r="H105" s="71"/>
      <c r="I105" s="72"/>
      <c r="J105" s="72"/>
      <c r="K105" s="72"/>
      <c r="L105" s="72"/>
      <c r="M105" s="72"/>
      <c r="N105" s="72"/>
      <c r="O105" s="72"/>
    </row>
    <row r="106" spans="1:28" ht="9.75" customHeight="1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61"/>
    </row>
    <row r="107" spans="1:28" ht="20.25" customHeight="1">
      <c r="A107" s="134"/>
      <c r="B107" s="292" t="str">
        <f>""&amp;Data!C5&amp;" - Discounted Cash Flow Valuation (continued)"</f>
        <v>Pfizer Inc - Discounted Cash Flow Valuation (continued)</v>
      </c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7"/>
      <c r="Y107" s="7"/>
      <c r="Z107" s="7"/>
      <c r="AA107" s="7"/>
      <c r="AB107" s="7"/>
    </row>
    <row r="108" spans="1:28" ht="9.75" customHeight="1"/>
    <row r="109" spans="1:28" ht="15" customHeight="1">
      <c r="B109" s="294" t="s">
        <v>144</v>
      </c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294" t="s">
        <v>145</v>
      </c>
      <c r="N109" s="161"/>
      <c r="O109" s="294" t="s">
        <v>146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" customHeight="1">
      <c r="B110" s="5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92" t="s">
        <v>147</v>
      </c>
      <c r="N110" s="8"/>
      <c r="O110" s="292" t="s">
        <v>148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" customHeight="1">
      <c r="B111" s="164"/>
      <c r="C111" s="296">
        <f t="shared" ref="C111:O111" si="27">C11</f>
        <v>43100</v>
      </c>
      <c r="D111" s="296">
        <f t="shared" si="27"/>
        <v>43465</v>
      </c>
      <c r="E111" s="296">
        <f t="shared" si="27"/>
        <v>43830</v>
      </c>
      <c r="F111" s="296">
        <f t="shared" si="27"/>
        <v>44196</v>
      </c>
      <c r="G111" s="296">
        <f t="shared" si="27"/>
        <v>44561</v>
      </c>
      <c r="H111" s="296">
        <f t="shared" si="27"/>
        <v>44926</v>
      </c>
      <c r="I111" s="296">
        <f t="shared" si="27"/>
        <v>45291</v>
      </c>
      <c r="J111" s="296">
        <f t="shared" si="27"/>
        <v>45657</v>
      </c>
      <c r="K111" s="296">
        <f t="shared" si="27"/>
        <v>46022</v>
      </c>
      <c r="L111" s="296">
        <f t="shared" si="27"/>
        <v>46387</v>
      </c>
      <c r="M111" s="296">
        <f t="shared" si="27"/>
        <v>46752</v>
      </c>
      <c r="N111" s="296">
        <f t="shared" si="27"/>
        <v>47118</v>
      </c>
      <c r="O111" s="296">
        <f t="shared" si="27"/>
        <v>47483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" customHeight="1">
      <c r="B112" s="292" t="s">
        <v>149</v>
      </c>
      <c r="C112" s="73"/>
      <c r="D112" s="300">
        <f>IF(ISERROR(D12/C12-1),0,D12/C12-1)</f>
        <v>2.0953069691318049E-2</v>
      </c>
      <c r="E112" s="300">
        <f>IF(ISERROR(E12/D12-1),0,E12/D12-1)</f>
        <v>-0.23751561131097731</v>
      </c>
      <c r="F112" s="300">
        <f>IF(ISERROR(F12/E12-1),0,F12/E12-1)</f>
        <v>1.8237379293484901E-2</v>
      </c>
      <c r="G112" s="300">
        <f>IF(ISERROR(G12/F12-1),0,G12/F12-1)</f>
        <v>0.95164581882787935</v>
      </c>
      <c r="H112" s="300">
        <f>IF(ISERROR(H12/G12-1),0,H12/G12-1)</f>
        <v>0.23425351835449271</v>
      </c>
      <c r="I112" s="327">
        <f>'Executive Summary'!$F$25</f>
        <v>-0.35</v>
      </c>
      <c r="J112" s="327">
        <f>'Executive Summary'!$F$26</f>
        <v>0.05</v>
      </c>
      <c r="K112" s="327">
        <f>'Executive Summary'!$F$27</f>
        <v>0.03</v>
      </c>
      <c r="L112" s="327">
        <f>'Executive Summary'!$F$27</f>
        <v>0.03</v>
      </c>
      <c r="M112" s="327">
        <f>'Executive Summary'!$F$27</f>
        <v>0.03</v>
      </c>
      <c r="N112" s="327">
        <f>'Executive Summary'!$F$27</f>
        <v>0.03</v>
      </c>
      <c r="O112" s="327">
        <f>'Executive Summary'!$F$27</f>
        <v>0.03</v>
      </c>
      <c r="P112" s="465" t="s">
        <v>150</v>
      </c>
      <c r="Q112" s="466"/>
      <c r="R112" s="466"/>
      <c r="S112" s="466"/>
      <c r="T112" s="466"/>
      <c r="U112" s="8"/>
      <c r="V112" s="8"/>
      <c r="W112" s="8"/>
      <c r="X112" s="8"/>
      <c r="Y112" s="8"/>
      <c r="Z112" s="8"/>
      <c r="AA112" s="8"/>
      <c r="AB112" s="8"/>
    </row>
    <row r="113" spans="2:28" ht="15" customHeight="1">
      <c r="B113" s="292" t="s">
        <v>151</v>
      </c>
      <c r="C113" s="303">
        <f t="shared" ref="C113:H113" si="28">0-IF(ISERROR(C14/C12),0,C14/C12)</f>
        <v>0.21367944277395046</v>
      </c>
      <c r="D113" s="300">
        <f t="shared" si="28"/>
        <v>0.20966689656457957</v>
      </c>
      <c r="E113" s="300">
        <f t="shared" si="28"/>
        <v>0.19689524508006356</v>
      </c>
      <c r="F113" s="300">
        <f t="shared" si="28"/>
        <v>0.20369258841324339</v>
      </c>
      <c r="G113" s="300">
        <f t="shared" si="28"/>
        <v>0.37915805530951679</v>
      </c>
      <c r="H113" s="300">
        <f t="shared" si="28"/>
        <v>0.34231037575999201</v>
      </c>
      <c r="I113" s="327">
        <f>'Executive Summary'!$K$18</f>
        <v>0.36</v>
      </c>
      <c r="J113" s="327">
        <f>'Executive Summary'!$K$18+(0.166666666666666)*('Executive Summary'!$L$18-'Executive Summary'!$K$18)</f>
        <v>0.35000000000000003</v>
      </c>
      <c r="K113" s="327">
        <f>'Executive Summary'!$K$18+(0.333333333333333)*('Executive Summary'!$L$18-'Executive Summary'!$K$18)</f>
        <v>0.34</v>
      </c>
      <c r="L113" s="327">
        <f>'Executive Summary'!$K$18+(0.5)*('Executive Summary'!$L$18-'Executive Summary'!$K$18)</f>
        <v>0.32999999999999996</v>
      </c>
      <c r="M113" s="327">
        <f>'Executive Summary'!$K$18+(0.666666666666666)*('Executive Summary'!$L$18-'Executive Summary'!$K$18)</f>
        <v>0.32</v>
      </c>
      <c r="N113" s="327">
        <f>'Executive Summary'!$K$18+(0.833333333333333)*('Executive Summary'!$L$18-'Executive Summary'!$K$18)</f>
        <v>0.31</v>
      </c>
      <c r="O113" s="327">
        <f>'Executive Summary'!$L$18</f>
        <v>0.3</v>
      </c>
      <c r="P113" s="466"/>
      <c r="Q113" s="466"/>
      <c r="R113" s="466"/>
      <c r="S113" s="466"/>
      <c r="T113" s="466"/>
      <c r="U113" s="8"/>
      <c r="V113" s="8"/>
      <c r="W113" s="8"/>
      <c r="X113" s="8"/>
      <c r="Y113" s="8"/>
      <c r="Z113" s="8"/>
      <c r="AA113" s="8"/>
      <c r="AB113" s="8"/>
    </row>
    <row r="114" spans="2:28" ht="15" customHeight="1">
      <c r="B114" s="292" t="s">
        <v>152</v>
      </c>
      <c r="C114" s="303">
        <f t="shared" ref="C114:H114" si="29">0-IF(ISERROR(C17/C12),0,C17/C12)</f>
        <v>0</v>
      </c>
      <c r="D114" s="300">
        <f t="shared" si="29"/>
        <v>0</v>
      </c>
      <c r="E114" s="300">
        <f t="shared" si="29"/>
        <v>9.1920303141425248E-3</v>
      </c>
      <c r="F114" s="300">
        <f t="shared" si="29"/>
        <v>9.4115387385657005E-3</v>
      </c>
      <c r="G114" s="300">
        <f t="shared" si="29"/>
        <v>6.2370829642751698E-3</v>
      </c>
      <c r="H114" s="300">
        <f t="shared" si="29"/>
        <v>6.7975680255157982E-3</v>
      </c>
      <c r="I114" s="327">
        <f>'Executive Summary'!$K$19</f>
        <v>8.9999999999999993E-3</v>
      </c>
      <c r="J114" s="327">
        <f>'Executive Summary'!$K$19+(0.166666666666666)*('Executive Summary'!$L$19-'Executive Summary'!$K$19)</f>
        <v>8.3833333333333346E-3</v>
      </c>
      <c r="K114" s="327">
        <f>'Executive Summary'!$K$19+(0.333333333333333)*('Executive Summary'!$L$19-'Executive Summary'!$K$19)</f>
        <v>7.7666666666666674E-3</v>
      </c>
      <c r="L114" s="327">
        <f>'Executive Summary'!$K$19+(0.5)*('Executive Summary'!$L$19-'Executive Summary'!$K$19)</f>
        <v>7.1500000000000001E-3</v>
      </c>
      <c r="M114" s="327">
        <f>'Executive Summary'!$K$19+(0.666666666666666)*('Executive Summary'!$L$19-'Executive Summary'!$K$19)</f>
        <v>6.5333333333333354E-3</v>
      </c>
      <c r="N114" s="327">
        <f>'Executive Summary'!$K$19+(0.833333333333333)*('Executive Summary'!$L$19-'Executive Summary'!$K$19)</f>
        <v>5.9166666666666673E-3</v>
      </c>
      <c r="O114" s="327">
        <f>'Executive Summary'!$L$19</f>
        <v>5.3E-3</v>
      </c>
      <c r="P114" s="466"/>
      <c r="Q114" s="466"/>
      <c r="R114" s="466"/>
      <c r="S114" s="466"/>
      <c r="T114" s="466"/>
      <c r="U114" s="8"/>
      <c r="V114" s="8"/>
      <c r="W114" s="8"/>
      <c r="X114" s="8"/>
      <c r="Y114" s="8"/>
      <c r="Z114" s="8"/>
      <c r="AA114" s="8"/>
      <c r="AB114" s="8"/>
    </row>
    <row r="115" spans="2:28" ht="15" customHeight="1">
      <c r="B115" s="292" t="s">
        <v>153</v>
      </c>
      <c r="C115" s="303">
        <f t="shared" ref="C115:H115" si="30">0-IF(ISERROR(C18/C12),0,C18/C12)</f>
        <v>0.40587294941575003</v>
      </c>
      <c r="D115" s="300">
        <f t="shared" si="30"/>
        <v>0.41034913415475238</v>
      </c>
      <c r="E115" s="300">
        <f t="shared" si="30"/>
        <v>0.30018335166850019</v>
      </c>
      <c r="F115" s="300">
        <f t="shared" si="30"/>
        <v>-0.1123862572327195</v>
      </c>
      <c r="G115" s="300">
        <f t="shared" si="30"/>
        <v>0.31791900403503592</v>
      </c>
      <c r="H115" s="300">
        <f t="shared" si="30"/>
        <v>0.25892554569919268</v>
      </c>
      <c r="I115" s="327">
        <f>'Executive Summary'!$K$20</f>
        <v>0.4</v>
      </c>
      <c r="J115" s="327">
        <f>'Executive Summary'!$K$20+(0.166666666666666)*('Executive Summary'!$L$20-'Executive Summary'!$K$20)</f>
        <v>0.39166666666666672</v>
      </c>
      <c r="K115" s="327">
        <f>'Executive Summary'!$K$20+(0.333333333333333)*('Executive Summary'!$L$20-'Executive Summary'!$K$20)</f>
        <v>0.38333333333333336</v>
      </c>
      <c r="L115" s="327">
        <f>'Executive Summary'!$K$20+(0.5)*('Executive Summary'!$L$20-'Executive Summary'!$K$20)</f>
        <v>0.375</v>
      </c>
      <c r="M115" s="327">
        <f>'Executive Summary'!$K$20+(0.666666666666666)*('Executive Summary'!$L$20-'Executive Summary'!$K$20)</f>
        <v>0.3666666666666667</v>
      </c>
      <c r="N115" s="327">
        <f>'Executive Summary'!$K$20+(0.833333333333333)*('Executive Summary'!$L$20-'Executive Summary'!$K$20)</f>
        <v>0.35833333333333334</v>
      </c>
      <c r="O115" s="327">
        <f>'Executive Summary'!$L$20</f>
        <v>0.35</v>
      </c>
      <c r="P115" s="466"/>
      <c r="Q115" s="466"/>
      <c r="R115" s="466"/>
      <c r="S115" s="466"/>
      <c r="T115" s="466"/>
      <c r="U115" s="8"/>
      <c r="V115" s="8"/>
      <c r="W115" s="8"/>
      <c r="X115" s="8"/>
      <c r="Y115" s="8"/>
      <c r="Z115" s="8"/>
      <c r="AA115" s="8"/>
      <c r="AB115" s="8"/>
    </row>
    <row r="116" spans="2:28" ht="15" customHeight="1">
      <c r="B116" s="292" t="s">
        <v>154</v>
      </c>
      <c r="C116" s="303">
        <f t="shared" ref="C116:H116" si="31">0-IF(ISERROR(C22/C12),0,C22/C12)</f>
        <v>0.11930498991359952</v>
      </c>
      <c r="D116" s="300">
        <f t="shared" si="31"/>
        <v>0.11900013048259922</v>
      </c>
      <c r="E116" s="300">
        <f t="shared" si="31"/>
        <v>0.14069184696247403</v>
      </c>
      <c r="F116" s="300">
        <f t="shared" si="31"/>
        <v>0.1123862572327195</v>
      </c>
      <c r="G116" s="300">
        <f t="shared" si="31"/>
        <v>6.3859364235803559E-2</v>
      </c>
      <c r="H116" s="300">
        <f t="shared" si="31"/>
        <v>5.0473437655736073E-2</v>
      </c>
      <c r="I116" s="327">
        <f>'Executive Summary'!$K$21</f>
        <v>0.08</v>
      </c>
      <c r="J116" s="327">
        <f>'Executive Summary'!$K$21+(0.166666666666666)*('Executive Summary'!$L$21-'Executive Summary'!$K$21)</f>
        <v>7.6666666666666675E-2</v>
      </c>
      <c r="K116" s="327">
        <f>'Executive Summary'!$K$21+(0.333333333333333)*('Executive Summary'!$L$21-'Executive Summary'!$K$21)</f>
        <v>7.3333333333333334E-2</v>
      </c>
      <c r="L116" s="327">
        <f>'Executive Summary'!$K$21+(0.5)*('Executive Summary'!$L$21-'Executive Summary'!$K$21)</f>
        <v>7.0000000000000007E-2</v>
      </c>
      <c r="M116" s="327">
        <f>'Executive Summary'!$K$21+(0.666666666666666)*('Executive Summary'!$L$21-'Executive Summary'!$K$21)</f>
        <v>6.666666666666668E-2</v>
      </c>
      <c r="N116" s="327">
        <f>'Executive Summary'!$K$21+(0.833333333333333)*('Executive Summary'!$L$21-'Executive Summary'!$K$21)</f>
        <v>6.3333333333333339E-2</v>
      </c>
      <c r="O116" s="327">
        <f>'Executive Summary'!$L$21</f>
        <v>0.06</v>
      </c>
      <c r="P116" s="466"/>
      <c r="Q116" s="466"/>
      <c r="R116" s="466"/>
      <c r="S116" s="466"/>
      <c r="T116" s="466"/>
      <c r="U116" s="8"/>
      <c r="V116" s="8"/>
      <c r="W116" s="8"/>
      <c r="X116" s="8"/>
      <c r="Y116" s="8"/>
      <c r="Z116" s="8"/>
      <c r="AA116" s="8"/>
      <c r="AB116" s="8"/>
    </row>
    <row r="117" spans="2:28" ht="15" customHeight="1">
      <c r="B117" s="292" t="s">
        <v>155</v>
      </c>
      <c r="C117" s="303">
        <f t="shared" ref="C117:H117" si="32">IF(ISERROR(0-C34/C12),0,0-C34/C12)</f>
        <v>4.219160354736802E-2</v>
      </c>
      <c r="D117" s="300">
        <f t="shared" si="32"/>
        <v>4.0934255410367777E-2</v>
      </c>
      <c r="E117" s="300">
        <f t="shared" si="32"/>
        <v>5.0018335166850017E-2</v>
      </c>
      <c r="F117" s="300">
        <f t="shared" si="32"/>
        <v>5.3444094979712371E-2</v>
      </c>
      <c r="G117" s="300">
        <f t="shared" si="32"/>
        <v>3.3350556047633109E-2</v>
      </c>
      <c r="H117" s="300">
        <f t="shared" si="32"/>
        <v>3.2253563241303698E-2</v>
      </c>
      <c r="I117" s="327">
        <f>'Executive Summary'!$K$22</f>
        <v>0.05</v>
      </c>
      <c r="J117" s="327">
        <f>'Executive Summary'!$K$22+(0.166666666666666)*('Executive Summary'!$L$22-'Executive Summary'!$K$22)</f>
        <v>4.8333333333333339E-2</v>
      </c>
      <c r="K117" s="327">
        <f>'Executive Summary'!$K$22+(0.333333333333333)*('Executive Summary'!$L$22-'Executive Summary'!$K$22)</f>
        <v>4.6666666666666676E-2</v>
      </c>
      <c r="L117" s="327">
        <f>'Executive Summary'!$K$22+(0.5)*('Executive Summary'!$L$22-'Executive Summary'!$K$22)</f>
        <v>4.4999999999999998E-2</v>
      </c>
      <c r="M117" s="327">
        <f>'Executive Summary'!$K$22+(0.666666666666666)*('Executive Summary'!$L$22-'Executive Summary'!$K$22)</f>
        <v>4.3333333333333342E-2</v>
      </c>
      <c r="N117" s="327">
        <f>'Executive Summary'!$K$22+(0.833333333333333)*('Executive Summary'!$L$22-'Executive Summary'!$K$22)</f>
        <v>4.1666666666666671E-2</v>
      </c>
      <c r="O117" s="327">
        <f>'Executive Summary'!$L$22</f>
        <v>0.04</v>
      </c>
      <c r="P117" s="466"/>
      <c r="Q117" s="466"/>
      <c r="R117" s="466"/>
      <c r="S117" s="466"/>
      <c r="T117" s="466"/>
      <c r="U117" s="8"/>
      <c r="V117" s="8"/>
      <c r="W117" s="8"/>
      <c r="X117" s="8"/>
      <c r="Y117" s="8"/>
      <c r="Z117" s="8"/>
      <c r="AA117" s="8"/>
      <c r="AB117" s="8"/>
    </row>
    <row r="118" spans="2:28" ht="15" customHeight="1">
      <c r="B118" s="292" t="s">
        <v>156</v>
      </c>
      <c r="C118" s="300">
        <v>0</v>
      </c>
      <c r="D118" s="300">
        <v>5.9400000000000001E-2</v>
      </c>
      <c r="E118" s="300">
        <v>5.1499999999999997E-2</v>
      </c>
      <c r="F118" s="300">
        <v>5.2600000000000001E-2</v>
      </c>
      <c r="G118" s="300">
        <v>7.6200000000000004E-2</v>
      </c>
      <c r="H118" s="300">
        <v>9.5799999999999996E-2</v>
      </c>
      <c r="I118" s="327">
        <f>'Executive Summary'!$K$23</f>
        <v>0.1</v>
      </c>
      <c r="J118" s="327">
        <f>'Executive Summary'!$K$23+(0.166666666666666)*('Executive Summary'!$L$23-'Executive Summary'!$K$23)</f>
        <v>0.1</v>
      </c>
      <c r="K118" s="327">
        <f>'Executive Summary'!$K$23+(0.333333333333333)*('Executive Summary'!$L$23-'Executive Summary'!$K$23)</f>
        <v>0.1</v>
      </c>
      <c r="L118" s="327">
        <f>'Executive Summary'!$K$23+(0.5)*('Executive Summary'!$L$23-'Executive Summary'!$K$23)</f>
        <v>0.1</v>
      </c>
      <c r="M118" s="327">
        <f>'Executive Summary'!$K$23+(0.666666666666666)*('Executive Summary'!$L$23-'Executive Summary'!$K$23)</f>
        <v>0.1</v>
      </c>
      <c r="N118" s="327">
        <f>'Executive Summary'!$K$23+(0.833333333333333)*('Executive Summary'!$L$23-'Executive Summary'!$K$23)</f>
        <v>0.1</v>
      </c>
      <c r="O118" s="327">
        <f>'Executive Summary'!$L$23</f>
        <v>0.1</v>
      </c>
      <c r="P118" s="466"/>
      <c r="Q118" s="466"/>
      <c r="R118" s="466"/>
      <c r="S118" s="466"/>
      <c r="T118" s="466"/>
      <c r="U118" s="8"/>
      <c r="V118" s="8"/>
      <c r="W118" s="8"/>
      <c r="X118" s="8"/>
      <c r="Y118" s="8"/>
      <c r="Z118" s="8"/>
      <c r="AA118" s="8"/>
      <c r="AB118" s="8"/>
    </row>
    <row r="119" spans="2:28" ht="9.75" customHeight="1">
      <c r="P119" s="466"/>
      <c r="Q119" s="466"/>
      <c r="R119" s="466"/>
      <c r="S119" s="466"/>
      <c r="T119" s="466"/>
    </row>
    <row r="120" spans="2:28" ht="15" customHeight="1">
      <c r="B120" s="292" t="s">
        <v>157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466"/>
      <c r="Q120" s="466"/>
      <c r="R120" s="466"/>
      <c r="S120" s="466"/>
      <c r="T120" s="466"/>
      <c r="U120" s="8"/>
      <c r="V120" s="8"/>
      <c r="W120" s="8"/>
      <c r="X120" s="8"/>
      <c r="Y120" s="8"/>
      <c r="Z120" s="8"/>
      <c r="AA120" s="8"/>
      <c r="AB120" s="8"/>
    </row>
    <row r="121" spans="2:28" ht="15" customHeight="1">
      <c r="B121" s="292" t="s">
        <v>36</v>
      </c>
      <c r="C121" s="304">
        <f t="shared" ref="C121:H121" si="33">IF(ISERROR(365/(C12/C131)),0,365/(C12/C131))</f>
        <v>57.105488524340579</v>
      </c>
      <c r="D121" s="299">
        <f t="shared" si="33"/>
        <v>54.599977631554417</v>
      </c>
      <c r="E121" s="299">
        <f t="shared" si="33"/>
        <v>60.427331622051092</v>
      </c>
      <c r="F121" s="299">
        <f t="shared" si="33"/>
        <v>69.343953326450745</v>
      </c>
      <c r="G121" s="299">
        <f t="shared" si="33"/>
        <v>51.543093691565787</v>
      </c>
      <c r="H121" s="299">
        <f t="shared" si="33"/>
        <v>39.843317053722714</v>
      </c>
      <c r="I121" s="298">
        <f>'Executive Summary'!$K$24</f>
        <v>60</v>
      </c>
      <c r="J121" s="298">
        <f>'Executive Summary'!$K$24+(0.166666666666666)*('Executive Summary'!$L$24-'Executive Summary'!$K$24)</f>
        <v>61.666666666666657</v>
      </c>
      <c r="K121" s="298">
        <f>'Executive Summary'!$K$24+(0.333333333333333)*('Executive Summary'!$L$24-'Executive Summary'!$K$24)</f>
        <v>63.333333333333329</v>
      </c>
      <c r="L121" s="298">
        <f>'Executive Summary'!$K$24+(0.5)*('Executive Summary'!$L$24-'Executive Summary'!$K$24)</f>
        <v>65</v>
      </c>
      <c r="M121" s="298">
        <f>'Executive Summary'!$K$24+(0.666666666666666)*('Executive Summary'!$L$24-'Executive Summary'!$K$24)</f>
        <v>66.666666666666657</v>
      </c>
      <c r="N121" s="298">
        <f>'Executive Summary'!$K$24+(0.833333333333333)*('Executive Summary'!$L$24-'Executive Summary'!$K$24)</f>
        <v>68.333333333333329</v>
      </c>
      <c r="O121" s="298">
        <f>'Executive Summary'!$L$24</f>
        <v>70</v>
      </c>
      <c r="P121" s="466"/>
      <c r="Q121" s="466"/>
      <c r="R121" s="466"/>
      <c r="S121" s="466"/>
      <c r="T121" s="466"/>
      <c r="U121" s="8"/>
      <c r="V121" s="8"/>
      <c r="W121" s="8"/>
      <c r="X121" s="8"/>
      <c r="Y121" s="8"/>
      <c r="Z121" s="8"/>
      <c r="AA121" s="8"/>
      <c r="AB121" s="8"/>
    </row>
    <row r="122" spans="2:28" ht="15" customHeight="1">
      <c r="B122" s="292" t="s">
        <v>39</v>
      </c>
      <c r="C122" s="304">
        <f t="shared" ref="C122:H122" si="34">IF(ISERROR(365/((0-C14)/C132)),0,365/((0-C14)/C132))</f>
        <v>246.37825080156753</v>
      </c>
      <c r="D122" s="299">
        <f t="shared" si="34"/>
        <v>243.66865220483643</v>
      </c>
      <c r="E122" s="299">
        <f t="shared" si="34"/>
        <v>320.31537124410232</v>
      </c>
      <c r="F122" s="299">
        <f t="shared" si="34"/>
        <v>344.99469589816124</v>
      </c>
      <c r="G122" s="299">
        <f t="shared" si="34"/>
        <v>107.28188572726387</v>
      </c>
      <c r="H122" s="299">
        <f t="shared" si="34"/>
        <v>95.447967621709765</v>
      </c>
      <c r="I122" s="298">
        <f>'Executive Summary'!$K$25</f>
        <v>120</v>
      </c>
      <c r="J122" s="298">
        <f>'Executive Summary'!$K$25+(0.166666666666666)*('Executive Summary'!$L$25-'Executive Summary'!$K$25)</f>
        <v>138.33333333333326</v>
      </c>
      <c r="K122" s="298">
        <f>'Executive Summary'!$K$25+(0.333333333333333)*('Executive Summary'!$L$25-'Executive Summary'!$K$25)</f>
        <v>156.66666666666663</v>
      </c>
      <c r="L122" s="298">
        <f>'Executive Summary'!$K$25+(0.5)*('Executive Summary'!$L$25-'Executive Summary'!$K$25)</f>
        <v>175</v>
      </c>
      <c r="M122" s="298">
        <f>'Executive Summary'!$K$25+(0.666666666666666)*('Executive Summary'!$L$25-'Executive Summary'!$K$25)</f>
        <v>193.33333333333326</v>
      </c>
      <c r="N122" s="298">
        <f>'Executive Summary'!$K$25+(0.833333333333333)*('Executive Summary'!$L$25-'Executive Summary'!$K$25)</f>
        <v>211.66666666666663</v>
      </c>
      <c r="O122" s="298">
        <f>'Executive Summary'!$L$25</f>
        <v>230</v>
      </c>
      <c r="P122" s="466"/>
      <c r="Q122" s="466"/>
      <c r="R122" s="466"/>
      <c r="S122" s="466"/>
      <c r="T122" s="466"/>
      <c r="U122" s="8"/>
      <c r="V122" s="8"/>
      <c r="W122" s="8"/>
      <c r="X122" s="8"/>
      <c r="Y122" s="8"/>
      <c r="Z122" s="8"/>
      <c r="AA122" s="8"/>
      <c r="AB122" s="8"/>
    </row>
    <row r="123" spans="2:28" ht="15" customHeight="1">
      <c r="B123" s="292" t="s">
        <v>158</v>
      </c>
      <c r="C123" s="303">
        <f t="shared" ref="C123:H123" si="35">IF(ISERROR(C133/C12),0,C133/C12)</f>
        <v>0.10179652114337913</v>
      </c>
      <c r="D123" s="300">
        <f t="shared" si="35"/>
        <v>0.29002553730870317</v>
      </c>
      <c r="E123" s="300">
        <f t="shared" si="35"/>
        <v>0.22777166605549443</v>
      </c>
      <c r="F123" s="300">
        <f t="shared" si="35"/>
        <v>0.16595039734940337</v>
      </c>
      <c r="G123" s="300">
        <f t="shared" si="35"/>
        <v>9.9473477019978343E-2</v>
      </c>
      <c r="H123" s="300">
        <f t="shared" si="35"/>
        <v>8.5657330808332502E-2</v>
      </c>
      <c r="I123" s="327">
        <f>'Executive Summary'!$K$26</f>
        <v>0.12</v>
      </c>
      <c r="J123" s="327">
        <f>'Executive Summary'!$K$26+(0.166666666666666)*('Executive Summary'!$L$26-'Executive Summary'!$K$26)</f>
        <v>0.11666666666666668</v>
      </c>
      <c r="K123" s="327">
        <f>'Executive Summary'!$K$26+(0.333333333333333)*('Executive Summary'!$L$26-'Executive Summary'!$K$26)</f>
        <v>0.11333333333333334</v>
      </c>
      <c r="L123" s="327">
        <f>'Executive Summary'!$K$26+(0.5)*('Executive Summary'!$L$26-'Executive Summary'!$K$26)</f>
        <v>0.11</v>
      </c>
      <c r="M123" s="327">
        <f>'Executive Summary'!$K$26+(0.666666666666666)*('Executive Summary'!$L$26-'Executive Summary'!$K$26)</f>
        <v>0.10666666666666669</v>
      </c>
      <c r="N123" s="327">
        <f>'Executive Summary'!$K$26+(0.833333333333333)*('Executive Summary'!$L$26-'Executive Summary'!$K$26)</f>
        <v>0.10333333333333335</v>
      </c>
      <c r="O123" s="327">
        <f>'Executive Summary'!$L$26</f>
        <v>0.1</v>
      </c>
      <c r="P123" s="466"/>
      <c r="Q123" s="466"/>
      <c r="R123" s="466"/>
      <c r="S123" s="466"/>
      <c r="T123" s="466"/>
      <c r="U123" s="8"/>
      <c r="V123" s="8"/>
      <c r="W123" s="8"/>
      <c r="X123" s="8"/>
      <c r="Y123" s="8"/>
      <c r="Z123" s="8"/>
      <c r="AA123" s="8"/>
      <c r="AB123" s="8"/>
    </row>
    <row r="124" spans="2:28" ht="9.75" customHeight="1">
      <c r="P124" s="466"/>
      <c r="Q124" s="466"/>
      <c r="R124" s="466"/>
      <c r="S124" s="466"/>
      <c r="T124" s="466"/>
    </row>
    <row r="125" spans="2:28" ht="15" customHeight="1">
      <c r="B125" s="292" t="s">
        <v>159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466"/>
      <c r="Q125" s="466"/>
      <c r="R125" s="466"/>
      <c r="S125" s="466"/>
      <c r="T125" s="466"/>
      <c r="U125" s="8"/>
      <c r="V125" s="8"/>
      <c r="W125" s="8"/>
      <c r="X125" s="8"/>
      <c r="Y125" s="8"/>
      <c r="Z125" s="8"/>
      <c r="AA125" s="8"/>
      <c r="AB125" s="8"/>
    </row>
    <row r="126" spans="2:28" ht="15" customHeight="1">
      <c r="B126" s="292" t="s">
        <v>43</v>
      </c>
      <c r="C126" s="304">
        <f t="shared" ref="C126:H126" si="36">IF(ISERROR(365/((0-C14)/C137)),0,365/((0-C14)/C137))</f>
        <v>151.35732098325616</v>
      </c>
      <c r="D126" s="299">
        <f t="shared" si="36"/>
        <v>151.67229729729729</v>
      </c>
      <c r="E126" s="299">
        <f t="shared" si="36"/>
        <v>176.15532654581574</v>
      </c>
      <c r="F126" s="299">
        <f t="shared" si="36"/>
        <v>184.26390853371052</v>
      </c>
      <c r="G126" s="299">
        <f t="shared" si="36"/>
        <v>66.057882612504457</v>
      </c>
      <c r="H126" s="299">
        <f t="shared" si="36"/>
        <v>72.364459585371534</v>
      </c>
      <c r="I126" s="298">
        <f>'Executive Summary'!$K$27</f>
        <v>85</v>
      </c>
      <c r="J126" s="298">
        <f>'Executive Summary'!$K$27+(0.166666666666666)*('Executive Summary'!$L$27-'Executive Summary'!$K$27)</f>
        <v>89.499999999999986</v>
      </c>
      <c r="K126" s="298">
        <f>'Executive Summary'!$K$27+(0.333333333333333)*('Executive Summary'!$L$27-'Executive Summary'!$K$27)</f>
        <v>93.999999999999986</v>
      </c>
      <c r="L126" s="298">
        <f>'Executive Summary'!$K$27+(0.5)*('Executive Summary'!$L$27-'Executive Summary'!$K$27)</f>
        <v>98.5</v>
      </c>
      <c r="M126" s="298">
        <f>'Executive Summary'!$K$27+(0.666666666666666)*('Executive Summary'!$L$27-'Executive Summary'!$K$27)</f>
        <v>102.99999999999999</v>
      </c>
      <c r="N126" s="298">
        <f>'Executive Summary'!$K$27+(0.833333333333333)*('Executive Summary'!$L$27-'Executive Summary'!$K$27)</f>
        <v>107.5</v>
      </c>
      <c r="O126" s="298">
        <f>'Executive Summary'!$L$27</f>
        <v>112</v>
      </c>
      <c r="P126" s="466"/>
      <c r="Q126" s="466"/>
      <c r="R126" s="466"/>
      <c r="S126" s="466"/>
      <c r="T126" s="466"/>
      <c r="U126" s="8"/>
      <c r="V126" s="8"/>
      <c r="W126" s="8"/>
      <c r="X126" s="8"/>
      <c r="Y126" s="8"/>
      <c r="Z126" s="8"/>
      <c r="AA126" s="8"/>
      <c r="AB126" s="8"/>
    </row>
    <row r="127" spans="2:28" ht="15" customHeight="1">
      <c r="B127" s="292" t="s">
        <v>160</v>
      </c>
      <c r="C127" s="303">
        <f t="shared" ref="C127:H127" si="37">IF(ISERROR(C138/C12),0,C138/C12)</f>
        <v>8.9483500171278499E-2</v>
      </c>
      <c r="D127" s="300">
        <f t="shared" si="37"/>
        <v>0.10641787984416649</v>
      </c>
      <c r="E127" s="300">
        <f t="shared" si="37"/>
        <v>0.13382227111600048</v>
      </c>
      <c r="F127" s="300">
        <f t="shared" si="37"/>
        <v>0.1502965114883196</v>
      </c>
      <c r="G127" s="300">
        <f t="shared" si="37"/>
        <v>8.4231374864678674E-2</v>
      </c>
      <c r="H127" s="300">
        <f t="shared" si="37"/>
        <v>7.2729991029602314E-2</v>
      </c>
      <c r="I127" s="327">
        <f>'Executive Summary'!$K$28</f>
        <v>7.0000000000000007E-2</v>
      </c>
      <c r="J127" s="327">
        <f>'Executive Summary'!$K$28+(0.166666666666666)*('Executive Summary'!$L$28-'Executive Summary'!$K$28)</f>
        <v>6.9166666666666682E-2</v>
      </c>
      <c r="K127" s="327">
        <f>'Executive Summary'!$K$28+(0.333333333333333)*('Executive Summary'!$L$28-'Executive Summary'!$K$28)</f>
        <v>6.8333333333333343E-2</v>
      </c>
      <c r="L127" s="327">
        <f>'Executive Summary'!$K$28+(0.5)*('Executive Summary'!$L$28-'Executive Summary'!$K$28)</f>
        <v>6.7500000000000004E-2</v>
      </c>
      <c r="M127" s="327">
        <f>'Executive Summary'!$K$28+(0.666666666666666)*('Executive Summary'!$L$28-'Executive Summary'!$K$28)</f>
        <v>6.666666666666668E-2</v>
      </c>
      <c r="N127" s="327">
        <f>'Executive Summary'!$K$28+(0.833333333333333)*('Executive Summary'!$L$28-'Executive Summary'!$K$28)</f>
        <v>6.5833333333333341E-2</v>
      </c>
      <c r="O127" s="327">
        <f>'Executive Summary'!$L$28</f>
        <v>6.5000000000000002E-2</v>
      </c>
      <c r="P127" s="466"/>
      <c r="Q127" s="466"/>
      <c r="R127" s="466"/>
      <c r="S127" s="466"/>
      <c r="T127" s="466"/>
      <c r="U127" s="8"/>
      <c r="V127" s="8"/>
      <c r="W127" s="8"/>
      <c r="X127" s="8"/>
      <c r="Y127" s="8"/>
      <c r="Z127" s="8"/>
      <c r="AA127" s="8"/>
      <c r="AB127" s="8"/>
    </row>
    <row r="128" spans="2:28" ht="15" customHeight="1">
      <c r="B128" s="292" t="s">
        <v>161</v>
      </c>
      <c r="C128" s="303">
        <f t="shared" ref="C128:H128" si="38">IF(ISERROR(C139/C12),0,C139/C12)</f>
        <v>0.21154797701061925</v>
      </c>
      <c r="D128" s="300">
        <f t="shared" si="38"/>
        <v>0.23568885492199004</v>
      </c>
      <c r="E128" s="300">
        <f t="shared" si="38"/>
        <v>0.28062584036181398</v>
      </c>
      <c r="F128" s="300">
        <f t="shared" si="38"/>
        <v>0.29660752442918537</v>
      </c>
      <c r="G128" s="300">
        <f t="shared" si="38"/>
        <v>0.33900452711347306</v>
      </c>
      <c r="H128" s="300">
        <f t="shared" si="38"/>
        <v>0.24386524469251469</v>
      </c>
      <c r="I128" s="327">
        <f>'Executive Summary'!$K$29</f>
        <v>0.24</v>
      </c>
      <c r="J128" s="327">
        <f>'Executive Summary'!$K$29+(0.166666666666666)*('Executive Summary'!$L$29-'Executive Summary'!$K$29)</f>
        <v>0.23666666666666666</v>
      </c>
      <c r="K128" s="327">
        <f>'Executive Summary'!$K$29+(0.333333333333333)*('Executive Summary'!$L$29-'Executive Summary'!$K$29)</f>
        <v>0.23333333333333334</v>
      </c>
      <c r="L128" s="327">
        <f>'Executive Summary'!$K$29+(0.5)*('Executive Summary'!$L$29-'Executive Summary'!$K$29)</f>
        <v>0.22999999999999998</v>
      </c>
      <c r="M128" s="327">
        <f>'Executive Summary'!$K$29+(0.666666666666666)*('Executive Summary'!$L$29-'Executive Summary'!$K$29)</f>
        <v>0.22666666666666668</v>
      </c>
      <c r="N128" s="327">
        <f>'Executive Summary'!$K$29+(0.833333333333333)*('Executive Summary'!$L$29-'Executive Summary'!$K$29)</f>
        <v>0.22333333333333333</v>
      </c>
      <c r="O128" s="327">
        <f>'Executive Summary'!$L$29</f>
        <v>0.22</v>
      </c>
      <c r="P128" s="466"/>
      <c r="Q128" s="466"/>
      <c r="R128" s="466"/>
      <c r="S128" s="466"/>
      <c r="T128" s="466"/>
      <c r="U128" s="8"/>
      <c r="V128" s="8"/>
      <c r="W128" s="8"/>
      <c r="X128" s="8"/>
      <c r="Y128" s="8"/>
      <c r="Z128" s="8"/>
      <c r="AA128" s="8"/>
      <c r="AB128" s="8"/>
    </row>
    <row r="129" spans="2:28" ht="9.75" customHeight="1">
      <c r="P129" s="466"/>
      <c r="Q129" s="466"/>
      <c r="R129" s="466"/>
      <c r="S129" s="466"/>
      <c r="T129" s="466"/>
    </row>
    <row r="130" spans="2:28" ht="15" customHeight="1">
      <c r="B130" s="292" t="s">
        <v>157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466"/>
      <c r="Q130" s="466"/>
      <c r="R130" s="466"/>
      <c r="S130" s="466"/>
      <c r="T130" s="466"/>
      <c r="U130" s="8"/>
      <c r="V130" s="8"/>
      <c r="W130" s="8"/>
      <c r="X130" s="8"/>
      <c r="Y130" s="8"/>
      <c r="Z130" s="8"/>
      <c r="AA130" s="8"/>
      <c r="AB130" s="8"/>
    </row>
    <row r="131" spans="2:28" ht="15" customHeight="1">
      <c r="B131" s="292" t="s">
        <v>162</v>
      </c>
      <c r="C131" s="297">
        <f>Data!C46</f>
        <v>8221</v>
      </c>
      <c r="D131" s="298">
        <f>Data!D46</f>
        <v>8025</v>
      </c>
      <c r="E131" s="298">
        <f>Data!E46</f>
        <v>6772</v>
      </c>
      <c r="F131" s="298">
        <f>Data!F46</f>
        <v>7913</v>
      </c>
      <c r="G131" s="298">
        <f>Data!G46</f>
        <v>11479</v>
      </c>
      <c r="H131" s="298">
        <f>Data!H46</f>
        <v>10952</v>
      </c>
      <c r="I131" s="299">
        <f t="shared" ref="I131:O131" si="39">I121/365*I12</f>
        <v>10720.191780821917</v>
      </c>
      <c r="J131" s="299">
        <f t="shared" si="39"/>
        <v>11568.873630136985</v>
      </c>
      <c r="K131" s="299">
        <f t="shared" si="39"/>
        <v>12237.992267123289</v>
      </c>
      <c r="L131" s="299">
        <f t="shared" si="39"/>
        <v>12936.846036061645</v>
      </c>
      <c r="M131" s="299">
        <f t="shared" si="39"/>
        <v>13666.61683809589</v>
      </c>
      <c r="N131" s="299">
        <f t="shared" si="39"/>
        <v>14428.530726819738</v>
      </c>
      <c r="O131" s="299">
        <f t="shared" si="39"/>
        <v>15223.859493712729</v>
      </c>
      <c r="P131" s="466"/>
      <c r="Q131" s="466"/>
      <c r="R131" s="466"/>
      <c r="S131" s="466"/>
      <c r="T131" s="466"/>
      <c r="U131" s="8"/>
      <c r="V131" s="8"/>
      <c r="W131" s="8"/>
      <c r="X131" s="8"/>
      <c r="Y131" s="8"/>
      <c r="Z131" s="8"/>
      <c r="AA131" s="8"/>
      <c r="AB131" s="8"/>
    </row>
    <row r="132" spans="2:28" ht="15" customHeight="1">
      <c r="B132" s="292" t="s">
        <v>163</v>
      </c>
      <c r="C132" s="297">
        <f>Data!C47</f>
        <v>7579</v>
      </c>
      <c r="D132" s="298">
        <f>Data!D47</f>
        <v>7509</v>
      </c>
      <c r="E132" s="298">
        <f>Data!E47</f>
        <v>7068</v>
      </c>
      <c r="F132" s="298">
        <f>Data!F47</f>
        <v>8019</v>
      </c>
      <c r="G132" s="298">
        <f>Data!G47</f>
        <v>9059</v>
      </c>
      <c r="H132" s="298">
        <f>Data!H47</f>
        <v>8981</v>
      </c>
      <c r="I132" s="310">
        <f t="shared" ref="I132:O132" si="40">I122/365*(0-I14)</f>
        <v>7718.5380821917797</v>
      </c>
      <c r="J132" s="310">
        <f t="shared" si="40"/>
        <v>9083.1291609589007</v>
      </c>
      <c r="K132" s="310">
        <f t="shared" si="40"/>
        <v>10292.79560150685</v>
      </c>
      <c r="L132" s="310">
        <f t="shared" si="40"/>
        <v>11493.890132039383</v>
      </c>
      <c r="M132" s="310">
        <f t="shared" si="40"/>
        <v>12682.620425752983</v>
      </c>
      <c r="N132" s="310">
        <f t="shared" si="40"/>
        <v>13854.908651582757</v>
      </c>
      <c r="O132" s="310">
        <f t="shared" si="40"/>
        <v>15006.375786659692</v>
      </c>
      <c r="P132" s="466"/>
      <c r="Q132" s="466"/>
      <c r="R132" s="466"/>
      <c r="S132" s="466"/>
      <c r="T132" s="466"/>
      <c r="U132" s="8"/>
      <c r="V132" s="8"/>
      <c r="W132" s="8"/>
      <c r="X132" s="8"/>
      <c r="Y132" s="8"/>
      <c r="Z132" s="8"/>
      <c r="AA132" s="8"/>
      <c r="AB132" s="8"/>
    </row>
    <row r="133" spans="2:28" ht="15" customHeight="1">
      <c r="B133" s="292" t="s">
        <v>164</v>
      </c>
      <c r="C133" s="297">
        <f>Data!C48</f>
        <v>5349</v>
      </c>
      <c r="D133" s="298">
        <f>Data!D48</f>
        <v>15559</v>
      </c>
      <c r="E133" s="298">
        <f>Data!E48</f>
        <v>9317</v>
      </c>
      <c r="F133" s="298">
        <f>Data!F48</f>
        <v>6912</v>
      </c>
      <c r="G133" s="298">
        <f>Data!G48</f>
        <v>8086</v>
      </c>
      <c r="H133" s="298">
        <f>Data!H48</f>
        <v>8594</v>
      </c>
      <c r="I133" s="299">
        <f t="shared" ref="I133:O133" si="41">I123*I12</f>
        <v>7825.74</v>
      </c>
      <c r="J133" s="299">
        <f t="shared" si="41"/>
        <v>7988.7762500000017</v>
      </c>
      <c r="K133" s="299">
        <f t="shared" si="41"/>
        <v>7993.3412650000009</v>
      </c>
      <c r="L133" s="299">
        <f t="shared" si="41"/>
        <v>7990.9902822750009</v>
      </c>
      <c r="M133" s="299">
        <f t="shared" si="41"/>
        <v>7981.3042334480024</v>
      </c>
      <c r="N133" s="299">
        <f t="shared" si="41"/>
        <v>7963.8451304373348</v>
      </c>
      <c r="O133" s="299">
        <f t="shared" si="41"/>
        <v>7938.1553074359244</v>
      </c>
      <c r="P133" s="466"/>
      <c r="Q133" s="466"/>
      <c r="R133" s="466"/>
      <c r="S133" s="466"/>
      <c r="T133" s="466"/>
      <c r="U133" s="8"/>
      <c r="V133" s="8"/>
      <c r="W133" s="8"/>
      <c r="X133" s="8"/>
      <c r="Y133" s="8"/>
      <c r="Z133" s="8"/>
      <c r="AA133" s="8"/>
      <c r="AB133" s="8"/>
    </row>
    <row r="134" spans="2:28" ht="15" customHeight="1">
      <c r="B134" s="295" t="s">
        <v>165</v>
      </c>
      <c r="C134" s="301">
        <f t="shared" ref="C134:O134" si="42">SUM(C131:C133)</f>
        <v>21149</v>
      </c>
      <c r="D134" s="302">
        <f t="shared" si="42"/>
        <v>31093</v>
      </c>
      <c r="E134" s="302">
        <f t="shared" si="42"/>
        <v>23157</v>
      </c>
      <c r="F134" s="302">
        <f t="shared" si="42"/>
        <v>22844</v>
      </c>
      <c r="G134" s="302">
        <f t="shared" si="42"/>
        <v>28624</v>
      </c>
      <c r="H134" s="302">
        <f t="shared" si="42"/>
        <v>28527</v>
      </c>
      <c r="I134" s="302">
        <f t="shared" si="42"/>
        <v>26264.469863013699</v>
      </c>
      <c r="J134" s="302">
        <f t="shared" si="42"/>
        <v>28640.779041095888</v>
      </c>
      <c r="K134" s="302">
        <f t="shared" si="42"/>
        <v>30524.129133630144</v>
      </c>
      <c r="L134" s="302">
        <f t="shared" si="42"/>
        <v>32421.726450376031</v>
      </c>
      <c r="M134" s="302">
        <f t="shared" si="42"/>
        <v>34330.541497296879</v>
      </c>
      <c r="N134" s="302">
        <f t="shared" si="42"/>
        <v>36247.284508839832</v>
      </c>
      <c r="O134" s="302">
        <f t="shared" si="42"/>
        <v>38168.390587808346</v>
      </c>
      <c r="P134" s="466"/>
      <c r="Q134" s="466"/>
      <c r="R134" s="466"/>
      <c r="S134" s="466"/>
      <c r="T134" s="466"/>
      <c r="U134" s="15"/>
      <c r="V134" s="15"/>
      <c r="W134" s="15"/>
      <c r="X134" s="15"/>
      <c r="Y134" s="15"/>
      <c r="Z134" s="15"/>
      <c r="AA134" s="15"/>
      <c r="AB134" s="15"/>
    </row>
    <row r="135" spans="2:28" ht="9.75" customHeight="1"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66"/>
      <c r="Q135" s="466"/>
      <c r="R135" s="466"/>
      <c r="S135" s="466"/>
      <c r="T135" s="466"/>
    </row>
    <row r="136" spans="2:28" ht="15" customHeight="1">
      <c r="B136" s="292" t="s">
        <v>159</v>
      </c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466"/>
      <c r="Q136" s="466"/>
      <c r="R136" s="466"/>
      <c r="S136" s="466"/>
      <c r="T136" s="466"/>
      <c r="U136" s="8"/>
      <c r="V136" s="8"/>
      <c r="W136" s="8"/>
      <c r="X136" s="8"/>
      <c r="Y136" s="8"/>
      <c r="Z136" s="8"/>
      <c r="AA136" s="8"/>
      <c r="AB136" s="8"/>
    </row>
    <row r="137" spans="2:28" ht="15" customHeight="1">
      <c r="B137" s="292" t="s">
        <v>166</v>
      </c>
      <c r="C137" s="297">
        <f>Data!C58</f>
        <v>4656</v>
      </c>
      <c r="D137" s="298">
        <f>Data!D58</f>
        <v>4674</v>
      </c>
      <c r="E137" s="298">
        <f>Data!E58</f>
        <v>3887</v>
      </c>
      <c r="F137" s="298">
        <f>Data!F58</f>
        <v>4283</v>
      </c>
      <c r="G137" s="298">
        <f>Data!G58</f>
        <v>5578</v>
      </c>
      <c r="H137" s="298">
        <f>Data!H58</f>
        <v>6809</v>
      </c>
      <c r="I137" s="310">
        <f t="shared" ref="I137:O137" si="43">I126/365*(0-I14)</f>
        <v>5467.2978082191776</v>
      </c>
      <c r="J137" s="310">
        <f t="shared" si="43"/>
        <v>5876.6751318493152</v>
      </c>
      <c r="K137" s="310">
        <f t="shared" si="43"/>
        <v>6175.6773609041093</v>
      </c>
      <c r="L137" s="310">
        <f t="shared" si="43"/>
        <v>6469.418160033596</v>
      </c>
      <c r="M137" s="310">
        <f t="shared" si="43"/>
        <v>6756.7753647546078</v>
      </c>
      <c r="N137" s="310">
        <f t="shared" si="43"/>
        <v>7036.5480947014803</v>
      </c>
      <c r="O137" s="310">
        <f t="shared" si="43"/>
        <v>7307.4525569821117</v>
      </c>
      <c r="P137" s="466"/>
      <c r="Q137" s="466"/>
      <c r="R137" s="466"/>
      <c r="S137" s="466"/>
      <c r="T137" s="466"/>
      <c r="U137" s="8"/>
      <c r="V137" s="8"/>
      <c r="W137" s="8"/>
      <c r="X137" s="8"/>
      <c r="Y137" s="8"/>
      <c r="Z137" s="8"/>
      <c r="AA137" s="8"/>
      <c r="AB137" s="8"/>
    </row>
    <row r="138" spans="2:28" ht="15" customHeight="1">
      <c r="B138" s="292" t="s">
        <v>167</v>
      </c>
      <c r="C138" s="297">
        <f>Data!C59</f>
        <v>4702</v>
      </c>
      <c r="D138" s="298">
        <f>Data!D59</f>
        <v>5709</v>
      </c>
      <c r="E138" s="298">
        <f>Data!E59</f>
        <v>5474</v>
      </c>
      <c r="F138" s="298">
        <f>Data!F59</f>
        <v>6260</v>
      </c>
      <c r="G138" s="298">
        <f>Data!G59</f>
        <v>6847</v>
      </c>
      <c r="H138" s="298">
        <f>Data!H59</f>
        <v>7297</v>
      </c>
      <c r="I138" s="299">
        <f t="shared" ref="I138:O138" si="44">I127*I12</f>
        <v>4565.0150000000003</v>
      </c>
      <c r="J138" s="299">
        <f t="shared" si="44"/>
        <v>4736.2030625000016</v>
      </c>
      <c r="K138" s="299">
        <f t="shared" si="44"/>
        <v>4819.5145862500012</v>
      </c>
      <c r="L138" s="299">
        <f t="shared" si="44"/>
        <v>4903.5622186687506</v>
      </c>
      <c r="M138" s="299">
        <f t="shared" si="44"/>
        <v>4988.3151459050014</v>
      </c>
      <c r="N138" s="299">
        <f t="shared" si="44"/>
        <v>5073.7400427786242</v>
      </c>
      <c r="O138" s="299">
        <f t="shared" si="44"/>
        <v>5159.8009498333504</v>
      </c>
      <c r="P138" s="466"/>
      <c r="Q138" s="466"/>
      <c r="R138" s="466"/>
      <c r="S138" s="466"/>
      <c r="T138" s="466"/>
      <c r="U138" s="8"/>
      <c r="V138" s="8"/>
      <c r="W138" s="8"/>
      <c r="X138" s="8"/>
      <c r="Y138" s="8"/>
      <c r="Z138" s="8"/>
      <c r="AA138" s="8"/>
      <c r="AB138" s="8"/>
    </row>
    <row r="139" spans="2:28" ht="15" customHeight="1">
      <c r="B139" s="292" t="s">
        <v>168</v>
      </c>
      <c r="C139" s="297">
        <f>Data!C60</f>
        <v>11116</v>
      </c>
      <c r="D139" s="298">
        <f>Data!D60</f>
        <v>12644</v>
      </c>
      <c r="E139" s="298">
        <f>Data!E60</f>
        <v>11479</v>
      </c>
      <c r="F139" s="298">
        <f>Data!F60</f>
        <v>12354</v>
      </c>
      <c r="G139" s="298">
        <f>Data!G60</f>
        <v>27557</v>
      </c>
      <c r="H139" s="298">
        <f>Data!H60</f>
        <v>24467</v>
      </c>
      <c r="I139" s="299">
        <f t="shared" ref="I139:O139" si="45">I128*I12</f>
        <v>15651.48</v>
      </c>
      <c r="J139" s="299">
        <f t="shared" si="45"/>
        <v>16205.803250000001</v>
      </c>
      <c r="K139" s="299">
        <f t="shared" si="45"/>
        <v>16456.879075000001</v>
      </c>
      <c r="L139" s="299">
        <f t="shared" si="45"/>
        <v>16708.434226575002</v>
      </c>
      <c r="M139" s="299">
        <f t="shared" si="45"/>
        <v>16960.271496077003</v>
      </c>
      <c r="N139" s="299">
        <f t="shared" si="45"/>
        <v>17212.181410945206</v>
      </c>
      <c r="O139" s="299">
        <f t="shared" si="45"/>
        <v>17463.941676359034</v>
      </c>
      <c r="P139" s="466"/>
      <c r="Q139" s="466"/>
      <c r="R139" s="466"/>
      <c r="S139" s="466"/>
      <c r="T139" s="466"/>
      <c r="U139" s="8"/>
      <c r="V139" s="8"/>
      <c r="W139" s="8"/>
      <c r="X139" s="8"/>
      <c r="Y139" s="8"/>
      <c r="Z139" s="8"/>
      <c r="AA139" s="8"/>
      <c r="AB139" s="8"/>
    </row>
    <row r="140" spans="2:28" ht="15" customHeight="1">
      <c r="B140" s="295" t="s">
        <v>169</v>
      </c>
      <c r="C140" s="301">
        <f t="shared" ref="C140:O140" si="46">SUM(C137:C139)</f>
        <v>20474</v>
      </c>
      <c r="D140" s="302">
        <f t="shared" si="46"/>
        <v>23027</v>
      </c>
      <c r="E140" s="302">
        <f t="shared" si="46"/>
        <v>20840</v>
      </c>
      <c r="F140" s="302">
        <f t="shared" si="46"/>
        <v>22897</v>
      </c>
      <c r="G140" s="302">
        <f t="shared" si="46"/>
        <v>39982</v>
      </c>
      <c r="H140" s="302">
        <f t="shared" si="46"/>
        <v>38573</v>
      </c>
      <c r="I140" s="302">
        <f t="shared" si="46"/>
        <v>25683.792808219179</v>
      </c>
      <c r="J140" s="302">
        <f t="shared" si="46"/>
        <v>26818.681444349317</v>
      </c>
      <c r="K140" s="302">
        <f t="shared" si="46"/>
        <v>27452.071022154112</v>
      </c>
      <c r="L140" s="302">
        <f t="shared" si="46"/>
        <v>28081.41460527735</v>
      </c>
      <c r="M140" s="302">
        <f t="shared" si="46"/>
        <v>28705.362006736614</v>
      </c>
      <c r="N140" s="302">
        <f t="shared" si="46"/>
        <v>29322.46954842531</v>
      </c>
      <c r="O140" s="302">
        <f t="shared" si="46"/>
        <v>29931.195183174495</v>
      </c>
      <c r="P140" s="466"/>
      <c r="Q140" s="466"/>
      <c r="R140" s="466"/>
      <c r="S140" s="466"/>
      <c r="T140" s="466"/>
      <c r="U140" s="15"/>
      <c r="V140" s="15"/>
      <c r="W140" s="15"/>
      <c r="X140" s="15"/>
      <c r="Y140" s="15"/>
      <c r="Z140" s="15"/>
      <c r="AA140" s="15"/>
      <c r="AB140" s="15"/>
    </row>
    <row r="141" spans="2:28" ht="9.75" customHeight="1"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66"/>
      <c r="Q141" s="466"/>
      <c r="R141" s="466"/>
      <c r="S141" s="466"/>
      <c r="T141" s="466"/>
    </row>
    <row r="142" spans="2:28" ht="15" customHeight="1">
      <c r="B142" s="292" t="s">
        <v>170</v>
      </c>
      <c r="C142" s="304">
        <f t="shared" ref="C142:O142" si="47">C134-C140</f>
        <v>675</v>
      </c>
      <c r="D142" s="299">
        <f t="shared" si="47"/>
        <v>8066</v>
      </c>
      <c r="E142" s="299">
        <f t="shared" si="47"/>
        <v>2317</v>
      </c>
      <c r="F142" s="299">
        <f t="shared" si="47"/>
        <v>-53</v>
      </c>
      <c r="G142" s="299">
        <f t="shared" si="47"/>
        <v>-11358</v>
      </c>
      <c r="H142" s="299">
        <f t="shared" si="47"/>
        <v>-10046</v>
      </c>
      <c r="I142" s="299">
        <f t="shared" si="47"/>
        <v>580.67705479451979</v>
      </c>
      <c r="J142" s="299">
        <f t="shared" si="47"/>
        <v>1822.0975967465711</v>
      </c>
      <c r="K142" s="299">
        <f t="shared" si="47"/>
        <v>3072.0581114760316</v>
      </c>
      <c r="L142" s="299">
        <f t="shared" si="47"/>
        <v>4340.3118450986804</v>
      </c>
      <c r="M142" s="299">
        <f t="shared" si="47"/>
        <v>5625.1794905602655</v>
      </c>
      <c r="N142" s="299">
        <f t="shared" si="47"/>
        <v>6924.8149604145219</v>
      </c>
      <c r="O142" s="299">
        <f t="shared" si="47"/>
        <v>8237.1954046338506</v>
      </c>
      <c r="P142" s="466"/>
      <c r="Q142" s="466"/>
      <c r="R142" s="466"/>
      <c r="S142" s="466"/>
      <c r="T142" s="466"/>
      <c r="U142" s="8"/>
      <c r="V142" s="8"/>
      <c r="W142" s="8"/>
      <c r="X142" s="8"/>
      <c r="Y142" s="8"/>
      <c r="Z142" s="8"/>
      <c r="AA142" s="8"/>
      <c r="AB142" s="8"/>
    </row>
    <row r="143" spans="2:28" ht="15" customHeight="1">
      <c r="B143" s="292" t="s">
        <v>171</v>
      </c>
      <c r="C143" s="303">
        <f t="shared" ref="C143:O143" si="48">IF(ISERROR(C142/C12),0,C142/C12)</f>
        <v>1.2845887412933429E-2</v>
      </c>
      <c r="D143" s="300">
        <f t="shared" si="48"/>
        <v>0.15035323503644193</v>
      </c>
      <c r="E143" s="300">
        <f t="shared" si="48"/>
        <v>5.6643442121989976E-2</v>
      </c>
      <c r="F143" s="300">
        <f t="shared" si="48"/>
        <v>-1.2724784518979137E-3</v>
      </c>
      <c r="G143" s="300">
        <f t="shared" si="48"/>
        <v>-0.13972542072630648</v>
      </c>
      <c r="H143" s="300">
        <f t="shared" si="48"/>
        <v>-0.10012957241104356</v>
      </c>
      <c r="I143" s="300">
        <f t="shared" si="48"/>
        <v>8.9041095890410836E-3</v>
      </c>
      <c r="J143" s="300">
        <f t="shared" si="48"/>
        <v>2.6609589041095824E-2</v>
      </c>
      <c r="K143" s="300">
        <f t="shared" si="48"/>
        <v>4.3557077625570831E-2</v>
      </c>
      <c r="L143" s="300">
        <f t="shared" si="48"/>
        <v>5.9746575342465733E-2</v>
      </c>
      <c r="M143" s="300">
        <f t="shared" si="48"/>
        <v>7.5178082191780779E-2</v>
      </c>
      <c r="N143" s="300">
        <f t="shared" si="48"/>
        <v>8.9851598173515984E-2</v>
      </c>
      <c r="O143" s="300">
        <f t="shared" si="48"/>
        <v>0.10376712328767121</v>
      </c>
      <c r="P143" s="466"/>
      <c r="Q143" s="466"/>
      <c r="R143" s="466"/>
      <c r="S143" s="466"/>
      <c r="T143" s="466"/>
      <c r="U143" s="8"/>
      <c r="V143" s="8"/>
      <c r="W143" s="8"/>
      <c r="X143" s="8"/>
      <c r="Y143" s="8"/>
      <c r="Z143" s="8"/>
      <c r="AA143" s="8"/>
      <c r="AB143" s="8"/>
    </row>
    <row r="144" spans="2:28" ht="15" customHeight="1">
      <c r="B144" s="292" t="s">
        <v>107</v>
      </c>
      <c r="C144" s="304">
        <f>0-(C142-0)</f>
        <v>-675</v>
      </c>
      <c r="D144" s="299">
        <f t="shared" ref="D144:O144" si="49">0-(D142-C142)</f>
        <v>-7391</v>
      </c>
      <c r="E144" s="299">
        <f t="shared" si="49"/>
        <v>5749</v>
      </c>
      <c r="F144" s="299">
        <f t="shared" si="49"/>
        <v>2370</v>
      </c>
      <c r="G144" s="299">
        <f t="shared" si="49"/>
        <v>11305</v>
      </c>
      <c r="H144" s="299">
        <f t="shared" si="49"/>
        <v>-1312</v>
      </c>
      <c r="I144" s="299">
        <f t="shared" si="49"/>
        <v>-10626.67705479452</v>
      </c>
      <c r="J144" s="299">
        <f t="shared" si="49"/>
        <v>-1241.4205419520513</v>
      </c>
      <c r="K144" s="299">
        <f t="shared" si="49"/>
        <v>-1249.9605147294606</v>
      </c>
      <c r="L144" s="299">
        <f t="shared" si="49"/>
        <v>-1268.2537336226487</v>
      </c>
      <c r="M144" s="299">
        <f t="shared" si="49"/>
        <v>-1284.8676454615852</v>
      </c>
      <c r="N144" s="299">
        <f t="shared" si="49"/>
        <v>-1299.6354698542564</v>
      </c>
      <c r="O144" s="299">
        <f t="shared" si="49"/>
        <v>-1312.3804442193286</v>
      </c>
      <c r="P144" s="466"/>
      <c r="Q144" s="466"/>
      <c r="R144" s="466"/>
      <c r="S144" s="466"/>
      <c r="T144" s="466"/>
      <c r="U144" s="8"/>
      <c r="V144" s="8"/>
      <c r="W144" s="8"/>
      <c r="X144" s="8"/>
      <c r="Y144" s="8"/>
      <c r="Z144" s="8"/>
      <c r="AA144" s="8"/>
      <c r="AB144" s="8"/>
    </row>
    <row r="145" spans="1:28" ht="15" customHeight="1">
      <c r="B145" s="292" t="s">
        <v>171</v>
      </c>
      <c r="C145" s="303">
        <f t="shared" ref="C145:O145" si="50">IF(ISERROR(C144/C12),0,C144/C12)</f>
        <v>-1.2845887412933429E-2</v>
      </c>
      <c r="D145" s="300">
        <f t="shared" si="50"/>
        <v>-0.13777098439800922</v>
      </c>
      <c r="E145" s="300">
        <f t="shared" si="50"/>
        <v>0.14054516562767388</v>
      </c>
      <c r="F145" s="300">
        <f t="shared" si="50"/>
        <v>5.6901394924491609E-2</v>
      </c>
      <c r="G145" s="300">
        <f t="shared" si="50"/>
        <v>0.13907341797067219</v>
      </c>
      <c r="H145" s="300">
        <f t="shared" si="50"/>
        <v>-1.307684640685737E-2</v>
      </c>
      <c r="I145" s="300">
        <f t="shared" si="50"/>
        <v>-0.16294960560603117</v>
      </c>
      <c r="J145" s="300">
        <f t="shared" si="50"/>
        <v>-1.8129484670580509E-2</v>
      </c>
      <c r="K145" s="300">
        <f t="shared" si="50"/>
        <v>-1.7722525158487507E-2</v>
      </c>
      <c r="L145" s="300">
        <f t="shared" si="50"/>
        <v>-1.745815046327075E-2</v>
      </c>
      <c r="M145" s="300">
        <f t="shared" si="50"/>
        <v>-1.7171698364144141E-2</v>
      </c>
      <c r="N145" s="300">
        <f t="shared" si="50"/>
        <v>-1.6863168861107464E-2</v>
      </c>
      <c r="O145" s="300">
        <f t="shared" si="50"/>
        <v>-1.6532561954160557E-2</v>
      </c>
      <c r="P145" s="466"/>
      <c r="Q145" s="466"/>
      <c r="R145" s="466"/>
      <c r="S145" s="466"/>
      <c r="T145" s="466"/>
      <c r="U145" s="8"/>
      <c r="V145" s="8"/>
      <c r="W145" s="8"/>
      <c r="X145" s="8"/>
      <c r="Y145" s="8"/>
      <c r="Z145" s="8"/>
      <c r="AA145" s="8"/>
      <c r="AB145" s="8"/>
    </row>
    <row r="146" spans="1:28" ht="9.75" customHeight="1">
      <c r="D146" s="74"/>
      <c r="E146" s="74"/>
      <c r="F146" s="74"/>
      <c r="G146" s="74"/>
      <c r="H146" s="74"/>
      <c r="I146" s="75"/>
      <c r="J146" s="74"/>
      <c r="K146" s="74"/>
      <c r="L146" s="74"/>
      <c r="M146" s="74"/>
      <c r="N146" s="74"/>
      <c r="O146" s="74"/>
    </row>
    <row r="147" spans="1:28" ht="20.25" customHeight="1">
      <c r="A147" s="134"/>
      <c r="B147" s="292" t="str">
        <f>""&amp;Data!C5&amp;" - Discounted Cash Flow Valuation (continued)"</f>
        <v>Pfizer Inc - Discounted Cash Flow Valuation (continued)</v>
      </c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7"/>
      <c r="Y147" s="7"/>
      <c r="Z147" s="7"/>
      <c r="AA147" s="7"/>
      <c r="AB147" s="7"/>
    </row>
    <row r="148" spans="1:28" ht="9.75" customHeight="1"/>
    <row r="149" spans="1:28" ht="15" customHeight="1">
      <c r="B149" s="294" t="s">
        <v>172</v>
      </c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9.75" customHeight="1"/>
    <row r="151" spans="1:28" ht="15" customHeight="1">
      <c r="B151" s="292" t="s">
        <v>173</v>
      </c>
      <c r="C151" s="8"/>
      <c r="D151" s="8"/>
      <c r="E151" s="467" t="s">
        <v>174</v>
      </c>
      <c r="F151" s="466"/>
      <c r="G151" s="466"/>
      <c r="H151" s="8"/>
      <c r="I151" s="292" t="s">
        <v>175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5" customHeight="1">
      <c r="B152" s="5"/>
      <c r="C152" s="8"/>
      <c r="D152" s="8"/>
      <c r="E152" s="466"/>
      <c r="F152" s="466"/>
      <c r="G152" s="466"/>
      <c r="H152" s="8"/>
      <c r="I152" s="8"/>
      <c r="J152" s="292" t="s">
        <v>176</v>
      </c>
      <c r="K152" s="292" t="s">
        <v>177</v>
      </c>
      <c r="L152" s="292" t="s">
        <v>177</v>
      </c>
      <c r="M152" s="292" t="s">
        <v>178</v>
      </c>
      <c r="N152" s="292" t="s">
        <v>179</v>
      </c>
      <c r="O152" s="292" t="s">
        <v>180</v>
      </c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5" customHeight="1">
      <c r="B153" s="292" t="s">
        <v>181</v>
      </c>
      <c r="C153" s="8"/>
      <c r="D153" s="292" t="s">
        <v>82</v>
      </c>
      <c r="E153" s="466"/>
      <c r="F153" s="466"/>
      <c r="G153" s="466"/>
      <c r="H153" s="8"/>
      <c r="I153" s="292" t="s">
        <v>182</v>
      </c>
      <c r="J153" s="292" t="s">
        <v>25</v>
      </c>
      <c r="K153" s="292" t="s">
        <v>183</v>
      </c>
      <c r="L153" s="292" t="s">
        <v>184</v>
      </c>
      <c r="M153" s="292" t="s">
        <v>185</v>
      </c>
      <c r="N153" s="292" t="s">
        <v>34</v>
      </c>
      <c r="O153" s="292" t="s">
        <v>186</v>
      </c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5" customHeight="1">
      <c r="B154" s="292" t="s">
        <v>187</v>
      </c>
      <c r="C154" s="8"/>
      <c r="D154" s="328">
        <f>WACC!$C$8</f>
        <v>0.71599999999999997</v>
      </c>
      <c r="E154" s="466"/>
      <c r="F154" s="466"/>
      <c r="G154" s="466"/>
      <c r="H154" s="8"/>
      <c r="I154" s="292" t="s">
        <v>188</v>
      </c>
      <c r="J154" s="329">
        <v>0.53</v>
      </c>
      <c r="K154" s="329">
        <v>33000</v>
      </c>
      <c r="L154" s="329">
        <v>409898</v>
      </c>
      <c r="M154" s="300">
        <f>+IF(ISERROR(K154/L154),0,K154/L154)</f>
        <v>8.0507833656177877E-2</v>
      </c>
      <c r="N154" s="300">
        <v>0.25</v>
      </c>
      <c r="O154" s="329">
        <f>+J154/(1+(M154)*(1-N154))</f>
        <v>0.49982040639782083</v>
      </c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5" customHeight="1">
      <c r="B155" s="5"/>
      <c r="C155" s="8"/>
      <c r="D155" s="8"/>
      <c r="E155" s="466"/>
      <c r="F155" s="466"/>
      <c r="G155" s="466"/>
      <c r="H155" s="8"/>
      <c r="I155" s="292" t="s">
        <v>189</v>
      </c>
      <c r="J155" s="310">
        <v>0.4</v>
      </c>
      <c r="K155" s="310">
        <v>18200</v>
      </c>
      <c r="L155" s="310">
        <v>313785</v>
      </c>
      <c r="M155" s="300">
        <f>+IF(ISERROR(K155/L155),0,K155/L155)</f>
        <v>5.8001497840878311E-2</v>
      </c>
      <c r="N155" s="300">
        <v>0.25</v>
      </c>
      <c r="O155" s="330">
        <f>+J155/(1+(M155)*(1-N155))</f>
        <v>0.38332493471986806</v>
      </c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5" customHeight="1">
      <c r="B156" s="5"/>
      <c r="C156" s="8"/>
      <c r="D156" s="8"/>
      <c r="E156" s="466"/>
      <c r="F156" s="466"/>
      <c r="G156" s="466"/>
      <c r="H156" s="8"/>
      <c r="I156" s="292" t="s">
        <v>190</v>
      </c>
      <c r="J156" s="310">
        <v>0.41</v>
      </c>
      <c r="K156" s="310">
        <v>28700</v>
      </c>
      <c r="L156" s="310">
        <v>275807</v>
      </c>
      <c r="M156" s="300">
        <f>+IF(ISERROR(K156/L156),0,K156/L156)</f>
        <v>0.1040582726326743</v>
      </c>
      <c r="N156" s="300">
        <v>0.25</v>
      </c>
      <c r="O156" s="330">
        <f>+J156/(1+(M156)*(1-N156))</f>
        <v>0.38031853281853278</v>
      </c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5" customHeight="1">
      <c r="B157" s="5"/>
      <c r="C157" s="8"/>
      <c r="D157" s="8"/>
      <c r="E157" s="466"/>
      <c r="F157" s="466"/>
      <c r="G157" s="466"/>
      <c r="H157" s="8"/>
      <c r="I157" s="8"/>
      <c r="J157" s="52"/>
      <c r="K157" s="36"/>
      <c r="L157" s="31"/>
      <c r="M157" s="300">
        <f>+IF(ISERROR(K157/L157),0,K157/L157)</f>
        <v>0</v>
      </c>
      <c r="N157" s="73"/>
      <c r="O157" s="330">
        <f>+J157/(1+(M157)*(1-N157))</f>
        <v>0</v>
      </c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5" customHeight="1">
      <c r="B158" s="292" t="s">
        <v>191</v>
      </c>
      <c r="C158" s="8"/>
      <c r="D158" s="8"/>
      <c r="E158" s="466"/>
      <c r="F158" s="466"/>
      <c r="G158" s="466"/>
      <c r="H158" s="8"/>
      <c r="I158" s="8"/>
      <c r="J158" s="52"/>
      <c r="K158" s="36"/>
      <c r="L158" s="31"/>
      <c r="M158" s="300">
        <f>+IF(ISERROR(K158/L158),0,K158/L158)</f>
        <v>0</v>
      </c>
      <c r="N158" s="73"/>
      <c r="O158" s="330">
        <f>+J158/(1+(M158)*(1-N158))</f>
        <v>0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5" customHeight="1">
      <c r="B159" s="292" t="s">
        <v>192</v>
      </c>
      <c r="C159" s="8"/>
      <c r="D159" s="331">
        <f>WACC!$C$12</f>
        <v>0.11899999999999999</v>
      </c>
      <c r="E159" s="466"/>
      <c r="F159" s="466"/>
      <c r="G159" s="466"/>
      <c r="H159" s="8"/>
      <c r="I159" s="8"/>
      <c r="J159" s="76"/>
      <c r="K159" s="77"/>
      <c r="L159" s="77"/>
      <c r="M159" s="3"/>
      <c r="N159" s="3"/>
      <c r="O159" s="7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5" customHeight="1">
      <c r="B160" s="292" t="s">
        <v>193</v>
      </c>
      <c r="C160" s="8"/>
      <c r="D160" s="300">
        <f>1-D159</f>
        <v>0.88100000000000001</v>
      </c>
      <c r="E160" s="466"/>
      <c r="F160" s="466"/>
      <c r="G160" s="466"/>
      <c r="H160" s="8"/>
      <c r="I160" s="292" t="s">
        <v>194</v>
      </c>
      <c r="J160" s="330">
        <f>AVERAGE(J154:J159)</f>
        <v>0.44666666666666671</v>
      </c>
      <c r="K160" s="8"/>
      <c r="L160" s="8"/>
      <c r="M160" s="300">
        <f>AVERAGE(M154:M159)</f>
        <v>4.8513520825946101E-2</v>
      </c>
      <c r="N160" s="8"/>
      <c r="O160" s="330">
        <f>AVERAGE(O154:O159)</f>
        <v>0.25269277478724433</v>
      </c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2:28" ht="15" customHeight="1">
      <c r="B161" s="5"/>
      <c r="C161" s="8"/>
      <c r="D161" s="3"/>
      <c r="E161" s="466"/>
      <c r="F161" s="466"/>
      <c r="G161" s="466"/>
      <c r="H161" s="8"/>
      <c r="I161" s="292" t="s">
        <v>195</v>
      </c>
      <c r="J161" s="330">
        <f>MEDIAN(J154:J159)</f>
        <v>0.41</v>
      </c>
      <c r="K161" s="8"/>
      <c r="L161" s="8"/>
      <c r="M161" s="300">
        <f>MEDIAN(M154:M159)</f>
        <v>5.8001497840878311E-2</v>
      </c>
      <c r="N161" s="8"/>
      <c r="O161" s="330">
        <f>MEDIAN(O154:O159)</f>
        <v>0.38031853281853278</v>
      </c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2:28" ht="9.75" customHeight="1">
      <c r="B162" s="79"/>
      <c r="C162" s="79"/>
      <c r="D162" s="79"/>
      <c r="E162" s="466"/>
      <c r="F162" s="466"/>
      <c r="G162" s="466"/>
      <c r="I162" s="79"/>
      <c r="J162" s="79"/>
      <c r="K162" s="79"/>
      <c r="L162" s="79"/>
      <c r="M162" s="79"/>
      <c r="N162" s="79"/>
      <c r="O162" s="79"/>
    </row>
    <row r="163" spans="2:28" ht="15" customHeight="1">
      <c r="B163" s="292" t="s">
        <v>196</v>
      </c>
      <c r="C163" s="30"/>
      <c r="D163" s="30"/>
      <c r="E163" s="466"/>
      <c r="F163" s="466"/>
      <c r="G163" s="466"/>
      <c r="H163" s="30"/>
      <c r="I163" s="325" t="str">
        <f>""&amp;Data!C5&amp;" Relevered Beta"</f>
        <v>Pfizer Inc Relevered Beta</v>
      </c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</row>
    <row r="164" spans="2:28" ht="15" customHeight="1">
      <c r="B164" s="292" t="s">
        <v>197</v>
      </c>
      <c r="C164" s="8"/>
      <c r="D164" s="331">
        <f>WACC!$F$9</f>
        <v>5.1111111111111107E-2</v>
      </c>
      <c r="E164" s="466"/>
      <c r="F164" s="466"/>
      <c r="G164" s="466"/>
      <c r="H164" s="8"/>
      <c r="I164" s="8"/>
      <c r="J164" s="8"/>
      <c r="K164" s="8"/>
      <c r="L164" s="292" t="s">
        <v>198</v>
      </c>
      <c r="M164" s="292" t="s">
        <v>199</v>
      </c>
      <c r="N164" s="292" t="s">
        <v>199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2:28" ht="15" customHeight="1">
      <c r="B165" s="292" t="s">
        <v>34</v>
      </c>
      <c r="C165" s="8"/>
      <c r="D165" s="331">
        <f>WACC!$C$15</f>
        <v>0.1</v>
      </c>
      <c r="E165" s="466"/>
      <c r="F165" s="466"/>
      <c r="G165" s="466"/>
      <c r="H165" s="8"/>
      <c r="I165" s="8"/>
      <c r="J165" s="8"/>
      <c r="K165" s="8"/>
      <c r="L165" s="292" t="s">
        <v>180</v>
      </c>
      <c r="M165" s="292" t="s">
        <v>178</v>
      </c>
      <c r="N165" s="292" t="s">
        <v>179</v>
      </c>
      <c r="O165" s="292" t="s">
        <v>200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2:28" ht="15" customHeight="1">
      <c r="B166" s="292" t="s">
        <v>201</v>
      </c>
      <c r="C166" s="8"/>
      <c r="D166" s="331">
        <f>WACC!$F$10</f>
        <v>4.5999999999999999E-2</v>
      </c>
      <c r="E166" s="466"/>
      <c r="F166" s="466"/>
      <c r="G166" s="466"/>
      <c r="H166" s="8"/>
      <c r="I166" s="8"/>
      <c r="J166" s="8"/>
      <c r="K166" s="8"/>
      <c r="L166" s="292" t="s">
        <v>186</v>
      </c>
      <c r="M166" s="292" t="s">
        <v>185</v>
      </c>
      <c r="N166" s="292" t="s">
        <v>34</v>
      </c>
      <c r="O166" s="292" t="s">
        <v>186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2:28" ht="15" customHeight="1">
      <c r="B167" s="5"/>
      <c r="C167" s="8"/>
      <c r="D167" s="8"/>
      <c r="E167" s="466"/>
      <c r="F167" s="466"/>
      <c r="G167" s="466"/>
      <c r="H167" s="8"/>
      <c r="I167" s="292" t="s">
        <v>202</v>
      </c>
      <c r="J167" s="8"/>
      <c r="K167" s="8"/>
      <c r="L167" s="330">
        <f>O160</f>
        <v>0.25269277478724433</v>
      </c>
      <c r="M167" s="300">
        <f>D159/D160</f>
        <v>0.13507377979568672</v>
      </c>
      <c r="N167" s="300">
        <f>D165</f>
        <v>0.1</v>
      </c>
      <c r="O167" s="330">
        <f>+L167*(1+(M167)*(1-N167))</f>
        <v>0.28341172618306026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2:28" ht="9.75" customHeight="1">
      <c r="B168" s="79"/>
      <c r="C168" s="79"/>
      <c r="D168" s="79"/>
      <c r="E168" s="466"/>
      <c r="F168" s="466"/>
      <c r="G168" s="466"/>
      <c r="I168" s="59"/>
      <c r="J168" s="56"/>
      <c r="K168" s="56"/>
      <c r="L168" s="80"/>
      <c r="M168" s="81"/>
      <c r="N168" s="81"/>
      <c r="O168" s="82"/>
    </row>
    <row r="169" spans="2:28" ht="15" customHeight="1">
      <c r="B169" s="292" t="s">
        <v>203</v>
      </c>
      <c r="C169" s="30"/>
      <c r="D169" s="30"/>
      <c r="E169" s="466"/>
      <c r="F169" s="466"/>
      <c r="G169" s="466"/>
      <c r="H169" s="30"/>
      <c r="I169" s="292" t="s">
        <v>204</v>
      </c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</row>
    <row r="170" spans="2:28" ht="15" customHeight="1">
      <c r="B170" s="292" t="s">
        <v>205</v>
      </c>
      <c r="C170" s="8"/>
      <c r="D170" s="331">
        <f>WACC!$C$7</f>
        <v>3.9199999999999999E-2</v>
      </c>
      <c r="E170" s="466"/>
      <c r="F170" s="466"/>
      <c r="G170" s="466"/>
      <c r="H170" s="8"/>
      <c r="I170" s="8"/>
      <c r="J170" s="8"/>
      <c r="K170" s="465" t="s">
        <v>206</v>
      </c>
      <c r="L170" s="466"/>
      <c r="M170" s="466"/>
      <c r="N170" s="466"/>
      <c r="O170" s="466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2:28" ht="15" customHeight="1">
      <c r="B171" s="292" t="s">
        <v>207</v>
      </c>
      <c r="C171" s="8"/>
      <c r="D171" s="331">
        <f>WACC!$C$9</f>
        <v>5.5E-2</v>
      </c>
      <c r="E171" s="466"/>
      <c r="F171" s="466"/>
      <c r="G171" s="466"/>
      <c r="H171" s="8"/>
      <c r="I171" s="470" t="s">
        <v>192</v>
      </c>
      <c r="J171" s="310">
        <f>D177</f>
        <v>7.5953999999999994E-2</v>
      </c>
      <c r="K171" s="300">
        <f>L171-0.005</f>
        <v>3.5000000000000003E-2</v>
      </c>
      <c r="L171" s="300">
        <f>M171-0.005</f>
        <v>0.04</v>
      </c>
      <c r="M171" s="300">
        <v>4.4999999999999998E-2</v>
      </c>
      <c r="N171" s="300">
        <f>M171+0.005</f>
        <v>4.9999999999999996E-2</v>
      </c>
      <c r="O171" s="300">
        <f>N171+0.005</f>
        <v>5.4999999999999993E-2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2:28" ht="15" customHeight="1">
      <c r="B172" s="292" t="s">
        <v>25</v>
      </c>
      <c r="C172" s="8"/>
      <c r="D172" s="328">
        <f>WACC!$C$8</f>
        <v>0.71599999999999997</v>
      </c>
      <c r="E172" s="466"/>
      <c r="F172" s="466"/>
      <c r="G172" s="466"/>
      <c r="H172" s="8"/>
      <c r="I172" s="471"/>
      <c r="J172" s="300">
        <f>J173-0.1</f>
        <v>4.9999999999999989E-2</v>
      </c>
      <c r="K172" s="300">
        <v>7.5924249999999999E-2</v>
      </c>
      <c r="L172" s="300">
        <v>7.6121750000000002E-2</v>
      </c>
      <c r="M172" s="300">
        <v>7.6319250000000005E-2</v>
      </c>
      <c r="N172" s="300">
        <v>7.6516749999999994E-2</v>
      </c>
      <c r="O172" s="300">
        <v>7.6714249999999998E-2</v>
      </c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2:28" ht="15" customHeight="1">
      <c r="B173" s="292" t="s">
        <v>208</v>
      </c>
      <c r="C173" s="8"/>
      <c r="D173" s="331">
        <f>WACC!$F$7</f>
        <v>1.4200000000000046E-3</v>
      </c>
      <c r="E173" s="466"/>
      <c r="F173" s="466"/>
      <c r="G173" s="466"/>
      <c r="H173" s="8"/>
      <c r="I173" s="471"/>
      <c r="J173" s="300">
        <f>J174-0.1</f>
        <v>0.15</v>
      </c>
      <c r="K173" s="300">
        <v>7.0842749999999996E-2</v>
      </c>
      <c r="L173" s="300">
        <v>7.1435250000000006E-2</v>
      </c>
      <c r="M173" s="300">
        <v>7.2027750000000001E-2</v>
      </c>
      <c r="N173" s="300">
        <v>7.2620249999999997E-2</v>
      </c>
      <c r="O173" s="300">
        <v>7.3212749999999993E-2</v>
      </c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2:28" ht="15" customHeight="1">
      <c r="B174" s="292" t="s">
        <v>209</v>
      </c>
      <c r="C174" s="30"/>
      <c r="D174" s="331">
        <f>WACC!$F$8</f>
        <v>0.08</v>
      </c>
      <c r="E174" s="466"/>
      <c r="F174" s="466"/>
      <c r="G174" s="466"/>
      <c r="H174" s="30"/>
      <c r="I174" s="471"/>
      <c r="J174" s="300">
        <v>0.25</v>
      </c>
      <c r="K174" s="300">
        <v>6.5761249999999993E-2</v>
      </c>
      <c r="L174" s="300">
        <v>6.6748749999999996E-2</v>
      </c>
      <c r="M174" s="300">
        <v>6.7736249999999998E-2</v>
      </c>
      <c r="N174" s="300">
        <v>6.872375E-2</v>
      </c>
      <c r="O174" s="300">
        <v>6.9711250000000002E-2</v>
      </c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 spans="2:28" ht="15" customHeight="1">
      <c r="B175" s="5"/>
      <c r="C175" s="8"/>
      <c r="D175" s="8"/>
      <c r="E175" s="466"/>
      <c r="F175" s="466"/>
      <c r="G175" s="466"/>
      <c r="H175" s="8"/>
      <c r="I175" s="471"/>
      <c r="J175" s="300">
        <f>J174+0.1</f>
        <v>0.35</v>
      </c>
      <c r="K175" s="300">
        <v>6.0679749999999998E-2</v>
      </c>
      <c r="L175" s="300">
        <v>6.2062249999999999E-2</v>
      </c>
      <c r="M175" s="300">
        <v>6.3444749999999994E-2</v>
      </c>
      <c r="N175" s="300">
        <v>6.4827250000000003E-2</v>
      </c>
      <c r="O175" s="300">
        <v>6.6209749999999998E-2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2:28" ht="15" customHeight="1">
      <c r="B176" s="5"/>
      <c r="C176" s="8"/>
      <c r="D176" s="8"/>
      <c r="E176" s="466"/>
      <c r="F176" s="466"/>
      <c r="G176" s="466"/>
      <c r="H176" s="8"/>
      <c r="I176" s="471"/>
      <c r="J176" s="300">
        <f>J175+0.1</f>
        <v>0.44999999999999996</v>
      </c>
      <c r="K176" s="300">
        <v>5.5598250000000002E-2</v>
      </c>
      <c r="L176" s="300">
        <v>5.7375750000000003E-2</v>
      </c>
      <c r="M176" s="300">
        <v>5.9153249999999997E-2</v>
      </c>
      <c r="N176" s="300">
        <v>6.0930749999999999E-2</v>
      </c>
      <c r="O176" s="300">
        <v>6.2708249999999993E-2</v>
      </c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2:28" ht="15" customHeight="1">
      <c r="B177" s="313" t="s">
        <v>210</v>
      </c>
      <c r="C177" s="54"/>
      <c r="D177" s="332">
        <f>WACC!$F$11</f>
        <v>7.5953999999999994E-2</v>
      </c>
      <c r="E177" s="468"/>
      <c r="F177" s="468"/>
      <c r="G177" s="468"/>
      <c r="H177" s="54"/>
      <c r="I177" s="83"/>
      <c r="J177" s="83"/>
      <c r="K177" s="84"/>
      <c r="L177" s="84"/>
      <c r="M177" s="84"/>
      <c r="N177" s="84"/>
      <c r="O177" s="8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</row>
    <row r="178" spans="2:28" ht="9.75" customHeight="1">
      <c r="B178" s="79"/>
      <c r="C178" s="79"/>
      <c r="D178" s="79"/>
      <c r="E178" s="68"/>
      <c r="F178" s="68"/>
      <c r="G178" s="68"/>
      <c r="H178" s="68"/>
      <c r="I178" s="68"/>
      <c r="J178" s="68"/>
      <c r="K178" s="68"/>
      <c r="L178" s="68"/>
    </row>
    <row r="179" spans="2:28" ht="15" customHeight="1">
      <c r="B179" s="473" t="s">
        <v>211</v>
      </c>
      <c r="C179" s="466"/>
      <c r="D179" s="466"/>
      <c r="E179" s="466"/>
      <c r="F179" s="466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2:28" ht="9.75" customHeight="1">
      <c r="B180" s="85"/>
      <c r="C180" s="68"/>
      <c r="D180" s="68"/>
      <c r="E180" s="68"/>
      <c r="F180" s="68"/>
      <c r="G180" s="68"/>
      <c r="H180" s="68"/>
      <c r="I180" s="68"/>
      <c r="J180" s="68"/>
      <c r="K180" s="68"/>
      <c r="L180" s="68"/>
    </row>
    <row r="181" spans="2:28" ht="15" customHeight="1">
      <c r="B181" s="292" t="s">
        <v>212</v>
      </c>
      <c r="C181" s="333">
        <f>+Data!C11</f>
        <v>40.18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2:28" ht="9.75" customHeight="1">
      <c r="B182" s="86"/>
      <c r="C182" s="68"/>
      <c r="D182" s="68"/>
      <c r="E182" s="68"/>
      <c r="F182" s="68"/>
      <c r="G182" s="68"/>
      <c r="H182" s="68"/>
      <c r="I182" s="68"/>
      <c r="J182" s="68"/>
      <c r="K182" s="68"/>
      <c r="L182" s="68"/>
    </row>
    <row r="183" spans="2:28" ht="15" customHeight="1">
      <c r="B183" s="5"/>
      <c r="C183" s="292" t="s">
        <v>213</v>
      </c>
      <c r="D183" s="292" t="s">
        <v>214</v>
      </c>
      <c r="E183" s="292" t="s">
        <v>215</v>
      </c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2:28" ht="15" customHeight="1">
      <c r="B184" s="334" t="s">
        <v>216</v>
      </c>
      <c r="C184" s="334" t="s">
        <v>217</v>
      </c>
      <c r="D184" s="334" t="s">
        <v>218</v>
      </c>
      <c r="E184" s="334" t="s">
        <v>217</v>
      </c>
      <c r="F184" s="334" t="s">
        <v>219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2:28" ht="15" customHeight="1">
      <c r="B185" s="292" t="s">
        <v>220</v>
      </c>
      <c r="C185" s="335">
        <f>Data!C13</f>
        <v>35.28</v>
      </c>
      <c r="D185" s="336">
        <f>Data!C14</f>
        <v>31.47</v>
      </c>
      <c r="E185" s="310">
        <f>IF(ISERROR(IF(D185&lt;$C$181,C185,0)),0,IF(D185&lt;$C$181,C185,0))</f>
        <v>35.28</v>
      </c>
      <c r="F185" s="310">
        <f>E185*D185</f>
        <v>1110.2616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2:28" ht="15" customHeight="1">
      <c r="B186" s="292" t="s">
        <v>221</v>
      </c>
      <c r="C186" s="310">
        <v>0</v>
      </c>
      <c r="D186" s="310">
        <v>0</v>
      </c>
      <c r="E186" s="310">
        <f>+IF(ISERROR(+IF(D186&lt;$F$183,C186,0)),0,IF(D186&lt;$F$183,C186,0))</f>
        <v>0</v>
      </c>
      <c r="F186" s="310">
        <f>E186*D186</f>
        <v>0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310">
        <v>1</v>
      </c>
      <c r="Y186" s="8"/>
      <c r="Z186" s="8"/>
      <c r="AA186" s="8"/>
      <c r="AB186" s="8"/>
    </row>
    <row r="187" spans="2:28" ht="15" customHeight="1">
      <c r="B187" s="292" t="s">
        <v>222</v>
      </c>
      <c r="C187" s="310">
        <v>0</v>
      </c>
      <c r="D187" s="310">
        <v>0</v>
      </c>
      <c r="E187" s="310">
        <f>+IF(ISERROR(+IF(D187&lt;$F$183,C187,0)),0,IF(D187&lt;$F$183,C187,0))</f>
        <v>0</v>
      </c>
      <c r="F187" s="310">
        <f>E187*D187</f>
        <v>0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2:28" ht="15" customHeight="1">
      <c r="B188" s="292" t="s">
        <v>223</v>
      </c>
      <c r="C188" s="310">
        <v>0</v>
      </c>
      <c r="D188" s="310">
        <v>0</v>
      </c>
      <c r="E188" s="310">
        <f>+IF(ISERROR(+IF(D188&lt;$F$183,C188,0)),0,IF(D188&lt;$F$183,C188,0))</f>
        <v>0</v>
      </c>
      <c r="F188" s="310">
        <f>E188*D188</f>
        <v>0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2:28" ht="15" customHeight="1">
      <c r="B189" s="292" t="s">
        <v>224</v>
      </c>
      <c r="C189" s="310">
        <v>0</v>
      </c>
      <c r="D189" s="310">
        <v>0</v>
      </c>
      <c r="E189" s="310">
        <f>+IF(ISERROR(+IF(D189&lt;$F$183,C189,0)),0,IF(D189&lt;$F$183,C189,0))</f>
        <v>0</v>
      </c>
      <c r="F189" s="310">
        <f>E189*D189</f>
        <v>0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2:28" ht="15" customHeight="1">
      <c r="B190" s="292" t="s">
        <v>225</v>
      </c>
      <c r="C190" s="322">
        <f>SUM(C185:C189)</f>
        <v>35.28</v>
      </c>
      <c r="D190" s="87"/>
      <c r="E190" s="310">
        <f>SUM(E185:E189)</f>
        <v>35.28</v>
      </c>
      <c r="F190" s="312">
        <f>SUM(F185:F189)</f>
        <v>1110.2616</v>
      </c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2:28" ht="9.75" customHeight="1">
      <c r="B191" s="79"/>
      <c r="C191" s="79"/>
      <c r="D191" s="79"/>
      <c r="E191" s="79"/>
      <c r="F191" s="79"/>
      <c r="G191" s="68"/>
      <c r="H191" s="68"/>
      <c r="I191" s="68"/>
      <c r="J191" s="68"/>
      <c r="K191" s="68"/>
      <c r="L191" s="68"/>
    </row>
    <row r="192" spans="2:28" ht="15" customHeight="1">
      <c r="B192" s="292" t="s">
        <v>226</v>
      </c>
      <c r="C192" s="8"/>
      <c r="D192" s="8"/>
      <c r="E192" s="8"/>
      <c r="F192" s="337">
        <f>+Data!C12</f>
        <v>5608</v>
      </c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2:28" ht="15" customHeight="1">
      <c r="B193" s="292" t="s">
        <v>227</v>
      </c>
      <c r="C193" s="8"/>
      <c r="D193" s="8"/>
      <c r="E193" s="8"/>
      <c r="F193" s="310">
        <f>E190</f>
        <v>35.28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2:28" ht="15" customHeight="1">
      <c r="B194" s="292" t="s">
        <v>228</v>
      </c>
      <c r="C194" s="8"/>
      <c r="D194" s="8"/>
      <c r="E194" s="8"/>
      <c r="F194" s="310">
        <f>+IF(ISERROR(-F190/C181),0,-F190/C181)</f>
        <v>-27.63219512195122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2:28" ht="15" customHeight="1">
      <c r="B195" s="292" t="s">
        <v>229</v>
      </c>
      <c r="C195" s="8"/>
      <c r="D195" s="8"/>
      <c r="E195" s="8"/>
      <c r="F195" s="310">
        <f>+IF(ISERROR(F193+F194),0,F193+F194)</f>
        <v>7.6478048780487811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2:28" ht="15" customHeight="1">
      <c r="B196" s="292" t="s">
        <v>230</v>
      </c>
      <c r="C196" s="8"/>
      <c r="D196" s="8"/>
      <c r="E196" s="8"/>
      <c r="F196" s="310">
        <v>0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2:28" ht="15" customHeight="1">
      <c r="B197" s="292" t="s">
        <v>231</v>
      </c>
      <c r="C197" s="8"/>
      <c r="D197" s="8"/>
      <c r="E197" s="8"/>
      <c r="F197" s="310">
        <f>F192+SUM(F195:F196)</f>
        <v>5615.6478048780491</v>
      </c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</sheetData>
  <mergeCells count="33">
    <mergeCell ref="I9:N9"/>
    <mergeCell ref="B90:B94"/>
    <mergeCell ref="C87:H87"/>
    <mergeCell ref="I80:I84"/>
    <mergeCell ref="K98:O98"/>
    <mergeCell ref="J97:O97"/>
    <mergeCell ref="D88:H88"/>
    <mergeCell ref="C77:H77"/>
    <mergeCell ref="F54:H54"/>
    <mergeCell ref="D98:H98"/>
    <mergeCell ref="C97:H97"/>
    <mergeCell ref="J87:O87"/>
    <mergeCell ref="J77:O77"/>
    <mergeCell ref="G58:J58"/>
    <mergeCell ref="G65:J65"/>
    <mergeCell ref="X78:AB78"/>
    <mergeCell ref="B80:B84"/>
    <mergeCell ref="W77:AB77"/>
    <mergeCell ref="B179:F179"/>
    <mergeCell ref="V80:V84"/>
    <mergeCell ref="B100:B104"/>
    <mergeCell ref="I171:I176"/>
    <mergeCell ref="D78:H78"/>
    <mergeCell ref="I90:I94"/>
    <mergeCell ref="K170:O170"/>
    <mergeCell ref="P112:T145"/>
    <mergeCell ref="I100:I104"/>
    <mergeCell ref="K78:O78"/>
    <mergeCell ref="E151:G177"/>
    <mergeCell ref="P77:T104"/>
    <mergeCell ref="K88:O88"/>
    <mergeCell ref="B45:E45"/>
    <mergeCell ref="B58:E58"/>
  </mergeCells>
  <dataValidations count="1">
    <dataValidation type="list" allowBlank="1" showInputMessage="1" showErrorMessage="1" sqref="C6:C7" xr:uid="{00000000-0002-0000-0100-000000000000}">
      <formula1>"Yes,No"</formula1>
      <formula2>0</formula2>
    </dataValidation>
  </dataValidations>
  <printOptions horizontalCentered="1"/>
  <pageMargins left="0.7" right="0.7" top="0.75" bottom="0.75" header="0.511811023622047" footer="0.3"/>
  <pageSetup scale="64" orientation="landscape" horizontalDpi="300" verticalDpi="300"/>
  <headerFooter>
    <oddFooter>&amp;L© Darrell Day&amp;C&amp;P</oddFooter>
  </headerFooter>
  <rowBreaks count="3" manualBreakCount="3">
    <brk id="72" max="16383" man="1"/>
    <brk id="106" max="16383" man="1"/>
    <brk id="146" max="16383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3A8A"/>
    <pageSetUpPr fitToPage="1"/>
  </sheetPr>
  <dimension ref="A1:CZ50"/>
  <sheetViews>
    <sheetView showGridLines="0" zoomScaleNormal="100" workbookViewId="0"/>
  </sheetViews>
  <sheetFormatPr baseColWidth="10" defaultColWidth="8.85546875" defaultRowHeight="15" outlineLevelCol="1"/>
  <cols>
    <col min="1" max="1" width="2" customWidth="1"/>
    <col min="2" max="2" width="34" customWidth="1"/>
    <col min="3" max="4" width="10.85546875" customWidth="1"/>
    <col min="5" max="5" width="2.85546875" customWidth="1"/>
    <col min="6" max="7" width="10.85546875" customWidth="1"/>
    <col min="8" max="8" width="10.85546875" customWidth="1" outlineLevel="1"/>
    <col min="9" max="9" width="2.85546875" customWidth="1"/>
    <col min="10" max="11" width="10.85546875" customWidth="1"/>
    <col min="12" max="12" width="10.85546875" customWidth="1" outlineLevel="1"/>
    <col min="13" max="13" width="2.85546875" customWidth="1"/>
    <col min="14" max="15" width="10.85546875" customWidth="1"/>
    <col min="16" max="16" width="10.85546875" customWidth="1" outlineLevel="1"/>
    <col min="17" max="17" width="2.85546875" customWidth="1"/>
    <col min="18" max="19" width="10.85546875" customWidth="1"/>
    <col min="20" max="20" width="2.85546875" customWidth="1"/>
    <col min="21" max="22" width="10.85546875" customWidth="1"/>
    <col min="23" max="23" width="10.85546875" customWidth="1" outlineLevel="1"/>
    <col min="24" max="25" width="2.85546875" hidden="1" customWidth="1"/>
    <col min="26" max="103" width="10.85546875" hidden="1" customWidth="1" outlineLevel="1"/>
    <col min="104" max="104" width="8.85546875" customWidth="1" collapsed="1"/>
  </cols>
  <sheetData>
    <row r="1" spans="1:103" ht="8" customHeight="1"/>
    <row r="2" spans="1:103" ht="22" customHeight="1">
      <c r="B2" s="248" t="str">
        <f>Data!C5&amp;" - Comparable Companies Valuation"</f>
        <v>Pfizer Inc - Comparable Companies Valuation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</row>
    <row r="3" spans="1:103" ht="16" customHeight="1">
      <c r="B3" s="249" t="s">
        <v>232</v>
      </c>
    </row>
    <row r="4" spans="1:103" ht="15" customHeight="1">
      <c r="B4" s="338" t="s">
        <v>79</v>
      </c>
      <c r="C4" s="293">
        <v>44986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</row>
    <row r="5" spans="1:103" ht="15" customHeight="1">
      <c r="B5" s="338" t="s">
        <v>80</v>
      </c>
      <c r="C5" s="293">
        <v>44926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</row>
    <row r="6" spans="1:103" ht="15" customHeight="1">
      <c r="B6" s="292" t="s">
        <v>233</v>
      </c>
      <c r="C6" s="339" t="s">
        <v>82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46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</row>
    <row r="7" spans="1:103" ht="9.75" customHeight="1">
      <c r="B7" s="88"/>
      <c r="C7" s="89"/>
    </row>
    <row r="8" spans="1:103" ht="20.25" customHeight="1">
      <c r="A8" s="134"/>
      <c r="B8" s="294" t="s">
        <v>234</v>
      </c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</row>
    <row r="9" spans="1:103" ht="9.75" customHeight="1"/>
    <row r="10" spans="1:103" ht="15" customHeight="1">
      <c r="A10" s="134"/>
      <c r="B10" s="26"/>
      <c r="C10" s="26"/>
      <c r="D10" s="26"/>
      <c r="E10" s="26"/>
      <c r="F10" s="478" t="s">
        <v>235</v>
      </c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26"/>
      <c r="R10" s="295" t="s">
        <v>236</v>
      </c>
      <c r="S10" s="295" t="s">
        <v>237</v>
      </c>
      <c r="T10" s="26"/>
      <c r="U10" s="478" t="s">
        <v>238</v>
      </c>
      <c r="V10" s="477"/>
      <c r="W10" s="477"/>
      <c r="X10" s="14"/>
      <c r="Y10" s="340"/>
      <c r="Z10" s="340"/>
      <c r="AA10" s="340"/>
      <c r="AB10" s="341" t="s">
        <v>239</v>
      </c>
      <c r="AC10" s="340"/>
      <c r="AD10" s="341" t="s">
        <v>213</v>
      </c>
      <c r="AE10" s="341" t="s">
        <v>213</v>
      </c>
      <c r="AF10" s="341" t="s">
        <v>240</v>
      </c>
      <c r="AG10" s="341" t="s">
        <v>241</v>
      </c>
      <c r="AH10" s="340"/>
      <c r="AI10" s="340"/>
      <c r="AJ10" s="341" t="s">
        <v>242</v>
      </c>
      <c r="AK10" s="342"/>
      <c r="AL10" s="340"/>
      <c r="AM10" s="340"/>
      <c r="AN10" s="340"/>
      <c r="AO10" s="340"/>
      <c r="AP10" s="340"/>
      <c r="AQ10" s="341" t="s">
        <v>243</v>
      </c>
      <c r="AR10" s="341" t="s">
        <v>244</v>
      </c>
      <c r="AS10" s="476" t="s">
        <v>245</v>
      </c>
      <c r="AT10" s="477"/>
      <c r="AU10" s="477"/>
      <c r="AV10" s="477"/>
      <c r="AW10" s="477"/>
      <c r="AX10" s="477"/>
      <c r="AY10" s="340"/>
      <c r="AZ10" s="341" t="s">
        <v>246</v>
      </c>
      <c r="BA10" s="476" t="s">
        <v>247</v>
      </c>
      <c r="BB10" s="477"/>
      <c r="BC10" s="477"/>
      <c r="BD10" s="477"/>
      <c r="BE10" s="477"/>
      <c r="BF10" s="477"/>
      <c r="BG10" s="340"/>
      <c r="BH10" s="341" t="s">
        <v>239</v>
      </c>
      <c r="BI10" s="476" t="s">
        <v>248</v>
      </c>
      <c r="BJ10" s="477"/>
      <c r="BK10" s="477"/>
      <c r="BL10" s="477"/>
      <c r="BM10" s="477"/>
      <c r="BN10" s="477"/>
      <c r="BO10" s="340"/>
      <c r="BP10" s="476" t="s">
        <v>249</v>
      </c>
      <c r="BQ10" s="477"/>
      <c r="BR10" s="477"/>
      <c r="BS10" s="477"/>
      <c r="BT10" s="477"/>
      <c r="BU10" s="477"/>
      <c r="BV10" s="340"/>
      <c r="BW10" s="341" t="s">
        <v>250</v>
      </c>
      <c r="BX10" s="476" t="s">
        <v>251</v>
      </c>
      <c r="BY10" s="477"/>
      <c r="BZ10" s="477"/>
      <c r="CA10" s="477"/>
      <c r="CB10" s="340"/>
      <c r="CC10" s="341" t="s">
        <v>252</v>
      </c>
      <c r="CD10" s="476" t="s">
        <v>253</v>
      </c>
      <c r="CE10" s="477"/>
      <c r="CF10" s="477"/>
      <c r="CG10" s="477"/>
      <c r="CH10" s="340"/>
      <c r="CI10" s="341" t="s">
        <v>254</v>
      </c>
      <c r="CJ10" s="476" t="s">
        <v>255</v>
      </c>
      <c r="CK10" s="477"/>
      <c r="CL10" s="477"/>
      <c r="CM10" s="477"/>
      <c r="CN10" s="340"/>
      <c r="CO10" s="341" t="s">
        <v>256</v>
      </c>
      <c r="CP10" s="476" t="s">
        <v>257</v>
      </c>
      <c r="CQ10" s="477"/>
      <c r="CR10" s="477"/>
      <c r="CS10" s="477"/>
      <c r="CT10" s="340"/>
      <c r="CU10" s="341" t="s">
        <v>258</v>
      </c>
      <c r="CV10" s="476" t="s">
        <v>259</v>
      </c>
      <c r="CW10" s="477"/>
      <c r="CX10" s="477"/>
      <c r="CY10" s="477"/>
    </row>
    <row r="11" spans="1:103" ht="15" customHeight="1">
      <c r="A11" s="134"/>
      <c r="B11" s="26"/>
      <c r="C11" s="295" t="s">
        <v>260</v>
      </c>
      <c r="D11" s="295" t="s">
        <v>261</v>
      </c>
      <c r="E11" s="26"/>
      <c r="F11" s="295" t="s">
        <v>236</v>
      </c>
      <c r="G11" s="295" t="s">
        <v>262</v>
      </c>
      <c r="H11" s="295" t="s">
        <v>263</v>
      </c>
      <c r="I11" s="26"/>
      <c r="J11" s="295" t="s">
        <v>236</v>
      </c>
      <c r="K11" s="295" t="s">
        <v>262</v>
      </c>
      <c r="L11" s="295" t="s">
        <v>264</v>
      </c>
      <c r="M11" s="26"/>
      <c r="N11" s="295" t="s">
        <v>236</v>
      </c>
      <c r="O11" s="295" t="s">
        <v>262</v>
      </c>
      <c r="P11" s="295" t="s">
        <v>263</v>
      </c>
      <c r="Q11" s="26"/>
      <c r="R11" s="295" t="s">
        <v>74</v>
      </c>
      <c r="S11" s="295" t="s">
        <v>265</v>
      </c>
      <c r="T11" s="26"/>
      <c r="U11" s="295" t="s">
        <v>236</v>
      </c>
      <c r="V11" s="295" t="s">
        <v>262</v>
      </c>
      <c r="W11" s="295" t="s">
        <v>263</v>
      </c>
      <c r="X11" s="14"/>
      <c r="Y11" s="340"/>
      <c r="Z11" s="340"/>
      <c r="AA11" s="340"/>
      <c r="AB11" s="341" t="s">
        <v>266</v>
      </c>
      <c r="AC11" s="341" t="s">
        <v>267</v>
      </c>
      <c r="AD11" s="341" t="s">
        <v>268</v>
      </c>
      <c r="AE11" s="341" t="s">
        <v>269</v>
      </c>
      <c r="AF11" s="341" t="s">
        <v>214</v>
      </c>
      <c r="AG11" s="341" t="s">
        <v>270</v>
      </c>
      <c r="AH11" s="341" t="s">
        <v>214</v>
      </c>
      <c r="AI11" s="341" t="s">
        <v>271</v>
      </c>
      <c r="AJ11" s="341" t="s">
        <v>272</v>
      </c>
      <c r="AK11" s="476" t="s">
        <v>273</v>
      </c>
      <c r="AL11" s="477"/>
      <c r="AM11" s="477"/>
      <c r="AN11" s="477"/>
      <c r="AO11" s="477"/>
      <c r="AP11" s="477"/>
      <c r="AQ11" s="341" t="s">
        <v>274</v>
      </c>
      <c r="AR11" s="341" t="s">
        <v>243</v>
      </c>
      <c r="AS11" s="340"/>
      <c r="AT11" s="340"/>
      <c r="AU11" s="340"/>
      <c r="AV11" s="340"/>
      <c r="AW11" s="340"/>
      <c r="AX11" s="340"/>
      <c r="AY11" s="340"/>
      <c r="AZ11" s="341" t="s">
        <v>275</v>
      </c>
      <c r="BA11" s="340"/>
      <c r="BB11" s="340"/>
      <c r="BC11" s="340"/>
      <c r="BD11" s="340"/>
      <c r="BE11" s="340"/>
      <c r="BF11" s="340"/>
      <c r="BG11" s="340"/>
      <c r="BH11" s="341" t="s">
        <v>275</v>
      </c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1" t="s">
        <v>276</v>
      </c>
      <c r="BX11" s="340"/>
      <c r="BY11" s="340"/>
      <c r="BZ11" s="340"/>
      <c r="CA11" s="340"/>
      <c r="CB11" s="340"/>
      <c r="CC11" s="341" t="s">
        <v>276</v>
      </c>
      <c r="CD11" s="340"/>
      <c r="CE11" s="340"/>
      <c r="CF11" s="340"/>
      <c r="CG11" s="340"/>
      <c r="CH11" s="340"/>
      <c r="CI11" s="341" t="s">
        <v>276</v>
      </c>
      <c r="CJ11" s="340"/>
      <c r="CK11" s="340"/>
      <c r="CL11" s="340"/>
      <c r="CM11" s="340"/>
      <c r="CN11" s="340"/>
      <c r="CO11" s="341" t="s">
        <v>276</v>
      </c>
      <c r="CP11" s="340"/>
      <c r="CQ11" s="340"/>
      <c r="CR11" s="340"/>
      <c r="CS11" s="340"/>
      <c r="CT11" s="340"/>
      <c r="CU11" s="341" t="s">
        <v>276</v>
      </c>
      <c r="CV11" s="340"/>
      <c r="CW11" s="340"/>
      <c r="CX11" s="340"/>
      <c r="CY11" s="340"/>
    </row>
    <row r="12" spans="1:103" ht="15" customHeight="1">
      <c r="A12" s="134"/>
      <c r="B12" s="343" t="s">
        <v>182</v>
      </c>
      <c r="C12" s="343" t="s">
        <v>277</v>
      </c>
      <c r="D12" s="343" t="s">
        <v>277</v>
      </c>
      <c r="E12" s="344"/>
      <c r="F12" s="343" t="s">
        <v>90</v>
      </c>
      <c r="G12" s="343" t="s">
        <v>90</v>
      </c>
      <c r="H12" s="343" t="s">
        <v>90</v>
      </c>
      <c r="I12" s="344"/>
      <c r="J12" s="343" t="s">
        <v>74</v>
      </c>
      <c r="K12" s="343" t="s">
        <v>74</v>
      </c>
      <c r="L12" s="343" t="s">
        <v>74</v>
      </c>
      <c r="M12" s="344"/>
      <c r="N12" s="343" t="s">
        <v>98</v>
      </c>
      <c r="O12" s="343" t="s">
        <v>98</v>
      </c>
      <c r="P12" s="343" t="s">
        <v>98</v>
      </c>
      <c r="Q12" s="344"/>
      <c r="R12" s="343" t="s">
        <v>278</v>
      </c>
      <c r="S12" s="343" t="s">
        <v>74</v>
      </c>
      <c r="T12" s="344"/>
      <c r="U12" s="343" t="s">
        <v>279</v>
      </c>
      <c r="V12" s="343" t="s">
        <v>279</v>
      </c>
      <c r="W12" s="343" t="s">
        <v>279</v>
      </c>
      <c r="X12" s="14"/>
      <c r="Y12" s="340"/>
      <c r="Z12" s="341" t="s">
        <v>280</v>
      </c>
      <c r="AA12" s="341" t="s">
        <v>281</v>
      </c>
      <c r="AB12" s="345" t="s">
        <v>282</v>
      </c>
      <c r="AC12" s="345" t="s">
        <v>283</v>
      </c>
      <c r="AD12" s="345" t="s">
        <v>284</v>
      </c>
      <c r="AE12" s="345" t="s">
        <v>284</v>
      </c>
      <c r="AF12" s="345" t="s">
        <v>282</v>
      </c>
      <c r="AG12" s="345" t="s">
        <v>285</v>
      </c>
      <c r="AH12" s="345" t="s">
        <v>219</v>
      </c>
      <c r="AI12" s="345" t="s">
        <v>217</v>
      </c>
      <c r="AJ12" s="345" t="s">
        <v>285</v>
      </c>
      <c r="AK12" s="345" t="s">
        <v>286</v>
      </c>
      <c r="AL12" s="345" t="s">
        <v>287</v>
      </c>
      <c r="AM12" s="345" t="s">
        <v>288</v>
      </c>
      <c r="AN12" s="345" t="s">
        <v>289</v>
      </c>
      <c r="AO12" s="341" t="s">
        <v>273</v>
      </c>
      <c r="AP12" s="340"/>
      <c r="AQ12" s="345" t="s">
        <v>290</v>
      </c>
      <c r="AR12" s="345" t="s">
        <v>274</v>
      </c>
      <c r="AS12" s="345" t="s">
        <v>90</v>
      </c>
      <c r="AT12" s="345" t="s">
        <v>291</v>
      </c>
      <c r="AU12" s="345" t="s">
        <v>292</v>
      </c>
      <c r="AV12" s="345" t="s">
        <v>74</v>
      </c>
      <c r="AW12" s="345" t="s">
        <v>98</v>
      </c>
      <c r="AX12" s="345" t="s">
        <v>293</v>
      </c>
      <c r="AY12" s="346"/>
      <c r="AZ12" s="345" t="s">
        <v>294</v>
      </c>
      <c r="BA12" s="345" t="s">
        <v>90</v>
      </c>
      <c r="BB12" s="345" t="s">
        <v>291</v>
      </c>
      <c r="BC12" s="345" t="s">
        <v>292</v>
      </c>
      <c r="BD12" s="345" t="s">
        <v>74</v>
      </c>
      <c r="BE12" s="345" t="s">
        <v>98</v>
      </c>
      <c r="BF12" s="345" t="s">
        <v>293</v>
      </c>
      <c r="BG12" s="346"/>
      <c r="BH12" s="345" t="s">
        <v>294</v>
      </c>
      <c r="BI12" s="345" t="s">
        <v>90</v>
      </c>
      <c r="BJ12" s="345" t="s">
        <v>291</v>
      </c>
      <c r="BK12" s="345" t="s">
        <v>292</v>
      </c>
      <c r="BL12" s="345" t="s">
        <v>74</v>
      </c>
      <c r="BM12" s="345" t="s">
        <v>98</v>
      </c>
      <c r="BN12" s="345" t="s">
        <v>293</v>
      </c>
      <c r="BO12" s="346"/>
      <c r="BP12" s="345" t="s">
        <v>90</v>
      </c>
      <c r="BQ12" s="345" t="s">
        <v>291</v>
      </c>
      <c r="BR12" s="345" t="s">
        <v>292</v>
      </c>
      <c r="BS12" s="345" t="s">
        <v>74</v>
      </c>
      <c r="BT12" s="345" t="s">
        <v>98</v>
      </c>
      <c r="BU12" s="345" t="s">
        <v>293</v>
      </c>
      <c r="BV12" s="346"/>
      <c r="BW12" s="345" t="s">
        <v>294</v>
      </c>
      <c r="BX12" s="345" t="s">
        <v>90</v>
      </c>
      <c r="BY12" s="345" t="s">
        <v>74</v>
      </c>
      <c r="BZ12" s="345" t="s">
        <v>98</v>
      </c>
      <c r="CA12" s="345" t="s">
        <v>293</v>
      </c>
      <c r="CB12" s="346"/>
      <c r="CC12" s="345" t="s">
        <v>294</v>
      </c>
      <c r="CD12" s="345" t="s">
        <v>90</v>
      </c>
      <c r="CE12" s="345" t="s">
        <v>74</v>
      </c>
      <c r="CF12" s="345" t="s">
        <v>98</v>
      </c>
      <c r="CG12" s="345" t="s">
        <v>293</v>
      </c>
      <c r="CH12" s="346"/>
      <c r="CI12" s="345" t="s">
        <v>294</v>
      </c>
      <c r="CJ12" s="345" t="s">
        <v>90</v>
      </c>
      <c r="CK12" s="345" t="s">
        <v>74</v>
      </c>
      <c r="CL12" s="345" t="s">
        <v>98</v>
      </c>
      <c r="CM12" s="345" t="s">
        <v>293</v>
      </c>
      <c r="CN12" s="346"/>
      <c r="CO12" s="345" t="s">
        <v>294</v>
      </c>
      <c r="CP12" s="345" t="s">
        <v>90</v>
      </c>
      <c r="CQ12" s="345" t="s">
        <v>74</v>
      </c>
      <c r="CR12" s="345" t="s">
        <v>98</v>
      </c>
      <c r="CS12" s="345" t="s">
        <v>293</v>
      </c>
      <c r="CT12" s="346"/>
      <c r="CU12" s="345" t="s">
        <v>294</v>
      </c>
      <c r="CV12" s="345" t="s">
        <v>90</v>
      </c>
      <c r="CW12" s="345" t="s">
        <v>74</v>
      </c>
      <c r="CX12" s="345" t="s">
        <v>98</v>
      </c>
      <c r="CY12" s="345" t="s">
        <v>293</v>
      </c>
    </row>
    <row r="13" spans="1:103" ht="9.75" customHeight="1"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AB13" s="92"/>
      <c r="AC13" s="92"/>
      <c r="AD13" s="93"/>
      <c r="AE13" s="93"/>
      <c r="AF13" s="93"/>
      <c r="AG13" s="93"/>
      <c r="AH13" s="93"/>
      <c r="AI13" s="93"/>
      <c r="AJ13" s="93"/>
      <c r="AO13" s="94"/>
      <c r="AP13" s="94"/>
      <c r="AR13" s="95"/>
      <c r="AZ13" s="95"/>
      <c r="BH13" s="95"/>
      <c r="BW13" s="95"/>
      <c r="CC13" s="95"/>
      <c r="CI13" s="95"/>
      <c r="CO13" s="95"/>
      <c r="CU13" s="95"/>
    </row>
    <row r="14" spans="1:103" ht="15" customHeight="1">
      <c r="B14" s="292" t="str">
        <f t="shared" ref="B14:B22" si="0">Z14</f>
        <v>Johnson &amp; Johnson</v>
      </c>
      <c r="C14" s="347">
        <f t="shared" ref="C14:C22" si="1">IF($C$6="Yes",AB14*AJ14,AB14*AD14)</f>
        <v>399427.52593999996</v>
      </c>
      <c r="D14" s="307">
        <f t="shared" ref="D14:D22" si="2">C14+AO14</f>
        <v>426180.52593999996</v>
      </c>
      <c r="E14" s="8"/>
      <c r="F14" s="319">
        <f t="shared" ref="F14:F22" si="3">IF(ISERROR($D14/BP14),"NA",$D14/BP14)</f>
        <v>5.3279225645705708</v>
      </c>
      <c r="G14" s="319">
        <f t="shared" ref="G14:G22" si="4">IF(ISERROR($D14/CP14),"NA",$D14/CP14)</f>
        <v>4.2597925074402347</v>
      </c>
      <c r="H14" s="319">
        <f t="shared" ref="H14:H22" si="5">IF(ISERROR($D14/CV14),"NA",$D14/CV14)</f>
        <v>4.1394902224761987</v>
      </c>
      <c r="I14" s="43"/>
      <c r="J14" s="319">
        <f t="shared" ref="J14:J22" si="6">IF(ISERROR($D14/BS14),"NA",IF(BS14&gt;0,$D14/BS14,"NM"))</f>
        <v>15.668401688970587</v>
      </c>
      <c r="K14" s="319">
        <f t="shared" ref="K14:K22" si="7">IF(ISERROR($D14/CQ14),"NA",IF(CQ14&gt;0,$D14/CQ14,"NM"))</f>
        <v>11.905065916350658</v>
      </c>
      <c r="L14" s="319">
        <f t="shared" ref="L14:L22" si="8">IF(ISERROR($D14/CW14),"NA",IF(CW14&gt;0,$D14/CW14,"NM"))</f>
        <v>11.269598440024504</v>
      </c>
      <c r="M14" s="43"/>
      <c r="N14" s="319">
        <f t="shared" ref="N14:N22" si="9">IF(ISERROR($D14/BT14),"NA",IF(BT14&gt;0,$D14/BT14,"NM"))</f>
        <v>21.066758573405831</v>
      </c>
      <c r="O14" s="319">
        <f t="shared" ref="O14:O22" si="10">IF(ISERROR($D14/CR14),"NA",IF(CR14&gt;0,$D14/CR14,"NM"))</f>
        <v>13.288519111771675</v>
      </c>
      <c r="P14" s="319">
        <f t="shared" ref="P14:P22" si="11">IF(ISERROR($D14/CX14),"NA",IF(CX14&gt;0,$D14/CX14,"NM"))</f>
        <v>12.723927399044118</v>
      </c>
      <c r="Q14" s="43"/>
      <c r="R14" s="300">
        <f t="shared" ref="R14:R22" si="12">IF(ISERROR(BS14/BP14),"NA",BS14/BP14)</f>
        <v>0.34004250531316416</v>
      </c>
      <c r="S14" s="319">
        <f t="shared" ref="S14:S22" si="13">IF(ISERROR(AK14/BS14),"NA",AK14/BS14)</f>
        <v>1.4574264705882354</v>
      </c>
      <c r="T14" s="43"/>
      <c r="U14" s="319">
        <f t="shared" ref="U14:U22" si="14">IF(ISERROR($AB14/BU14),"NA",IF(BU14&gt;0,$AB14/BU14,"NM"))</f>
        <v>22.670133729569091</v>
      </c>
      <c r="V14" s="319">
        <f t="shared" ref="V14:V22" si="15">IF(ISERROR($AB14/CS14),"NA",IF(CS14&gt;0,$AB14/CS14,"NM"))</f>
        <v>14.097047907972341</v>
      </c>
      <c r="W14" s="319">
        <f t="shared" ref="W14:W23" si="16">IF(ISERROR($AB14/CY14),"NA",IF(CY14&gt;0,$AB14/CY14,"NM"))</f>
        <v>13.386464670098269</v>
      </c>
      <c r="X14" s="8"/>
      <c r="Y14" s="8"/>
      <c r="Z14" s="292" t="s">
        <v>295</v>
      </c>
      <c r="AA14" s="292" t="s">
        <v>188</v>
      </c>
      <c r="AB14" s="348">
        <v>152.57</v>
      </c>
      <c r="AC14" s="312">
        <v>44986</v>
      </c>
      <c r="AD14" s="349">
        <v>2604.29</v>
      </c>
      <c r="AE14" s="349">
        <v>118.672</v>
      </c>
      <c r="AF14" s="350">
        <v>134.94999999999999</v>
      </c>
      <c r="AG14" s="350">
        <f t="shared" ref="AG14:AG22" si="17">IF(ISERROR(IF(AF14&lt;AB14,AE14,0)),0,IF(AF14&lt;AB14,AE14,0))</f>
        <v>118.672</v>
      </c>
      <c r="AH14" s="349">
        <f t="shared" ref="AH14:AH22" si="18">AG14*AF14</f>
        <v>16014.786399999999</v>
      </c>
      <c r="AI14" s="349">
        <f t="shared" ref="AI14:AI22" si="19">+IF(ISERROR(0-AH14/AB14),0,-AH14/AB14)</f>
        <v>-104.96681129973128</v>
      </c>
      <c r="AJ14" s="349">
        <f t="shared" ref="AJ14:AJ22" si="20">AD14+AG14+AI14</f>
        <v>2617.9951887002685</v>
      </c>
      <c r="AK14" s="351">
        <v>39642</v>
      </c>
      <c r="AL14" s="351">
        <v>0</v>
      </c>
      <c r="AM14" s="351">
        <v>0</v>
      </c>
      <c r="AN14" s="351">
        <v>12889</v>
      </c>
      <c r="AO14" s="351">
        <f t="shared" ref="AO14:AO22" si="21">AK14+AL14+AM14-AN14</f>
        <v>26753</v>
      </c>
      <c r="AP14" s="99"/>
      <c r="AQ14" s="310">
        <f t="shared" ref="AQ14:AQ22" si="22">MONTH(AR14)</f>
        <v>1</v>
      </c>
      <c r="AR14" s="312">
        <v>44927</v>
      </c>
      <c r="AS14" s="351">
        <v>79990</v>
      </c>
      <c r="AT14" s="351">
        <v>59760</v>
      </c>
      <c r="AU14" s="351">
        <v>6970</v>
      </c>
      <c r="AV14" s="351">
        <f t="shared" ref="AV14:AV22" si="23">AS14-AT14+AU14</f>
        <v>27200</v>
      </c>
      <c r="AW14" s="351">
        <f t="shared" ref="AW14:AW22" si="24">AV14-AU14</f>
        <v>20230</v>
      </c>
      <c r="AX14" s="310">
        <v>6.73</v>
      </c>
      <c r="AY14" s="8"/>
      <c r="AZ14" s="29"/>
      <c r="BA14" s="99"/>
      <c r="BB14" s="99"/>
      <c r="BC14" s="99"/>
      <c r="BD14" s="351">
        <f t="shared" ref="BD14:BD22" si="25">BA14-BB14+BC14</f>
        <v>0</v>
      </c>
      <c r="BE14" s="351">
        <f t="shared" ref="BE14:BE22" si="26">BD14-BC14</f>
        <v>0</v>
      </c>
      <c r="BF14" s="100"/>
      <c r="BG14" s="8"/>
      <c r="BH14" s="29"/>
      <c r="BI14" s="99"/>
      <c r="BJ14" s="99"/>
      <c r="BK14" s="99"/>
      <c r="BL14" s="351">
        <f t="shared" ref="BL14:BL22" si="27">BI14-BJ14+BK14</f>
        <v>0</v>
      </c>
      <c r="BM14" s="351">
        <f t="shared" ref="BM14:BM22" si="28">BL14-BK14</f>
        <v>0</v>
      </c>
      <c r="BN14" s="100"/>
      <c r="BO14" s="8"/>
      <c r="BP14" s="351">
        <f t="shared" ref="BP14:BP22" si="29">AS14-BA14+BI14</f>
        <v>79990</v>
      </c>
      <c r="BQ14" s="351">
        <f t="shared" ref="BQ14:BQ22" si="30">AT14-BB14+BJ14</f>
        <v>59760</v>
      </c>
      <c r="BR14" s="351">
        <f t="shared" ref="BR14:BR22" si="31">AU14-BC14+BK14</f>
        <v>6970</v>
      </c>
      <c r="BS14" s="351">
        <f t="shared" ref="BS14:BS22" si="32">AV14-BD14+BL14</f>
        <v>27200</v>
      </c>
      <c r="BT14" s="351">
        <f t="shared" ref="BT14:BT22" si="33">AW14-BE14+BM14</f>
        <v>20230</v>
      </c>
      <c r="BU14" s="352">
        <f t="shared" ref="BU14:BU22" si="34">AX14-BF14+BN14</f>
        <v>6.73</v>
      </c>
      <c r="BV14" s="8"/>
      <c r="BW14" s="312">
        <v>45292</v>
      </c>
      <c r="BX14" s="351">
        <v>97729</v>
      </c>
      <c r="BY14" s="351">
        <v>34668</v>
      </c>
      <c r="BZ14" s="351">
        <v>31008</v>
      </c>
      <c r="CA14" s="352">
        <v>10.513</v>
      </c>
      <c r="CB14" s="8"/>
      <c r="CC14" s="312">
        <f>BW14+365</f>
        <v>45657</v>
      </c>
      <c r="CD14" s="351">
        <v>100258</v>
      </c>
      <c r="CE14" s="351">
        <v>35901</v>
      </c>
      <c r="CF14" s="351">
        <v>32168</v>
      </c>
      <c r="CG14" s="352">
        <v>10.851000000000001</v>
      </c>
      <c r="CH14" s="8"/>
      <c r="CI14" s="312">
        <f>CC14+365</f>
        <v>46022</v>
      </c>
      <c r="CJ14" s="351">
        <v>103200</v>
      </c>
      <c r="CK14" s="351">
        <v>37991</v>
      </c>
      <c r="CL14" s="351">
        <v>33615</v>
      </c>
      <c r="CM14" s="352">
        <v>11.446999999999999</v>
      </c>
      <c r="CN14" s="8"/>
      <c r="CO14" s="312">
        <v>45291</v>
      </c>
      <c r="CP14" s="351">
        <f t="shared" ref="CP14:CP22" si="35">IF(AND(NOT(ISBLANK(BX14)),NOT(ISBLANK(CD14))),($AQ14/12)*BX14+((12-$AQ14)/12)*CD14,"")</f>
        <v>100047.24999999999</v>
      </c>
      <c r="CQ14" s="351">
        <f t="shared" ref="CQ14:CQ22" si="36">IF(AND(NOT(ISBLANK(BY14)),NOT(ISBLANK(CE14))),($AQ14/12)*BY14+((12-$AQ14)/12)*CE14,"")</f>
        <v>35798.25</v>
      </c>
      <c r="CR14" s="351">
        <f t="shared" ref="CR14:CR22" si="37">IF(AND(NOT(ISBLANK(BZ14)),NOT(ISBLANK(CF14))),($AQ14/12)*BZ14+((12-$AQ14)/12)*CF14,"")</f>
        <v>32071.333333333332</v>
      </c>
      <c r="CS14" s="352">
        <f t="shared" ref="CS14:CS22" si="38">IF(AND(NOT(ISBLANK(CA14)),NOT(ISBLANK(CG14))),($AQ14/12)*CA14+((12-$AQ14)/12)*CG14,"")</f>
        <v>10.822833333333334</v>
      </c>
      <c r="CT14" s="8"/>
      <c r="CU14" s="312">
        <v>45657</v>
      </c>
      <c r="CV14" s="351">
        <f t="shared" ref="CV14:CY21" si="39">IF(AND(NOT(ISBLANK(CD14)),NOT(ISBLANK(CJ14))),($AQ14/12)*CD14+((12-$AQ14)/12)*CJ14,"")</f>
        <v>102954.83333333333</v>
      </c>
      <c r="CW14" s="351">
        <f t="shared" si="39"/>
        <v>37816.833333333328</v>
      </c>
      <c r="CX14" s="351">
        <f t="shared" si="39"/>
        <v>33494.416666666664</v>
      </c>
      <c r="CY14" s="352">
        <f t="shared" si="39"/>
        <v>11.397333333333332</v>
      </c>
    </row>
    <row r="15" spans="1:103" ht="15" customHeight="1">
      <c r="B15" s="292" t="str">
        <f t="shared" si="0"/>
        <v>Eli Lilly and Company</v>
      </c>
      <c r="C15" s="347">
        <f t="shared" si="1"/>
        <v>298555.75099999999</v>
      </c>
      <c r="D15" s="307">
        <f t="shared" si="2"/>
        <v>312853.75099999999</v>
      </c>
      <c r="E15" s="8"/>
      <c r="F15" s="319">
        <f t="shared" si="3"/>
        <v>10.961401718205833</v>
      </c>
      <c r="G15" s="319">
        <f t="shared" si="4"/>
        <v>10.215632685714285</v>
      </c>
      <c r="H15" s="319">
        <f t="shared" si="5"/>
        <v>8.579562621692034</v>
      </c>
      <c r="I15" s="43"/>
      <c r="J15" s="319">
        <f t="shared" si="6"/>
        <v>36.168899974565875</v>
      </c>
      <c r="K15" s="319">
        <f t="shared" si="7"/>
        <v>30.83822089699359</v>
      </c>
      <c r="L15" s="319">
        <f t="shared" si="8"/>
        <v>22.543143896815103</v>
      </c>
      <c r="M15" s="43"/>
      <c r="N15" s="319">
        <f t="shared" si="9"/>
        <v>43.895128730374736</v>
      </c>
      <c r="O15" s="319">
        <f t="shared" si="10"/>
        <v>35.374689167797378</v>
      </c>
      <c r="P15" s="319">
        <f t="shared" si="11"/>
        <v>25.497453219233904</v>
      </c>
      <c r="Q15" s="43"/>
      <c r="R15" s="300">
        <f t="shared" si="12"/>
        <v>0.30306151765505557</v>
      </c>
      <c r="S15" s="319">
        <f t="shared" si="13"/>
        <v>1.8773844481953335</v>
      </c>
      <c r="T15" s="43"/>
      <c r="U15" s="319">
        <f t="shared" si="14"/>
        <v>45.531884057971013</v>
      </c>
      <c r="V15" s="319">
        <f t="shared" si="15"/>
        <v>37.131544734664935</v>
      </c>
      <c r="W15" s="319">
        <f t="shared" si="16"/>
        <v>26.692438402718778</v>
      </c>
      <c r="X15" s="8"/>
      <c r="Y15" s="8"/>
      <c r="Z15" s="292" t="s">
        <v>296</v>
      </c>
      <c r="AA15" s="292" t="s">
        <v>189</v>
      </c>
      <c r="AB15" s="348">
        <v>314.17</v>
      </c>
      <c r="AC15" s="312">
        <v>44986</v>
      </c>
      <c r="AD15" s="349">
        <v>950.3</v>
      </c>
      <c r="AE15" s="349">
        <v>0</v>
      </c>
      <c r="AF15" s="349">
        <v>0</v>
      </c>
      <c r="AG15" s="348">
        <f t="shared" si="17"/>
        <v>0</v>
      </c>
      <c r="AH15" s="349">
        <f t="shared" si="18"/>
        <v>0</v>
      </c>
      <c r="AI15" s="349">
        <f t="shared" si="19"/>
        <v>0</v>
      </c>
      <c r="AJ15" s="349">
        <f t="shared" si="20"/>
        <v>950.3</v>
      </c>
      <c r="AK15" s="351">
        <v>16239</v>
      </c>
      <c r="AL15" s="351">
        <v>126</v>
      </c>
      <c r="AM15" s="351">
        <v>0</v>
      </c>
      <c r="AN15" s="351">
        <v>2067</v>
      </c>
      <c r="AO15" s="351">
        <f t="shared" si="21"/>
        <v>14298</v>
      </c>
      <c r="AP15" s="99"/>
      <c r="AQ15" s="310">
        <f t="shared" si="22"/>
        <v>12</v>
      </c>
      <c r="AR15" s="312">
        <v>44926</v>
      </c>
      <c r="AS15" s="351">
        <v>28541.4</v>
      </c>
      <c r="AT15" s="351">
        <v>21414.1</v>
      </c>
      <c r="AU15" s="351">
        <v>1522.5</v>
      </c>
      <c r="AV15" s="351">
        <f t="shared" si="23"/>
        <v>8649.8000000000029</v>
      </c>
      <c r="AW15" s="351">
        <f t="shared" si="24"/>
        <v>7127.3000000000029</v>
      </c>
      <c r="AX15" s="310">
        <v>6.9</v>
      </c>
      <c r="AY15" s="8"/>
      <c r="AZ15" s="29"/>
      <c r="BA15" s="99"/>
      <c r="BB15" s="99"/>
      <c r="BC15" s="99"/>
      <c r="BD15" s="351">
        <f t="shared" si="25"/>
        <v>0</v>
      </c>
      <c r="BE15" s="351">
        <f t="shared" si="26"/>
        <v>0</v>
      </c>
      <c r="BF15" s="100"/>
      <c r="BG15" s="8"/>
      <c r="BH15" s="29"/>
      <c r="BI15" s="99"/>
      <c r="BJ15" s="99"/>
      <c r="BK15" s="99"/>
      <c r="BL15" s="351">
        <f t="shared" si="27"/>
        <v>0</v>
      </c>
      <c r="BM15" s="351">
        <f t="shared" si="28"/>
        <v>0</v>
      </c>
      <c r="BN15" s="100"/>
      <c r="BO15" s="8"/>
      <c r="BP15" s="351">
        <f t="shared" si="29"/>
        <v>28541.4</v>
      </c>
      <c r="BQ15" s="351">
        <f t="shared" si="30"/>
        <v>21414.1</v>
      </c>
      <c r="BR15" s="351">
        <f t="shared" si="31"/>
        <v>1522.5</v>
      </c>
      <c r="BS15" s="351">
        <f t="shared" si="32"/>
        <v>8649.8000000000029</v>
      </c>
      <c r="BT15" s="351">
        <f t="shared" si="33"/>
        <v>7127.3000000000029</v>
      </c>
      <c r="BU15" s="352">
        <f t="shared" si="34"/>
        <v>6.9</v>
      </c>
      <c r="BV15" s="8"/>
      <c r="BW15" s="312">
        <v>45291</v>
      </c>
      <c r="BX15" s="351">
        <v>30625</v>
      </c>
      <c r="BY15" s="351">
        <v>10145</v>
      </c>
      <c r="BZ15" s="351">
        <v>8844</v>
      </c>
      <c r="CA15" s="352">
        <v>8.4610000000000003</v>
      </c>
      <c r="CB15" s="8"/>
      <c r="CC15" s="312">
        <f>BW15+365</f>
        <v>45656</v>
      </c>
      <c r="CD15" s="351">
        <v>36465</v>
      </c>
      <c r="CE15" s="351">
        <v>13878</v>
      </c>
      <c r="CF15" s="351">
        <v>12270</v>
      </c>
      <c r="CG15" s="352">
        <v>11.77</v>
      </c>
      <c r="CH15" s="8"/>
      <c r="CI15" s="312">
        <f>CC15+365</f>
        <v>46021</v>
      </c>
      <c r="CJ15" s="351">
        <v>43320</v>
      </c>
      <c r="CK15" s="351">
        <v>18222</v>
      </c>
      <c r="CL15" s="351">
        <v>16634</v>
      </c>
      <c r="CM15" s="352">
        <v>15.964</v>
      </c>
      <c r="CN15" s="8"/>
      <c r="CO15" s="312">
        <v>45291</v>
      </c>
      <c r="CP15" s="351">
        <f t="shared" si="35"/>
        <v>30625</v>
      </c>
      <c r="CQ15" s="351">
        <f t="shared" si="36"/>
        <v>10145</v>
      </c>
      <c r="CR15" s="351">
        <f t="shared" si="37"/>
        <v>8844</v>
      </c>
      <c r="CS15" s="352">
        <f t="shared" si="38"/>
        <v>8.4610000000000003</v>
      </c>
      <c r="CT15" s="8"/>
      <c r="CU15" s="312">
        <v>45657</v>
      </c>
      <c r="CV15" s="351">
        <f t="shared" si="39"/>
        <v>36465</v>
      </c>
      <c r="CW15" s="351">
        <f t="shared" si="39"/>
        <v>13878</v>
      </c>
      <c r="CX15" s="351">
        <f t="shared" si="39"/>
        <v>12270</v>
      </c>
      <c r="CY15" s="352">
        <f t="shared" si="39"/>
        <v>11.77</v>
      </c>
    </row>
    <row r="16" spans="1:103" ht="15" customHeight="1">
      <c r="B16" s="292" t="str">
        <f t="shared" si="0"/>
        <v>Merck &amp; Co.</v>
      </c>
      <c r="C16" s="347">
        <f t="shared" si="1"/>
        <v>270895.67673000001</v>
      </c>
      <c r="D16" s="307">
        <f t="shared" si="2"/>
        <v>288959.67673000001</v>
      </c>
      <c r="E16" s="8"/>
      <c r="F16" s="319">
        <f t="shared" si="3"/>
        <v>4.8742418016969449</v>
      </c>
      <c r="G16" s="319">
        <f t="shared" si="4"/>
        <v>4.9539624668689672</v>
      </c>
      <c r="H16" s="319">
        <f t="shared" si="5"/>
        <v>4.6797362905080409</v>
      </c>
      <c r="I16" s="43"/>
      <c r="J16" s="319">
        <f t="shared" si="6"/>
        <v>13.222278609407889</v>
      </c>
      <c r="K16" s="319">
        <f t="shared" si="7"/>
        <v>11.939002467875884</v>
      </c>
      <c r="L16" s="319">
        <f t="shared" si="8"/>
        <v>10.021491181591177</v>
      </c>
      <c r="M16" s="43"/>
      <c r="N16" s="319">
        <f t="shared" si="9"/>
        <v>16.102517510727221</v>
      </c>
      <c r="O16" s="319">
        <f t="shared" si="10"/>
        <v>13.680507372881356</v>
      </c>
      <c r="P16" s="319">
        <f t="shared" si="11"/>
        <v>11.296754240978927</v>
      </c>
      <c r="Q16" s="43"/>
      <c r="R16" s="300">
        <f t="shared" si="12"/>
        <v>0.36863856417522728</v>
      </c>
      <c r="S16" s="319">
        <f t="shared" si="13"/>
        <v>1.4043653335773771</v>
      </c>
      <c r="T16" s="43"/>
      <c r="U16" s="319">
        <f t="shared" si="14"/>
        <v>18.677758318739055</v>
      </c>
      <c r="V16" s="319">
        <f t="shared" si="15"/>
        <v>15.18581802648441</v>
      </c>
      <c r="W16" s="319">
        <f t="shared" si="16"/>
        <v>12.386759581881535</v>
      </c>
      <c r="X16" s="8"/>
      <c r="Y16" s="8"/>
      <c r="Z16" s="292" t="s">
        <v>297</v>
      </c>
      <c r="AA16" s="292" t="s">
        <v>190</v>
      </c>
      <c r="AB16" s="348">
        <v>106.65</v>
      </c>
      <c r="AC16" s="312">
        <v>44986</v>
      </c>
      <c r="AD16" s="349">
        <v>2535.4</v>
      </c>
      <c r="AE16" s="349">
        <v>13.7193</v>
      </c>
      <c r="AF16" s="349">
        <v>70.55</v>
      </c>
      <c r="AG16" s="348">
        <f t="shared" si="17"/>
        <v>13.7193</v>
      </c>
      <c r="AH16" s="349">
        <f t="shared" si="18"/>
        <v>967.896615</v>
      </c>
      <c r="AI16" s="349">
        <f t="shared" si="19"/>
        <v>-9.0754488045007022</v>
      </c>
      <c r="AJ16" s="349">
        <f t="shared" si="20"/>
        <v>2540.0438511954994</v>
      </c>
      <c r="AK16" s="351">
        <v>30691</v>
      </c>
      <c r="AL16" s="351">
        <v>67</v>
      </c>
      <c r="AM16" s="351">
        <v>0</v>
      </c>
      <c r="AN16" s="351">
        <v>12694</v>
      </c>
      <c r="AO16" s="351">
        <f t="shared" si="21"/>
        <v>18064</v>
      </c>
      <c r="AP16" s="99"/>
      <c r="AQ16" s="310">
        <f t="shared" si="22"/>
        <v>12</v>
      </c>
      <c r="AR16" s="312">
        <v>44926</v>
      </c>
      <c r="AS16" s="351">
        <v>59283</v>
      </c>
      <c r="AT16" s="351">
        <v>41338</v>
      </c>
      <c r="AU16" s="351">
        <v>3909</v>
      </c>
      <c r="AV16" s="351">
        <f t="shared" si="23"/>
        <v>21854</v>
      </c>
      <c r="AW16" s="351">
        <f t="shared" si="24"/>
        <v>17945</v>
      </c>
      <c r="AX16" s="310">
        <v>5.71</v>
      </c>
      <c r="AY16" s="8"/>
      <c r="AZ16" s="29"/>
      <c r="BA16" s="99"/>
      <c r="BB16" s="99"/>
      <c r="BC16" s="99"/>
      <c r="BD16" s="351">
        <f t="shared" si="25"/>
        <v>0</v>
      </c>
      <c r="BE16" s="351">
        <f t="shared" si="26"/>
        <v>0</v>
      </c>
      <c r="BF16" s="100"/>
      <c r="BG16" s="8"/>
      <c r="BH16" s="29"/>
      <c r="BI16" s="99"/>
      <c r="BJ16" s="99"/>
      <c r="BK16" s="99"/>
      <c r="BL16" s="351">
        <f t="shared" si="27"/>
        <v>0</v>
      </c>
      <c r="BM16" s="351">
        <f t="shared" si="28"/>
        <v>0</v>
      </c>
      <c r="BN16" s="100"/>
      <c r="BO16" s="8"/>
      <c r="BP16" s="351">
        <f t="shared" si="29"/>
        <v>59283</v>
      </c>
      <c r="BQ16" s="351">
        <f t="shared" si="30"/>
        <v>41338</v>
      </c>
      <c r="BR16" s="351">
        <f t="shared" si="31"/>
        <v>3909</v>
      </c>
      <c r="BS16" s="351">
        <f t="shared" si="32"/>
        <v>21854</v>
      </c>
      <c r="BT16" s="351">
        <f t="shared" si="33"/>
        <v>17945</v>
      </c>
      <c r="BU16" s="352">
        <f t="shared" si="34"/>
        <v>5.71</v>
      </c>
      <c r="BV16" s="8"/>
      <c r="BW16" s="312">
        <v>45291</v>
      </c>
      <c r="BX16" s="351">
        <v>58329</v>
      </c>
      <c r="BY16" s="351">
        <v>24203</v>
      </c>
      <c r="BZ16" s="351">
        <v>21122</v>
      </c>
      <c r="CA16" s="352">
        <v>7.0229999999999997</v>
      </c>
      <c r="CB16" s="8"/>
      <c r="CC16" s="312">
        <f>BW16+365</f>
        <v>45656</v>
      </c>
      <c r="CD16" s="351">
        <v>61747</v>
      </c>
      <c r="CE16" s="351">
        <v>28834</v>
      </c>
      <c r="CF16" s="351">
        <v>25579</v>
      </c>
      <c r="CG16" s="352">
        <v>8.61</v>
      </c>
      <c r="CH16" s="8"/>
      <c r="CI16" s="312">
        <f>CC16+365</f>
        <v>46021</v>
      </c>
      <c r="CJ16" s="351">
        <v>65565</v>
      </c>
      <c r="CK16" s="351">
        <v>31389</v>
      </c>
      <c r="CL16" s="351">
        <v>27897</v>
      </c>
      <c r="CM16" s="352">
        <v>9.5879999999999992</v>
      </c>
      <c r="CN16" s="8"/>
      <c r="CO16" s="312">
        <v>45291</v>
      </c>
      <c r="CP16" s="351">
        <f t="shared" si="35"/>
        <v>58329</v>
      </c>
      <c r="CQ16" s="351">
        <f t="shared" si="36"/>
        <v>24203</v>
      </c>
      <c r="CR16" s="351">
        <f t="shared" si="37"/>
        <v>21122</v>
      </c>
      <c r="CS16" s="352">
        <f t="shared" si="38"/>
        <v>7.0229999999999997</v>
      </c>
      <c r="CT16" s="8"/>
      <c r="CU16" s="312">
        <v>45657</v>
      </c>
      <c r="CV16" s="351">
        <f t="shared" si="39"/>
        <v>61747</v>
      </c>
      <c r="CW16" s="351">
        <f t="shared" si="39"/>
        <v>28834</v>
      </c>
      <c r="CX16" s="351">
        <f t="shared" si="39"/>
        <v>25579</v>
      </c>
      <c r="CY16" s="352">
        <f t="shared" si="39"/>
        <v>8.61</v>
      </c>
    </row>
    <row r="17" spans="1:103" ht="15" customHeight="1">
      <c r="B17" s="353">
        <f t="shared" si="0"/>
        <v>0</v>
      </c>
      <c r="C17" s="347">
        <f t="shared" si="1"/>
        <v>0</v>
      </c>
      <c r="D17" s="307">
        <f t="shared" si="2"/>
        <v>0</v>
      </c>
      <c r="E17" s="8"/>
      <c r="F17" s="354" t="str">
        <f t="shared" si="3"/>
        <v>NA</v>
      </c>
      <c r="G17" s="354" t="str">
        <f t="shared" si="4"/>
        <v>NA</v>
      </c>
      <c r="H17" s="354" t="str">
        <f t="shared" si="5"/>
        <v>NA</v>
      </c>
      <c r="I17" s="43"/>
      <c r="J17" s="354" t="str">
        <f t="shared" si="6"/>
        <v>NA</v>
      </c>
      <c r="K17" s="354" t="str">
        <f t="shared" si="7"/>
        <v>NA</v>
      </c>
      <c r="L17" s="354" t="str">
        <f t="shared" si="8"/>
        <v>NA</v>
      </c>
      <c r="M17" s="43"/>
      <c r="N17" s="354" t="str">
        <f t="shared" si="9"/>
        <v>NA</v>
      </c>
      <c r="O17" s="354" t="str">
        <f t="shared" si="10"/>
        <v>NA</v>
      </c>
      <c r="P17" s="354" t="str">
        <f t="shared" si="11"/>
        <v>NA</v>
      </c>
      <c r="Q17" s="43"/>
      <c r="R17" s="325" t="str">
        <f t="shared" si="12"/>
        <v>NA</v>
      </c>
      <c r="S17" s="354" t="str">
        <f t="shared" si="13"/>
        <v>NA</v>
      </c>
      <c r="T17" s="43"/>
      <c r="U17" s="354" t="str">
        <f t="shared" si="14"/>
        <v>NA</v>
      </c>
      <c r="V17" s="354" t="str">
        <f t="shared" si="15"/>
        <v>NA</v>
      </c>
      <c r="W17" s="354" t="str">
        <f t="shared" si="16"/>
        <v>NA</v>
      </c>
      <c r="X17" s="8"/>
      <c r="Y17" s="8"/>
      <c r="Z17" s="8"/>
      <c r="AA17" s="8"/>
      <c r="AB17" s="101"/>
      <c r="AC17" s="29"/>
      <c r="AD17" s="97"/>
      <c r="AE17" s="97"/>
      <c r="AF17" s="97"/>
      <c r="AG17" s="348">
        <f t="shared" si="17"/>
        <v>0</v>
      </c>
      <c r="AH17" s="349">
        <f t="shared" si="18"/>
        <v>0</v>
      </c>
      <c r="AI17" s="349">
        <f t="shared" si="19"/>
        <v>0</v>
      </c>
      <c r="AJ17" s="349">
        <f t="shared" si="20"/>
        <v>0</v>
      </c>
      <c r="AK17" s="99"/>
      <c r="AL17" s="99"/>
      <c r="AM17" s="99"/>
      <c r="AN17" s="99"/>
      <c r="AO17" s="351">
        <f t="shared" si="21"/>
        <v>0</v>
      </c>
      <c r="AP17" s="99"/>
      <c r="AQ17" s="310">
        <f t="shared" si="22"/>
        <v>1</v>
      </c>
      <c r="AR17" s="29"/>
      <c r="AS17" s="99"/>
      <c r="AT17" s="99"/>
      <c r="AU17" s="99"/>
      <c r="AV17" s="351">
        <f t="shared" si="23"/>
        <v>0</v>
      </c>
      <c r="AW17" s="351">
        <f t="shared" si="24"/>
        <v>0</v>
      </c>
      <c r="AX17" s="8"/>
      <c r="AY17" s="8"/>
      <c r="AZ17" s="29"/>
      <c r="BA17" s="99"/>
      <c r="BB17" s="99"/>
      <c r="BC17" s="99"/>
      <c r="BD17" s="351">
        <f t="shared" si="25"/>
        <v>0</v>
      </c>
      <c r="BE17" s="351">
        <f t="shared" si="26"/>
        <v>0</v>
      </c>
      <c r="BF17" s="100"/>
      <c r="BG17" s="8"/>
      <c r="BH17" s="29"/>
      <c r="BI17" s="99"/>
      <c r="BJ17" s="99"/>
      <c r="BK17" s="99"/>
      <c r="BL17" s="351">
        <f t="shared" si="27"/>
        <v>0</v>
      </c>
      <c r="BM17" s="351">
        <f t="shared" si="28"/>
        <v>0</v>
      </c>
      <c r="BN17" s="100"/>
      <c r="BO17" s="8"/>
      <c r="BP17" s="351">
        <f t="shared" si="29"/>
        <v>0</v>
      </c>
      <c r="BQ17" s="351">
        <f t="shared" si="30"/>
        <v>0</v>
      </c>
      <c r="BR17" s="351">
        <f t="shared" si="31"/>
        <v>0</v>
      </c>
      <c r="BS17" s="351">
        <f t="shared" si="32"/>
        <v>0</v>
      </c>
      <c r="BT17" s="351">
        <f t="shared" si="33"/>
        <v>0</v>
      </c>
      <c r="BU17" s="352">
        <f t="shared" si="34"/>
        <v>0</v>
      </c>
      <c r="BV17" s="8"/>
      <c r="BW17" s="34"/>
      <c r="BX17" s="99"/>
      <c r="BY17" s="99"/>
      <c r="BZ17" s="99"/>
      <c r="CA17" s="100"/>
      <c r="CB17" s="8"/>
      <c r="CC17" s="34"/>
      <c r="CD17" s="99"/>
      <c r="CE17" s="99"/>
      <c r="CF17" s="99"/>
      <c r="CG17" s="100"/>
      <c r="CH17" s="8"/>
      <c r="CI17" s="34"/>
      <c r="CJ17" s="99"/>
      <c r="CK17" s="99"/>
      <c r="CL17" s="99"/>
      <c r="CM17" s="100"/>
      <c r="CN17" s="8"/>
      <c r="CO17" s="34"/>
      <c r="CP17" s="355" t="str">
        <f t="shared" si="35"/>
        <v/>
      </c>
      <c r="CQ17" s="355" t="str">
        <f t="shared" si="36"/>
        <v/>
      </c>
      <c r="CR17" s="355" t="str">
        <f t="shared" si="37"/>
        <v/>
      </c>
      <c r="CS17" s="356" t="str">
        <f t="shared" si="38"/>
        <v/>
      </c>
      <c r="CT17" s="8"/>
      <c r="CU17" s="34"/>
      <c r="CV17" s="355" t="str">
        <f t="shared" si="39"/>
        <v/>
      </c>
      <c r="CW17" s="355" t="str">
        <f t="shared" si="39"/>
        <v/>
      </c>
      <c r="CX17" s="355" t="str">
        <f t="shared" si="39"/>
        <v/>
      </c>
      <c r="CY17" s="356" t="str">
        <f t="shared" si="39"/>
        <v/>
      </c>
    </row>
    <row r="18" spans="1:103" ht="15" customHeight="1">
      <c r="B18" s="353">
        <f t="shared" si="0"/>
        <v>0</v>
      </c>
      <c r="C18" s="347">
        <f t="shared" si="1"/>
        <v>0</v>
      </c>
      <c r="D18" s="307">
        <f t="shared" si="2"/>
        <v>0</v>
      </c>
      <c r="E18" s="8"/>
      <c r="F18" s="354" t="str">
        <f t="shared" si="3"/>
        <v>NA</v>
      </c>
      <c r="G18" s="354" t="str">
        <f t="shared" si="4"/>
        <v>NA</v>
      </c>
      <c r="H18" s="354" t="str">
        <f t="shared" si="5"/>
        <v>NA</v>
      </c>
      <c r="I18" s="43"/>
      <c r="J18" s="354" t="str">
        <f t="shared" si="6"/>
        <v>NA</v>
      </c>
      <c r="K18" s="354" t="str">
        <f t="shared" si="7"/>
        <v>NA</v>
      </c>
      <c r="L18" s="354" t="str">
        <f t="shared" si="8"/>
        <v>NA</v>
      </c>
      <c r="M18" s="43"/>
      <c r="N18" s="354" t="str">
        <f t="shared" si="9"/>
        <v>NA</v>
      </c>
      <c r="O18" s="354" t="str">
        <f t="shared" si="10"/>
        <v>NA</v>
      </c>
      <c r="P18" s="354" t="str">
        <f t="shared" si="11"/>
        <v>NA</v>
      </c>
      <c r="Q18" s="43"/>
      <c r="R18" s="325" t="str">
        <f t="shared" si="12"/>
        <v>NA</v>
      </c>
      <c r="S18" s="354" t="str">
        <f t="shared" si="13"/>
        <v>NA</v>
      </c>
      <c r="T18" s="43"/>
      <c r="U18" s="354" t="str">
        <f t="shared" si="14"/>
        <v>NA</v>
      </c>
      <c r="V18" s="354" t="str">
        <f t="shared" si="15"/>
        <v>NA</v>
      </c>
      <c r="W18" s="354" t="str">
        <f t="shared" si="16"/>
        <v>NA</v>
      </c>
      <c r="X18" s="8"/>
      <c r="Y18" s="8"/>
      <c r="Z18" s="8"/>
      <c r="AA18" s="8"/>
      <c r="AB18" s="101"/>
      <c r="AC18" s="29"/>
      <c r="AD18" s="97"/>
      <c r="AE18" s="97"/>
      <c r="AF18" s="97"/>
      <c r="AG18" s="348">
        <f t="shared" si="17"/>
        <v>0</v>
      </c>
      <c r="AH18" s="349">
        <f t="shared" si="18"/>
        <v>0</v>
      </c>
      <c r="AI18" s="349">
        <f t="shared" si="19"/>
        <v>0</v>
      </c>
      <c r="AJ18" s="349">
        <f t="shared" si="20"/>
        <v>0</v>
      </c>
      <c r="AK18" s="99"/>
      <c r="AL18" s="99"/>
      <c r="AM18" s="99"/>
      <c r="AN18" s="99"/>
      <c r="AO18" s="351">
        <f t="shared" si="21"/>
        <v>0</v>
      </c>
      <c r="AP18" s="99"/>
      <c r="AQ18" s="310">
        <f t="shared" si="22"/>
        <v>1</v>
      </c>
      <c r="AR18" s="29"/>
      <c r="AS18" s="99"/>
      <c r="AT18" s="99"/>
      <c r="AU18" s="99"/>
      <c r="AV18" s="351">
        <f t="shared" si="23"/>
        <v>0</v>
      </c>
      <c r="AW18" s="351">
        <f t="shared" si="24"/>
        <v>0</v>
      </c>
      <c r="AX18" s="8"/>
      <c r="AY18" s="8"/>
      <c r="AZ18" s="29"/>
      <c r="BA18" s="99"/>
      <c r="BB18" s="99"/>
      <c r="BC18" s="99"/>
      <c r="BD18" s="351">
        <f t="shared" si="25"/>
        <v>0</v>
      </c>
      <c r="BE18" s="351">
        <f t="shared" si="26"/>
        <v>0</v>
      </c>
      <c r="BF18" s="100"/>
      <c r="BG18" s="8"/>
      <c r="BH18" s="29"/>
      <c r="BI18" s="99"/>
      <c r="BJ18" s="99"/>
      <c r="BK18" s="99"/>
      <c r="BL18" s="351">
        <f t="shared" si="27"/>
        <v>0</v>
      </c>
      <c r="BM18" s="351">
        <f t="shared" si="28"/>
        <v>0</v>
      </c>
      <c r="BN18" s="100"/>
      <c r="BO18" s="8"/>
      <c r="BP18" s="351">
        <f t="shared" si="29"/>
        <v>0</v>
      </c>
      <c r="BQ18" s="351">
        <f t="shared" si="30"/>
        <v>0</v>
      </c>
      <c r="BR18" s="351">
        <f t="shared" si="31"/>
        <v>0</v>
      </c>
      <c r="BS18" s="351">
        <f t="shared" si="32"/>
        <v>0</v>
      </c>
      <c r="BT18" s="351">
        <f t="shared" si="33"/>
        <v>0</v>
      </c>
      <c r="BU18" s="352">
        <f t="shared" si="34"/>
        <v>0</v>
      </c>
      <c r="BV18" s="8"/>
      <c r="BW18" s="34"/>
      <c r="BX18" s="99"/>
      <c r="BY18" s="99"/>
      <c r="BZ18" s="99"/>
      <c r="CA18" s="100"/>
      <c r="CB18" s="8"/>
      <c r="CC18" s="34"/>
      <c r="CD18" s="99"/>
      <c r="CE18" s="99"/>
      <c r="CF18" s="99"/>
      <c r="CG18" s="100"/>
      <c r="CH18" s="8"/>
      <c r="CI18" s="34"/>
      <c r="CJ18" s="99"/>
      <c r="CK18" s="99"/>
      <c r="CL18" s="99"/>
      <c r="CM18" s="100"/>
      <c r="CN18" s="8"/>
      <c r="CO18" s="34"/>
      <c r="CP18" s="355" t="str">
        <f t="shared" si="35"/>
        <v/>
      </c>
      <c r="CQ18" s="355" t="str">
        <f t="shared" si="36"/>
        <v/>
      </c>
      <c r="CR18" s="355" t="str">
        <f t="shared" si="37"/>
        <v/>
      </c>
      <c r="CS18" s="356" t="str">
        <f t="shared" si="38"/>
        <v/>
      </c>
      <c r="CT18" s="8"/>
      <c r="CU18" s="34"/>
      <c r="CV18" s="355" t="str">
        <f t="shared" si="39"/>
        <v/>
      </c>
      <c r="CW18" s="355" t="str">
        <f t="shared" si="39"/>
        <v/>
      </c>
      <c r="CX18" s="355" t="str">
        <f t="shared" si="39"/>
        <v/>
      </c>
      <c r="CY18" s="356" t="str">
        <f t="shared" si="39"/>
        <v/>
      </c>
    </row>
    <row r="19" spans="1:103" ht="15" customHeight="1">
      <c r="B19" s="353">
        <f t="shared" si="0"/>
        <v>0</v>
      </c>
      <c r="C19" s="347">
        <f t="shared" si="1"/>
        <v>0</v>
      </c>
      <c r="D19" s="307">
        <f t="shared" si="2"/>
        <v>0</v>
      </c>
      <c r="E19" s="8"/>
      <c r="F19" s="354" t="str">
        <f t="shared" si="3"/>
        <v>NA</v>
      </c>
      <c r="G19" s="354" t="str">
        <f t="shared" si="4"/>
        <v>NA</v>
      </c>
      <c r="H19" s="354" t="str">
        <f t="shared" si="5"/>
        <v>NA</v>
      </c>
      <c r="I19" s="43"/>
      <c r="J19" s="354" t="str">
        <f t="shared" si="6"/>
        <v>NA</v>
      </c>
      <c r="K19" s="354" t="str">
        <f t="shared" si="7"/>
        <v>NA</v>
      </c>
      <c r="L19" s="354" t="str">
        <f t="shared" si="8"/>
        <v>NA</v>
      </c>
      <c r="M19" s="43"/>
      <c r="N19" s="354" t="str">
        <f t="shared" si="9"/>
        <v>NA</v>
      </c>
      <c r="O19" s="354" t="str">
        <f t="shared" si="10"/>
        <v>NA</v>
      </c>
      <c r="P19" s="354" t="str">
        <f t="shared" si="11"/>
        <v>NA</v>
      </c>
      <c r="Q19" s="43"/>
      <c r="R19" s="325" t="str">
        <f t="shared" si="12"/>
        <v>NA</v>
      </c>
      <c r="S19" s="354" t="str">
        <f t="shared" si="13"/>
        <v>NA</v>
      </c>
      <c r="T19" s="43"/>
      <c r="U19" s="354" t="str">
        <f t="shared" si="14"/>
        <v>NA</v>
      </c>
      <c r="V19" s="354" t="str">
        <f t="shared" si="15"/>
        <v>NA</v>
      </c>
      <c r="W19" s="354" t="str">
        <f t="shared" si="16"/>
        <v>NA</v>
      </c>
      <c r="X19" s="8"/>
      <c r="Y19" s="8"/>
      <c r="Z19" s="8"/>
      <c r="AA19" s="8"/>
      <c r="AB19" s="101"/>
      <c r="AC19" s="29"/>
      <c r="AD19" s="97"/>
      <c r="AE19" s="97"/>
      <c r="AF19" s="97"/>
      <c r="AG19" s="348">
        <f t="shared" si="17"/>
        <v>0</v>
      </c>
      <c r="AH19" s="349">
        <f t="shared" si="18"/>
        <v>0</v>
      </c>
      <c r="AI19" s="349">
        <f t="shared" si="19"/>
        <v>0</v>
      </c>
      <c r="AJ19" s="349">
        <f t="shared" si="20"/>
        <v>0</v>
      </c>
      <c r="AK19" s="99"/>
      <c r="AL19" s="99"/>
      <c r="AM19" s="99"/>
      <c r="AN19" s="99"/>
      <c r="AO19" s="351">
        <f t="shared" si="21"/>
        <v>0</v>
      </c>
      <c r="AP19" s="99"/>
      <c r="AQ19" s="310">
        <f t="shared" si="22"/>
        <v>1</v>
      </c>
      <c r="AR19" s="29"/>
      <c r="AS19" s="99"/>
      <c r="AT19" s="99"/>
      <c r="AU19" s="99"/>
      <c r="AV19" s="351">
        <f t="shared" si="23"/>
        <v>0</v>
      </c>
      <c r="AW19" s="351">
        <f t="shared" si="24"/>
        <v>0</v>
      </c>
      <c r="AX19" s="8"/>
      <c r="AY19" s="8"/>
      <c r="AZ19" s="29"/>
      <c r="BA19" s="99"/>
      <c r="BB19" s="99"/>
      <c r="BC19" s="99"/>
      <c r="BD19" s="351">
        <f t="shared" si="25"/>
        <v>0</v>
      </c>
      <c r="BE19" s="351">
        <f t="shared" si="26"/>
        <v>0</v>
      </c>
      <c r="BF19" s="100"/>
      <c r="BG19" s="8"/>
      <c r="BH19" s="29"/>
      <c r="BI19" s="99"/>
      <c r="BJ19" s="99"/>
      <c r="BK19" s="99"/>
      <c r="BL19" s="351">
        <f t="shared" si="27"/>
        <v>0</v>
      </c>
      <c r="BM19" s="351">
        <f t="shared" si="28"/>
        <v>0</v>
      </c>
      <c r="BN19" s="100"/>
      <c r="BO19" s="8"/>
      <c r="BP19" s="351">
        <f t="shared" si="29"/>
        <v>0</v>
      </c>
      <c r="BQ19" s="351">
        <f t="shared" si="30"/>
        <v>0</v>
      </c>
      <c r="BR19" s="351">
        <f t="shared" si="31"/>
        <v>0</v>
      </c>
      <c r="BS19" s="351">
        <f t="shared" si="32"/>
        <v>0</v>
      </c>
      <c r="BT19" s="351">
        <f t="shared" si="33"/>
        <v>0</v>
      </c>
      <c r="BU19" s="352">
        <f t="shared" si="34"/>
        <v>0</v>
      </c>
      <c r="BV19" s="8"/>
      <c r="BW19" s="34"/>
      <c r="BX19" s="99"/>
      <c r="BY19" s="99"/>
      <c r="BZ19" s="99"/>
      <c r="CA19" s="100"/>
      <c r="CB19" s="8"/>
      <c r="CC19" s="34"/>
      <c r="CD19" s="99"/>
      <c r="CE19" s="99"/>
      <c r="CF19" s="99"/>
      <c r="CG19" s="100"/>
      <c r="CH19" s="8"/>
      <c r="CI19" s="34"/>
      <c r="CJ19" s="99"/>
      <c r="CK19" s="99"/>
      <c r="CL19" s="99"/>
      <c r="CM19" s="100"/>
      <c r="CN19" s="8"/>
      <c r="CO19" s="34"/>
      <c r="CP19" s="355" t="str">
        <f t="shared" si="35"/>
        <v/>
      </c>
      <c r="CQ19" s="355" t="str">
        <f t="shared" si="36"/>
        <v/>
      </c>
      <c r="CR19" s="355" t="str">
        <f t="shared" si="37"/>
        <v/>
      </c>
      <c r="CS19" s="356" t="str">
        <f t="shared" si="38"/>
        <v/>
      </c>
      <c r="CT19" s="8"/>
      <c r="CU19" s="34"/>
      <c r="CV19" s="355" t="str">
        <f t="shared" si="39"/>
        <v/>
      </c>
      <c r="CW19" s="355" t="str">
        <f t="shared" si="39"/>
        <v/>
      </c>
      <c r="CX19" s="355" t="str">
        <f t="shared" si="39"/>
        <v/>
      </c>
      <c r="CY19" s="356" t="str">
        <f t="shared" si="39"/>
        <v/>
      </c>
    </row>
    <row r="20" spans="1:103" ht="15" customHeight="1">
      <c r="B20" s="353">
        <f t="shared" si="0"/>
        <v>0</v>
      </c>
      <c r="C20" s="347">
        <f t="shared" si="1"/>
        <v>0</v>
      </c>
      <c r="D20" s="307">
        <f t="shared" si="2"/>
        <v>0</v>
      </c>
      <c r="E20" s="8"/>
      <c r="F20" s="354" t="str">
        <f t="shared" si="3"/>
        <v>NA</v>
      </c>
      <c r="G20" s="354" t="str">
        <f t="shared" si="4"/>
        <v>NA</v>
      </c>
      <c r="H20" s="354" t="str">
        <f t="shared" si="5"/>
        <v>NA</v>
      </c>
      <c r="I20" s="43"/>
      <c r="J20" s="354" t="str">
        <f t="shared" si="6"/>
        <v>NA</v>
      </c>
      <c r="K20" s="354" t="str">
        <f t="shared" si="7"/>
        <v>NA</v>
      </c>
      <c r="L20" s="354" t="str">
        <f t="shared" si="8"/>
        <v>NA</v>
      </c>
      <c r="M20" s="43"/>
      <c r="N20" s="354" t="str">
        <f t="shared" si="9"/>
        <v>NA</v>
      </c>
      <c r="O20" s="354" t="str">
        <f t="shared" si="10"/>
        <v>NA</v>
      </c>
      <c r="P20" s="354" t="str">
        <f t="shared" si="11"/>
        <v>NA</v>
      </c>
      <c r="Q20" s="43"/>
      <c r="R20" s="325" t="str">
        <f t="shared" si="12"/>
        <v>NA</v>
      </c>
      <c r="S20" s="354" t="str">
        <f t="shared" si="13"/>
        <v>NA</v>
      </c>
      <c r="T20" s="43"/>
      <c r="U20" s="354" t="str">
        <f t="shared" si="14"/>
        <v>NA</v>
      </c>
      <c r="V20" s="354" t="str">
        <f t="shared" si="15"/>
        <v>NA</v>
      </c>
      <c r="W20" s="354" t="str">
        <f t="shared" si="16"/>
        <v>NA</v>
      </c>
      <c r="X20" s="8"/>
      <c r="Y20" s="8"/>
      <c r="Z20" s="8"/>
      <c r="AA20" s="8"/>
      <c r="AB20" s="101"/>
      <c r="AC20" s="29"/>
      <c r="AD20" s="97"/>
      <c r="AE20" s="97"/>
      <c r="AF20" s="97"/>
      <c r="AG20" s="348">
        <f t="shared" si="17"/>
        <v>0</v>
      </c>
      <c r="AH20" s="349">
        <f t="shared" si="18"/>
        <v>0</v>
      </c>
      <c r="AI20" s="349">
        <f t="shared" si="19"/>
        <v>0</v>
      </c>
      <c r="AJ20" s="349">
        <f t="shared" si="20"/>
        <v>0</v>
      </c>
      <c r="AK20" s="99"/>
      <c r="AL20" s="99"/>
      <c r="AM20" s="99"/>
      <c r="AN20" s="99"/>
      <c r="AO20" s="351">
        <f t="shared" si="21"/>
        <v>0</v>
      </c>
      <c r="AP20" s="99"/>
      <c r="AQ20" s="310">
        <f t="shared" si="22"/>
        <v>1</v>
      </c>
      <c r="AR20" s="29"/>
      <c r="AS20" s="99"/>
      <c r="AT20" s="99"/>
      <c r="AU20" s="99"/>
      <c r="AV20" s="351">
        <f t="shared" si="23"/>
        <v>0</v>
      </c>
      <c r="AW20" s="351">
        <f t="shared" si="24"/>
        <v>0</v>
      </c>
      <c r="AX20" s="8"/>
      <c r="AY20" s="8"/>
      <c r="AZ20" s="29"/>
      <c r="BA20" s="99"/>
      <c r="BB20" s="99"/>
      <c r="BC20" s="99"/>
      <c r="BD20" s="351">
        <f t="shared" si="25"/>
        <v>0</v>
      </c>
      <c r="BE20" s="351">
        <f t="shared" si="26"/>
        <v>0</v>
      </c>
      <c r="BF20" s="100"/>
      <c r="BG20" s="8"/>
      <c r="BH20" s="29"/>
      <c r="BI20" s="99"/>
      <c r="BJ20" s="99"/>
      <c r="BK20" s="99"/>
      <c r="BL20" s="351">
        <f t="shared" si="27"/>
        <v>0</v>
      </c>
      <c r="BM20" s="351">
        <f t="shared" si="28"/>
        <v>0</v>
      </c>
      <c r="BN20" s="100"/>
      <c r="BO20" s="8"/>
      <c r="BP20" s="351">
        <f t="shared" si="29"/>
        <v>0</v>
      </c>
      <c r="BQ20" s="351">
        <f t="shared" si="30"/>
        <v>0</v>
      </c>
      <c r="BR20" s="351">
        <f t="shared" si="31"/>
        <v>0</v>
      </c>
      <c r="BS20" s="351">
        <f t="shared" si="32"/>
        <v>0</v>
      </c>
      <c r="BT20" s="351">
        <f t="shared" si="33"/>
        <v>0</v>
      </c>
      <c r="BU20" s="352">
        <f t="shared" si="34"/>
        <v>0</v>
      </c>
      <c r="BV20" s="8"/>
      <c r="BW20" s="34"/>
      <c r="BX20" s="99"/>
      <c r="BY20" s="99"/>
      <c r="BZ20" s="99"/>
      <c r="CA20" s="100"/>
      <c r="CB20" s="8"/>
      <c r="CC20" s="34"/>
      <c r="CD20" s="99"/>
      <c r="CE20" s="99"/>
      <c r="CF20" s="99"/>
      <c r="CG20" s="100"/>
      <c r="CH20" s="8"/>
      <c r="CI20" s="34"/>
      <c r="CJ20" s="99"/>
      <c r="CK20" s="99"/>
      <c r="CL20" s="99"/>
      <c r="CM20" s="100"/>
      <c r="CN20" s="8"/>
      <c r="CO20" s="34"/>
      <c r="CP20" s="355" t="str">
        <f t="shared" si="35"/>
        <v/>
      </c>
      <c r="CQ20" s="355" t="str">
        <f t="shared" si="36"/>
        <v/>
      </c>
      <c r="CR20" s="355" t="str">
        <f t="shared" si="37"/>
        <v/>
      </c>
      <c r="CS20" s="356" t="str">
        <f t="shared" si="38"/>
        <v/>
      </c>
      <c r="CT20" s="8"/>
      <c r="CU20" s="34"/>
      <c r="CV20" s="355" t="str">
        <f t="shared" si="39"/>
        <v/>
      </c>
      <c r="CW20" s="355" t="str">
        <f t="shared" si="39"/>
        <v/>
      </c>
      <c r="CX20" s="355" t="str">
        <f t="shared" si="39"/>
        <v/>
      </c>
      <c r="CY20" s="356" t="str">
        <f t="shared" si="39"/>
        <v/>
      </c>
    </row>
    <row r="21" spans="1:103" ht="15" customHeight="1">
      <c r="B21" s="353">
        <f t="shared" si="0"/>
        <v>0</v>
      </c>
      <c r="C21" s="347">
        <f t="shared" si="1"/>
        <v>0</v>
      </c>
      <c r="D21" s="307">
        <f t="shared" si="2"/>
        <v>0</v>
      </c>
      <c r="E21" s="8"/>
      <c r="F21" s="354" t="str">
        <f t="shared" si="3"/>
        <v>NA</v>
      </c>
      <c r="G21" s="354" t="str">
        <f t="shared" si="4"/>
        <v>NA</v>
      </c>
      <c r="H21" s="354" t="str">
        <f t="shared" si="5"/>
        <v>NA</v>
      </c>
      <c r="I21" s="43"/>
      <c r="J21" s="354" t="str">
        <f t="shared" si="6"/>
        <v>NA</v>
      </c>
      <c r="K21" s="354" t="str">
        <f t="shared" si="7"/>
        <v>NA</v>
      </c>
      <c r="L21" s="354" t="str">
        <f t="shared" si="8"/>
        <v>NA</v>
      </c>
      <c r="M21" s="43"/>
      <c r="N21" s="354" t="str">
        <f t="shared" si="9"/>
        <v>NA</v>
      </c>
      <c r="O21" s="354" t="str">
        <f t="shared" si="10"/>
        <v>NA</v>
      </c>
      <c r="P21" s="354" t="str">
        <f t="shared" si="11"/>
        <v>NA</v>
      </c>
      <c r="Q21" s="43"/>
      <c r="R21" s="325" t="str">
        <f t="shared" si="12"/>
        <v>NA</v>
      </c>
      <c r="S21" s="354" t="str">
        <f t="shared" si="13"/>
        <v>NA</v>
      </c>
      <c r="T21" s="43"/>
      <c r="U21" s="354" t="str">
        <f t="shared" si="14"/>
        <v>NA</v>
      </c>
      <c r="V21" s="354" t="str">
        <f t="shared" si="15"/>
        <v>NA</v>
      </c>
      <c r="W21" s="354" t="str">
        <f t="shared" si="16"/>
        <v>NA</v>
      </c>
      <c r="X21" s="8"/>
      <c r="Y21" s="8"/>
      <c r="Z21" s="8"/>
      <c r="AA21" s="8"/>
      <c r="AB21" s="101"/>
      <c r="AC21" s="29"/>
      <c r="AD21" s="97"/>
      <c r="AE21" s="97"/>
      <c r="AF21" s="97"/>
      <c r="AG21" s="348">
        <f t="shared" si="17"/>
        <v>0</v>
      </c>
      <c r="AH21" s="349">
        <f t="shared" si="18"/>
        <v>0</v>
      </c>
      <c r="AI21" s="349">
        <f t="shared" si="19"/>
        <v>0</v>
      </c>
      <c r="AJ21" s="349">
        <f t="shared" si="20"/>
        <v>0</v>
      </c>
      <c r="AK21" s="99"/>
      <c r="AL21" s="99"/>
      <c r="AM21" s="99"/>
      <c r="AN21" s="99"/>
      <c r="AO21" s="351">
        <f t="shared" si="21"/>
        <v>0</v>
      </c>
      <c r="AP21" s="99"/>
      <c r="AQ21" s="310">
        <f t="shared" si="22"/>
        <v>1</v>
      </c>
      <c r="AR21" s="29"/>
      <c r="AS21" s="99"/>
      <c r="AT21" s="99"/>
      <c r="AU21" s="99"/>
      <c r="AV21" s="351">
        <f t="shared" si="23"/>
        <v>0</v>
      </c>
      <c r="AW21" s="351">
        <f t="shared" si="24"/>
        <v>0</v>
      </c>
      <c r="AX21" s="8"/>
      <c r="AY21" s="62"/>
      <c r="AZ21" s="29"/>
      <c r="BA21" s="99"/>
      <c r="BB21" s="99"/>
      <c r="BC21" s="99"/>
      <c r="BD21" s="351">
        <f t="shared" si="25"/>
        <v>0</v>
      </c>
      <c r="BE21" s="351">
        <f t="shared" si="26"/>
        <v>0</v>
      </c>
      <c r="BF21" s="100"/>
      <c r="BG21" s="8"/>
      <c r="BH21" s="29"/>
      <c r="BI21" s="99"/>
      <c r="BJ21" s="99"/>
      <c r="BK21" s="99"/>
      <c r="BL21" s="351">
        <f t="shared" si="27"/>
        <v>0</v>
      </c>
      <c r="BM21" s="351">
        <f t="shared" si="28"/>
        <v>0</v>
      </c>
      <c r="BN21" s="100"/>
      <c r="BO21" s="8"/>
      <c r="BP21" s="351">
        <f t="shared" si="29"/>
        <v>0</v>
      </c>
      <c r="BQ21" s="351">
        <f t="shared" si="30"/>
        <v>0</v>
      </c>
      <c r="BR21" s="351">
        <f t="shared" si="31"/>
        <v>0</v>
      </c>
      <c r="BS21" s="351">
        <f t="shared" si="32"/>
        <v>0</v>
      </c>
      <c r="BT21" s="351">
        <f t="shared" si="33"/>
        <v>0</v>
      </c>
      <c r="BU21" s="352">
        <f t="shared" si="34"/>
        <v>0</v>
      </c>
      <c r="BV21" s="8"/>
      <c r="BW21" s="34"/>
      <c r="BX21" s="99"/>
      <c r="BY21" s="99"/>
      <c r="BZ21" s="99"/>
      <c r="CA21" s="100"/>
      <c r="CB21" s="8"/>
      <c r="CC21" s="34"/>
      <c r="CD21" s="99"/>
      <c r="CE21" s="99"/>
      <c r="CF21" s="99"/>
      <c r="CG21" s="100"/>
      <c r="CH21" s="8"/>
      <c r="CI21" s="34"/>
      <c r="CJ21" s="99"/>
      <c r="CK21" s="99"/>
      <c r="CL21" s="99"/>
      <c r="CM21" s="100"/>
      <c r="CN21" s="8"/>
      <c r="CO21" s="34"/>
      <c r="CP21" s="355" t="str">
        <f t="shared" si="35"/>
        <v/>
      </c>
      <c r="CQ21" s="355" t="str">
        <f t="shared" si="36"/>
        <v/>
      </c>
      <c r="CR21" s="355" t="str">
        <f t="shared" si="37"/>
        <v/>
      </c>
      <c r="CS21" s="356" t="str">
        <f t="shared" si="38"/>
        <v/>
      </c>
      <c r="CT21" s="8"/>
      <c r="CU21" s="34"/>
      <c r="CV21" s="355" t="str">
        <f t="shared" si="39"/>
        <v/>
      </c>
      <c r="CW21" s="355" t="str">
        <f t="shared" si="39"/>
        <v/>
      </c>
      <c r="CX21" s="355" t="str">
        <f t="shared" si="39"/>
        <v/>
      </c>
      <c r="CY21" s="356" t="str">
        <f t="shared" si="39"/>
        <v/>
      </c>
    </row>
    <row r="22" spans="1:103" ht="15" customHeight="1">
      <c r="B22" s="353">
        <f t="shared" si="0"/>
        <v>0</v>
      </c>
      <c r="C22" s="347">
        <f t="shared" si="1"/>
        <v>0</v>
      </c>
      <c r="D22" s="307">
        <f t="shared" si="2"/>
        <v>0</v>
      </c>
      <c r="E22" s="8"/>
      <c r="F22" s="354" t="str">
        <f t="shared" si="3"/>
        <v>NA</v>
      </c>
      <c r="G22" s="354" t="str">
        <f t="shared" si="4"/>
        <v>NA</v>
      </c>
      <c r="H22" s="354" t="str">
        <f t="shared" si="5"/>
        <v>NA</v>
      </c>
      <c r="I22" s="43"/>
      <c r="J22" s="354" t="str">
        <f t="shared" si="6"/>
        <v>NA</v>
      </c>
      <c r="K22" s="354" t="str">
        <f t="shared" si="7"/>
        <v>NA</v>
      </c>
      <c r="L22" s="354" t="str">
        <f t="shared" si="8"/>
        <v>NA</v>
      </c>
      <c r="M22" s="43"/>
      <c r="N22" s="354" t="str">
        <f t="shared" si="9"/>
        <v>NA</v>
      </c>
      <c r="O22" s="354" t="str">
        <f t="shared" si="10"/>
        <v>NA</v>
      </c>
      <c r="P22" s="354" t="str">
        <f t="shared" si="11"/>
        <v>NA</v>
      </c>
      <c r="Q22" s="43"/>
      <c r="R22" s="325" t="str">
        <f t="shared" si="12"/>
        <v>NA</v>
      </c>
      <c r="S22" s="354" t="str">
        <f t="shared" si="13"/>
        <v>NA</v>
      </c>
      <c r="T22" s="43"/>
      <c r="U22" s="354" t="str">
        <f t="shared" si="14"/>
        <v>NA</v>
      </c>
      <c r="V22" s="354" t="str">
        <f t="shared" si="15"/>
        <v>NA</v>
      </c>
      <c r="W22" s="354" t="str">
        <f t="shared" si="16"/>
        <v>NA</v>
      </c>
      <c r="X22" s="8"/>
      <c r="Y22" s="8"/>
      <c r="Z22" s="8"/>
      <c r="AA22" s="8"/>
      <c r="AB22" s="101"/>
      <c r="AC22" s="29"/>
      <c r="AD22" s="97"/>
      <c r="AE22" s="97"/>
      <c r="AF22" s="97"/>
      <c r="AG22" s="348">
        <f t="shared" si="17"/>
        <v>0</v>
      </c>
      <c r="AH22" s="349">
        <f t="shared" si="18"/>
        <v>0</v>
      </c>
      <c r="AI22" s="349">
        <f t="shared" si="19"/>
        <v>0</v>
      </c>
      <c r="AJ22" s="349">
        <f t="shared" si="20"/>
        <v>0</v>
      </c>
      <c r="AK22" s="99"/>
      <c r="AL22" s="99"/>
      <c r="AM22" s="99"/>
      <c r="AN22" s="99"/>
      <c r="AO22" s="351">
        <f t="shared" si="21"/>
        <v>0</v>
      </c>
      <c r="AP22" s="99"/>
      <c r="AQ22" s="310">
        <f t="shared" si="22"/>
        <v>1</v>
      </c>
      <c r="AR22" s="29"/>
      <c r="AS22" s="99"/>
      <c r="AT22" s="99"/>
      <c r="AU22" s="99"/>
      <c r="AV22" s="351">
        <f t="shared" si="23"/>
        <v>0</v>
      </c>
      <c r="AW22" s="351">
        <f t="shared" si="24"/>
        <v>0</v>
      </c>
      <c r="AX22" s="8"/>
      <c r="AY22" s="8"/>
      <c r="AZ22" s="29"/>
      <c r="BA22" s="99"/>
      <c r="BB22" s="99"/>
      <c r="BC22" s="99"/>
      <c r="BD22" s="351">
        <f t="shared" si="25"/>
        <v>0</v>
      </c>
      <c r="BE22" s="351">
        <f t="shared" si="26"/>
        <v>0</v>
      </c>
      <c r="BF22" s="100"/>
      <c r="BG22" s="8"/>
      <c r="BH22" s="29"/>
      <c r="BI22" s="99"/>
      <c r="BJ22" s="99"/>
      <c r="BK22" s="99"/>
      <c r="BL22" s="351">
        <f t="shared" si="27"/>
        <v>0</v>
      </c>
      <c r="BM22" s="351">
        <f t="shared" si="28"/>
        <v>0</v>
      </c>
      <c r="BN22" s="100"/>
      <c r="BO22" s="8"/>
      <c r="BP22" s="351">
        <f t="shared" si="29"/>
        <v>0</v>
      </c>
      <c r="BQ22" s="351">
        <f t="shared" si="30"/>
        <v>0</v>
      </c>
      <c r="BR22" s="351">
        <f t="shared" si="31"/>
        <v>0</v>
      </c>
      <c r="BS22" s="351">
        <f t="shared" si="32"/>
        <v>0</v>
      </c>
      <c r="BT22" s="351">
        <f t="shared" si="33"/>
        <v>0</v>
      </c>
      <c r="BU22" s="352">
        <f t="shared" si="34"/>
        <v>0</v>
      </c>
      <c r="BV22" s="8"/>
      <c r="BW22" s="34"/>
      <c r="BX22" s="99"/>
      <c r="BY22" s="99"/>
      <c r="BZ22" s="99"/>
      <c r="CA22" s="100"/>
      <c r="CB22" s="8"/>
      <c r="CC22" s="34"/>
      <c r="CD22" s="99"/>
      <c r="CE22" s="99"/>
      <c r="CF22" s="99"/>
      <c r="CG22" s="100"/>
      <c r="CH22" s="8"/>
      <c r="CI22" s="34"/>
      <c r="CJ22" s="99"/>
      <c r="CK22" s="99"/>
      <c r="CL22" s="99"/>
      <c r="CM22" s="100"/>
      <c r="CN22" s="8"/>
      <c r="CO22" s="34"/>
      <c r="CP22" s="355" t="str">
        <f t="shared" si="35"/>
        <v/>
      </c>
      <c r="CQ22" s="355" t="str">
        <f t="shared" si="36"/>
        <v/>
      </c>
      <c r="CR22" s="355" t="str">
        <f t="shared" si="37"/>
        <v/>
      </c>
      <c r="CS22" s="356" t="str">
        <f t="shared" si="38"/>
        <v/>
      </c>
      <c r="CT22" s="8"/>
      <c r="CU22" s="34"/>
      <c r="CV22" s="99"/>
      <c r="CW22" s="99"/>
      <c r="CX22" s="99"/>
      <c r="CY22" s="100"/>
    </row>
    <row r="23" spans="1:103" ht="9.75" customHeight="1">
      <c r="B23" s="102"/>
      <c r="C23" s="103"/>
      <c r="D23" s="103"/>
      <c r="E23" s="102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  <c r="S23" s="106"/>
      <c r="T23" s="104"/>
      <c r="U23" s="104"/>
      <c r="V23" s="104"/>
      <c r="W23" s="354" t="str">
        <f t="shared" si="16"/>
        <v>NA</v>
      </c>
      <c r="Z23" s="107"/>
      <c r="AA23" s="107"/>
      <c r="AB23" s="108"/>
      <c r="AC23" s="95"/>
      <c r="AD23" s="109"/>
      <c r="AE23" s="109"/>
      <c r="AF23" s="109"/>
      <c r="AG23" s="110"/>
      <c r="AH23" s="111"/>
      <c r="AI23" s="111"/>
      <c r="AJ23" s="111"/>
      <c r="AK23" s="112"/>
      <c r="AL23" s="112"/>
      <c r="AM23" s="112"/>
      <c r="AN23" s="112"/>
      <c r="AO23" s="94"/>
      <c r="AP23" s="94"/>
      <c r="AQ23" s="113"/>
      <c r="AR23" s="95"/>
      <c r="AS23" s="112"/>
      <c r="AT23" s="112"/>
      <c r="AU23" s="112"/>
      <c r="AV23" s="94"/>
      <c r="AW23" s="94"/>
      <c r="AX23" s="107"/>
      <c r="AZ23" s="95"/>
      <c r="BA23" s="112"/>
      <c r="BB23" s="112"/>
      <c r="BC23" s="112"/>
      <c r="BD23" s="94"/>
      <c r="BE23" s="94"/>
      <c r="BF23" s="114"/>
      <c r="BH23" s="95"/>
      <c r="BI23" s="112"/>
      <c r="BJ23" s="112"/>
      <c r="BK23" s="112"/>
      <c r="BL23" s="94"/>
      <c r="BM23" s="94"/>
      <c r="BN23" s="114"/>
      <c r="BP23" s="115"/>
      <c r="BQ23" s="115"/>
      <c r="BR23" s="115"/>
      <c r="BS23" s="115"/>
      <c r="BT23" s="115"/>
      <c r="BU23" s="116"/>
      <c r="BW23" s="117"/>
      <c r="BX23" s="112"/>
      <c r="BY23" s="112"/>
      <c r="BZ23" s="112"/>
      <c r="CA23" s="114"/>
      <c r="CC23" s="117"/>
      <c r="CD23" s="112"/>
      <c r="CE23" s="112"/>
      <c r="CF23" s="112"/>
      <c r="CG23" s="114"/>
      <c r="CI23" s="117"/>
      <c r="CJ23" s="112"/>
      <c r="CK23" s="112"/>
      <c r="CL23" s="112"/>
      <c r="CM23" s="114"/>
      <c r="CO23" s="117"/>
      <c r="CP23" s="115"/>
      <c r="CQ23" s="115"/>
      <c r="CR23" s="115"/>
      <c r="CS23" s="116"/>
      <c r="CU23" s="117"/>
      <c r="CV23" s="115"/>
      <c r="CW23" s="115"/>
      <c r="CX23" s="115"/>
      <c r="CY23" s="116"/>
    </row>
    <row r="24" spans="1:103" ht="9.75" customHeight="1">
      <c r="B24" s="102"/>
      <c r="C24" s="118"/>
      <c r="D24" s="118"/>
      <c r="E24" s="102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05"/>
      <c r="S24" s="102"/>
      <c r="T24" s="113"/>
      <c r="U24" s="113"/>
      <c r="V24" s="113"/>
      <c r="W24" s="113"/>
      <c r="AN24" s="75"/>
      <c r="BW24" s="119"/>
    </row>
    <row r="25" spans="1:103" ht="15" customHeight="1">
      <c r="B25" s="321" t="s">
        <v>298</v>
      </c>
      <c r="C25" s="36"/>
      <c r="D25" s="36"/>
      <c r="E25" s="8"/>
      <c r="F25" s="319">
        <f>IF(ISERROR(MIN(F14:F23)),"NA",MIN(F14:F23))</f>
        <v>4.8742418016969449</v>
      </c>
      <c r="G25" s="319">
        <f>IF(ISERROR(MIN(G14:G23)),"NA",MIN(G14:G23))</f>
        <v>4.2597925074402347</v>
      </c>
      <c r="H25" s="43"/>
      <c r="I25" s="43"/>
      <c r="J25" s="319">
        <f>IF(ISERROR(MIN(J14:J23)),"NA",MIN(J14:J23))</f>
        <v>13.222278609407889</v>
      </c>
      <c r="K25" s="319">
        <f>IF(ISERROR(MIN(K14:K23)),"NA",MIN(K14:K23))</f>
        <v>11.905065916350658</v>
      </c>
      <c r="L25" s="43"/>
      <c r="M25" s="43"/>
      <c r="N25" s="319">
        <f>IF(ISERROR(MIN(N14:N23)),"NA",MIN(N14:N23))</f>
        <v>16.102517510727221</v>
      </c>
      <c r="O25" s="319">
        <f>IF(ISERROR(MIN(O14:O23)),"NA",MIN(O14:O23))</f>
        <v>13.288519111771675</v>
      </c>
      <c r="P25" s="43"/>
      <c r="Q25" s="43"/>
      <c r="R25" s="300">
        <f>IF(ISERROR(MIN(R14:R23)),"NA",MIN(R14:R23))</f>
        <v>0.30306151765505557</v>
      </c>
      <c r="S25" s="319">
        <f>IF(ISERROR(MIN(S14:S23)),"NA",MIN(S14:S23))</f>
        <v>1.4043653335773771</v>
      </c>
      <c r="T25" s="43"/>
      <c r="U25" s="319">
        <f>IF(ISERROR(MIN(U14:U23)),"NA",MIN(U14:U23))</f>
        <v>18.677758318739055</v>
      </c>
      <c r="V25" s="319">
        <f>IF(ISERROR(MIN(V14:V23)),"NA",MIN(V14:V23))</f>
        <v>14.097047907972341</v>
      </c>
      <c r="W25" s="43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62"/>
      <c r="AM25" s="8"/>
      <c r="AN25" s="87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120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</row>
    <row r="26" spans="1:103" ht="15" customHeight="1">
      <c r="B26" s="321" t="s">
        <v>299</v>
      </c>
      <c r="C26" s="36"/>
      <c r="D26" s="36"/>
      <c r="E26" s="8"/>
      <c r="F26" s="319">
        <f>IF(ISERROR(MAX(F14:F23)),"NA",MAX(F14:F23))</f>
        <v>10.961401718205833</v>
      </c>
      <c r="G26" s="319">
        <f>IF(ISERROR(MAX(G14:G23)),"NA",MAX(G14:G23))</f>
        <v>10.215632685714285</v>
      </c>
      <c r="H26" s="43"/>
      <c r="I26" s="43"/>
      <c r="J26" s="319">
        <f>IF(ISERROR(MAX(J14:J23)),"NA",MAX(J14:J23))</f>
        <v>36.168899974565875</v>
      </c>
      <c r="K26" s="319">
        <f>IF(ISERROR(MAX(K14:K23)),"NA",MAX(K14:K23))</f>
        <v>30.83822089699359</v>
      </c>
      <c r="L26" s="43"/>
      <c r="M26" s="43"/>
      <c r="N26" s="319">
        <f>IF(ISERROR(MAX(N14:N23)),"NA",MAX(N14:N23))</f>
        <v>43.895128730374736</v>
      </c>
      <c r="O26" s="319">
        <f>IF(ISERROR(MAX(O14:O23)),"NA",MAX(O14:O23))</f>
        <v>35.374689167797378</v>
      </c>
      <c r="P26" s="43"/>
      <c r="Q26" s="43"/>
      <c r="R26" s="300">
        <f>IF(ISERROR(MAX(R14:R23)),"NA",MAX(R14:R23))</f>
        <v>0.36863856417522728</v>
      </c>
      <c r="S26" s="319">
        <f>IF(ISERROR(MAX(S14:S23)),"NA",MAX(S14:S23))</f>
        <v>1.8773844481953335</v>
      </c>
      <c r="T26" s="43"/>
      <c r="U26" s="319">
        <f>IF(ISERROR(MAX(U14:U23)),"NA",MAX(U14:U23))</f>
        <v>45.531884057971013</v>
      </c>
      <c r="V26" s="319">
        <f>IF(ISERROR(MAX(V14:V23)),"NA",MAX(V14:V23))</f>
        <v>37.131544734664935</v>
      </c>
      <c r="W26" s="43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62"/>
      <c r="AM26" s="8"/>
      <c r="AN26" s="87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120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</row>
    <row r="27" spans="1:103" ht="15" customHeight="1">
      <c r="B27" s="321" t="s">
        <v>195</v>
      </c>
      <c r="C27" s="36"/>
      <c r="D27" s="36"/>
      <c r="E27" s="8"/>
      <c r="F27" s="319">
        <f>IF(ISERROR(MEDIAN(F14:F23)),"NA",MEDIAN(F14:F23))</f>
        <v>5.3279225645705708</v>
      </c>
      <c r="G27" s="319">
        <f>IF(ISERROR(MEDIAN(G14:G23)),"NA",MEDIAN(G14:G23))</f>
        <v>4.9539624668689672</v>
      </c>
      <c r="H27" s="43"/>
      <c r="I27" s="43"/>
      <c r="J27" s="319">
        <f>IF(ISERROR(MEDIAN(J14:J23)),"NA",MEDIAN(J14:J23))</f>
        <v>15.668401688970587</v>
      </c>
      <c r="K27" s="319">
        <f>IF(ISERROR(MEDIAN(K14:K23)),"NA",MEDIAN(K14:K23))</f>
        <v>11.939002467875884</v>
      </c>
      <c r="L27" s="43"/>
      <c r="M27" s="43"/>
      <c r="N27" s="319">
        <f>IF(ISERROR(MEDIAN(N14:N23)),"NA",MEDIAN(N14:N23))</f>
        <v>21.066758573405831</v>
      </c>
      <c r="O27" s="319">
        <f>IF(ISERROR(MEDIAN(O14:O23)),"NA",MEDIAN(O14:O23))</f>
        <v>13.680507372881356</v>
      </c>
      <c r="P27" s="43"/>
      <c r="Q27" s="43"/>
      <c r="R27" s="300">
        <f>IF(ISERROR(MEDIAN(R14:R23)),"NA",MEDIAN(R14:R23))</f>
        <v>0.34004250531316416</v>
      </c>
      <c r="S27" s="319">
        <f>IF(ISERROR(MEDIAN(S14:S23)),"NA",MEDIAN(S14:S23))</f>
        <v>1.4574264705882354</v>
      </c>
      <c r="T27" s="43"/>
      <c r="U27" s="319">
        <f>IF(ISERROR(MEDIAN(U14:U23)),"NA",MEDIAN(U14:U23))</f>
        <v>22.670133729569091</v>
      </c>
      <c r="V27" s="319">
        <f>IF(ISERROR(MEDIAN(V14:V23)),"NA",MEDIAN(V14:V23))</f>
        <v>15.18581802648441</v>
      </c>
      <c r="W27" s="43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62"/>
      <c r="AM27" s="8"/>
      <c r="AN27" s="87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120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</row>
    <row r="28" spans="1:103" ht="15" customHeight="1">
      <c r="B28" s="321" t="s">
        <v>198</v>
      </c>
      <c r="C28" s="36"/>
      <c r="D28" s="36"/>
      <c r="E28" s="8"/>
      <c r="F28" s="319">
        <f>IF(ISERROR(AVERAGE(F14:F23)),"NA",AVERAGE(F14:F23))</f>
        <v>7.0545220281577841</v>
      </c>
      <c r="G28" s="319">
        <f>IF(ISERROR(AVERAGE(G14:G23)),"NA",AVERAGE(G14:G23))</f>
        <v>6.4764625533411619</v>
      </c>
      <c r="H28" s="43"/>
      <c r="I28" s="43"/>
      <c r="J28" s="319">
        <f>IF(ISERROR(AVERAGE(J14:J23)),"NA",AVERAGE(J14:J23))</f>
        <v>21.686526757648121</v>
      </c>
      <c r="K28" s="319">
        <f>IF(ISERROR(AVERAGE(K14:K23)),"NA",AVERAGE(K14:K23))</f>
        <v>18.227429760406711</v>
      </c>
      <c r="L28" s="43"/>
      <c r="M28" s="43"/>
      <c r="N28" s="319">
        <f>IF(ISERROR(AVERAGE(N14:N23)),"NA",AVERAGE(N14:N23))</f>
        <v>27.021468271502599</v>
      </c>
      <c r="O28" s="319">
        <f>IF(ISERROR(AVERAGE(O14:O23)),"NA",AVERAGE(O14:O23))</f>
        <v>20.781238550816806</v>
      </c>
      <c r="P28" s="43"/>
      <c r="Q28" s="43"/>
      <c r="R28" s="300">
        <f>IF(ISERROR(AVERAGE(R14:R23)),"NA",AVERAGE(R14:R23))</f>
        <v>0.33724752904781563</v>
      </c>
      <c r="S28" s="319">
        <f>IF(ISERROR(AVERAGE(S14:S23)),"NA",AVERAGE(S14:S23))</f>
        <v>1.5797254174536486</v>
      </c>
      <c r="T28" s="43"/>
      <c r="U28" s="319">
        <f>IF(ISERROR(AVERAGE(U14:U23)),"NA",AVERAGE(U14:U23))</f>
        <v>28.959925368759716</v>
      </c>
      <c r="V28" s="319">
        <f>IF(ISERROR(AVERAGE(V14:V23)),"NA",AVERAGE(V14:V23))</f>
        <v>22.138136889707226</v>
      </c>
      <c r="W28" s="43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120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</row>
    <row r="29" spans="1:103" ht="15" customHeight="1">
      <c r="B29" s="321" t="s">
        <v>300</v>
      </c>
      <c r="C29" s="36"/>
      <c r="D29" s="36"/>
      <c r="E29" s="8"/>
      <c r="F29" s="319">
        <f>(SUM(F14:F23)-F25-F26)/(COUNT(F14:F23)-2)</f>
        <v>5.3279225645705726</v>
      </c>
      <c r="G29" s="319">
        <f>(SUM(G14:G23)-G25-G26)/(COUNT(G14:G23)-2)</f>
        <v>4.9539624668689672</v>
      </c>
      <c r="H29" s="43"/>
      <c r="I29" s="43"/>
      <c r="J29" s="319">
        <f>(SUM(J14:J23)-J25-J26)/(COUNT(J14:J23)-2)</f>
        <v>15.668401688970597</v>
      </c>
      <c r="K29" s="319">
        <f>(SUM(K14:K23)-K25-K26)/(COUNT(K14:K23)-2)</f>
        <v>11.939002467875888</v>
      </c>
      <c r="L29" s="43"/>
      <c r="M29" s="43"/>
      <c r="N29" s="319">
        <f>(SUM(N14:N23)-N25-N26)/(COUNT(N14:N23)-2)</f>
        <v>21.066758573405835</v>
      </c>
      <c r="O29" s="319">
        <f>(SUM(O14:O23)-O25-O26)/(COUNT(O14:O23)-2)</f>
        <v>13.680507372881358</v>
      </c>
      <c r="P29" s="43"/>
      <c r="Q29" s="43"/>
      <c r="R29" s="300">
        <f>(SUM(R14:R23)-R25-R26)/(COUNT(R14:R23)-2)</f>
        <v>0.3400425053131641</v>
      </c>
      <c r="S29" s="319">
        <f>(SUM(S14:S23)-S25-S26)/(COUNT(S14:S23)-2)</f>
        <v>1.4574264705882354</v>
      </c>
      <c r="T29" s="43"/>
      <c r="U29" s="319">
        <f>(SUM(U14:U23)-U25-U26)/(COUNT(U14:U23)-2)</f>
        <v>22.670133729569088</v>
      </c>
      <c r="V29" s="319">
        <f>(SUM(V14:V23)-V25-V26)/(COUNT(V14:V23)-2)</f>
        <v>15.185818026484405</v>
      </c>
      <c r="W29" s="43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120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</row>
    <row r="30" spans="1:103" ht="9.75" customHeight="1">
      <c r="C30" s="121"/>
      <c r="D30" s="121"/>
      <c r="BW30" s="119"/>
    </row>
    <row r="31" spans="1:103" ht="20.25" customHeight="1">
      <c r="A31" s="134"/>
      <c r="B31" s="306" t="str">
        <f>""&amp;Data!C5&amp;" - Valuation Summary"</f>
        <v>Pfizer Inc - Valuation Summary</v>
      </c>
      <c r="C31" s="158"/>
      <c r="D31" s="158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122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</row>
    <row r="32" spans="1:103" ht="9.75" customHeight="1">
      <c r="C32" s="121"/>
      <c r="D32" s="121"/>
      <c r="BW32" s="119"/>
    </row>
    <row r="33" spans="2:103" ht="15" customHeight="1">
      <c r="B33" s="292" t="str">
        <f>""&amp;Data!C5&amp;" - Current Valuation"</f>
        <v>Pfizer Inc - Current Valuation</v>
      </c>
      <c r="C33" s="347">
        <f>IF($C$6="Yes",AB33*AJ33,AB33*AD33)</f>
        <v>225636.72879999998</v>
      </c>
      <c r="D33" s="307">
        <f>C33+AO33</f>
        <v>242206.72879999998</v>
      </c>
      <c r="E33" s="8"/>
      <c r="F33" s="319">
        <f>IF(ISERROR($D33/BP33),"NA",$D33/BP33)</f>
        <v>2.4141007555068272</v>
      </c>
      <c r="G33" s="319">
        <f>IF(ISERROR($D33/CP33),"NA",$D33/CP33)</f>
        <v>3.4520577626384275</v>
      </c>
      <c r="H33" s="319">
        <f>IF(ISERROR($D33/CV33),"NA",$D33/CV33)</f>
        <v>3.418247015820596</v>
      </c>
      <c r="I33" s="43"/>
      <c r="J33" s="319">
        <f>IF(ISERROR($D33/BS33),"NA",IF(BS33&gt;0,$D33/BS33,"NM"))</f>
        <v>6.8377485404550837</v>
      </c>
      <c r="K33" s="319">
        <f>IF(ISERROR($D33/CQ33),"NA",IF(CQ33&gt;0,$D33/CQ33,"NM"))</f>
        <v>9.2870678220858895</v>
      </c>
      <c r="L33" s="319">
        <f>IF(ISERROR($D33/CW33),"NA",IF(CW33&gt;0,$D33/CW33,"NM"))</f>
        <v>8.7995178492279731</v>
      </c>
      <c r="M33" s="43"/>
      <c r="N33" s="319">
        <f>IF(ISERROR($D33/BT33),"NA",IF(BT33&gt;0,$D33/BT33,"NM"))</f>
        <v>6.9312823031135524</v>
      </c>
      <c r="O33" s="319">
        <f>IF(ISERROR($D33/CR33),"NA",IF(CR33&gt;0,$D33/CR33,"NM"))</f>
        <v>10.794488314466529</v>
      </c>
      <c r="P33" s="319">
        <f>IF(ISERROR($D33/CX33),"NA",IF(CX33&gt;0,$D33/CX33,"NM"))</f>
        <v>9.8138869043760124</v>
      </c>
      <c r="Q33" s="43"/>
      <c r="R33" s="300">
        <f>IF(ISERROR(BS33/BP33),"NA",BS33/BP33)</f>
        <v>0.35305491876806538</v>
      </c>
      <c r="S33" s="319">
        <f>IF(ISERROR(AK33/BS33),"NA",AK33/BS33)</f>
        <v>1.1023092993055164</v>
      </c>
      <c r="T33" s="43"/>
      <c r="U33" s="319">
        <f>IF(ISERROR($AB33/BU33),"NA",IF(BU33&gt;0,$AB33/BU33,"NM"))</f>
        <v>7.3455210237659969</v>
      </c>
      <c r="V33" s="319">
        <f>IF(ISERROR($AB33/CS33),"NA",IF(CS33&gt;0,$AB33/CS33,"NM"))</f>
        <v>11.296035985380939</v>
      </c>
      <c r="W33" s="319">
        <f>IF(ISERROR($AB33/CY33),"NA",IF(CY33&gt;0,$AB33/CY33,"NM"))</f>
        <v>10.174727779184604</v>
      </c>
      <c r="X33" s="8"/>
      <c r="Y33" s="8"/>
      <c r="Z33" s="317" t="str">
        <f>Data!C5</f>
        <v>Pfizer Inc</v>
      </c>
      <c r="AA33" s="8"/>
      <c r="AB33" s="357">
        <f>Data!C11</f>
        <v>40.18</v>
      </c>
      <c r="AC33" s="358">
        <f>Data!C6</f>
        <v>44926</v>
      </c>
      <c r="AD33" s="337">
        <f>Data!C12</f>
        <v>5608</v>
      </c>
      <c r="AE33" s="337">
        <f>Data!C13</f>
        <v>35.28</v>
      </c>
      <c r="AF33" s="337">
        <f>Data!C14</f>
        <v>31.47</v>
      </c>
      <c r="AG33" s="350">
        <f>IF(ISERROR(IF(AF33&lt;AB33,AE33,0)),0,IF(AF33&lt;AB33,AE33,0))</f>
        <v>35.28</v>
      </c>
      <c r="AH33" s="349">
        <f>AG33*AF33</f>
        <v>1110.2616</v>
      </c>
      <c r="AI33" s="349">
        <f>+IF(ISERROR(0-AH33/AB33),0,-AH33/AB33)</f>
        <v>-27.63219512195122</v>
      </c>
      <c r="AJ33" s="349">
        <f>AD33+AG33+AI33</f>
        <v>5615.6478048780482</v>
      </c>
      <c r="AK33" s="359">
        <f>Data!H57+Data!H62</f>
        <v>39046</v>
      </c>
      <c r="AL33" s="359">
        <f>Data!H69</f>
        <v>256</v>
      </c>
      <c r="AM33" s="351">
        <v>0</v>
      </c>
      <c r="AN33" s="359">
        <f>Data!H45</f>
        <v>22732</v>
      </c>
      <c r="AO33" s="351">
        <f>AK33+AL33+AM33-AN33</f>
        <v>16570</v>
      </c>
      <c r="AP33" s="99"/>
      <c r="AQ33" s="310">
        <f>MONTH(AR33)</f>
        <v>12</v>
      </c>
      <c r="AR33" s="312">
        <v>44926</v>
      </c>
      <c r="AS33" s="351">
        <v>100330</v>
      </c>
      <c r="AT33" s="351">
        <v>65386</v>
      </c>
      <c r="AU33" s="310">
        <v>478</v>
      </c>
      <c r="AV33" s="351">
        <f>AS33-AT33+AU33</f>
        <v>35422</v>
      </c>
      <c r="AW33" s="351">
        <f>AV33-AU33</f>
        <v>34944</v>
      </c>
      <c r="AX33" s="310">
        <v>5.47</v>
      </c>
      <c r="AY33" s="8"/>
      <c r="AZ33" s="29"/>
      <c r="BA33" s="99"/>
      <c r="BB33" s="99"/>
      <c r="BC33" s="99"/>
      <c r="BD33" s="351">
        <f>BA33-BB33+BC33</f>
        <v>0</v>
      </c>
      <c r="BE33" s="351">
        <f>BD33-BC33</f>
        <v>0</v>
      </c>
      <c r="BF33" s="100"/>
      <c r="BG33" s="8"/>
      <c r="BH33" s="29"/>
      <c r="BI33" s="99"/>
      <c r="BJ33" s="99"/>
      <c r="BK33" s="99"/>
      <c r="BL33" s="351">
        <f>BI33-BJ33+BK33</f>
        <v>0</v>
      </c>
      <c r="BM33" s="351">
        <f>BL33-BK33</f>
        <v>0</v>
      </c>
      <c r="BN33" s="100"/>
      <c r="BO33" s="8"/>
      <c r="BP33" s="351">
        <f t="shared" ref="BP33:BU33" si="40">AS33-BA33+BI33</f>
        <v>100330</v>
      </c>
      <c r="BQ33" s="351">
        <f t="shared" si="40"/>
        <v>65386</v>
      </c>
      <c r="BR33" s="351">
        <f t="shared" si="40"/>
        <v>478</v>
      </c>
      <c r="BS33" s="351">
        <f t="shared" si="40"/>
        <v>35422</v>
      </c>
      <c r="BT33" s="351">
        <f t="shared" si="40"/>
        <v>34944</v>
      </c>
      <c r="BU33" s="352">
        <f t="shared" si="40"/>
        <v>5.47</v>
      </c>
      <c r="BV33" s="8"/>
      <c r="BW33" s="312">
        <v>45291</v>
      </c>
      <c r="BX33" s="351">
        <v>70163</v>
      </c>
      <c r="BY33" s="351">
        <v>26080</v>
      </c>
      <c r="BZ33" s="351">
        <v>22438</v>
      </c>
      <c r="CA33" s="352">
        <v>3.5569999999999999</v>
      </c>
      <c r="CB33" s="8"/>
      <c r="CC33" s="312">
        <f>BW33+365</f>
        <v>45656</v>
      </c>
      <c r="CD33" s="351">
        <v>70857</v>
      </c>
      <c r="CE33" s="351">
        <v>27525</v>
      </c>
      <c r="CF33" s="351">
        <v>24680</v>
      </c>
      <c r="CG33" s="352">
        <v>3.9489999999999998</v>
      </c>
      <c r="CH33" s="8"/>
      <c r="CI33" s="312">
        <f>CC33+365</f>
        <v>46021</v>
      </c>
      <c r="CJ33" s="351">
        <v>71077</v>
      </c>
      <c r="CK33" s="351">
        <v>27426</v>
      </c>
      <c r="CL33" s="351">
        <v>24689</v>
      </c>
      <c r="CM33" s="352">
        <v>3.927</v>
      </c>
      <c r="CN33" s="8"/>
      <c r="CO33" s="312">
        <v>45291</v>
      </c>
      <c r="CP33" s="351">
        <f>IF(AND(NOT(ISBLANK(BX33)),NOT(ISBLANK(CD33))),($AQ33/12)*BX33+((12-$AQ33)/12)*CD33,"")</f>
        <v>70163</v>
      </c>
      <c r="CQ33" s="351">
        <f>IF(AND(NOT(ISBLANK(BY33)),NOT(ISBLANK(CE33))),($AQ33/12)*BY33+((12-$AQ33)/12)*CE33,"")</f>
        <v>26080</v>
      </c>
      <c r="CR33" s="351">
        <f>IF(AND(NOT(ISBLANK(BZ33)),NOT(ISBLANK(CF33))),($AQ33/12)*BZ33+((12-$AQ33)/12)*CF33,"")</f>
        <v>22438</v>
      </c>
      <c r="CS33" s="352">
        <f>IF(AND(NOT(ISBLANK(CA33)),NOT(ISBLANK(CG33))),($AQ33/12)*CA33+((12-$AQ33)/12)*CG33,"")</f>
        <v>3.5569999999999999</v>
      </c>
      <c r="CT33" s="8"/>
      <c r="CU33" s="312">
        <v>45657</v>
      </c>
      <c r="CV33" s="351">
        <f>IF(AND(NOT(ISBLANK(CD33)),NOT(ISBLANK(CJ33))),($AQ33/12)*CD33+((12-$AQ33)/12)*CJ33,"")</f>
        <v>70857</v>
      </c>
      <c r="CW33" s="351">
        <f>IF(AND(NOT(ISBLANK(CE33)),NOT(ISBLANK(CK33))),($AQ33/12)*CE33+((12-$AQ33)/12)*CK33,"")</f>
        <v>27525</v>
      </c>
      <c r="CX33" s="351">
        <f>IF(AND(NOT(ISBLANK(CF33)),NOT(ISBLANK(CL33))),($AQ33/12)*CF33+((12-$AQ33)/12)*CL33,"")</f>
        <v>24680</v>
      </c>
      <c r="CY33" s="352">
        <f>IF(AND(NOT(ISBLANK(CG33)),NOT(ISBLANK(CM33))),($AQ33/12)*CG33+((12-$AQ33)/12)*CM33,"")</f>
        <v>3.9489999999999998</v>
      </c>
    </row>
    <row r="34" spans="2:103" ht="9.75" customHeight="1">
      <c r="B34" s="102"/>
      <c r="C34" s="103"/>
      <c r="D34" s="103"/>
      <c r="E34" s="102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5"/>
      <c r="S34" s="106"/>
      <c r="T34" s="104"/>
      <c r="U34" s="104"/>
      <c r="V34" s="104"/>
      <c r="W34" s="104"/>
      <c r="Z34" s="107"/>
      <c r="AA34" s="107"/>
      <c r="AB34" s="108"/>
      <c r="AC34" s="95"/>
      <c r="AD34" s="109"/>
      <c r="AE34" s="109"/>
      <c r="AF34" s="109"/>
      <c r="AG34" s="123"/>
      <c r="AH34" s="111"/>
      <c r="AI34" s="111"/>
      <c r="AJ34" s="111"/>
      <c r="AK34" s="112"/>
      <c r="AL34" s="112"/>
      <c r="AM34" s="112"/>
      <c r="AN34" s="112"/>
      <c r="AO34" s="94"/>
      <c r="AP34" s="94"/>
      <c r="AQ34" s="113"/>
      <c r="AR34" s="95"/>
      <c r="AS34" s="112"/>
      <c r="AT34" s="112"/>
      <c r="AU34" s="107"/>
      <c r="AV34" s="94"/>
      <c r="AW34" s="94"/>
      <c r="AX34" s="107"/>
      <c r="AZ34" s="95"/>
      <c r="BA34" s="112"/>
      <c r="BB34" s="112"/>
      <c r="BC34" s="112"/>
      <c r="BD34" s="94"/>
      <c r="BE34" s="94"/>
      <c r="BF34" s="114"/>
      <c r="BH34" s="95"/>
      <c r="BI34" s="112"/>
      <c r="BJ34" s="112"/>
      <c r="BK34" s="112"/>
      <c r="BL34" s="94"/>
      <c r="BM34" s="94"/>
      <c r="BN34" s="114"/>
      <c r="BP34" s="115"/>
      <c r="BQ34" s="115"/>
      <c r="BR34" s="115"/>
      <c r="BS34" s="115"/>
      <c r="BT34" s="115"/>
      <c r="BU34" s="116"/>
      <c r="BW34" s="124"/>
      <c r="BX34" s="112"/>
      <c r="BY34" s="112"/>
      <c r="BZ34" s="112"/>
      <c r="CA34" s="114"/>
      <c r="CC34" s="117"/>
      <c r="CD34" s="112"/>
      <c r="CE34" s="112"/>
      <c r="CF34" s="112"/>
      <c r="CG34" s="114"/>
      <c r="CI34" s="117"/>
      <c r="CJ34" s="112"/>
      <c r="CK34" s="112"/>
      <c r="CL34" s="112"/>
      <c r="CM34" s="114"/>
      <c r="CO34" s="117"/>
      <c r="CP34" s="115"/>
      <c r="CQ34" s="115"/>
      <c r="CR34" s="115"/>
      <c r="CS34" s="116"/>
      <c r="CU34" s="117"/>
      <c r="CV34" s="115"/>
      <c r="CW34" s="115"/>
      <c r="CX34" s="115"/>
      <c r="CY34" s="116"/>
    </row>
    <row r="35" spans="2:103" ht="15" customHeight="1">
      <c r="B35" s="343" t="str">
        <f>""&amp;Data!C5&amp;" - Metric"</f>
        <v>Pfizer Inc - Metric</v>
      </c>
      <c r="C35" s="360"/>
      <c r="D35" s="360"/>
      <c r="E35" s="344"/>
      <c r="F35" s="361">
        <f>BP33</f>
        <v>100330</v>
      </c>
      <c r="G35" s="361">
        <f>CP33</f>
        <v>70163</v>
      </c>
      <c r="H35" s="361">
        <f>CV33</f>
        <v>70857</v>
      </c>
      <c r="I35" s="362"/>
      <c r="J35" s="361">
        <f>BS33</f>
        <v>35422</v>
      </c>
      <c r="K35" s="361">
        <f>CQ33</f>
        <v>26080</v>
      </c>
      <c r="L35" s="361">
        <f>CW33</f>
        <v>27525</v>
      </c>
      <c r="M35" s="362"/>
      <c r="N35" s="361">
        <f>BT33</f>
        <v>34944</v>
      </c>
      <c r="O35" s="361">
        <f>CR33</f>
        <v>22438</v>
      </c>
      <c r="P35" s="361">
        <f>CX33</f>
        <v>24680</v>
      </c>
      <c r="Q35" s="362"/>
      <c r="R35" s="362"/>
      <c r="S35" s="362"/>
      <c r="T35" s="362"/>
      <c r="U35" s="363">
        <f>BU33</f>
        <v>5.47</v>
      </c>
      <c r="V35" s="363">
        <f>CS33</f>
        <v>3.5569999999999999</v>
      </c>
      <c r="W35" s="363">
        <f>CY33</f>
        <v>3.9489999999999998</v>
      </c>
      <c r="X35" s="8"/>
      <c r="Y35" s="8"/>
      <c r="Z35" s="8"/>
      <c r="AA35" s="8"/>
      <c r="AB35" s="101"/>
      <c r="AC35" s="29"/>
      <c r="AD35" s="97"/>
      <c r="AE35" s="97"/>
      <c r="AF35" s="97"/>
      <c r="AG35" s="97"/>
      <c r="AH35" s="97"/>
      <c r="AI35" s="97"/>
      <c r="AJ35" s="97"/>
      <c r="AK35" s="8"/>
      <c r="AL35" s="99"/>
      <c r="AM35" s="99"/>
      <c r="AN35" s="99"/>
      <c r="AO35" s="99"/>
      <c r="AP35" s="99"/>
      <c r="AQ35" s="8"/>
      <c r="AR35" s="29"/>
      <c r="AS35" s="8"/>
      <c r="AT35" s="8"/>
      <c r="AU35" s="8"/>
      <c r="AV35" s="99"/>
      <c r="AW35" s="99"/>
      <c r="AX35" s="8"/>
      <c r="AY35" s="8"/>
      <c r="AZ35" s="29"/>
      <c r="BA35" s="99"/>
      <c r="BB35" s="99"/>
      <c r="BC35" s="99"/>
      <c r="BD35" s="99"/>
      <c r="BE35" s="99"/>
      <c r="BF35" s="100"/>
      <c r="BG35" s="8"/>
      <c r="BH35" s="29"/>
      <c r="BI35" s="99"/>
      <c r="BJ35" s="99"/>
      <c r="BK35" s="99"/>
      <c r="BL35" s="99"/>
      <c r="BM35" s="99"/>
      <c r="BN35" s="100"/>
      <c r="BO35" s="8"/>
      <c r="BP35" s="99"/>
      <c r="BQ35" s="99"/>
      <c r="BR35" s="99"/>
      <c r="BS35" s="99"/>
      <c r="BT35" s="99"/>
      <c r="BU35" s="100"/>
      <c r="BV35" s="8"/>
      <c r="BW35" s="34"/>
      <c r="BX35" s="99"/>
      <c r="BY35" s="99"/>
      <c r="BZ35" s="99"/>
      <c r="CA35" s="100"/>
      <c r="CB35" s="8"/>
      <c r="CC35" s="34"/>
      <c r="CD35" s="99"/>
      <c r="CE35" s="99"/>
      <c r="CF35" s="99"/>
      <c r="CG35" s="100"/>
      <c r="CH35" s="8"/>
      <c r="CI35" s="29"/>
      <c r="CJ35" s="99"/>
      <c r="CK35" s="99"/>
      <c r="CL35" s="99"/>
      <c r="CM35" s="100"/>
      <c r="CN35" s="8"/>
      <c r="CO35" s="34"/>
      <c r="CP35" s="99"/>
      <c r="CQ35" s="99"/>
      <c r="CR35" s="99"/>
      <c r="CS35" s="100"/>
      <c r="CT35" s="8"/>
      <c r="CU35" s="34"/>
      <c r="CV35" s="99"/>
      <c r="CW35" s="99"/>
      <c r="CX35" s="99"/>
      <c r="CY35" s="100"/>
    </row>
    <row r="36" spans="2:103" ht="9.75" customHeight="1"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U36" s="94"/>
      <c r="V36" s="94"/>
      <c r="W36" s="94"/>
      <c r="AB36" s="108"/>
      <c r="AN36" s="74"/>
    </row>
    <row r="37" spans="2:103" ht="15" customHeight="1">
      <c r="B37" s="313" t="s">
        <v>301</v>
      </c>
      <c r="C37" s="54"/>
      <c r="D37" s="54"/>
      <c r="E37" s="54"/>
      <c r="F37" s="364">
        <f t="shared" ref="F37:H38" si="41">IF(ISERROR(F28*F$35),"NA",F28*F$35)</f>
        <v>707780.19508507045</v>
      </c>
      <c r="G37" s="364">
        <f t="shared" si="41"/>
        <v>454408.04213007592</v>
      </c>
      <c r="H37" s="364">
        <f t="shared" si="41"/>
        <v>0</v>
      </c>
      <c r="I37" s="125"/>
      <c r="J37" s="364">
        <f t="shared" ref="J37:L38" si="42">IF(ISERROR(J28*J$35),"NA",J28*J$35)</f>
        <v>768180.15080941177</v>
      </c>
      <c r="K37" s="364">
        <f t="shared" si="42"/>
        <v>475371.36815140699</v>
      </c>
      <c r="L37" s="364">
        <f t="shared" si="42"/>
        <v>0</v>
      </c>
      <c r="M37" s="125"/>
      <c r="N37" s="364">
        <f t="shared" ref="N37:P38" si="43">IF(ISERROR(N28*N$35),"NA",N28*N$35)</f>
        <v>944238.1872793868</v>
      </c>
      <c r="O37" s="364">
        <f t="shared" si="43"/>
        <v>466289.43060322746</v>
      </c>
      <c r="P37" s="364">
        <f t="shared" si="43"/>
        <v>0</v>
      </c>
      <c r="Q37" s="54"/>
      <c r="R37" s="54"/>
      <c r="S37" s="54"/>
      <c r="T37" s="54"/>
      <c r="U37" s="125"/>
      <c r="V37" s="125"/>
      <c r="W37" s="125"/>
      <c r="X37" s="54"/>
      <c r="Y37" s="54"/>
      <c r="Z37" s="54"/>
      <c r="AA37" s="54"/>
      <c r="AB37" s="126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</row>
    <row r="38" spans="2:103" ht="15" customHeight="1">
      <c r="B38" s="313" t="s">
        <v>302</v>
      </c>
      <c r="C38" s="54"/>
      <c r="D38" s="54"/>
      <c r="E38" s="54"/>
      <c r="F38" s="364">
        <f t="shared" si="41"/>
        <v>534550.47090336552</v>
      </c>
      <c r="G38" s="364">
        <f t="shared" si="41"/>
        <v>347584.86856292735</v>
      </c>
      <c r="H38" s="364">
        <f t="shared" si="41"/>
        <v>0</v>
      </c>
      <c r="I38" s="125"/>
      <c r="J38" s="364">
        <f t="shared" si="42"/>
        <v>555006.12462671648</v>
      </c>
      <c r="K38" s="364">
        <f t="shared" si="42"/>
        <v>311369.18436220317</v>
      </c>
      <c r="L38" s="364">
        <f t="shared" si="42"/>
        <v>0</v>
      </c>
      <c r="M38" s="125"/>
      <c r="N38" s="364">
        <f t="shared" si="43"/>
        <v>736156.81158909353</v>
      </c>
      <c r="O38" s="364">
        <f t="shared" si="43"/>
        <v>306963.2244327119</v>
      </c>
      <c r="P38" s="364">
        <f t="shared" si="43"/>
        <v>0</v>
      </c>
      <c r="Q38" s="54"/>
      <c r="R38" s="54"/>
      <c r="S38" s="54"/>
      <c r="T38" s="54"/>
      <c r="U38" s="125"/>
      <c r="V38" s="125"/>
      <c r="W38" s="125"/>
      <c r="X38" s="54"/>
      <c r="Y38" s="54"/>
      <c r="Z38" s="54"/>
      <c r="AA38" s="54"/>
      <c r="AB38" s="126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</row>
    <row r="39" spans="2:103" ht="15" customHeight="1">
      <c r="B39" s="313" t="s">
        <v>303</v>
      </c>
      <c r="C39" s="54"/>
      <c r="D39" s="54"/>
      <c r="E39" s="54"/>
      <c r="F39" s="364">
        <f>IF(ISERROR(F27*F$35),"NA",F27*F$35)</f>
        <v>534550.47090336541</v>
      </c>
      <c r="G39" s="364">
        <f>IF(ISERROR(G27*G$35),"NA",G27*G$35)</f>
        <v>347584.86856292735</v>
      </c>
      <c r="H39" s="364">
        <f>IF(ISERROR(H27*H$35),"NA",H27*H$35)</f>
        <v>0</v>
      </c>
      <c r="I39" s="125"/>
      <c r="J39" s="364">
        <f>IF(ISERROR(J27*J$35),"NA",J27*J$35)</f>
        <v>555006.12462671613</v>
      </c>
      <c r="K39" s="364">
        <f>IF(ISERROR(K27*K$35),"NA",K27*K$35)</f>
        <v>311369.18436220306</v>
      </c>
      <c r="L39" s="364">
        <f>IF(ISERROR(L27*L$35),"NA",L27*L$35)</f>
        <v>0</v>
      </c>
      <c r="M39" s="125"/>
      <c r="N39" s="364">
        <f>IF(ISERROR(N27*N$35),"NA",N27*N$35)</f>
        <v>736156.81158909341</v>
      </c>
      <c r="O39" s="364">
        <f>IF(ISERROR(O27*O$35),"NA",O27*O$35)</f>
        <v>306963.2244327119</v>
      </c>
      <c r="P39" s="364">
        <f>IF(ISERROR(P27*P$35),"NA",P27*P$35)</f>
        <v>0</v>
      </c>
      <c r="Q39" s="241"/>
      <c r="R39" s="54"/>
      <c r="S39" s="54"/>
      <c r="T39" s="54"/>
      <c r="U39" s="125"/>
      <c r="V39" s="125"/>
      <c r="W39" s="125"/>
      <c r="X39" s="54"/>
      <c r="Y39" s="54"/>
      <c r="Z39" s="54"/>
      <c r="AA39" s="54"/>
      <c r="AB39" s="126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</row>
    <row r="40" spans="2:103" ht="9.75" customHeight="1">
      <c r="F40" s="127"/>
      <c r="G40" s="127"/>
      <c r="H40" s="127"/>
      <c r="I40" s="94"/>
      <c r="J40" s="127"/>
      <c r="K40" s="127"/>
      <c r="L40" s="127"/>
      <c r="M40" s="94"/>
      <c r="N40" s="127"/>
      <c r="O40" s="127"/>
      <c r="P40" s="127"/>
    </row>
    <row r="41" spans="2:103" ht="15" customHeight="1">
      <c r="B41" s="292" t="s">
        <v>304</v>
      </c>
      <c r="C41" s="8"/>
      <c r="D41" s="8"/>
      <c r="E41" s="8"/>
      <c r="F41" s="307">
        <f>0-$AO$33</f>
        <v>-16570</v>
      </c>
      <c r="G41" s="307">
        <f>0-$AO$33</f>
        <v>-16570</v>
      </c>
      <c r="H41" s="307">
        <f>0-$AO$33</f>
        <v>-16570</v>
      </c>
      <c r="I41" s="36"/>
      <c r="J41" s="307">
        <f>0-$AO$33</f>
        <v>-16570</v>
      </c>
      <c r="K41" s="307">
        <f>0-$AO$33</f>
        <v>-16570</v>
      </c>
      <c r="L41" s="307">
        <f>0-$AO$33</f>
        <v>-16570</v>
      </c>
      <c r="M41" s="36"/>
      <c r="N41" s="307">
        <f>0-$AO$33</f>
        <v>-16570</v>
      </c>
      <c r="O41" s="307">
        <f>0-$AO$33</f>
        <v>-16570</v>
      </c>
      <c r="P41" s="99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</row>
    <row r="42" spans="2:103" ht="9.75" customHeight="1">
      <c r="F42" s="127"/>
      <c r="G42" s="127"/>
      <c r="H42" s="127"/>
      <c r="I42" s="94"/>
      <c r="J42" s="127"/>
      <c r="K42" s="127"/>
      <c r="L42" s="127"/>
      <c r="M42" s="94"/>
      <c r="N42" s="127"/>
      <c r="O42" s="127"/>
      <c r="P42" s="127"/>
    </row>
    <row r="43" spans="2:103" ht="15" customHeight="1">
      <c r="B43" s="313" t="s">
        <v>305</v>
      </c>
      <c r="C43" s="54"/>
      <c r="D43" s="54"/>
      <c r="E43" s="54"/>
      <c r="F43" s="364">
        <f t="shared" ref="F43:H45" si="44">F37+F$41</f>
        <v>691210.19508507045</v>
      </c>
      <c r="G43" s="364">
        <f t="shared" si="44"/>
        <v>437838.04213007592</v>
      </c>
      <c r="H43" s="364">
        <f t="shared" si="44"/>
        <v>-16570</v>
      </c>
      <c r="I43" s="125"/>
      <c r="J43" s="364">
        <f t="shared" ref="J43:L45" si="45">J37+J$41</f>
        <v>751610.15080941177</v>
      </c>
      <c r="K43" s="364">
        <f t="shared" si="45"/>
        <v>458801.36815140699</v>
      </c>
      <c r="L43" s="364">
        <f t="shared" si="45"/>
        <v>-16570</v>
      </c>
      <c r="M43" s="125"/>
      <c r="N43" s="364">
        <f t="shared" ref="N43:O45" si="46">N37+N$41</f>
        <v>927668.1872793868</v>
      </c>
      <c r="O43" s="364">
        <f t="shared" si="46"/>
        <v>449719.43060322746</v>
      </c>
      <c r="P43" s="125"/>
      <c r="Q43" s="54"/>
      <c r="R43" s="54"/>
      <c r="S43" s="54"/>
      <c r="T43" s="54"/>
      <c r="U43" s="364">
        <f>IF($C$6="Yes",IF(ISERROR(U28*U$35),"NA",U28*U$35)*$AJ$33,IF(ISERROR(U28*U$35),"NA",U28*U$35)*$AD$33)</f>
        <v>889579.21505599667</v>
      </c>
      <c r="V43" s="364">
        <f>IF($C$6="Yes",IF(ISERROR(V28*V$35),"NA",V28*V$35)*$AJ$33,IF(ISERROR(V28*V$35),"NA",V28*V$35)*$AD$33)</f>
        <v>442206.16825094959</v>
      </c>
      <c r="W43" s="125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</row>
    <row r="44" spans="2:103" ht="15" customHeight="1">
      <c r="B44" s="313" t="s">
        <v>306</v>
      </c>
      <c r="C44" s="54"/>
      <c r="D44" s="54"/>
      <c r="E44" s="54"/>
      <c r="F44" s="364">
        <f t="shared" si="44"/>
        <v>517980.47090336552</v>
      </c>
      <c r="G44" s="364">
        <f t="shared" si="44"/>
        <v>331014.86856292735</v>
      </c>
      <c r="H44" s="364">
        <f t="shared" si="44"/>
        <v>-16570</v>
      </c>
      <c r="I44" s="125"/>
      <c r="J44" s="364">
        <f t="shared" si="45"/>
        <v>538436.12462671648</v>
      </c>
      <c r="K44" s="364">
        <f t="shared" si="45"/>
        <v>294799.18436220317</v>
      </c>
      <c r="L44" s="364">
        <f t="shared" si="45"/>
        <v>-16570</v>
      </c>
      <c r="M44" s="125"/>
      <c r="N44" s="364">
        <f t="shared" si="46"/>
        <v>719586.81158909353</v>
      </c>
      <c r="O44" s="364">
        <f t="shared" si="46"/>
        <v>290393.2244327119</v>
      </c>
      <c r="P44" s="125"/>
      <c r="Q44" s="54"/>
      <c r="R44" s="54"/>
      <c r="S44" s="54"/>
      <c r="T44" s="54"/>
      <c r="U44" s="364">
        <f>IF($C$6="Yes",IF(ISERROR(U29*U$35),"NA",U29*U$35)*$AJ$33,IF(ISERROR(U29*U$35),"NA",U29*U$35)*$AD$33)</f>
        <v>696371.95232966309</v>
      </c>
      <c r="V44" s="364">
        <f>IF($C$6="Yes",IF(ISERROR(V29*V$35),"NA",V29*V$35)*$AJ$33,IF(ISERROR(V29*V$35),"NA",V29*V$35)*$AD$33)</f>
        <v>303334.57755291142</v>
      </c>
      <c r="W44" s="125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</row>
    <row r="45" spans="2:103" ht="15" customHeight="1">
      <c r="B45" s="313" t="s">
        <v>307</v>
      </c>
      <c r="C45" s="54"/>
      <c r="D45" s="54"/>
      <c r="E45" s="54"/>
      <c r="F45" s="364">
        <f t="shared" si="44"/>
        <v>517980.47090336541</v>
      </c>
      <c r="G45" s="364">
        <f t="shared" si="44"/>
        <v>331014.86856292735</v>
      </c>
      <c r="H45" s="364">
        <f t="shared" si="44"/>
        <v>-16570</v>
      </c>
      <c r="I45" s="125"/>
      <c r="J45" s="364">
        <f t="shared" si="45"/>
        <v>538436.12462671613</v>
      </c>
      <c r="K45" s="364">
        <f t="shared" si="45"/>
        <v>294799.18436220306</v>
      </c>
      <c r="L45" s="364">
        <f t="shared" si="45"/>
        <v>-16570</v>
      </c>
      <c r="M45" s="125"/>
      <c r="N45" s="364">
        <f t="shared" si="46"/>
        <v>719586.81158909341</v>
      </c>
      <c r="O45" s="364">
        <f t="shared" si="46"/>
        <v>290393.2244327119</v>
      </c>
      <c r="P45" s="125"/>
      <c r="Q45" s="54"/>
      <c r="R45" s="54"/>
      <c r="S45" s="54"/>
      <c r="T45" s="54"/>
      <c r="U45" s="364">
        <f>IF($C$6="Yes",IF(ISERROR(U27*U$35),"NA",U27*U$35)*$AJ$33,IF(ISERROR(U27*U$35),"NA",U27*U$35)*$AD$33)</f>
        <v>696371.95232966309</v>
      </c>
      <c r="V45" s="364">
        <f>IF($C$6="Yes",IF(ISERROR(V27*V$35),"NA",V27*V$35)*$AJ$33,IF(ISERROR(V27*V$35),"NA",V27*V$35)*$AD$33)</f>
        <v>303334.57755291148</v>
      </c>
      <c r="W45" s="125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</row>
    <row r="46" spans="2:103" ht="9.75" customHeight="1"/>
    <row r="47" spans="2:103" ht="15" customHeight="1">
      <c r="B47" s="313" t="s">
        <v>308</v>
      </c>
      <c r="C47" s="54"/>
      <c r="D47" s="54"/>
      <c r="E47" s="54"/>
      <c r="F47" s="316">
        <f t="shared" ref="F47:G49" si="47">IF($C$6="Yes",IF(ISERROR(F43/$AJ$33),"NA",F43/$AJ$33),IF(ISERROR(F43/$AD$33),"NA",F43/$AD$33))</f>
        <v>123.08645753828236</v>
      </c>
      <c r="G47" s="316">
        <f t="shared" si="47"/>
        <v>77.967503900395371</v>
      </c>
      <c r="H47" s="54"/>
      <c r="I47" s="54"/>
      <c r="J47" s="316">
        <f t="shared" ref="J47:K49" si="48">IF($C$6="Yes",IF(ISERROR(J43/$AJ$33),"NA",J43/$AJ$33),IF(ISERROR(J43/$AD$33),"NA",J43/$AD$33))</f>
        <v>133.84210992657401</v>
      </c>
      <c r="K47" s="316">
        <f t="shared" si="48"/>
        <v>81.700523981021007</v>
      </c>
      <c r="L47" s="54"/>
      <c r="M47" s="54"/>
      <c r="N47" s="316">
        <f t="shared" ref="N47:O49" si="49">IF($C$6="Yes",IF(ISERROR(N43/$AJ$33),"NA",N43/$AJ$33),IF(ISERROR(N43/$AD$33),"NA",N43/$AD$33))</f>
        <v>165.19344152487005</v>
      </c>
      <c r="O47" s="316">
        <f t="shared" si="49"/>
        <v>80.083268436559962</v>
      </c>
      <c r="P47" s="54"/>
      <c r="Q47" s="54"/>
      <c r="R47" s="54"/>
      <c r="S47" s="54"/>
      <c r="T47" s="54"/>
      <c r="U47" s="316">
        <f t="shared" ref="U47:V49" si="50">IF($C$6="Yes",IF(ISERROR(U43/$AJ$33),"NA",U43/$AJ$33),IF(ISERROR(U43/$AD$33),"NA",U43/$AD$33))</f>
        <v>158.41079176711565</v>
      </c>
      <c r="V47" s="316">
        <f t="shared" si="50"/>
        <v>78.745352916688603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</row>
    <row r="48" spans="2:103" ht="15" customHeight="1">
      <c r="B48" s="313" t="s">
        <v>309</v>
      </c>
      <c r="C48" s="54"/>
      <c r="D48" s="54"/>
      <c r="E48" s="54"/>
      <c r="F48" s="316">
        <f t="shared" si="47"/>
        <v>92.238774385640838</v>
      </c>
      <c r="G48" s="316">
        <f t="shared" si="47"/>
        <v>58.945090586947131</v>
      </c>
      <c r="H48" s="54"/>
      <c r="I48" s="54"/>
      <c r="J48" s="316">
        <f t="shared" si="48"/>
        <v>95.881391307874125</v>
      </c>
      <c r="K48" s="316">
        <f t="shared" si="48"/>
        <v>52.496024431255293</v>
      </c>
      <c r="L48" s="54"/>
      <c r="M48" s="54"/>
      <c r="N48" s="316">
        <f t="shared" si="49"/>
        <v>128.13959076351307</v>
      </c>
      <c r="O48" s="316">
        <f t="shared" si="49"/>
        <v>51.711438203168832</v>
      </c>
      <c r="P48" s="54"/>
      <c r="Q48" s="54"/>
      <c r="R48" s="54"/>
      <c r="S48" s="54"/>
      <c r="T48" s="54"/>
      <c r="U48" s="316">
        <f t="shared" si="50"/>
        <v>124.00563150074291</v>
      </c>
      <c r="V48" s="316">
        <f t="shared" si="50"/>
        <v>54.015954720205031</v>
      </c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</row>
    <row r="49" spans="2:103" ht="15" customHeight="1">
      <c r="B49" s="313" t="s">
        <v>310</v>
      </c>
      <c r="C49" s="54"/>
      <c r="D49" s="54"/>
      <c r="E49" s="54"/>
      <c r="F49" s="316">
        <f t="shared" si="47"/>
        <v>92.238774385640824</v>
      </c>
      <c r="G49" s="316">
        <f t="shared" si="47"/>
        <v>58.945090586947131</v>
      </c>
      <c r="H49" s="54"/>
      <c r="I49" s="54"/>
      <c r="J49" s="316">
        <f t="shared" si="48"/>
        <v>95.881391307874054</v>
      </c>
      <c r="K49" s="316">
        <f t="shared" si="48"/>
        <v>52.496024431255272</v>
      </c>
      <c r="L49" s="54"/>
      <c r="M49" s="54"/>
      <c r="N49" s="316">
        <f t="shared" si="49"/>
        <v>128.13959076351304</v>
      </c>
      <c r="O49" s="316">
        <f t="shared" si="49"/>
        <v>51.711438203168832</v>
      </c>
      <c r="P49" s="54"/>
      <c r="Q49" s="54"/>
      <c r="R49" s="54"/>
      <c r="S49" s="54"/>
      <c r="T49" s="54"/>
      <c r="U49" s="316">
        <f t="shared" si="50"/>
        <v>124.00563150074291</v>
      </c>
      <c r="V49" s="316">
        <f t="shared" si="50"/>
        <v>54.015954720205038</v>
      </c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</row>
    <row r="50" spans="2:103" ht="9.75" customHeight="1"/>
  </sheetData>
  <mergeCells count="12">
    <mergeCell ref="F10:P10"/>
    <mergeCell ref="CD10:CG10"/>
    <mergeCell ref="CV10:CY10"/>
    <mergeCell ref="U10:W10"/>
    <mergeCell ref="AS10:AX10"/>
    <mergeCell ref="BI10:BN10"/>
    <mergeCell ref="BP10:BU10"/>
    <mergeCell ref="AK11:AP11"/>
    <mergeCell ref="BX10:CA10"/>
    <mergeCell ref="CJ10:CM10"/>
    <mergeCell ref="CP10:CS10"/>
    <mergeCell ref="BA10:BF10"/>
  </mergeCells>
  <pageMargins left="0.7" right="0.7" top="0.75" bottom="0.75" header="0.511811023622047" footer="0.3"/>
  <pageSetup orientation="landscape" horizontalDpi="300" verticalDpi="300"/>
  <headerFooter>
    <oddFooter>&amp;L© Darrell Day&amp;C&amp;P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E3A8A"/>
    <pageSetUpPr fitToPage="1"/>
  </sheetPr>
  <dimension ref="A1:AW51"/>
  <sheetViews>
    <sheetView showGridLines="0" zoomScaleNormal="100" workbookViewId="0"/>
  </sheetViews>
  <sheetFormatPr baseColWidth="10" defaultColWidth="8.85546875" defaultRowHeight="15" outlineLevelCol="1"/>
  <cols>
    <col min="1" max="1" width="2" customWidth="1"/>
    <col min="2" max="2" width="34" customWidth="1"/>
    <col min="3" max="7" width="10.85546875" customWidth="1"/>
    <col min="8" max="9" width="2.85546875" hidden="1" customWidth="1" outlineLevel="1"/>
    <col min="10" max="10" width="2.85546875" customWidth="1" collapsed="1"/>
    <col min="11" max="13" width="10.85546875" customWidth="1"/>
    <col min="14" max="14" width="2.85546875" customWidth="1"/>
    <col min="15" max="15" width="10.85546875" customWidth="1"/>
    <col min="16" max="16" width="2.85546875" customWidth="1"/>
    <col min="17" max="17" width="10.85546875" customWidth="1"/>
    <col min="18" max="18" width="2.85546875" hidden="1" customWidth="1"/>
    <col min="19" max="21" width="10.85546875" hidden="1" customWidth="1"/>
    <col min="22" max="23" width="2.85546875" hidden="1" customWidth="1"/>
    <col min="24" max="28" width="10.85546875" hidden="1" customWidth="1" outlineLevel="1"/>
    <col min="29" max="31" width="2.85546875" hidden="1" customWidth="1" outlineLevel="1"/>
    <col min="32" max="34" width="10.85546875" hidden="1" customWidth="1" outlineLevel="1"/>
    <col min="35" max="35" width="2.85546875" hidden="1" customWidth="1" outlineLevel="1"/>
    <col min="36" max="38" width="10.85546875" hidden="1" customWidth="1" outlineLevel="1"/>
    <col min="39" max="39" width="2.85546875" hidden="1" customWidth="1" outlineLevel="1"/>
    <col min="40" max="42" width="10.85546875" hidden="1" customWidth="1" outlineLevel="1"/>
    <col min="43" max="43" width="2.85546875" hidden="1" customWidth="1" outlineLevel="1"/>
    <col min="44" max="44" width="10.85546875" hidden="1" customWidth="1" outlineLevel="1"/>
    <col min="45" max="45" width="2.85546875" hidden="1" customWidth="1" outlineLevel="1"/>
    <col min="46" max="48" width="10.85546875" hidden="1" customWidth="1" outlineLevel="1"/>
    <col min="49" max="49" width="8.85546875" customWidth="1" outlineLevel="1"/>
  </cols>
  <sheetData>
    <row r="1" spans="1:48" ht="8" customHeight="1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</row>
    <row r="2" spans="1:48" ht="22" customHeight="1">
      <c r="B2" s="248" t="str">
        <f>Data!C5&amp;" - Precedent Transactions Valuation"</f>
        <v>Pfizer Inc - Precedent Transactions Valuation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48" ht="16" customHeight="1">
      <c r="B3" s="249" t="s">
        <v>311</v>
      </c>
      <c r="C3" s="365">
        <v>44986</v>
      </c>
      <c r="D3" s="128"/>
      <c r="E3" s="128"/>
      <c r="F3" s="128"/>
      <c r="G3" s="128"/>
      <c r="H3" s="1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5" customHeight="1">
      <c r="B4" s="338" t="s">
        <v>80</v>
      </c>
      <c r="C4" s="293">
        <v>44926</v>
      </c>
      <c r="D4" s="128"/>
      <c r="E4" s="128"/>
      <c r="F4" s="128"/>
      <c r="G4" s="128"/>
      <c r="H4" s="1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</row>
    <row r="5" spans="1:48" ht="15" customHeight="1">
      <c r="B5" s="292" t="s">
        <v>312</v>
      </c>
      <c r="C5" s="339" t="s">
        <v>82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1:48" ht="9.75" customHeight="1">
      <c r="B6" s="88"/>
      <c r="C6" s="89"/>
      <c r="D6" s="89"/>
      <c r="E6" s="89"/>
      <c r="F6" s="89"/>
      <c r="G6" s="89"/>
      <c r="H6" s="89"/>
    </row>
    <row r="7" spans="1:48" ht="20.25" customHeight="1">
      <c r="A7" s="134"/>
      <c r="B7" s="294" t="s">
        <v>313</v>
      </c>
      <c r="C7" s="160"/>
      <c r="D7" s="160"/>
      <c r="E7" s="160"/>
      <c r="F7" s="160"/>
      <c r="G7" s="160"/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9.75" customHeight="1"/>
    <row r="9" spans="1:48" ht="15" customHeight="1">
      <c r="A9" s="134"/>
      <c r="B9" s="26"/>
      <c r="C9" s="26"/>
      <c r="D9" s="26"/>
      <c r="E9" s="26"/>
      <c r="F9" s="26"/>
      <c r="G9" s="26"/>
      <c r="H9" s="26"/>
      <c r="I9" s="26"/>
      <c r="J9" s="26"/>
      <c r="K9" s="478" t="s">
        <v>314</v>
      </c>
      <c r="L9" s="477"/>
      <c r="M9" s="477"/>
      <c r="N9" s="26"/>
      <c r="O9" s="295" t="s">
        <v>236</v>
      </c>
      <c r="P9" s="26"/>
      <c r="Q9" s="295" t="s">
        <v>315</v>
      </c>
      <c r="R9" s="26"/>
      <c r="S9" s="478" t="s">
        <v>316</v>
      </c>
      <c r="T9" s="477"/>
      <c r="U9" s="477"/>
      <c r="V9" s="14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2"/>
      <c r="AI9" s="340"/>
      <c r="AJ9" s="340"/>
      <c r="AK9" s="340"/>
      <c r="AL9" s="340"/>
      <c r="AM9" s="340"/>
      <c r="AN9" s="342"/>
      <c r="AO9" s="340"/>
      <c r="AP9" s="340"/>
      <c r="AQ9" s="340"/>
      <c r="AR9" s="340"/>
      <c r="AS9" s="340"/>
      <c r="AT9" s="340"/>
      <c r="AU9" s="340"/>
      <c r="AV9" s="340"/>
    </row>
    <row r="10" spans="1:48" ht="15" customHeight="1">
      <c r="A10" s="134"/>
      <c r="B10" s="26"/>
      <c r="C10" s="26"/>
      <c r="D10" s="295" t="s">
        <v>317</v>
      </c>
      <c r="E10" s="295" t="s">
        <v>318</v>
      </c>
      <c r="F10" s="295" t="s">
        <v>319</v>
      </c>
      <c r="G10" s="295" t="s">
        <v>320</v>
      </c>
      <c r="H10" s="295" t="s">
        <v>260</v>
      </c>
      <c r="I10" s="295" t="s">
        <v>261</v>
      </c>
      <c r="J10" s="26"/>
      <c r="K10" s="295" t="s">
        <v>236</v>
      </c>
      <c r="L10" s="295" t="s">
        <v>236</v>
      </c>
      <c r="M10" s="295" t="s">
        <v>236</v>
      </c>
      <c r="N10" s="26"/>
      <c r="O10" s="295" t="s">
        <v>74</v>
      </c>
      <c r="P10" s="26"/>
      <c r="Q10" s="295" t="s">
        <v>236</v>
      </c>
      <c r="R10" s="26"/>
      <c r="S10" s="478" t="s">
        <v>321</v>
      </c>
      <c r="T10" s="477"/>
      <c r="U10" s="477"/>
      <c r="V10" s="14"/>
      <c r="W10" s="340"/>
      <c r="X10" s="340"/>
      <c r="Y10" s="340"/>
      <c r="Z10" s="340"/>
      <c r="AA10" s="340"/>
      <c r="AB10" s="340"/>
      <c r="AC10" s="341" t="s">
        <v>322</v>
      </c>
      <c r="AD10" s="340"/>
      <c r="AE10" s="340"/>
      <c r="AF10" s="340"/>
      <c r="AG10" s="340"/>
      <c r="AH10" s="476" t="s">
        <v>323</v>
      </c>
      <c r="AI10" s="477"/>
      <c r="AJ10" s="477"/>
      <c r="AK10" s="477"/>
      <c r="AL10" s="477"/>
      <c r="AM10" s="477"/>
      <c r="AN10" s="476" t="s">
        <v>314</v>
      </c>
      <c r="AO10" s="477"/>
      <c r="AP10" s="477"/>
      <c r="AQ10" s="340"/>
      <c r="AR10" s="341" t="s">
        <v>324</v>
      </c>
      <c r="AS10" s="340"/>
      <c r="AT10" s="476" t="s">
        <v>325</v>
      </c>
      <c r="AU10" s="477"/>
      <c r="AV10" s="477"/>
    </row>
    <row r="11" spans="1:48" ht="15" customHeight="1">
      <c r="A11" s="134"/>
      <c r="B11" s="343" t="s">
        <v>326</v>
      </c>
      <c r="C11" s="343" t="s">
        <v>199</v>
      </c>
      <c r="D11" s="343" t="s">
        <v>327</v>
      </c>
      <c r="E11" s="343" t="s">
        <v>328</v>
      </c>
      <c r="F11" s="343" t="s">
        <v>329</v>
      </c>
      <c r="G11" s="343" t="s">
        <v>277</v>
      </c>
      <c r="H11" s="343" t="s">
        <v>277</v>
      </c>
      <c r="I11" s="343" t="s">
        <v>277</v>
      </c>
      <c r="J11" s="344"/>
      <c r="K11" s="343" t="s">
        <v>90</v>
      </c>
      <c r="L11" s="343" t="s">
        <v>74</v>
      </c>
      <c r="M11" s="343" t="s">
        <v>98</v>
      </c>
      <c r="N11" s="344"/>
      <c r="O11" s="343" t="s">
        <v>278</v>
      </c>
      <c r="P11" s="344"/>
      <c r="Q11" s="343" t="s">
        <v>330</v>
      </c>
      <c r="R11" s="26"/>
      <c r="S11" s="295" t="s">
        <v>331</v>
      </c>
      <c r="T11" s="295" t="s">
        <v>332</v>
      </c>
      <c r="U11" s="295" t="s">
        <v>333</v>
      </c>
      <c r="V11" s="14"/>
      <c r="W11" s="340"/>
      <c r="X11" s="341" t="s">
        <v>334</v>
      </c>
      <c r="Y11" s="341" t="s">
        <v>335</v>
      </c>
      <c r="Z11" s="341" t="s">
        <v>336</v>
      </c>
      <c r="AA11" s="341" t="s">
        <v>337</v>
      </c>
      <c r="AB11" s="341" t="s">
        <v>338</v>
      </c>
      <c r="AC11" s="341" t="s">
        <v>132</v>
      </c>
      <c r="AD11" s="341" t="s">
        <v>273</v>
      </c>
      <c r="AE11" s="341" t="s">
        <v>115</v>
      </c>
      <c r="AF11" s="341" t="s">
        <v>339</v>
      </c>
      <c r="AG11" s="341" t="s">
        <v>339</v>
      </c>
      <c r="AH11" s="341" t="s">
        <v>340</v>
      </c>
      <c r="AI11" s="341" t="s">
        <v>341</v>
      </c>
      <c r="AJ11" s="341" t="s">
        <v>342</v>
      </c>
      <c r="AK11" s="341" t="s">
        <v>343</v>
      </c>
      <c r="AL11" s="341" t="s">
        <v>344</v>
      </c>
      <c r="AM11" s="346"/>
      <c r="AN11" s="345" t="s">
        <v>340</v>
      </c>
      <c r="AO11" s="345" t="s">
        <v>341</v>
      </c>
      <c r="AP11" s="345" t="s">
        <v>342</v>
      </c>
      <c r="AQ11" s="340"/>
      <c r="AR11" s="345" t="s">
        <v>279</v>
      </c>
      <c r="AS11" s="340"/>
      <c r="AT11" s="345" t="s">
        <v>331</v>
      </c>
      <c r="AU11" s="345" t="s">
        <v>345</v>
      </c>
      <c r="AV11" s="345" t="s">
        <v>346</v>
      </c>
    </row>
    <row r="12" spans="1:48" ht="9.75" customHeight="1">
      <c r="B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AH12" s="129"/>
      <c r="AI12" s="129"/>
      <c r="AJ12" s="129"/>
      <c r="AK12" s="129"/>
      <c r="AL12" s="129"/>
      <c r="AQ12" s="94"/>
      <c r="AS12" s="94"/>
    </row>
    <row r="13" spans="1:48" ht="15" customHeight="1">
      <c r="B13" s="5"/>
      <c r="C13" s="16"/>
      <c r="D13" s="21"/>
      <c r="E13" s="16"/>
      <c r="F13" s="16"/>
      <c r="G13" s="99"/>
      <c r="H13" s="36"/>
      <c r="I13" s="36"/>
      <c r="J13" s="8"/>
      <c r="K13" s="43"/>
      <c r="L13" s="43"/>
      <c r="M13" s="43"/>
      <c r="N13" s="43"/>
      <c r="O13" s="2"/>
      <c r="P13" s="43"/>
      <c r="Q13" s="43"/>
      <c r="R13" s="43"/>
      <c r="S13" s="2"/>
      <c r="T13" s="2"/>
      <c r="U13" s="2"/>
      <c r="V13" s="8"/>
      <c r="W13" s="8"/>
      <c r="X13" s="8"/>
      <c r="Y13" s="8"/>
      <c r="Z13" s="21"/>
      <c r="AA13" s="99"/>
      <c r="AB13" s="8"/>
      <c r="AC13" s="8"/>
      <c r="AD13" s="8"/>
      <c r="AE13" s="99"/>
      <c r="AF13" s="98"/>
      <c r="AG13" s="98"/>
      <c r="AH13" s="96"/>
      <c r="AI13" s="97"/>
      <c r="AJ13" s="96"/>
      <c r="AK13" s="96"/>
      <c r="AL13" s="96"/>
      <c r="AM13" s="97"/>
      <c r="AN13" s="96"/>
      <c r="AO13" s="96"/>
      <c r="AP13" s="96"/>
      <c r="AQ13" s="99"/>
      <c r="AR13" s="96"/>
      <c r="AS13" s="99"/>
      <c r="AT13" s="96"/>
      <c r="AU13" s="96"/>
      <c r="AV13" s="96"/>
    </row>
    <row r="14" spans="1:48" ht="15" customHeight="1">
      <c r="B14" s="5"/>
      <c r="C14" s="16"/>
      <c r="D14" s="21"/>
      <c r="E14" s="16"/>
      <c r="F14" s="16"/>
      <c r="G14" s="99"/>
      <c r="H14" s="36"/>
      <c r="I14" s="36"/>
      <c r="J14" s="8"/>
      <c r="K14" s="43"/>
      <c r="L14" s="43"/>
      <c r="M14" s="43"/>
      <c r="N14" s="43"/>
      <c r="O14" s="2"/>
      <c r="P14" s="43"/>
      <c r="Q14" s="43"/>
      <c r="R14" s="43"/>
      <c r="S14" s="2"/>
      <c r="T14" s="2"/>
      <c r="U14" s="2"/>
      <c r="V14" s="8"/>
      <c r="W14" s="8"/>
      <c r="X14" s="8"/>
      <c r="Y14" s="8"/>
      <c r="Z14" s="21"/>
      <c r="AA14" s="99"/>
      <c r="AB14" s="8"/>
      <c r="AC14" s="8"/>
      <c r="AD14" s="8"/>
      <c r="AE14" s="99"/>
      <c r="AF14" s="98"/>
      <c r="AG14" s="98"/>
      <c r="AH14" s="96"/>
      <c r="AI14" s="97"/>
      <c r="AJ14" s="96"/>
      <c r="AK14" s="96"/>
      <c r="AL14" s="96"/>
      <c r="AM14" s="97"/>
      <c r="AN14" s="96"/>
      <c r="AO14" s="97"/>
      <c r="AP14" s="97"/>
      <c r="AQ14" s="99"/>
      <c r="AR14" s="96"/>
      <c r="AS14" s="99"/>
      <c r="AT14" s="96"/>
      <c r="AU14" s="96"/>
      <c r="AV14" s="96"/>
    </row>
    <row r="15" spans="1:48" ht="15" customHeight="1">
      <c r="B15" s="5"/>
      <c r="C15" s="16"/>
      <c r="D15" s="21"/>
      <c r="E15" s="16"/>
      <c r="F15" s="16"/>
      <c r="G15" s="99"/>
      <c r="H15" s="36"/>
      <c r="I15" s="36"/>
      <c r="J15" s="8"/>
      <c r="K15" s="43"/>
      <c r="L15" s="43"/>
      <c r="M15" s="43"/>
      <c r="N15" s="43"/>
      <c r="O15" s="2"/>
      <c r="P15" s="43"/>
      <c r="Q15" s="43"/>
      <c r="R15" s="43"/>
      <c r="S15" s="2"/>
      <c r="T15" s="2"/>
      <c r="U15" s="2"/>
      <c r="V15" s="8"/>
      <c r="W15" s="8"/>
      <c r="X15" s="8"/>
      <c r="Y15" s="8"/>
      <c r="Z15" s="21"/>
      <c r="AA15" s="99"/>
      <c r="AB15" s="8"/>
      <c r="AC15" s="8"/>
      <c r="AD15" s="8"/>
      <c r="AE15" s="99"/>
      <c r="AF15" s="98"/>
      <c r="AG15" s="98"/>
      <c r="AH15" s="96"/>
      <c r="AI15" s="97"/>
      <c r="AJ15" s="96"/>
      <c r="AK15" s="96"/>
      <c r="AL15" s="96"/>
      <c r="AM15" s="97"/>
      <c r="AN15" s="96"/>
      <c r="AO15" s="96"/>
      <c r="AP15" s="96"/>
      <c r="AQ15" s="99"/>
      <c r="AR15" s="96"/>
      <c r="AS15" s="99"/>
      <c r="AT15" s="96"/>
      <c r="AU15" s="96"/>
      <c r="AV15" s="96"/>
    </row>
    <row r="16" spans="1:48" ht="15" customHeight="1">
      <c r="B16" s="5"/>
      <c r="C16" s="16"/>
      <c r="D16" s="21"/>
      <c r="E16" s="16"/>
      <c r="F16" s="16"/>
      <c r="G16" s="99"/>
      <c r="H16" s="36"/>
      <c r="I16" s="36"/>
      <c r="J16" s="8"/>
      <c r="K16" s="43"/>
      <c r="L16" s="43"/>
      <c r="M16" s="43"/>
      <c r="N16" s="43"/>
      <c r="O16" s="2"/>
      <c r="P16" s="43"/>
      <c r="Q16" s="43"/>
      <c r="R16" s="43"/>
      <c r="S16" s="2"/>
      <c r="T16" s="2"/>
      <c r="U16" s="2"/>
      <c r="V16" s="8"/>
      <c r="W16" s="8"/>
      <c r="X16" s="8"/>
      <c r="Y16" s="8"/>
      <c r="Z16" s="21"/>
      <c r="AA16" s="99"/>
      <c r="AB16" s="8"/>
      <c r="AC16" s="8"/>
      <c r="AD16" s="8"/>
      <c r="AE16" s="99"/>
      <c r="AF16" s="98"/>
      <c r="AG16" s="98"/>
      <c r="AH16" s="96"/>
      <c r="AI16" s="97"/>
      <c r="AJ16" s="96"/>
      <c r="AK16" s="96"/>
      <c r="AL16" s="96"/>
      <c r="AM16" s="97"/>
      <c r="AN16" s="96"/>
      <c r="AO16" s="96"/>
      <c r="AP16" s="96"/>
      <c r="AQ16" s="99"/>
      <c r="AR16" s="96"/>
      <c r="AS16" s="99"/>
      <c r="AT16" s="96"/>
      <c r="AU16" s="96"/>
      <c r="AV16" s="96"/>
    </row>
    <row r="17" spans="1:48" ht="15" customHeight="1">
      <c r="B17" s="5"/>
      <c r="C17" s="16"/>
      <c r="D17" s="21"/>
      <c r="E17" s="16"/>
      <c r="F17" s="16"/>
      <c r="G17" s="99"/>
      <c r="H17" s="36"/>
      <c r="I17" s="36"/>
      <c r="J17" s="8"/>
      <c r="K17" s="43"/>
      <c r="L17" s="43"/>
      <c r="M17" s="43"/>
      <c r="N17" s="43"/>
      <c r="O17" s="2"/>
      <c r="P17" s="43"/>
      <c r="Q17" s="43"/>
      <c r="R17" s="43"/>
      <c r="S17" s="2"/>
      <c r="T17" s="2"/>
      <c r="U17" s="2"/>
      <c r="V17" s="8"/>
      <c r="W17" s="8"/>
      <c r="X17" s="8"/>
      <c r="Y17" s="8"/>
      <c r="Z17" s="21"/>
      <c r="AA17" s="99"/>
      <c r="AB17" s="8"/>
      <c r="AC17" s="8"/>
      <c r="AD17" s="8"/>
      <c r="AE17" s="99"/>
      <c r="AF17" s="98"/>
      <c r="AG17" s="98"/>
      <c r="AH17" s="96"/>
      <c r="AI17" s="97"/>
      <c r="AJ17" s="96"/>
      <c r="AK17" s="96"/>
      <c r="AL17" s="96"/>
      <c r="AM17" s="97"/>
      <c r="AN17" s="96"/>
      <c r="AO17" s="96"/>
      <c r="AP17" s="96"/>
      <c r="AQ17" s="99"/>
      <c r="AR17" s="96"/>
      <c r="AS17" s="99"/>
      <c r="AT17" s="96"/>
      <c r="AU17" s="96"/>
      <c r="AV17" s="96"/>
    </row>
    <row r="18" spans="1:48" ht="15" customHeight="1">
      <c r="B18" s="5"/>
      <c r="C18" s="16"/>
      <c r="D18" s="21"/>
      <c r="E18" s="16"/>
      <c r="F18" s="16"/>
      <c r="G18" s="99"/>
      <c r="H18" s="36"/>
      <c r="I18" s="36"/>
      <c r="J18" s="8"/>
      <c r="K18" s="43"/>
      <c r="L18" s="43"/>
      <c r="M18" s="43"/>
      <c r="N18" s="43"/>
      <c r="O18" s="2"/>
      <c r="P18" s="43"/>
      <c r="Q18" s="43"/>
      <c r="R18" s="43"/>
      <c r="S18" s="2"/>
      <c r="T18" s="2"/>
      <c r="U18" s="2"/>
      <c r="V18" s="8"/>
      <c r="W18" s="8"/>
      <c r="X18" s="8"/>
      <c r="Y18" s="8"/>
      <c r="Z18" s="21"/>
      <c r="AA18" s="99"/>
      <c r="AB18" s="8"/>
      <c r="AC18" s="8"/>
      <c r="AD18" s="8"/>
      <c r="AE18" s="99"/>
      <c r="AF18" s="98"/>
      <c r="AG18" s="98"/>
      <c r="AH18" s="96"/>
      <c r="AI18" s="97"/>
      <c r="AJ18" s="96"/>
      <c r="AK18" s="96"/>
      <c r="AL18" s="96"/>
      <c r="AM18" s="97"/>
      <c r="AN18" s="96"/>
      <c r="AO18" s="96"/>
      <c r="AP18" s="96"/>
      <c r="AQ18" s="99"/>
      <c r="AR18" s="97"/>
      <c r="AS18" s="99"/>
      <c r="AT18" s="96"/>
      <c r="AU18" s="96"/>
      <c r="AV18" s="96"/>
    </row>
    <row r="19" spans="1:48" ht="15" customHeight="1">
      <c r="B19" s="5"/>
      <c r="C19" s="16"/>
      <c r="D19" s="21"/>
      <c r="E19" s="16"/>
      <c r="F19" s="16"/>
      <c r="G19" s="99"/>
      <c r="H19" s="36"/>
      <c r="I19" s="36"/>
      <c r="J19" s="8"/>
      <c r="K19" s="43"/>
      <c r="L19" s="43"/>
      <c r="M19" s="43"/>
      <c r="N19" s="43"/>
      <c r="O19" s="2"/>
      <c r="P19" s="43"/>
      <c r="Q19" s="43"/>
      <c r="R19" s="43"/>
      <c r="S19" s="2"/>
      <c r="T19" s="2"/>
      <c r="U19" s="2"/>
      <c r="V19" s="8"/>
      <c r="W19" s="8"/>
      <c r="X19" s="8"/>
      <c r="Y19" s="8"/>
      <c r="Z19" s="21"/>
      <c r="AA19" s="99"/>
      <c r="AB19" s="8"/>
      <c r="AC19" s="8"/>
      <c r="AD19" s="8"/>
      <c r="AE19" s="99"/>
      <c r="AF19" s="98"/>
      <c r="AG19" s="98"/>
      <c r="AH19" s="96"/>
      <c r="AI19" s="97"/>
      <c r="AJ19" s="96"/>
      <c r="AK19" s="96"/>
      <c r="AL19" s="96"/>
      <c r="AM19" s="97"/>
      <c r="AN19" s="96"/>
      <c r="AO19" s="96"/>
      <c r="AP19" s="96"/>
      <c r="AQ19" s="99"/>
      <c r="AR19" s="96"/>
      <c r="AS19" s="99"/>
      <c r="AT19" s="96"/>
      <c r="AU19" s="96"/>
      <c r="AV19" s="96"/>
    </row>
    <row r="20" spans="1:48" ht="15" customHeight="1">
      <c r="B20" s="5"/>
      <c r="C20" s="16"/>
      <c r="D20" s="21"/>
      <c r="E20" s="16"/>
      <c r="F20" s="16"/>
      <c r="G20" s="99"/>
      <c r="H20" s="36"/>
      <c r="I20" s="36"/>
      <c r="J20" s="8"/>
      <c r="K20" s="43"/>
      <c r="L20" s="43"/>
      <c r="M20" s="43"/>
      <c r="N20" s="43"/>
      <c r="O20" s="2"/>
      <c r="P20" s="43"/>
      <c r="Q20" s="43"/>
      <c r="R20" s="43"/>
      <c r="S20" s="2"/>
      <c r="T20" s="2"/>
      <c r="U20" s="2"/>
      <c r="V20" s="8"/>
      <c r="W20" s="8"/>
      <c r="X20" s="8"/>
      <c r="Y20" s="8"/>
      <c r="Z20" s="21"/>
      <c r="AA20" s="99"/>
      <c r="AB20" s="8"/>
      <c r="AC20" s="8"/>
      <c r="AD20" s="8"/>
      <c r="AE20" s="99"/>
      <c r="AF20" s="98"/>
      <c r="AG20" s="98"/>
      <c r="AH20" s="96"/>
      <c r="AI20" s="97"/>
      <c r="AJ20" s="96"/>
      <c r="AK20" s="96"/>
      <c r="AL20" s="96"/>
      <c r="AM20" s="97"/>
      <c r="AN20" s="96"/>
      <c r="AO20" s="96"/>
      <c r="AP20" s="96"/>
      <c r="AQ20" s="99"/>
      <c r="AR20" s="96"/>
      <c r="AS20" s="99"/>
      <c r="AT20" s="96"/>
      <c r="AU20" s="96"/>
      <c r="AV20" s="96"/>
    </row>
    <row r="21" spans="1:48" ht="9.75" customHeight="1">
      <c r="B21" s="102"/>
      <c r="D21" s="118"/>
      <c r="E21" s="118"/>
      <c r="F21" s="118"/>
      <c r="G21" s="118"/>
      <c r="H21" s="118"/>
      <c r="I21" s="118"/>
      <c r="J21" s="102"/>
      <c r="K21" s="113"/>
      <c r="L21" s="113"/>
      <c r="M21" s="113"/>
      <c r="N21" s="113"/>
      <c r="O21" s="105"/>
      <c r="P21" s="113"/>
      <c r="Q21" s="102"/>
      <c r="R21" s="113"/>
      <c r="S21" s="113"/>
      <c r="T21" s="113"/>
      <c r="U21" s="113"/>
      <c r="AE21" s="115"/>
    </row>
    <row r="22" spans="1:48" ht="15" customHeight="1">
      <c r="B22" s="321" t="s">
        <v>299</v>
      </c>
      <c r="C22" s="8"/>
      <c r="D22" s="36"/>
      <c r="E22" s="36"/>
      <c r="F22" s="36"/>
      <c r="G22" s="36"/>
      <c r="H22" s="36"/>
      <c r="I22" s="36"/>
      <c r="J22" s="8"/>
      <c r="K22" s="319">
        <v>5</v>
      </c>
      <c r="L22" s="319">
        <v>20</v>
      </c>
      <c r="M22" s="319">
        <v>22</v>
      </c>
      <c r="N22" s="43"/>
      <c r="O22" s="300">
        <f>IF(ISERROR(MAX(O13:O20)),"NA",MAX(O13:O20))</f>
        <v>0</v>
      </c>
      <c r="P22" s="43"/>
      <c r="Q22" s="319">
        <v>25</v>
      </c>
      <c r="R22" s="43"/>
      <c r="S22" s="300">
        <f>IF(ISERROR(MAX(S13:S20)),"NA",MAX(S13:S20))</f>
        <v>0</v>
      </c>
      <c r="T22" s="300">
        <f>IF(ISERROR(MAX(T13:T20)),"NA",MAX(T13:T20))</f>
        <v>0</v>
      </c>
      <c r="U22" s="300">
        <f>IF(ISERROR(MAX(U13:U20)),"NA",MAX(U13:U20))</f>
        <v>0</v>
      </c>
      <c r="V22" s="8"/>
      <c r="W22" s="8"/>
      <c r="X22" s="8"/>
      <c r="Y22" s="8"/>
      <c r="Z22" s="8"/>
      <c r="AA22" s="8"/>
      <c r="AB22" s="8"/>
      <c r="AC22" s="8"/>
      <c r="AD22" s="8"/>
      <c r="AE22" s="99"/>
      <c r="AF22" s="8"/>
      <c r="AG22" s="8"/>
      <c r="AH22" s="8"/>
      <c r="AI22" s="62"/>
      <c r="AJ22" s="8"/>
      <c r="AK22" s="8"/>
      <c r="AL22" s="8"/>
      <c r="AM22" s="8"/>
      <c r="AN22" s="8"/>
      <c r="AO22" s="62"/>
      <c r="AP22" s="8"/>
      <c r="AQ22" s="8"/>
      <c r="AR22" s="8"/>
      <c r="AS22" s="8"/>
      <c r="AT22" s="8"/>
      <c r="AU22" s="8"/>
      <c r="AV22" s="8"/>
    </row>
    <row r="23" spans="1:48" ht="15" customHeight="1">
      <c r="B23" s="321" t="s">
        <v>198</v>
      </c>
      <c r="C23" s="8"/>
      <c r="D23" s="36"/>
      <c r="E23" s="36"/>
      <c r="F23" s="36"/>
      <c r="G23" s="36"/>
      <c r="H23" s="36"/>
      <c r="I23" s="36"/>
      <c r="J23" s="8"/>
      <c r="K23" s="319">
        <v>4</v>
      </c>
      <c r="L23" s="319">
        <v>17.5</v>
      </c>
      <c r="M23" s="319">
        <v>20</v>
      </c>
      <c r="N23" s="43"/>
      <c r="O23" s="325" t="str">
        <f>IF(ISERROR(AVERAGE(O13:O20)),"NA",AVERAGE(O13:O20))</f>
        <v>NA</v>
      </c>
      <c r="P23" s="43"/>
      <c r="Q23" s="319">
        <v>21.5</v>
      </c>
      <c r="R23" s="43"/>
      <c r="S23" s="325" t="str">
        <f>IF(ISERROR(AVERAGE(S13:S20)),"NA",AVERAGE(S13:S20))</f>
        <v>NA</v>
      </c>
      <c r="T23" s="325" t="str">
        <f>IF(ISERROR(AVERAGE(T13:T20)),"NA",AVERAGE(T13:T20))</f>
        <v>NA</v>
      </c>
      <c r="U23" s="325" t="str">
        <f>IF(ISERROR(AVERAGE(U13:U20)),"NA",AVERAGE(U13:U20))</f>
        <v>NA</v>
      </c>
      <c r="V23" s="8"/>
      <c r="W23" s="8"/>
      <c r="X23" s="8"/>
      <c r="Y23" s="8"/>
      <c r="Z23" s="8"/>
      <c r="AA23" s="8"/>
      <c r="AB23" s="8"/>
      <c r="AC23" s="8"/>
      <c r="AD23" s="8"/>
      <c r="AE23" s="99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</row>
    <row r="24" spans="1:48" ht="15" customHeight="1">
      <c r="B24" s="321" t="s">
        <v>300</v>
      </c>
      <c r="C24" s="8"/>
      <c r="D24" s="36"/>
      <c r="E24" s="36"/>
      <c r="F24" s="36"/>
      <c r="G24" s="36"/>
      <c r="H24" s="36"/>
      <c r="I24" s="36"/>
      <c r="J24" s="8"/>
      <c r="K24" s="319">
        <v>4</v>
      </c>
      <c r="L24" s="319">
        <v>17.5</v>
      </c>
      <c r="M24" s="319">
        <v>20</v>
      </c>
      <c r="N24" s="43"/>
      <c r="O24" s="300">
        <f>(SUM(O13:O20)-O26-O22)/(COUNT(O13:O20)-2)</f>
        <v>0</v>
      </c>
      <c r="P24" s="43"/>
      <c r="Q24" s="319">
        <v>21.5</v>
      </c>
      <c r="R24" s="43"/>
      <c r="S24" s="300">
        <f>(SUM(S13:S20)-S26-S22)/(COUNT(S13:S20)-2)</f>
        <v>0</v>
      </c>
      <c r="T24" s="300">
        <f>(SUM(T13:T20)-T26-T22)/(COUNT(T13:T20)-2)</f>
        <v>0</v>
      </c>
      <c r="U24" s="300">
        <f>(SUM(U13:U20)-U26-U22)/(COUNT(U13:U20)-2)</f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99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1:48" ht="15" customHeight="1">
      <c r="B25" s="321" t="s">
        <v>195</v>
      </c>
      <c r="C25" s="8"/>
      <c r="D25" s="36"/>
      <c r="E25" s="36"/>
      <c r="F25" s="36"/>
      <c r="G25" s="36"/>
      <c r="H25" s="36"/>
      <c r="I25" s="36"/>
      <c r="J25" s="8"/>
      <c r="K25" s="319">
        <v>4</v>
      </c>
      <c r="L25" s="319">
        <v>17.5</v>
      </c>
      <c r="M25" s="319">
        <v>20</v>
      </c>
      <c r="N25" s="43"/>
      <c r="O25" s="325" t="str">
        <f>IF(ISERROR(MEDIAN(O13:O20)),"NA",MEDIAN(O13:O20))</f>
        <v>NA</v>
      </c>
      <c r="P25" s="43"/>
      <c r="Q25" s="319">
        <v>21.5</v>
      </c>
      <c r="R25" s="43"/>
      <c r="S25" s="325" t="str">
        <f>IF(ISERROR(MEDIAN(S13:S20)),"NA",MEDIAN(S13:S20))</f>
        <v>NA</v>
      </c>
      <c r="T25" s="325" t="str">
        <f>IF(ISERROR(MEDIAN(T13:T20)),"NA",MEDIAN(T13:T20))</f>
        <v>NA</v>
      </c>
      <c r="U25" s="325" t="str">
        <f>IF(ISERROR(MEDIAN(U13:U20)),"NA",MEDIAN(U13:U20))</f>
        <v>NA</v>
      </c>
      <c r="V25" s="8"/>
      <c r="W25" s="8"/>
      <c r="X25" s="8"/>
      <c r="Y25" s="8"/>
      <c r="Z25" s="8"/>
      <c r="AA25" s="8"/>
      <c r="AB25" s="8"/>
      <c r="AC25" s="8"/>
      <c r="AD25" s="8"/>
      <c r="AE25" s="99"/>
      <c r="AF25" s="8"/>
      <c r="AG25" s="8"/>
      <c r="AH25" s="8"/>
      <c r="AI25" s="62"/>
      <c r="AJ25" s="8"/>
      <c r="AK25" s="8"/>
      <c r="AL25" s="8"/>
      <c r="AM25" s="8"/>
      <c r="AN25" s="8"/>
      <c r="AO25" s="62"/>
      <c r="AP25" s="8"/>
      <c r="AQ25" s="8"/>
      <c r="AR25" s="8"/>
      <c r="AS25" s="8"/>
      <c r="AT25" s="8"/>
      <c r="AU25" s="8"/>
      <c r="AV25" s="8"/>
    </row>
    <row r="26" spans="1:48" ht="15" customHeight="1">
      <c r="B26" s="321" t="s">
        <v>298</v>
      </c>
      <c r="C26" s="8"/>
      <c r="D26" s="36"/>
      <c r="E26" s="36"/>
      <c r="F26" s="36"/>
      <c r="G26" s="36"/>
      <c r="H26" s="36"/>
      <c r="I26" s="36"/>
      <c r="J26" s="8"/>
      <c r="K26" s="319">
        <v>3</v>
      </c>
      <c r="L26" s="319">
        <v>15</v>
      </c>
      <c r="M26" s="319">
        <v>18</v>
      </c>
      <c r="N26" s="43"/>
      <c r="O26" s="300">
        <f>IF(ISERROR(MIN(O13:O20)),"NA",MIN(O13:O20))</f>
        <v>0</v>
      </c>
      <c r="P26" s="43"/>
      <c r="Q26" s="319">
        <v>18</v>
      </c>
      <c r="R26" s="43"/>
      <c r="S26" s="300">
        <f>IF(ISERROR(MIN(S13:S20)),"NA",MIN(S13:S20))</f>
        <v>0</v>
      </c>
      <c r="T26" s="300">
        <f>IF(ISERROR(MIN(T13:T20)),"NA",MIN(T13:T20))</f>
        <v>0</v>
      </c>
      <c r="U26" s="300">
        <f>IF(ISERROR(MIN(U13:U20)),"NA",MIN(U13:U20))</f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99"/>
      <c r="AF26" s="8"/>
      <c r="AG26" s="8"/>
      <c r="AH26" s="8"/>
      <c r="AI26" s="62"/>
      <c r="AJ26" s="8"/>
      <c r="AK26" s="8"/>
      <c r="AL26" s="8"/>
      <c r="AM26" s="8"/>
      <c r="AN26" s="8"/>
      <c r="AO26" s="62"/>
      <c r="AP26" s="8"/>
      <c r="AQ26" s="8"/>
      <c r="AR26" s="8"/>
      <c r="AS26" s="8"/>
      <c r="AT26" s="8"/>
      <c r="AU26" s="8"/>
      <c r="AV26" s="8"/>
    </row>
    <row r="27" spans="1:48" ht="9.75" customHeight="1">
      <c r="D27" s="121"/>
      <c r="E27" s="121"/>
      <c r="F27" s="121"/>
      <c r="G27" s="121"/>
      <c r="H27" s="121"/>
      <c r="I27" s="121"/>
      <c r="AE27" s="115"/>
    </row>
    <row r="28" spans="1:48" ht="20.25" customHeight="1">
      <c r="A28" s="134"/>
      <c r="B28" s="306" t="str">
        <f>""&amp;Data!C5&amp;" - Implied Valuation Summary"</f>
        <v>Pfizer Inc - Implied Valuation Summary</v>
      </c>
      <c r="C28" s="155"/>
      <c r="D28" s="158"/>
      <c r="E28" s="158"/>
      <c r="F28" s="158"/>
      <c r="G28" s="158"/>
      <c r="H28" s="158"/>
      <c r="I28" s="158"/>
      <c r="J28" s="155"/>
      <c r="K28" s="155"/>
      <c r="L28" s="155"/>
      <c r="M28" s="155"/>
      <c r="N28" s="155"/>
      <c r="O28" s="155"/>
      <c r="P28" s="155"/>
      <c r="Q28" s="155"/>
      <c r="R28" s="155"/>
      <c r="S28" s="156"/>
      <c r="T28" s="156"/>
      <c r="U28" s="156"/>
      <c r="V28" s="7"/>
      <c r="W28" s="7"/>
      <c r="X28" s="7"/>
      <c r="Y28" s="7"/>
      <c r="Z28" s="7"/>
      <c r="AA28" s="7"/>
      <c r="AB28" s="7"/>
      <c r="AC28" s="7"/>
      <c r="AD28" s="7"/>
      <c r="AE28" s="130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9.75" customHeight="1">
      <c r="D29" s="121"/>
      <c r="E29" s="121"/>
      <c r="F29" s="121"/>
      <c r="G29" s="121"/>
      <c r="H29" s="121"/>
      <c r="I29" s="121"/>
      <c r="Y29" s="292" t="s">
        <v>347</v>
      </c>
      <c r="Z29" s="292" t="s">
        <v>348</v>
      </c>
      <c r="AB29" s="292" t="s">
        <v>349</v>
      </c>
      <c r="AE29" s="115"/>
    </row>
    <row r="30" spans="1:48" ht="15" customHeight="1">
      <c r="B30" s="343" t="str">
        <f>""&amp;Data!C5&amp;" - Metric"</f>
        <v>Pfizer Inc - Metric</v>
      </c>
      <c r="C30" s="344"/>
      <c r="D30" s="360"/>
      <c r="E30" s="360"/>
      <c r="F30" s="360"/>
      <c r="G30" s="360"/>
      <c r="H30" s="360"/>
      <c r="I30" s="360"/>
      <c r="J30" s="344"/>
      <c r="K30" s="361">
        <f>AH30</f>
        <v>100330</v>
      </c>
      <c r="L30" s="361">
        <f>AI30</f>
        <v>35422</v>
      </c>
      <c r="M30" s="361">
        <f>AJ30</f>
        <v>34944</v>
      </c>
      <c r="N30" s="362"/>
      <c r="O30" s="362"/>
      <c r="P30" s="362"/>
      <c r="Q30" s="363">
        <f>AL30</f>
        <v>5.47</v>
      </c>
      <c r="R30" s="99"/>
      <c r="S30" s="131"/>
      <c r="T30" s="131"/>
      <c r="U30" s="131"/>
      <c r="V30" s="8"/>
      <c r="W30" s="8"/>
      <c r="X30" s="8"/>
      <c r="Y30" s="317" t="str">
        <f>Data!C5</f>
        <v>Pfizer Inc</v>
      </c>
      <c r="Z30" s="336">
        <f>'Question 2 - Trading Comps'!$AD$33</f>
        <v>5608</v>
      </c>
      <c r="AA30" s="292" t="s">
        <v>350</v>
      </c>
      <c r="AB30" s="336">
        <f>'Question 2 - Trading Comps'!$AJ$33</f>
        <v>5615.6478048780482</v>
      </c>
      <c r="AC30" s="8"/>
      <c r="AD30" s="359">
        <f>'Question 2 - Trading Comps'!$AO$33</f>
        <v>16570</v>
      </c>
      <c r="AE30" s="99"/>
      <c r="AF30" s="8"/>
      <c r="AG30" s="8"/>
      <c r="AH30" s="359">
        <f>'Question 2 - Trading Comps'!$AS$33</f>
        <v>100330</v>
      </c>
      <c r="AI30" s="359">
        <f>'Question 2 - Trading Comps'!$AV$33</f>
        <v>35422</v>
      </c>
      <c r="AJ30" s="359">
        <f>'Question 2 - Trading Comps'!$AW$33</f>
        <v>34944</v>
      </c>
      <c r="AK30" s="359">
        <f>Data!H76</f>
        <v>31372</v>
      </c>
      <c r="AL30" s="366">
        <f>Data!H39</f>
        <v>5.47</v>
      </c>
      <c r="AM30" s="99"/>
      <c r="AN30" s="99"/>
      <c r="AO30" s="99"/>
      <c r="AP30" s="99"/>
      <c r="AQ30" s="99"/>
      <c r="AR30" s="99"/>
      <c r="AS30" s="99"/>
      <c r="AT30" s="99"/>
      <c r="AU30" s="99"/>
      <c r="AV30" s="99"/>
    </row>
    <row r="31" spans="1:48" ht="9.75" customHeight="1">
      <c r="K31" s="94"/>
      <c r="L31" s="94"/>
      <c r="M31" s="94"/>
      <c r="S31" s="94"/>
      <c r="T31" s="94"/>
      <c r="U31" s="94"/>
      <c r="X31" s="107"/>
      <c r="Y31" s="107"/>
      <c r="Z31" s="107"/>
      <c r="AA31" s="107"/>
      <c r="AB31" s="107"/>
      <c r="AC31" s="107"/>
      <c r="AD31" s="107"/>
      <c r="AE31" s="115"/>
      <c r="AF31" s="107"/>
      <c r="AG31" s="107"/>
      <c r="AH31" s="112"/>
      <c r="AI31" s="112"/>
      <c r="AJ31" s="112"/>
      <c r="AK31" s="112"/>
      <c r="AL31" s="112"/>
      <c r="AM31" s="112"/>
      <c r="AN31" s="112"/>
      <c r="AO31" s="112"/>
      <c r="AP31" s="112"/>
      <c r="AQ31" s="94"/>
      <c r="AR31" s="112"/>
      <c r="AS31" s="94"/>
      <c r="AT31" s="112"/>
      <c r="AU31" s="112"/>
      <c r="AV31" s="112"/>
    </row>
    <row r="32" spans="1:48" ht="15" customHeight="1">
      <c r="B32" s="313" t="s">
        <v>301</v>
      </c>
      <c r="C32" s="54"/>
      <c r="D32" s="54"/>
      <c r="E32" s="54"/>
      <c r="F32" s="54"/>
      <c r="G32" s="54"/>
      <c r="H32" s="54"/>
      <c r="I32" s="54"/>
      <c r="J32" s="54"/>
      <c r="K32" s="364">
        <f t="shared" ref="K32:M34" si="0">IF(ISERROR(K23*K$30),"NA",K23*K$30)</f>
        <v>401320</v>
      </c>
      <c r="L32" s="364">
        <f t="shared" si="0"/>
        <v>619885</v>
      </c>
      <c r="M32" s="364">
        <f t="shared" si="0"/>
        <v>698880</v>
      </c>
      <c r="N32" s="54"/>
      <c r="O32" s="54"/>
      <c r="P32" s="54"/>
      <c r="Q32" s="54"/>
      <c r="R32" s="54"/>
      <c r="S32" s="125"/>
      <c r="T32" s="125"/>
      <c r="U32" s="125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</row>
    <row r="33" spans="2:48" ht="15" customHeight="1">
      <c r="B33" s="313" t="s">
        <v>302</v>
      </c>
      <c r="C33" s="54"/>
      <c r="D33" s="54"/>
      <c r="E33" s="54"/>
      <c r="F33" s="54"/>
      <c r="G33" s="54"/>
      <c r="H33" s="54"/>
      <c r="I33" s="54"/>
      <c r="J33" s="54"/>
      <c r="K33" s="364">
        <f t="shared" si="0"/>
        <v>401320</v>
      </c>
      <c r="L33" s="364">
        <f t="shared" si="0"/>
        <v>619885</v>
      </c>
      <c r="M33" s="364">
        <f t="shared" si="0"/>
        <v>698880</v>
      </c>
      <c r="N33" s="54"/>
      <c r="O33" s="54"/>
      <c r="P33" s="54"/>
      <c r="Q33" s="54"/>
      <c r="R33" s="54"/>
      <c r="S33" s="125"/>
      <c r="T33" s="125"/>
      <c r="U33" s="125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</row>
    <row r="34" spans="2:48" ht="15" customHeight="1">
      <c r="B34" s="313" t="s">
        <v>303</v>
      </c>
      <c r="C34" s="54"/>
      <c r="D34" s="54"/>
      <c r="E34" s="54"/>
      <c r="F34" s="54"/>
      <c r="G34" s="54"/>
      <c r="H34" s="54"/>
      <c r="I34" s="54"/>
      <c r="J34" s="54"/>
      <c r="K34" s="364">
        <f t="shared" si="0"/>
        <v>401320</v>
      </c>
      <c r="L34" s="364">
        <f t="shared" si="0"/>
        <v>619885</v>
      </c>
      <c r="M34" s="364">
        <f t="shared" si="0"/>
        <v>698880</v>
      </c>
      <c r="N34" s="54"/>
      <c r="O34" s="54"/>
      <c r="P34" s="54"/>
      <c r="Q34" s="54"/>
      <c r="R34" s="54"/>
      <c r="S34" s="125"/>
      <c r="T34" s="125"/>
      <c r="U34" s="125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54"/>
      <c r="AS34" s="125"/>
      <c r="AT34" s="54"/>
      <c r="AU34" s="54"/>
      <c r="AV34" s="54"/>
    </row>
    <row r="35" spans="2:48" ht="9.75" customHeight="1">
      <c r="K35" s="127"/>
      <c r="L35" s="127"/>
      <c r="M35" s="127"/>
    </row>
    <row r="36" spans="2:48" ht="15" customHeight="1">
      <c r="B36" s="292" t="s">
        <v>304</v>
      </c>
      <c r="C36" s="8"/>
      <c r="D36" s="8"/>
      <c r="E36" s="8"/>
      <c r="F36" s="8"/>
      <c r="G36" s="8"/>
      <c r="H36" s="8"/>
      <c r="I36" s="8"/>
      <c r="J36" s="8"/>
      <c r="K36" s="307">
        <f>0-$AD$30</f>
        <v>-16570</v>
      </c>
      <c r="L36" s="307">
        <f>0-$AD$30</f>
        <v>-16570</v>
      </c>
      <c r="M36" s="307">
        <f>0-$AD$30</f>
        <v>-16570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</row>
    <row r="37" spans="2:48" ht="9.75" customHeight="1">
      <c r="K37" s="127"/>
      <c r="L37" s="127"/>
      <c r="M37" s="127"/>
    </row>
    <row r="38" spans="2:48" ht="15" customHeight="1">
      <c r="B38" s="313" t="s">
        <v>305</v>
      </c>
      <c r="C38" s="54"/>
      <c r="D38" s="54"/>
      <c r="E38" s="54"/>
      <c r="F38" s="54"/>
      <c r="G38" s="54"/>
      <c r="H38" s="54"/>
      <c r="I38" s="54"/>
      <c r="J38" s="54"/>
      <c r="K38" s="364">
        <f t="shared" ref="K38:M40" si="1">K32+K$36</f>
        <v>384750</v>
      </c>
      <c r="L38" s="364">
        <f t="shared" si="1"/>
        <v>603315</v>
      </c>
      <c r="M38" s="364">
        <f t="shared" si="1"/>
        <v>682310</v>
      </c>
      <c r="N38" s="54"/>
      <c r="O38" s="54"/>
      <c r="P38" s="54"/>
      <c r="Q38" s="364">
        <f>IF($C$5="Yes",IF(ISERROR(Q23*Q$30),"NA",Q23*Q$30)*$AB$30,IF(ISERROR(Q23*Q$30),"NA",Q23*Q$30)*$Z$30)</f>
        <v>660428.26009268279</v>
      </c>
      <c r="R38" s="54"/>
      <c r="S38" s="125"/>
      <c r="T38" s="125"/>
      <c r="U38" s="125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</row>
    <row r="39" spans="2:48" ht="15" customHeight="1">
      <c r="B39" s="313" t="s">
        <v>306</v>
      </c>
      <c r="C39" s="54"/>
      <c r="D39" s="54"/>
      <c r="E39" s="54"/>
      <c r="F39" s="54"/>
      <c r="G39" s="54"/>
      <c r="H39" s="54"/>
      <c r="I39" s="54"/>
      <c r="J39" s="54"/>
      <c r="K39" s="364">
        <f t="shared" si="1"/>
        <v>384750</v>
      </c>
      <c r="L39" s="364">
        <f t="shared" si="1"/>
        <v>603315</v>
      </c>
      <c r="M39" s="364">
        <f t="shared" si="1"/>
        <v>682310</v>
      </c>
      <c r="N39" s="54"/>
      <c r="O39" s="54"/>
      <c r="P39" s="54"/>
      <c r="Q39" s="367">
        <f>IF($C$5="Yes",IF(ISERROR(Q24*Q$30),"NA",Q24*Q$30)*$AB$30,IF(ISERROR(Q24*Q$30),"NA",Q24*Q$30)*$Z$30)</f>
        <v>660428.26009268279</v>
      </c>
      <c r="R39" s="54"/>
      <c r="S39" s="125"/>
      <c r="T39" s="125"/>
      <c r="U39" s="125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</row>
    <row r="40" spans="2:48" ht="15" customHeight="1">
      <c r="B40" s="313" t="s">
        <v>307</v>
      </c>
      <c r="C40" s="54"/>
      <c r="D40" s="54"/>
      <c r="E40" s="54"/>
      <c r="F40" s="54"/>
      <c r="G40" s="54"/>
      <c r="H40" s="54"/>
      <c r="I40" s="54"/>
      <c r="J40" s="54"/>
      <c r="K40" s="364">
        <f t="shared" si="1"/>
        <v>384750</v>
      </c>
      <c r="L40" s="364">
        <f t="shared" si="1"/>
        <v>603315</v>
      </c>
      <c r="M40" s="364">
        <f t="shared" si="1"/>
        <v>682310</v>
      </c>
      <c r="N40" s="54"/>
      <c r="O40" s="54"/>
      <c r="P40" s="54"/>
      <c r="Q40" s="364">
        <f>IF($C$5="Yes",IF(ISERROR(Q25*Q$30),"NA",Q25*Q$30)*$AB$30,IF(ISERROR(Q25*Q$30),"NA",Q25*Q$30)*$Z$30)</f>
        <v>660428.26009268279</v>
      </c>
      <c r="R40" s="54"/>
      <c r="S40" s="125"/>
      <c r="T40" s="125"/>
      <c r="U40" s="125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</row>
    <row r="41" spans="2:48" ht="9.75" customHeight="1"/>
    <row r="42" spans="2:48" ht="15" customHeight="1">
      <c r="B42" s="313" t="s">
        <v>308</v>
      </c>
      <c r="C42" s="54"/>
      <c r="D42" s="54"/>
      <c r="E42" s="54"/>
      <c r="F42" s="54"/>
      <c r="G42" s="54"/>
      <c r="H42" s="54"/>
      <c r="I42" s="54"/>
      <c r="J42" s="54"/>
      <c r="K42" s="320">
        <f t="shared" ref="K42:M44" si="2">IF($C$5="Yes",IF(ISERROR(K38/$AB$30),"NA",K38/$AB$30),IF(ISERROR(K38/$Z$30),"NA",K38/$Z$30))</f>
        <v>68.513912084334393</v>
      </c>
      <c r="L42" s="320">
        <f t="shared" si="2"/>
        <v>107.4346221420668</v>
      </c>
      <c r="M42" s="320">
        <f t="shared" si="2"/>
        <v>121.50156557313112</v>
      </c>
      <c r="N42" s="54"/>
      <c r="O42" s="54"/>
      <c r="P42" s="54"/>
      <c r="Q42" s="320">
        <f>IF($C$5="Yes",IF(ISERROR(Q38/$AB$30),"NA",Q38/$AB$30),IF(ISERROR(Q38/$Z$30),"NA",Q38/$Z$30))</f>
        <v>117.60499999999999</v>
      </c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</row>
    <row r="43" spans="2:48" ht="15" customHeight="1">
      <c r="B43" s="313" t="s">
        <v>309</v>
      </c>
      <c r="C43" s="54"/>
      <c r="D43" s="54"/>
      <c r="E43" s="54"/>
      <c r="F43" s="54"/>
      <c r="G43" s="54"/>
      <c r="H43" s="54"/>
      <c r="I43" s="54"/>
      <c r="J43" s="54"/>
      <c r="K43" s="320">
        <f t="shared" si="2"/>
        <v>68.513912084334393</v>
      </c>
      <c r="L43" s="320">
        <f t="shared" si="2"/>
        <v>107.4346221420668</v>
      </c>
      <c r="M43" s="320">
        <f t="shared" si="2"/>
        <v>121.50156557313112</v>
      </c>
      <c r="N43" s="54"/>
      <c r="O43" s="54"/>
      <c r="P43" s="54"/>
      <c r="Q43" s="320">
        <f>IF($C$5="Yes",IF(ISERROR(Q39/$AB$30),"NA",Q39/$AB$30),IF(ISERROR(Q39/$Z$30),"NA",Q39/$Z$30))</f>
        <v>117.60499999999999</v>
      </c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</row>
    <row r="44" spans="2:48" ht="15" customHeight="1">
      <c r="B44" s="313" t="s">
        <v>310</v>
      </c>
      <c r="C44" s="54"/>
      <c r="D44" s="54"/>
      <c r="E44" s="54"/>
      <c r="F44" s="54"/>
      <c r="G44" s="54"/>
      <c r="H44" s="54"/>
      <c r="I44" s="54"/>
      <c r="J44" s="54"/>
      <c r="K44" s="320">
        <f t="shared" si="2"/>
        <v>68.513912084334393</v>
      </c>
      <c r="L44" s="320">
        <f t="shared" si="2"/>
        <v>107.4346221420668</v>
      </c>
      <c r="M44" s="320">
        <f t="shared" si="2"/>
        <v>121.50156557313112</v>
      </c>
      <c r="N44" s="54"/>
      <c r="O44" s="54"/>
      <c r="P44" s="54"/>
      <c r="Q44" s="320">
        <f>IF($C$5="Yes",IF(ISERROR(Q40/$AB$30),"NA",Q40/$AB$30),IF(ISERROR(Q40/$Z$30),"NA",Q40/$Z$30))</f>
        <v>117.60499999999999</v>
      </c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2:48" ht="9.75" customHeight="1"/>
    <row r="46" spans="2:48" ht="9.75" customHeight="1"/>
    <row r="47" spans="2:48" ht="15" customHeight="1">
      <c r="B47" s="292" t="s">
        <v>351</v>
      </c>
      <c r="C47" s="8"/>
      <c r="D47" s="67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2:48" ht="15" customHeight="1">
      <c r="B48" s="292" t="s">
        <v>352</v>
      </c>
      <c r="C48" s="8"/>
      <c r="D48" s="6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</row>
    <row r="49" spans="2:48" ht="15" customHeight="1">
      <c r="B49" s="292" t="s">
        <v>353</v>
      </c>
      <c r="C49" s="8"/>
      <c r="D49" s="67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</row>
    <row r="50" spans="2:48" ht="15" customHeight="1">
      <c r="B50" s="5"/>
      <c r="C50" s="8"/>
      <c r="D50" s="67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ht="15" customHeight="1">
      <c r="B51" s="5"/>
      <c r="C51" s="8"/>
      <c r="D51" s="67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</sheetData>
  <mergeCells count="6">
    <mergeCell ref="S10:U10"/>
    <mergeCell ref="AT10:AV10"/>
    <mergeCell ref="AH10:AM10"/>
    <mergeCell ref="AN10:AP10"/>
    <mergeCell ref="K9:M9"/>
    <mergeCell ref="S9:U9"/>
  </mergeCells>
  <pageMargins left="0.7" right="0.7" top="0.75" bottom="0.75" header="0.511811023622047" footer="0.3"/>
  <pageSetup orientation="landscape" horizontalDpi="300" verticalDpi="300"/>
  <headerFooter>
    <oddFooter>&amp;L© Darrell Day&amp;C&amp;P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E3A8A"/>
    <pageSetUpPr fitToPage="1"/>
  </sheetPr>
  <dimension ref="B1:Z40"/>
  <sheetViews>
    <sheetView showGridLines="0" zoomScaleNormal="100" workbookViewId="0"/>
  </sheetViews>
  <sheetFormatPr baseColWidth="10" defaultColWidth="8.42578125" defaultRowHeight="15" outlineLevelCol="2"/>
  <cols>
    <col min="1" max="1" width="2" customWidth="1"/>
    <col min="2" max="2" width="28" customWidth="1"/>
    <col min="3" max="8" width="14" customWidth="1"/>
    <col min="9" max="9" width="2" customWidth="1"/>
    <col min="10" max="18" width="16" customWidth="1"/>
    <col min="19" max="19" width="16" customWidth="1" outlineLevel="2"/>
    <col min="20" max="20" width="14" customWidth="1" outlineLevel="2"/>
    <col min="21" max="23" width="14" customWidth="1"/>
    <col min="24" max="24" width="8.85546875" customWidth="1" outlineLevel="2"/>
    <col min="25" max="25" width="8.85546875" customWidth="1" outlineLevel="1"/>
  </cols>
  <sheetData>
    <row r="1" spans="2:26" ht="8" customHeight="1"/>
    <row r="2" spans="2:26" ht="22" customHeight="1">
      <c r="B2" s="248" t="str">
        <f>Data!C5&amp;" - Valuation Summary"</f>
        <v>Pfizer Inc - Valuation Summary</v>
      </c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368" t="s">
        <v>354</v>
      </c>
      <c r="T2" s="136"/>
      <c r="U2" s="136"/>
      <c r="V2" s="136"/>
      <c r="W2" s="136"/>
      <c r="X2" s="137"/>
      <c r="Y2" s="137"/>
      <c r="Z2" s="137"/>
    </row>
    <row r="3" spans="2:26" ht="16" customHeight="1">
      <c r="B3" s="249" t="s">
        <v>355</v>
      </c>
      <c r="S3" s="292" t="s">
        <v>356</v>
      </c>
    </row>
    <row r="4" spans="2:26" ht="15" customHeight="1">
      <c r="C4" s="138"/>
      <c r="D4" s="139"/>
      <c r="E4" s="28"/>
      <c r="F4" s="165"/>
      <c r="G4" s="28"/>
      <c r="H4" s="166"/>
      <c r="I4" s="140"/>
      <c r="J4" s="28"/>
      <c r="K4" s="166"/>
      <c r="L4" s="141"/>
      <c r="M4" s="28"/>
      <c r="N4" s="166"/>
      <c r="O4" s="140"/>
      <c r="P4" s="28"/>
      <c r="Q4" s="166"/>
      <c r="R4" s="142"/>
      <c r="S4" s="28"/>
      <c r="T4" s="138"/>
      <c r="V4" s="138"/>
    </row>
    <row r="5" spans="2:26" ht="15" customHeight="1">
      <c r="B5" s="369" t="s">
        <v>357</v>
      </c>
      <c r="C5" s="167"/>
      <c r="D5" s="168"/>
      <c r="E5" s="169"/>
      <c r="F5" s="169"/>
      <c r="G5" s="169"/>
      <c r="H5" s="170"/>
      <c r="I5" s="171"/>
      <c r="J5" s="26"/>
      <c r="K5" s="172"/>
      <c r="M5" s="26"/>
      <c r="N5" s="172"/>
      <c r="O5" s="171"/>
      <c r="P5" s="26"/>
      <c r="Q5" s="172"/>
      <c r="R5" s="173"/>
      <c r="S5" s="26"/>
      <c r="T5" s="148"/>
      <c r="U5" s="148"/>
      <c r="V5" s="148"/>
      <c r="W5" s="148"/>
    </row>
    <row r="6" spans="2:26" ht="19.5" customHeight="1">
      <c r="B6" s="343" t="s">
        <v>49</v>
      </c>
      <c r="C6" s="343" t="s">
        <v>50</v>
      </c>
      <c r="D6" s="343" t="s">
        <v>51</v>
      </c>
      <c r="E6" s="343" t="s">
        <v>52</v>
      </c>
      <c r="F6" s="343" t="s">
        <v>358</v>
      </c>
      <c r="S6" s="138"/>
      <c r="T6" s="143"/>
      <c r="U6" s="143"/>
      <c r="V6" s="143"/>
      <c r="W6" s="143"/>
    </row>
    <row r="7" spans="2:26" ht="19.5" customHeight="1">
      <c r="B7" s="284" t="s">
        <v>54</v>
      </c>
      <c r="C7" s="370">
        <f>'Question 4 - Valuation Summary'!$U$22</f>
        <v>41.45</v>
      </c>
      <c r="D7" s="370">
        <f>'Question 4 - Valuation Summary'!$V$22</f>
        <v>56.32</v>
      </c>
      <c r="E7" s="370">
        <f>AVERAGE(C7:D7)</f>
        <v>48.885000000000005</v>
      </c>
      <c r="F7" s="371">
        <f>(E7/'Question 2 - Trading Comps'!$AB$33)-1</f>
        <v>0.21665007466401209</v>
      </c>
      <c r="I7" s="129"/>
      <c r="K7" s="129"/>
      <c r="S7" s="138"/>
      <c r="T7" s="143"/>
      <c r="U7" s="143"/>
      <c r="V7" s="143"/>
      <c r="W7" s="143"/>
    </row>
    <row r="8" spans="2:26" ht="18" customHeight="1">
      <c r="B8" s="284" t="s">
        <v>359</v>
      </c>
      <c r="C8" s="370">
        <f>'Question 4 - Valuation Summary'!$U$23</f>
        <v>38.609800944193701</v>
      </c>
      <c r="D8" s="370">
        <f>'Question 4 - Valuation Summary'!$V$23</f>
        <v>44.112000200130502</v>
      </c>
      <c r="E8" s="370">
        <f>AVERAGE(C8:D8)</f>
        <v>41.360900572162102</v>
      </c>
      <c r="F8" s="371">
        <f>(E8/'Question 2 - Trading Comps'!$AB$33)-1</f>
        <v>2.9390258142411696E-2</v>
      </c>
      <c r="G8" s="144"/>
      <c r="H8" s="144"/>
      <c r="I8" s="187"/>
      <c r="J8" s="145"/>
      <c r="K8" s="129"/>
      <c r="S8" s="138"/>
      <c r="T8" s="143"/>
      <c r="U8" s="143"/>
      <c r="V8" s="143"/>
      <c r="W8" s="143"/>
    </row>
    <row r="9" spans="2:26" ht="18" customHeight="1">
      <c r="B9" s="284" t="s">
        <v>59</v>
      </c>
      <c r="C9" s="370">
        <f>'Question 4 - Valuation Summary'!$U$25</f>
        <v>51.711438203168832</v>
      </c>
      <c r="D9" s="370">
        <f>'Question 4 - Valuation Summary'!$V$25</f>
        <v>128.13959076351304</v>
      </c>
      <c r="E9" s="370">
        <f>AVERAGE(C9:D9)</f>
        <v>89.925514483340933</v>
      </c>
      <c r="F9" s="371">
        <f>(E9/'Question 2 - Trading Comps'!$AB$33)-1</f>
        <v>1.2380665625520391</v>
      </c>
      <c r="G9" s="144"/>
      <c r="H9" s="144"/>
      <c r="I9" s="187"/>
      <c r="J9" s="145"/>
      <c r="K9" s="129"/>
      <c r="S9" s="138"/>
      <c r="T9" s="143"/>
      <c r="U9" s="143"/>
      <c r="V9" s="143"/>
      <c r="W9" s="143"/>
    </row>
    <row r="10" spans="2:26" ht="18" customHeight="1">
      <c r="B10" s="284" t="s">
        <v>62</v>
      </c>
      <c r="C10" s="370">
        <f>'Question 4 - Valuation Summary'!$U$27</f>
        <v>68.513912084334393</v>
      </c>
      <c r="D10" s="370">
        <f>'Question 4 - Valuation Summary'!$V$27</f>
        <v>121.50156557313112</v>
      </c>
      <c r="E10" s="370">
        <f>AVERAGE(C10:D10)</f>
        <v>95.007738828732755</v>
      </c>
      <c r="F10" s="371">
        <f>(E10/'Question 2 - Trading Comps'!$AB$33)-1</f>
        <v>1.3645529822979778</v>
      </c>
      <c r="G10" s="144"/>
      <c r="H10" s="144"/>
      <c r="I10" s="187"/>
      <c r="J10" s="145"/>
      <c r="K10" s="129"/>
    </row>
    <row r="11" spans="2:26" ht="18" customHeight="1">
      <c r="B11" s="284" t="s">
        <v>360</v>
      </c>
      <c r="C11" s="370">
        <f>'Question 4 - Valuation Summary'!$B$27</f>
        <v>51.71</v>
      </c>
      <c r="D11" s="370">
        <f>'Question 4 - Valuation Summary'!$C$27</f>
        <v>121.5</v>
      </c>
      <c r="E11" s="370">
        <f>AVERAGE(C11:D11)</f>
        <v>86.605000000000004</v>
      </c>
      <c r="F11" s="371">
        <f>(E11/'Question 2 - Trading Comps'!$AB$33)-1</f>
        <v>1.1554255848680937</v>
      </c>
      <c r="G11" s="144"/>
      <c r="H11" s="144"/>
      <c r="I11" s="187"/>
      <c r="J11" s="145"/>
      <c r="K11" s="129"/>
      <c r="S11" s="138"/>
    </row>
    <row r="12" spans="2:26" ht="18" customHeight="1">
      <c r="C12" s="372"/>
      <c r="D12" s="372"/>
      <c r="E12" s="372"/>
      <c r="F12" s="188"/>
      <c r="G12" s="144"/>
      <c r="H12" s="144"/>
      <c r="I12" s="145"/>
      <c r="J12" s="145"/>
      <c r="T12" s="138"/>
      <c r="V12" s="138"/>
    </row>
    <row r="13" spans="2:26" ht="18" customHeight="1">
      <c r="B13" s="134"/>
      <c r="C13" s="373"/>
      <c r="D13" s="373"/>
      <c r="E13" s="373"/>
      <c r="F13" s="189"/>
      <c r="G13" s="174"/>
      <c r="H13" s="140"/>
      <c r="I13" s="175"/>
      <c r="J13" s="175"/>
      <c r="K13" s="26"/>
      <c r="L13" s="26"/>
      <c r="M13" s="26"/>
      <c r="N13" s="26"/>
      <c r="O13" s="26"/>
      <c r="P13" s="26"/>
      <c r="Q13" s="26"/>
      <c r="R13" s="26"/>
      <c r="S13" s="26"/>
      <c r="T13" s="148"/>
      <c r="U13" s="26"/>
      <c r="V13" s="148"/>
      <c r="W13" s="26"/>
    </row>
    <row r="14" spans="2:26" ht="19.5" customHeight="1">
      <c r="B14" s="369" t="s">
        <v>361</v>
      </c>
      <c r="C14" s="374"/>
      <c r="D14" s="374"/>
      <c r="E14" s="374"/>
      <c r="F14" s="161"/>
      <c r="H14" s="375"/>
      <c r="S14" s="138"/>
      <c r="T14" s="143"/>
      <c r="U14" s="132"/>
      <c r="V14" s="143"/>
      <c r="W14" s="132"/>
    </row>
    <row r="15" spans="2:26" ht="19.5" customHeight="1">
      <c r="B15" s="284" t="s">
        <v>362</v>
      </c>
      <c r="C15" s="376" t="str">
        <f>'Executive Summary'!$B$7</f>
        <v>Base</v>
      </c>
      <c r="D15" s="372"/>
      <c r="E15" s="372"/>
      <c r="F15" s="129"/>
      <c r="S15" s="138"/>
      <c r="T15" s="143"/>
      <c r="U15" s="132"/>
      <c r="V15" s="143"/>
      <c r="W15" s="132"/>
    </row>
    <row r="16" spans="2:26" ht="19.5" customHeight="1">
      <c r="B16" s="284" t="s">
        <v>56</v>
      </c>
      <c r="C16" s="377">
        <f>WACC!$F$11</f>
        <v>7.5953999999999994E-2</v>
      </c>
      <c r="D16" s="372"/>
      <c r="E16" s="372"/>
      <c r="F16" s="129"/>
      <c r="S16" s="138"/>
      <c r="T16" s="143"/>
      <c r="U16" s="132"/>
      <c r="V16" s="143"/>
      <c r="W16" s="132"/>
    </row>
    <row r="17" spans="2:23" ht="19.5" customHeight="1">
      <c r="B17" s="284" t="s">
        <v>35</v>
      </c>
      <c r="C17" s="311">
        <f>'Executive Summary'!$F$24</f>
        <v>9</v>
      </c>
      <c r="S17" s="138"/>
      <c r="T17" s="143"/>
      <c r="U17" s="132"/>
      <c r="V17" s="143"/>
      <c r="W17" s="132"/>
    </row>
    <row r="18" spans="2:23" ht="9.75" customHeight="1">
      <c r="B18" s="284" t="s">
        <v>55</v>
      </c>
      <c r="C18" s="378">
        <f>'Question 2 - Trading Comps'!$AB$33</f>
        <v>40.18</v>
      </c>
    </row>
    <row r="19" spans="2:23" ht="9.75" customHeight="1">
      <c r="B19" s="284" t="s">
        <v>66</v>
      </c>
      <c r="C19" s="379">
        <f>'Question 2 - Trading Comps'!$AJ$33</f>
        <v>5615.6478048780482</v>
      </c>
    </row>
    <row r="20" spans="2:23" ht="9.75" customHeight="1">
      <c r="C20" s="372"/>
      <c r="D20" s="372"/>
      <c r="I20" s="129"/>
      <c r="J20" s="129"/>
      <c r="K20" s="129"/>
      <c r="L20" s="129"/>
    </row>
    <row r="21" spans="2:23" ht="9.75" customHeight="1">
      <c r="C21" s="372"/>
      <c r="D21" s="372"/>
      <c r="I21" s="129"/>
      <c r="J21" s="129"/>
      <c r="K21" s="129"/>
      <c r="L21" s="129"/>
      <c r="S21" s="166"/>
      <c r="T21" s="380" t="s">
        <v>49</v>
      </c>
      <c r="U21" s="380" t="s">
        <v>50</v>
      </c>
      <c r="V21" s="380" t="s">
        <v>51</v>
      </c>
    </row>
    <row r="22" spans="2:23" ht="9.75" customHeight="1">
      <c r="C22" s="372"/>
      <c r="D22" s="372"/>
      <c r="I22" s="129"/>
      <c r="J22" s="129"/>
      <c r="K22" s="129"/>
      <c r="L22" s="129"/>
      <c r="S22" s="138"/>
      <c r="T22" s="381" t="s">
        <v>363</v>
      </c>
      <c r="U22" s="382">
        <v>41.45</v>
      </c>
      <c r="V22" s="382">
        <v>56.32</v>
      </c>
      <c r="W22" s="146"/>
    </row>
    <row r="23" spans="2:23" ht="9.75" customHeight="1">
      <c r="B23" s="369" t="s">
        <v>364</v>
      </c>
      <c r="C23" s="374"/>
      <c r="D23" s="374"/>
      <c r="E23" s="151"/>
      <c r="F23" s="151"/>
      <c r="I23" s="129"/>
      <c r="J23" s="129"/>
      <c r="K23" s="129"/>
      <c r="L23" s="129"/>
      <c r="S23" s="138"/>
      <c r="T23" s="381" t="s">
        <v>365</v>
      </c>
      <c r="U23" s="378">
        <f>'Question 1 - DCF'!$L$93</f>
        <v>38.609800944193701</v>
      </c>
      <c r="V23" s="378">
        <f>'Question 1 - DCF'!$N$91</f>
        <v>44.112000200130502</v>
      </c>
      <c r="W23" s="146"/>
    </row>
    <row r="24" spans="2:23" ht="9.75" customHeight="1">
      <c r="B24" s="343" t="s">
        <v>50</v>
      </c>
      <c r="C24" s="383" t="s">
        <v>51</v>
      </c>
      <c r="D24" s="383" t="s">
        <v>63</v>
      </c>
      <c r="E24" s="343" t="s">
        <v>366</v>
      </c>
      <c r="I24" s="129"/>
      <c r="J24" s="129"/>
      <c r="K24" s="129"/>
      <c r="L24" s="129"/>
      <c r="S24" s="138"/>
      <c r="T24" s="381" t="s">
        <v>367</v>
      </c>
      <c r="U24" s="382">
        <f>MIN('Question 2 - Trading Comps'!$F$48,'Question 2 - Trading Comps'!$G$48,'Question 2 - Trading Comps'!$J$48,'Question 2 - Trading Comps'!$K$48,'Question 2 - Trading Comps'!$N$48,'Question 2 - Trading Comps'!$O$48,'Question 2 - Trading Comps'!$U$48,'Question 2 - Trading Comps'!$V$48)</f>
        <v>51.711438203168832</v>
      </c>
      <c r="V24" s="382">
        <f>MAX('Question 2 - Trading Comps'!$F$48,'Question 2 - Trading Comps'!$G$48,'Question 2 - Trading Comps'!$J$48,'Question 2 - Trading Comps'!$K$48,'Question 2 - Trading Comps'!$N$48,'Question 2 - Trading Comps'!$O$48,'Question 2 - Trading Comps'!$U$48,'Question 2 - Trading Comps'!$V$48)</f>
        <v>128.13959076351307</v>
      </c>
      <c r="W24" s="146"/>
    </row>
    <row r="25" spans="2:23" ht="9.75" customHeight="1">
      <c r="C25" s="372"/>
      <c r="D25" s="372"/>
      <c r="S25" s="138"/>
      <c r="T25" s="381" t="s">
        <v>368</v>
      </c>
      <c r="U25" s="382">
        <f>MIN('Question 2 - Trading Comps'!$F$49,'Question 2 - Trading Comps'!$G$49,'Question 2 - Trading Comps'!$J$49,'Question 2 - Trading Comps'!$K$49,'Question 2 - Trading Comps'!$N$49,'Question 2 - Trading Comps'!$O$49,'Question 2 - Trading Comps'!$U$49,'Question 2 - Trading Comps'!$V$49)</f>
        <v>51.711438203168832</v>
      </c>
      <c r="V25" s="382">
        <f>MAX('Question 2 - Trading Comps'!$F$49,'Question 2 - Trading Comps'!$G$49,'Question 2 - Trading Comps'!$J$49,'Question 2 - Trading Comps'!$K$49,'Question 2 - Trading Comps'!$N$49,'Question 2 - Trading Comps'!$O$49,'Question 2 - Trading Comps'!$U$49,'Question 2 - Trading Comps'!$V$49)</f>
        <v>128.13959076351304</v>
      </c>
      <c r="W25" s="146"/>
    </row>
    <row r="26" spans="2:23" ht="9.75" customHeight="1">
      <c r="C26" s="372"/>
      <c r="D26" s="372"/>
      <c r="S26" s="138"/>
      <c r="T26" s="381" t="s">
        <v>369</v>
      </c>
      <c r="U26" s="382">
        <f>MIN('Question 3 - Deal Comps'!$K$43,'Question 3 - Deal Comps'!$L$43,'Question 3 - Deal Comps'!$M$43,'Question 3 - Deal Comps'!$Q$43)</f>
        <v>68.513912084334393</v>
      </c>
      <c r="V26" s="382">
        <f>MAX('Question 3 - Deal Comps'!$K$43,'Question 3 - Deal Comps'!$L$43,'Question 3 - Deal Comps'!$M$43,'Question 3 - Deal Comps'!$Q$43)</f>
        <v>121.50156557313112</v>
      </c>
      <c r="W26" s="146"/>
    </row>
    <row r="27" spans="2:23" ht="9.75" customHeight="1">
      <c r="B27" s="382">
        <f>ROUND(MEDIAN(U23:U27),2)</f>
        <v>51.71</v>
      </c>
      <c r="C27" s="370">
        <f>ROUND(MEDIAN(V23:V27),2)</f>
        <v>121.5</v>
      </c>
      <c r="D27" s="370">
        <f>AVERAGE(B27:C27)</f>
        <v>86.605000000000004</v>
      </c>
      <c r="E27" s="384">
        <f>D27*'Question 2 - Trading Comps'!$AJ$33+'Question 2 - Trading Comps'!$AO$33</f>
        <v>502913.17814146337</v>
      </c>
      <c r="S27" s="138"/>
      <c r="T27" s="381" t="s">
        <v>370</v>
      </c>
      <c r="U27" s="382">
        <f>MIN('Question 3 - Deal Comps'!$K$44,'Question 3 - Deal Comps'!$L$44,'Question 3 - Deal Comps'!$M$44,'Question 3 - Deal Comps'!$Q$44)</f>
        <v>68.513912084334393</v>
      </c>
      <c r="V27" s="382">
        <f>MAX('Question 3 - Deal Comps'!$K$44,'Question 3 - Deal Comps'!$L$44,'Question 3 - Deal Comps'!$M$44,'Question 3 - Deal Comps'!$Q$44)</f>
        <v>121.50156557313112</v>
      </c>
      <c r="W27" s="146"/>
    </row>
    <row r="28" spans="2:23" ht="9.75" customHeight="1">
      <c r="C28" s="372"/>
      <c r="D28" s="372"/>
      <c r="U28" s="133"/>
      <c r="V28" s="133"/>
    </row>
    <row r="29" spans="2:23" ht="9.75" customHeight="1">
      <c r="C29" s="372"/>
      <c r="D29" s="372"/>
    </row>
    <row r="30" spans="2:23" ht="9.75" customHeight="1">
      <c r="C30" s="372"/>
      <c r="D30" s="372"/>
    </row>
    <row r="31" spans="2:23" ht="15" customHeight="1">
      <c r="C31" s="373"/>
      <c r="D31" s="373"/>
      <c r="E31" s="54"/>
      <c r="F31" s="176"/>
      <c r="G31" s="176"/>
      <c r="H31" s="176"/>
      <c r="I31" s="176"/>
      <c r="J31" s="176"/>
      <c r="K31" s="54"/>
      <c r="L31" s="54"/>
      <c r="M31" s="54"/>
      <c r="N31" s="54"/>
      <c r="O31" s="54"/>
      <c r="P31" s="54"/>
      <c r="Q31" s="54"/>
      <c r="R31" s="54"/>
      <c r="S31" s="54"/>
      <c r="T31" s="385" t="s">
        <v>49</v>
      </c>
      <c r="U31" s="385" t="s">
        <v>68</v>
      </c>
      <c r="V31" s="385" t="s">
        <v>69</v>
      </c>
      <c r="W31" s="54"/>
    </row>
    <row r="32" spans="2:23" ht="15" customHeight="1">
      <c r="C32" s="6"/>
      <c r="D32" s="54"/>
      <c r="E32" s="54"/>
      <c r="F32" s="147"/>
      <c r="G32" s="54"/>
      <c r="H32" s="54"/>
      <c r="I32" s="149"/>
      <c r="J32" s="149"/>
      <c r="K32" s="54"/>
      <c r="L32" s="54"/>
      <c r="M32" s="54"/>
      <c r="N32" s="54"/>
      <c r="O32" s="54"/>
      <c r="P32" s="54"/>
      <c r="Q32" s="54"/>
      <c r="R32" s="54"/>
      <c r="S32" s="54"/>
      <c r="T32" s="385" t="s">
        <v>54</v>
      </c>
      <c r="U32" s="386">
        <f>U22</f>
        <v>41.45</v>
      </c>
      <c r="V32" s="386">
        <f>V22-U22</f>
        <v>14.869999999999997</v>
      </c>
      <c r="W32" s="54"/>
    </row>
    <row r="33" spans="3:23" ht="15" customHeight="1">
      <c r="C33" s="6"/>
      <c r="D33" s="54"/>
      <c r="E33" s="54"/>
      <c r="F33" s="147"/>
      <c r="G33" s="54"/>
      <c r="H33" s="54"/>
      <c r="I33" s="177"/>
      <c r="J33" s="177"/>
      <c r="K33" s="54"/>
      <c r="L33" s="54"/>
      <c r="M33" s="54"/>
      <c r="N33" s="54"/>
      <c r="O33" s="54"/>
      <c r="P33" s="54"/>
      <c r="Q33" s="54"/>
      <c r="R33" s="54"/>
      <c r="S33" s="54"/>
      <c r="T33" s="385" t="s">
        <v>57</v>
      </c>
      <c r="U33" s="386">
        <f>U23</f>
        <v>38.609800944193701</v>
      </c>
      <c r="V33" s="386">
        <f>V23-U23</f>
        <v>5.5021992559368016</v>
      </c>
      <c r="W33" s="54"/>
    </row>
    <row r="34" spans="3:23" ht="15" customHeight="1" thickTop="1" thickBot="1">
      <c r="C34" s="6"/>
      <c r="D34" s="54"/>
      <c r="E34" s="54"/>
      <c r="F34" s="147"/>
      <c r="G34" s="54"/>
      <c r="H34" s="54"/>
      <c r="I34" s="178"/>
      <c r="J34" s="178"/>
      <c r="K34" s="54"/>
      <c r="L34" s="54"/>
      <c r="M34" s="54"/>
      <c r="N34" s="54"/>
      <c r="O34" s="54"/>
      <c r="P34" s="54"/>
      <c r="Q34" s="54"/>
      <c r="R34" s="54"/>
      <c r="S34" s="54"/>
      <c r="T34" s="385" t="s">
        <v>70</v>
      </c>
      <c r="U34" s="386">
        <f>U25</f>
        <v>51.711438203168832</v>
      </c>
      <c r="V34" s="386">
        <f>V25-U25</f>
        <v>76.428152560344216</v>
      </c>
      <c r="W34" s="54"/>
    </row>
    <row r="35" spans="3:23" ht="15" customHeight="1" thickTop="1" thickBot="1">
      <c r="C35" s="6"/>
      <c r="D35" s="54"/>
      <c r="E35" s="54"/>
      <c r="F35" s="147"/>
      <c r="G35" s="54"/>
      <c r="H35" s="54"/>
      <c r="I35" s="178"/>
      <c r="J35" s="178"/>
      <c r="K35" s="54"/>
      <c r="L35" s="54"/>
      <c r="M35" s="54"/>
      <c r="N35" s="54"/>
      <c r="O35" s="54"/>
      <c r="P35" s="54"/>
      <c r="Q35" s="54"/>
      <c r="R35" s="54"/>
      <c r="S35" s="54"/>
      <c r="T35" s="186"/>
      <c r="U35" s="186"/>
      <c r="V35" s="186"/>
      <c r="W35" s="54"/>
    </row>
    <row r="36" spans="3:23" ht="15" customHeight="1" thickTop="1" thickBot="1">
      <c r="C36" s="190"/>
      <c r="D36" s="54"/>
      <c r="E36" s="54"/>
      <c r="F36" s="147"/>
      <c r="G36" s="54"/>
      <c r="H36" s="54"/>
      <c r="I36" s="178"/>
      <c r="J36" s="178"/>
      <c r="K36" s="54"/>
      <c r="L36" s="54"/>
      <c r="M36" s="54"/>
      <c r="N36" s="54"/>
      <c r="O36" s="54"/>
      <c r="P36" s="54"/>
      <c r="Q36" s="54"/>
      <c r="R36" s="54"/>
      <c r="S36" s="54"/>
      <c r="T36" s="385" t="s">
        <v>71</v>
      </c>
      <c r="U36" s="386">
        <f>U27</f>
        <v>68.513912084334393</v>
      </c>
      <c r="V36" s="386">
        <f>V27-U27</f>
        <v>52.987653488796724</v>
      </c>
      <c r="W36" s="54"/>
    </row>
    <row r="37" spans="3:23">
      <c r="C37" s="129"/>
      <c r="T37" s="284" t="s">
        <v>65</v>
      </c>
      <c r="U37" s="291">
        <f>B27</f>
        <v>51.71</v>
      </c>
      <c r="V37" s="291">
        <f>C27-B27</f>
        <v>69.789999999999992</v>
      </c>
    </row>
    <row r="38" spans="3:23">
      <c r="C38" s="129"/>
    </row>
    <row r="39" spans="3:23">
      <c r="C39" s="129"/>
      <c r="Q39" s="240"/>
    </row>
    <row r="40" spans="3:23">
      <c r="C40" s="129"/>
    </row>
  </sheetData>
  <pageMargins left="0.7" right="0.7" top="0.75" bottom="0.75" header="0.511811023622047" footer="0.3"/>
  <pageSetup orientation="landscape" horizontalDpi="300" verticalDpi="300"/>
  <headerFooter>
    <oddFooter>&amp;L© Darrell Day&amp;C&amp;P</oddFooter>
  </headerFooter>
  <colBreaks count="1" manualBreakCount="1">
    <brk id="15" min="1" max="65536" man="1"/>
  </colBreaks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D7E96"/>
  </sheetPr>
  <dimension ref="A1:Z91"/>
  <sheetViews>
    <sheetView showGridLines="0" zoomScaleNormal="100" workbookViewId="0">
      <pane ySplit="8" topLeftCell="A9" activePane="bottomLeft" state="frozen"/>
      <selection pane="bottomLeft"/>
    </sheetView>
  </sheetViews>
  <sheetFormatPr baseColWidth="10" defaultColWidth="12.42578125" defaultRowHeight="11"/>
  <cols>
    <col min="1" max="1" width="2" style="9" customWidth="1"/>
    <col min="2" max="2" width="34" style="9" customWidth="1"/>
    <col min="3" max="8" width="12.42578125" style="9" customWidth="1"/>
    <col min="9" max="9" width="12.42578125" style="224" customWidth="1"/>
    <col min="10" max="10" width="18" style="196" customWidth="1"/>
    <col min="11" max="11" width="12.42578125" style="9" customWidth="1"/>
    <col min="12" max="16384" width="12.42578125" style="9"/>
  </cols>
  <sheetData>
    <row r="1" spans="1:26" ht="8" customHeight="1"/>
    <row r="2" spans="1:26" ht="22" customHeight="1">
      <c r="A2" s="247"/>
      <c r="B2" s="387" t="str">
        <f>""&amp;C5&amp;" - Summary Financials Tear Sheet"</f>
        <v>Pfizer Inc - Summary Financials Tear Sheet</v>
      </c>
      <c r="C2" s="136"/>
      <c r="D2" s="136"/>
      <c r="E2" s="136"/>
      <c r="F2" s="136"/>
      <c r="G2" s="136"/>
      <c r="H2" s="136"/>
      <c r="I2" s="227"/>
      <c r="J2" s="185"/>
      <c r="K2" s="136"/>
      <c r="L2" s="136"/>
      <c r="M2" s="136"/>
      <c r="N2" s="136"/>
      <c r="O2" s="136"/>
      <c r="P2" s="136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ht="16" customHeight="1">
      <c r="B3" s="388" t="s">
        <v>371</v>
      </c>
    </row>
    <row r="4" spans="1:26" ht="10" customHeight="1">
      <c r="B4" s="215"/>
    </row>
    <row r="5" spans="1:26" ht="15" customHeight="1">
      <c r="A5" s="389" t="s">
        <v>372</v>
      </c>
      <c r="B5" s="390" t="s">
        <v>373</v>
      </c>
      <c r="C5" s="391" t="s">
        <v>374</v>
      </c>
      <c r="D5" s="28"/>
      <c r="E5" s="28"/>
      <c r="F5" s="28"/>
      <c r="G5" s="28"/>
      <c r="H5" s="28"/>
      <c r="I5" s="228"/>
      <c r="J5" s="197"/>
      <c r="K5" s="28"/>
      <c r="L5" s="28"/>
      <c r="M5" s="28"/>
      <c r="N5" s="28"/>
      <c r="O5" s="28"/>
      <c r="P5" s="28"/>
    </row>
    <row r="6" spans="1:26" ht="15" customHeight="1">
      <c r="A6" s="389" t="s">
        <v>372</v>
      </c>
      <c r="B6" s="390" t="s">
        <v>80</v>
      </c>
      <c r="C6" s="392">
        <v>44926</v>
      </c>
      <c r="D6" s="28"/>
      <c r="E6" s="28"/>
      <c r="F6" s="28"/>
      <c r="G6" s="28"/>
      <c r="H6" s="28"/>
      <c r="I6" s="228"/>
      <c r="J6" s="197"/>
      <c r="K6" s="28"/>
      <c r="L6" s="28"/>
      <c r="M6" s="28"/>
      <c r="N6" s="28"/>
      <c r="O6" s="28"/>
      <c r="P6" s="28"/>
    </row>
    <row r="7" spans="1:26" ht="10" customHeight="1">
      <c r="B7" s="152"/>
      <c r="C7" s="154"/>
      <c r="D7" s="28"/>
      <c r="E7" s="28"/>
      <c r="F7" s="28"/>
      <c r="G7" s="28"/>
      <c r="H7" s="28"/>
      <c r="I7" s="228"/>
      <c r="J7" s="197"/>
      <c r="K7" s="28"/>
      <c r="L7" s="28"/>
      <c r="M7" s="28"/>
      <c r="N7" s="28"/>
      <c r="O7" s="28"/>
      <c r="P7" s="28"/>
    </row>
    <row r="8" spans="1:26" ht="15" customHeight="1">
      <c r="B8" s="152"/>
      <c r="C8" s="296">
        <f>DATE(YEAR(D8)-1,MONTH(D8),DAY(D8))</f>
        <v>43100</v>
      </c>
      <c r="D8" s="296">
        <f>DATE(YEAR(E8)-1,MONTH(E8),DAY(E8))</f>
        <v>43465</v>
      </c>
      <c r="E8" s="296">
        <f>DATE(YEAR(F8)-1,MONTH(F8),DAY(F8))</f>
        <v>43830</v>
      </c>
      <c r="F8" s="296">
        <f>DATE(YEAR(G8)-1,MONTH(G8),DAY(G8))</f>
        <v>44196</v>
      </c>
      <c r="G8" s="296">
        <f>DATE(YEAR(H8)-1,MONTH(H8),DAY(H8))</f>
        <v>44561</v>
      </c>
      <c r="H8" s="296">
        <f>C6</f>
        <v>44926</v>
      </c>
      <c r="I8" s="229"/>
      <c r="J8" s="393" t="s">
        <v>375</v>
      </c>
      <c r="K8" s="28"/>
      <c r="L8" s="28"/>
      <c r="M8" s="28"/>
      <c r="N8" s="28"/>
      <c r="O8" s="28"/>
      <c r="P8" s="28"/>
    </row>
    <row r="9" spans="1:26" ht="20.25" customHeight="1">
      <c r="A9" s="389" t="s">
        <v>372</v>
      </c>
      <c r="B9" s="394" t="s">
        <v>376</v>
      </c>
      <c r="C9" s="243"/>
      <c r="D9" s="243"/>
      <c r="E9" s="243"/>
      <c r="F9" s="243"/>
      <c r="G9" s="243"/>
      <c r="H9" s="243"/>
      <c r="I9" s="244"/>
      <c r="J9" s="243"/>
      <c r="K9" s="162"/>
      <c r="L9" s="162"/>
      <c r="M9" s="162"/>
      <c r="N9" s="162"/>
      <c r="O9" s="162"/>
      <c r="P9" s="162"/>
    </row>
    <row r="10" spans="1:26" ht="10" customHeight="1">
      <c r="I10" s="193"/>
    </row>
    <row r="11" spans="1:26" s="224" customFormat="1" ht="15" customHeight="1">
      <c r="B11" s="391" t="s">
        <v>377</v>
      </c>
      <c r="C11" s="395">
        <v>40.18</v>
      </c>
      <c r="D11" s="225"/>
      <c r="E11" s="225"/>
      <c r="F11" s="225"/>
      <c r="G11" s="225"/>
      <c r="H11" s="225"/>
      <c r="I11" s="225"/>
      <c r="J11" s="226"/>
      <c r="K11" s="225"/>
      <c r="L11" s="225"/>
      <c r="M11" s="225"/>
      <c r="N11" s="225"/>
      <c r="O11" s="225"/>
      <c r="P11" s="225"/>
    </row>
    <row r="12" spans="1:26" s="224" customFormat="1" ht="15" customHeight="1">
      <c r="B12" s="391" t="s">
        <v>378</v>
      </c>
      <c r="C12" s="396">
        <f>SUMIFS('IS - GAAP'!J:J,'IS - GAAP'!$O:$O,Data!$B12)</f>
        <v>5608</v>
      </c>
      <c r="D12" s="225"/>
      <c r="E12" s="225"/>
      <c r="F12" s="225"/>
      <c r="G12" s="225"/>
      <c r="H12" s="225"/>
      <c r="I12" s="225"/>
      <c r="J12" s="397" t="str">
        <f ca="1">_xlfn.IFNA(_xlfn.TEXTBEFORE(_xlfn.TEXTAFTER(_xlfn.FORMULATEXT(C12),"'"),"'"),_xlfn.TEXTBEFORE(_xlfn.TEXTAFTER(_xlfn.FORMULATEXT(C12),"("),"!"))</f>
        <v>IS - GAAP</v>
      </c>
      <c r="K12" s="225"/>
      <c r="L12" s="225"/>
      <c r="M12" s="225"/>
      <c r="N12" s="225"/>
      <c r="O12" s="225"/>
      <c r="P12" s="225"/>
    </row>
    <row r="13" spans="1:26" s="224" customFormat="1" ht="15" customHeight="1">
      <c r="B13" s="391" t="s">
        <v>379</v>
      </c>
      <c r="C13" s="398">
        <f>SUMIFS('BS - Standardized'!$J:$J,'BS - Standardized'!$O:$O,Data!B13)</f>
        <v>35.28</v>
      </c>
      <c r="D13" s="225"/>
      <c r="E13" s="225"/>
      <c r="F13" s="225"/>
      <c r="G13" s="225"/>
      <c r="H13" s="225"/>
      <c r="I13" s="225"/>
      <c r="J13" s="397" t="str">
        <f ca="1">_xlfn.IFNA(_xlfn.TEXTBEFORE(_xlfn.TEXTAFTER(_xlfn.FORMULATEXT(C13),"'"),"'"),_xlfn.TEXTBEFORE(_xlfn.TEXTAFTER(_xlfn.FORMULATEXT(C13),"("),"!"))</f>
        <v>BS - Standardized</v>
      </c>
      <c r="K13" s="225"/>
      <c r="L13" s="225"/>
      <c r="M13" s="225"/>
      <c r="N13" s="225"/>
      <c r="O13" s="225"/>
      <c r="P13" s="225"/>
    </row>
    <row r="14" spans="1:26" s="224" customFormat="1" ht="15" customHeight="1">
      <c r="B14" s="391" t="s">
        <v>380</v>
      </c>
      <c r="C14" s="399">
        <f>SUMIFS('BS - As Reported'!$J:$J,'BS - As Reported'!$O:$O,Data!B14)</f>
        <v>31.47</v>
      </c>
      <c r="D14" s="225"/>
      <c r="E14" s="225"/>
      <c r="F14" s="225"/>
      <c r="G14" s="225"/>
      <c r="H14" s="225"/>
      <c r="I14" s="225"/>
      <c r="J14" s="400" t="str">
        <f ca="1">_xlfn.IFNA(_xlfn.TEXTBEFORE(_xlfn.TEXTAFTER(_xlfn.FORMULATEXT(C14),"'"),"'"),_xlfn.TEXTBEFORE(_xlfn.TEXTAFTER(_xlfn.FORMULATEXT(C14),"("),"!"))</f>
        <v>BS - As Reported</v>
      </c>
      <c r="K14" s="225"/>
      <c r="L14" s="225"/>
      <c r="M14" s="225"/>
      <c r="N14" s="225"/>
      <c r="O14" s="225"/>
      <c r="P14" s="225"/>
    </row>
    <row r="15" spans="1:26" ht="9.75" customHeight="1">
      <c r="B15" s="27"/>
    </row>
    <row r="16" spans="1:26" ht="20.25" customHeight="1">
      <c r="A16" s="389" t="s">
        <v>372</v>
      </c>
      <c r="B16" s="401" t="s">
        <v>381</v>
      </c>
      <c r="C16" s="216"/>
      <c r="D16" s="216"/>
      <c r="E16" s="216"/>
      <c r="F16" s="216"/>
      <c r="G16" s="216"/>
      <c r="H16" s="216"/>
      <c r="I16" s="230"/>
      <c r="J16" s="216"/>
      <c r="K16" s="162"/>
      <c r="L16" s="162"/>
      <c r="M16" s="162"/>
      <c r="N16" s="162"/>
      <c r="O16" s="162"/>
      <c r="P16" s="162"/>
    </row>
    <row r="17" spans="1:16" s="201" customFormat="1" ht="15" customHeight="1">
      <c r="B17" s="402" t="s">
        <v>382</v>
      </c>
      <c r="I17" s="231"/>
    </row>
    <row r="18" spans="1:16" ht="10" customHeight="1">
      <c r="A18" s="245"/>
      <c r="I18" s="225"/>
      <c r="J18" s="5"/>
      <c r="K18" s="8"/>
      <c r="L18" s="8"/>
      <c r="M18" s="8"/>
      <c r="N18" s="8"/>
      <c r="O18" s="8"/>
      <c r="P18" s="8"/>
    </row>
    <row r="19" spans="1:16" s="208" customFormat="1" ht="15" customHeight="1">
      <c r="B19" s="390" t="s">
        <v>90</v>
      </c>
      <c r="C19" s="403">
        <f>SUMIFS('IS - GAAP'!E:E,'IS - GAAP'!$O:$O,Data!$B19)</f>
        <v>52546</v>
      </c>
      <c r="D19" s="404">
        <f>SUMIFS('IS - GAAP'!F:F,'IS - GAAP'!$O:$O,Data!$B19)</f>
        <v>53647</v>
      </c>
      <c r="E19" s="404">
        <f>SUMIFS('IS - GAAP'!G:G,'IS - GAAP'!$O:$O,Data!$B19)</f>
        <v>40905</v>
      </c>
      <c r="F19" s="404">
        <f>SUMIFS('IS - GAAP'!H:H,'IS - GAAP'!$O:$O,Data!$B19)</f>
        <v>41651</v>
      </c>
      <c r="G19" s="404">
        <f>SUMIFS('IS - GAAP'!I:I,'IS - GAAP'!$O:$O,Data!$B19)</f>
        <v>81288</v>
      </c>
      <c r="H19" s="404">
        <f>SUMIFS('IS - GAAP'!J:J,'IS - GAAP'!$O:$O,Data!$B19)</f>
        <v>100330</v>
      </c>
      <c r="I19" s="232"/>
      <c r="J19" s="405" t="str">
        <f ca="1">_xlfn.IFNA(_xlfn.TEXTBEFORE(_xlfn.TEXTAFTER(_xlfn.FORMULATEXT(H19),"'"),"'"),_xlfn.TEXTBEFORE(_xlfn.TEXTAFTER(_xlfn.FORMULATEXT(H19),"("),"!"))</f>
        <v>IS - GAAP</v>
      </c>
      <c r="K19" s="206"/>
      <c r="L19" s="206"/>
      <c r="M19" s="206"/>
      <c r="N19" s="206"/>
      <c r="O19" s="206"/>
      <c r="P19" s="206"/>
    </row>
    <row r="20" spans="1:16" s="209" customFormat="1" ht="15" customHeight="1">
      <c r="B20" s="406" t="s">
        <v>92</v>
      </c>
      <c r="C20" s="396">
        <f>-SUMIFS('IS - GAAP'!E:E,'IS - GAAP'!$O:$O,Data!$B20)</f>
        <v>-11228</v>
      </c>
      <c r="D20" s="407">
        <f>-SUMIFS('IS - GAAP'!F:F,'IS - GAAP'!$O:$O,Data!$B20)</f>
        <v>-11248</v>
      </c>
      <c r="E20" s="407">
        <f>-SUMIFS('IS - GAAP'!G:G,'IS - GAAP'!$O:$O,Data!$B20)</f>
        <v>-8054</v>
      </c>
      <c r="F20" s="407">
        <f>-SUMIFS('IS - GAAP'!H:H,'IS - GAAP'!$O:$O,Data!$B20)</f>
        <v>-8484</v>
      </c>
      <c r="G20" s="407">
        <f>-SUMIFS('IS - GAAP'!I:I,'IS - GAAP'!$O:$O,Data!$B20)</f>
        <v>-30821</v>
      </c>
      <c r="H20" s="407">
        <f>-SUMIFS('IS - GAAP'!J:J,'IS - GAAP'!$O:$O,Data!$B20)</f>
        <v>-34344</v>
      </c>
      <c r="I20" s="225"/>
      <c r="J20" s="408" t="str">
        <f ca="1">_xlfn.IFNA(_xlfn.TEXTBEFORE(_xlfn.TEXTAFTER(_xlfn.FORMULATEXT(H20),"'"),"'"),_xlfn.TEXTBEFORE(_xlfn.TEXTAFTER(_xlfn.FORMULATEXT(H20),"("),"!"))</f>
        <v>IS - GAAP</v>
      </c>
      <c r="K20" s="199"/>
      <c r="L20" s="199"/>
      <c r="M20" s="199"/>
      <c r="N20" s="199"/>
      <c r="O20" s="199"/>
      <c r="P20" s="199"/>
    </row>
    <row r="21" spans="1:16" s="209" customFormat="1" ht="15" customHeight="1">
      <c r="B21" s="409" t="s">
        <v>93</v>
      </c>
      <c r="C21" s="410">
        <f t="shared" ref="C21:H21" si="0">SUM(C19:C20)</f>
        <v>41318</v>
      </c>
      <c r="D21" s="411">
        <f t="shared" si="0"/>
        <v>42399</v>
      </c>
      <c r="E21" s="411">
        <f t="shared" si="0"/>
        <v>32851</v>
      </c>
      <c r="F21" s="411">
        <f t="shared" si="0"/>
        <v>33167</v>
      </c>
      <c r="G21" s="411">
        <f t="shared" si="0"/>
        <v>50467</v>
      </c>
      <c r="H21" s="411">
        <f t="shared" si="0"/>
        <v>65986</v>
      </c>
      <c r="I21" s="412"/>
      <c r="J21" s="413"/>
      <c r="K21" s="198"/>
      <c r="L21" s="198"/>
      <c r="M21" s="198"/>
      <c r="N21" s="198"/>
      <c r="O21" s="198"/>
      <c r="P21" s="198"/>
    </row>
    <row r="22" spans="1:16" s="209" customFormat="1" ht="10" customHeight="1">
      <c r="B22" s="202"/>
      <c r="C22" s="203"/>
      <c r="D22" s="204"/>
      <c r="E22" s="204"/>
      <c r="F22" s="204"/>
      <c r="G22" s="204"/>
      <c r="H22" s="204"/>
      <c r="I22" s="232"/>
      <c r="J22" s="205"/>
      <c r="K22" s="198"/>
      <c r="L22" s="198"/>
      <c r="M22" s="198"/>
      <c r="N22" s="198"/>
      <c r="O22" s="198"/>
      <c r="P22" s="198"/>
    </row>
    <row r="23" spans="1:16" ht="15" customHeight="1">
      <c r="B23" s="406" t="s">
        <v>96</v>
      </c>
      <c r="C23" s="396">
        <f>-SUMIFS('IS - GAAP'!E:E,'IS - GAAP'!$O:$O,Data!$B23)-C24</f>
        <v>-21327</v>
      </c>
      <c r="D23" s="407">
        <f>-SUMIFS('IS - GAAP'!F:F,'IS - GAAP'!$O:$O,Data!$B23)-D24</f>
        <v>-22014</v>
      </c>
      <c r="E23" s="407">
        <f>-SUMIFS('IS - GAAP'!G:G,'IS - GAAP'!$O:$O,Data!$B23)-E24</f>
        <v>-12279</v>
      </c>
      <c r="F23" s="407">
        <f>-SUMIFS('IS - GAAP'!H:H,'IS - GAAP'!$O:$O,Data!$B23)-F24</f>
        <v>4681</v>
      </c>
      <c r="G23" s="407">
        <f>-SUMIFS('IS - GAAP'!I:I,'IS - GAAP'!$O:$O,Data!$B23)-G24</f>
        <v>-25843</v>
      </c>
      <c r="H23" s="407">
        <f>-SUMIFS('IS - GAAP'!J:J,'IS - GAAP'!$O:$O,Data!$B23)-H24</f>
        <v>-25978</v>
      </c>
      <c r="I23" s="225"/>
      <c r="J23" s="408" t="str">
        <f ca="1">_xlfn.IFNA(_xlfn.TEXTBEFORE(_xlfn.TEXTAFTER(_xlfn.FORMULATEXT(H23),"'"),"'"),_xlfn.TEXTBEFORE(_xlfn.TEXTAFTER(_xlfn.FORMULATEXT(H23),"("),"!"))</f>
        <v>IS - GAAP</v>
      </c>
      <c r="K23" s="8"/>
      <c r="L23" s="8"/>
      <c r="M23" s="8"/>
      <c r="N23" s="8"/>
      <c r="O23" s="8"/>
      <c r="P23" s="8"/>
    </row>
    <row r="24" spans="1:16" ht="15" customHeight="1">
      <c r="B24" s="406" t="s">
        <v>97</v>
      </c>
      <c r="C24" s="396">
        <f>-SUMIFS(CF!E:E,CF!$O:$O,Data!$B24)</f>
        <v>-6269</v>
      </c>
      <c r="D24" s="407">
        <f>-SUMIFS(CF!F:F,CF!$O:$O,Data!$B24)</f>
        <v>-6384</v>
      </c>
      <c r="E24" s="407">
        <f>-SUMIFS(CF!G:G,CF!$O:$O,Data!$B24)</f>
        <v>-5755</v>
      </c>
      <c r="F24" s="407">
        <f>-SUMIFS(CF!H:H,CF!$O:$O,Data!$B24)</f>
        <v>-4681</v>
      </c>
      <c r="G24" s="407">
        <f>-SUMIFS(CF!I:I,CF!$O:$O,Data!$B24)</f>
        <v>-5191</v>
      </c>
      <c r="H24" s="407">
        <f>-SUMIFS(CF!J:J,CF!$O:$O,Data!$B24)</f>
        <v>-5064</v>
      </c>
      <c r="I24" s="225"/>
      <c r="J24" s="408" t="str">
        <f ca="1">_xlfn.IFNA(_xlfn.TEXTBEFORE(_xlfn.TEXTAFTER(_xlfn.FORMULATEXT(H24),"'"),"'"),_xlfn.TEXTBEFORE(_xlfn.TEXTAFTER(_xlfn.FORMULATEXT(H24),"("),"!"))</f>
        <v>CF</v>
      </c>
      <c r="K24" s="8"/>
      <c r="L24" s="8"/>
      <c r="M24" s="8"/>
      <c r="N24" s="8"/>
      <c r="O24" s="8"/>
      <c r="P24" s="8"/>
    </row>
    <row r="25" spans="1:16" ht="15" customHeight="1">
      <c r="B25" s="409" t="s">
        <v>383</v>
      </c>
      <c r="C25" s="410">
        <f t="shared" ref="C25:H25" si="1">SUM(C21:C24)</f>
        <v>13722</v>
      </c>
      <c r="D25" s="411">
        <f t="shared" si="1"/>
        <v>14001</v>
      </c>
      <c r="E25" s="411">
        <f t="shared" si="1"/>
        <v>14817</v>
      </c>
      <c r="F25" s="411">
        <f t="shared" si="1"/>
        <v>33167</v>
      </c>
      <c r="G25" s="411">
        <f t="shared" si="1"/>
        <v>19433</v>
      </c>
      <c r="H25" s="411">
        <f t="shared" si="1"/>
        <v>34944</v>
      </c>
      <c r="I25" s="412"/>
      <c r="J25" s="413"/>
      <c r="K25" s="30"/>
      <c r="L25" s="30"/>
      <c r="M25" s="30"/>
      <c r="N25" s="30"/>
      <c r="O25" s="30"/>
      <c r="P25" s="30"/>
    </row>
    <row r="26" spans="1:16" ht="10" customHeight="1">
      <c r="B26" s="202"/>
      <c r="C26" s="203"/>
      <c r="D26" s="204"/>
      <c r="E26" s="204"/>
      <c r="F26" s="204"/>
      <c r="G26" s="204"/>
      <c r="H26" s="204"/>
      <c r="I26" s="232"/>
      <c r="J26" s="205"/>
      <c r="K26" s="30"/>
      <c r="L26" s="30"/>
      <c r="M26" s="30"/>
      <c r="N26" s="30"/>
      <c r="O26" s="30"/>
      <c r="P26" s="30"/>
    </row>
    <row r="27" spans="1:16" ht="15" customHeight="1">
      <c r="B27" s="406" t="s">
        <v>384</v>
      </c>
      <c r="C27" s="396">
        <f>-SUMIFS('IS - GAAP'!E:E,'IS - GAAP'!$O:$O,Data!$B27)</f>
        <v>-538</v>
      </c>
      <c r="D27" s="407">
        <f>-SUMIFS('IS - GAAP'!F:F,'IS - GAAP'!$O:$O,Data!$B27)</f>
        <v>-1133</v>
      </c>
      <c r="E27" s="407">
        <f>-SUMIFS('IS - GAAP'!G:G,'IS - GAAP'!$O:$O,Data!$B27)</f>
        <v>-2148</v>
      </c>
      <c r="F27" s="407">
        <f>-SUMIFS('IS - GAAP'!H:H,'IS - GAAP'!$O:$O,Data!$B27)</f>
        <v>156</v>
      </c>
      <c r="G27" s="407">
        <f>-SUMIFS('IS - GAAP'!I:I,'IS - GAAP'!$O:$O,Data!$B27)</f>
        <v>6133</v>
      </c>
      <c r="H27" s="407">
        <f>-SUMIFS('IS - GAAP'!J:J,'IS - GAAP'!$O:$O,Data!$B27)</f>
        <v>772</v>
      </c>
      <c r="I27" s="225"/>
      <c r="J27" s="408" t="str">
        <f ca="1">_xlfn.IFNA(_xlfn.TEXTBEFORE(_xlfn.TEXTAFTER(_xlfn.FORMULATEXT(H27),"'"),"'"),_xlfn.TEXTBEFORE(_xlfn.TEXTAFTER(_xlfn.FORMULATEXT(H27),"("),"!"))</f>
        <v>IS - GAAP</v>
      </c>
      <c r="K27" s="8"/>
      <c r="L27" s="8"/>
      <c r="M27" s="8"/>
      <c r="N27" s="8"/>
      <c r="O27" s="8"/>
      <c r="P27" s="8"/>
    </row>
    <row r="28" spans="1:16" ht="15" customHeight="1">
      <c r="B28" s="406" t="s">
        <v>385</v>
      </c>
      <c r="C28" s="396">
        <f>-SUMIFS('IS - GAAP'!E:E,'IS - GAAP'!$O:$O,Data!$B28)</f>
        <v>-879</v>
      </c>
      <c r="D28" s="407">
        <f>-SUMIFS('IS - GAAP'!F:F,'IS - GAAP'!$O:$O,Data!$B28)</f>
        <v>-983</v>
      </c>
      <c r="E28" s="407">
        <f>-SUMIFS('IS - GAAP'!G:G,'IS - GAAP'!$O:$O,Data!$B28)</f>
        <v>-1348</v>
      </c>
      <c r="F28" s="407">
        <f>-SUMIFS('IS - GAAP'!H:H,'IS - GAAP'!$O:$O,Data!$B28)</f>
        <v>-1376</v>
      </c>
      <c r="G28" s="407">
        <f>-SUMIFS('IS - GAAP'!I:I,'IS - GAAP'!$O:$O,Data!$B28)</f>
        <v>-1255</v>
      </c>
      <c r="H28" s="407">
        <f>-SUMIFS('IS - GAAP'!J:J,'IS - GAAP'!$O:$O,Data!$B28)</f>
        <v>-987</v>
      </c>
      <c r="I28" s="225"/>
      <c r="J28" s="408" t="str">
        <f ca="1">_xlfn.IFNA(_xlfn.TEXTBEFORE(_xlfn.TEXTAFTER(_xlfn.FORMULATEXT(H28),"'"),"'"),_xlfn.TEXTBEFORE(_xlfn.TEXTAFTER(_xlfn.FORMULATEXT(H28),"("),"!"))</f>
        <v>IS - GAAP</v>
      </c>
      <c r="K28" s="8"/>
      <c r="L28" s="8"/>
      <c r="M28" s="8"/>
      <c r="N28" s="8"/>
      <c r="O28" s="8"/>
      <c r="P28" s="8"/>
    </row>
    <row r="29" spans="1:16" ht="15" customHeight="1">
      <c r="B29" s="406" t="s">
        <v>386</v>
      </c>
      <c r="C29" s="414">
        <f t="shared" ref="C29:H29" si="2">SUM(C25:C28)</f>
        <v>12305</v>
      </c>
      <c r="D29" s="415">
        <f t="shared" si="2"/>
        <v>11885</v>
      </c>
      <c r="E29" s="415">
        <f t="shared" si="2"/>
        <v>11321</v>
      </c>
      <c r="F29" s="415">
        <f t="shared" si="2"/>
        <v>31947</v>
      </c>
      <c r="G29" s="415">
        <f t="shared" si="2"/>
        <v>24311</v>
      </c>
      <c r="H29" s="415">
        <f t="shared" si="2"/>
        <v>34729</v>
      </c>
      <c r="I29" s="225"/>
      <c r="J29" s="223"/>
      <c r="K29" s="8"/>
      <c r="L29" s="8"/>
      <c r="M29" s="8"/>
      <c r="N29" s="8"/>
      <c r="O29" s="8"/>
      <c r="P29" s="8"/>
    </row>
    <row r="30" spans="1:16" ht="15" customHeight="1">
      <c r="B30" s="406" t="s">
        <v>387</v>
      </c>
      <c r="C30" s="396">
        <f>-SUMIFS('IS - GAAP'!E:E,'IS - GAAP'!$O:$O,Data!$B30)</f>
        <v>9048</v>
      </c>
      <c r="D30" s="407">
        <f>-SUMIFS('IS - GAAP'!F:F,'IS - GAAP'!$O:$O,Data!$B30)</f>
        <v>-706</v>
      </c>
      <c r="E30" s="407">
        <f>-SUMIFS('IS - GAAP'!G:G,'IS - GAAP'!$O:$O,Data!$B30)</f>
        <v>-583</v>
      </c>
      <c r="F30" s="407">
        <f>-SUMIFS('IS - GAAP'!H:H,'IS - GAAP'!$O:$O,Data!$B30)</f>
        <v>-370</v>
      </c>
      <c r="G30" s="407">
        <f>-SUMIFS('IS - GAAP'!I:I,'IS - GAAP'!$O:$O,Data!$B30)</f>
        <v>-1852</v>
      </c>
      <c r="H30" s="407">
        <f>-SUMIFS('IS - GAAP'!J:J,'IS - GAAP'!$O:$O,Data!$B30)</f>
        <v>-3328</v>
      </c>
      <c r="I30" s="225"/>
      <c r="J30" s="408" t="str">
        <f ca="1">_xlfn.IFNA(_xlfn.TEXTBEFORE(_xlfn.TEXTAFTER(_xlfn.FORMULATEXT(H30),"'"),"'"),_xlfn.TEXTBEFORE(_xlfn.TEXTAFTER(_xlfn.FORMULATEXT(H30),"("),"!"))</f>
        <v>IS - GAAP</v>
      </c>
      <c r="K30" s="8"/>
      <c r="L30" s="8"/>
      <c r="M30" s="8"/>
      <c r="N30" s="8"/>
      <c r="O30" s="8"/>
      <c r="P30" s="8"/>
    </row>
    <row r="31" spans="1:16" s="207" customFormat="1" ht="15" customHeight="1">
      <c r="B31" s="409" t="s">
        <v>388</v>
      </c>
      <c r="C31" s="410">
        <f t="shared" ref="C31:H31" si="3">SUM(C29:C30)</f>
        <v>21353</v>
      </c>
      <c r="D31" s="411">
        <f t="shared" si="3"/>
        <v>11179</v>
      </c>
      <c r="E31" s="411">
        <f t="shared" si="3"/>
        <v>10738</v>
      </c>
      <c r="F31" s="411">
        <f t="shared" si="3"/>
        <v>31577</v>
      </c>
      <c r="G31" s="411">
        <f t="shared" si="3"/>
        <v>22459</v>
      </c>
      <c r="H31" s="411">
        <f t="shared" si="3"/>
        <v>31401</v>
      </c>
      <c r="I31" s="416"/>
      <c r="J31" s="417"/>
      <c r="K31" s="210"/>
      <c r="L31" s="210"/>
      <c r="M31" s="210"/>
      <c r="N31" s="210"/>
      <c r="O31" s="210"/>
      <c r="P31" s="210"/>
    </row>
    <row r="32" spans="1:16" ht="10" customHeight="1">
      <c r="J32" s="9"/>
      <c r="K32" s="8"/>
      <c r="L32" s="8"/>
      <c r="M32" s="8"/>
      <c r="N32" s="8"/>
      <c r="O32" s="8"/>
      <c r="P32" s="8"/>
    </row>
    <row r="33" spans="1:16" ht="15" customHeight="1">
      <c r="B33" s="406" t="s">
        <v>389</v>
      </c>
      <c r="C33" s="396">
        <f>-SUMIFS('IS - GAAP'!E:E,'IS - GAAP'!$O:$O,Data!$B33)</f>
        <v>2</v>
      </c>
      <c r="D33" s="407">
        <f>-SUMIFS('IS - GAAP'!F:F,'IS - GAAP'!$O:$O,Data!$B33)</f>
        <v>10</v>
      </c>
      <c r="E33" s="407">
        <f>-SUMIFS('IS - GAAP'!G:G,'IS - GAAP'!$O:$O,Data!$B33)</f>
        <v>5318</v>
      </c>
      <c r="F33" s="407">
        <f>-SUMIFS('IS - GAAP'!H:H,'IS - GAAP'!$O:$O,Data!$B33)</f>
        <v>2529</v>
      </c>
      <c r="G33" s="407">
        <f>-SUMIFS('IS - GAAP'!I:I,'IS - GAAP'!$O:$O,Data!$B33)</f>
        <v>-434</v>
      </c>
      <c r="H33" s="407">
        <f>-SUMIFS('IS - GAAP'!J:J,'IS - GAAP'!$O:$O,Data!$B33)</f>
        <v>6</v>
      </c>
      <c r="I33" s="225"/>
      <c r="J33" s="408" t="str">
        <f ca="1">_xlfn.IFNA(_xlfn.TEXTBEFORE(_xlfn.TEXTAFTER(_xlfn.FORMULATEXT(H33),"'"),"'"),_xlfn.TEXTBEFORE(_xlfn.TEXTAFTER(_xlfn.FORMULATEXT(H33),"("),"!"))</f>
        <v>IS - GAAP</v>
      </c>
    </row>
    <row r="34" spans="1:16" ht="15" customHeight="1">
      <c r="B34" s="406" t="s">
        <v>390</v>
      </c>
      <c r="C34" s="396">
        <f>-SUMIFS('IS - GAAP'!E:E,'IS - GAAP'!$O:$O,Data!$B34)</f>
        <v>-1</v>
      </c>
      <c r="D34" s="407">
        <f>-SUMIFS('IS - GAAP'!F:F,'IS - GAAP'!$O:$O,Data!$B34)</f>
        <v>-1</v>
      </c>
      <c r="E34" s="407">
        <f>-SUMIFS('IS - GAAP'!G:G,'IS - GAAP'!$O:$O,Data!$B34)</f>
        <v>0</v>
      </c>
      <c r="F34" s="407">
        <f>-SUMIFS('IS - GAAP'!H:H,'IS - GAAP'!$O:$O,Data!$B34)</f>
        <v>0</v>
      </c>
      <c r="G34" s="407">
        <f>-SUMIFS('IS - GAAP'!I:I,'IS - GAAP'!$O:$O,Data!$B34)</f>
        <v>0</v>
      </c>
      <c r="H34" s="407">
        <f>-SUMIFS('IS - GAAP'!J:J,'IS - GAAP'!$O:$O,Data!$B34)</f>
        <v>0</v>
      </c>
      <c r="I34" s="225"/>
      <c r="J34" s="408" t="str">
        <f ca="1">_xlfn.IFNA(_xlfn.TEXTBEFORE(_xlfn.TEXTAFTER(_xlfn.FORMULATEXT(H34),"'"),"'"),_xlfn.TEXTBEFORE(_xlfn.TEXTAFTER(_xlfn.FORMULATEXT(H34),"("),"!"))</f>
        <v>IS - GAAP</v>
      </c>
      <c r="K34" s="8"/>
      <c r="L34" s="8"/>
      <c r="M34" s="8"/>
      <c r="N34" s="8"/>
      <c r="O34" s="8"/>
      <c r="P34" s="8"/>
    </row>
    <row r="35" spans="1:16" ht="15" customHeight="1">
      <c r="B35" s="406" t="s">
        <v>391</v>
      </c>
      <c r="C35" s="396">
        <f>-SUMIFS('IS - GAAP'!E:E,'IS - GAAP'!$O:$O,Data!$B35)</f>
        <v>-47</v>
      </c>
      <c r="D35" s="407">
        <f>-SUMIFS('IS - GAAP'!F:F,'IS - GAAP'!$O:$O,Data!$B35)</f>
        <v>-36</v>
      </c>
      <c r="E35" s="407">
        <f>-SUMIFS('IS - GAAP'!G:G,'IS - GAAP'!$O:$O,Data!$B35)</f>
        <v>-30</v>
      </c>
      <c r="F35" s="407">
        <f>-SUMIFS('IS - GAAP'!H:H,'IS - GAAP'!$O:$O,Data!$B35)</f>
        <v>-36</v>
      </c>
      <c r="G35" s="407">
        <f>-SUMIFS('IS - GAAP'!I:I,'IS - GAAP'!$O:$O,Data!$B35)</f>
        <v>-46</v>
      </c>
      <c r="H35" s="407">
        <f>-SUMIFS('IS - GAAP'!J:J,'IS - GAAP'!$O:$O,Data!$B35)</f>
        <v>-35</v>
      </c>
      <c r="I35" s="225"/>
      <c r="J35" s="408" t="str">
        <f ca="1">_xlfn.IFNA(_xlfn.TEXTBEFORE(_xlfn.TEXTAFTER(_xlfn.FORMULATEXT(H35),"'"),"'"),_xlfn.TEXTBEFORE(_xlfn.TEXTAFTER(_xlfn.FORMULATEXT(H35),"("),"!"))</f>
        <v>IS - GAAP</v>
      </c>
      <c r="K35" s="199"/>
      <c r="L35" s="199"/>
      <c r="M35" s="199"/>
      <c r="N35" s="199"/>
      <c r="O35" s="199"/>
      <c r="P35" s="199"/>
    </row>
    <row r="36" spans="1:16" s="208" customFormat="1" ht="15" customHeight="1">
      <c r="B36" s="409" t="s">
        <v>392</v>
      </c>
      <c r="C36" s="410">
        <f t="shared" ref="C36:H36" si="4">SUM(C31:C35)</f>
        <v>21307</v>
      </c>
      <c r="D36" s="411">
        <f t="shared" si="4"/>
        <v>11152</v>
      </c>
      <c r="E36" s="411">
        <f t="shared" si="4"/>
        <v>16026</v>
      </c>
      <c r="F36" s="411">
        <f t="shared" si="4"/>
        <v>34070</v>
      </c>
      <c r="G36" s="411">
        <f t="shared" si="4"/>
        <v>21979</v>
      </c>
      <c r="H36" s="411">
        <f t="shared" si="4"/>
        <v>31372</v>
      </c>
      <c r="I36" s="416"/>
      <c r="J36" s="417"/>
      <c r="K36" s="210"/>
      <c r="L36" s="210"/>
      <c r="M36" s="210"/>
      <c r="N36" s="210"/>
      <c r="O36" s="210"/>
      <c r="P36" s="210"/>
    </row>
    <row r="37" spans="1:16" ht="9.75" customHeight="1">
      <c r="C37" s="32"/>
      <c r="D37" s="32"/>
      <c r="E37" s="32"/>
      <c r="F37" s="32"/>
      <c r="G37" s="32"/>
      <c r="H37" s="32"/>
      <c r="J37" s="217"/>
    </row>
    <row r="38" spans="1:16" ht="15" customHeight="1">
      <c r="B38" s="391" t="s">
        <v>393</v>
      </c>
      <c r="C38" s="418">
        <f>SUMIFS('IS - GAAP'!E:E,'IS - GAAP'!$O:$O,Data!$B38)</f>
        <v>3.57</v>
      </c>
      <c r="D38" s="419">
        <f>SUMIFS('IS - GAAP'!F:F,'IS - GAAP'!$O:$O,Data!$B38)</f>
        <v>1.9</v>
      </c>
      <c r="E38" s="419">
        <f>SUMIFS('IS - GAAP'!G:G,'IS - GAAP'!$O:$O,Data!$B38)</f>
        <v>2.88</v>
      </c>
      <c r="F38" s="419">
        <f>SUMIFS('IS - GAAP'!H:H,'IS - GAAP'!$O:$O,Data!$B38)</f>
        <v>1.65</v>
      </c>
      <c r="G38" s="419">
        <f>SUMIFS('IS - GAAP'!I:I,'IS - GAAP'!$O:$O,Data!$B38)</f>
        <v>3.92</v>
      </c>
      <c r="H38" s="419">
        <f>SUMIFS('IS - GAAP'!J:J,'IS - GAAP'!$O:$O,Data!$B38)</f>
        <v>5.59</v>
      </c>
      <c r="I38" s="225"/>
      <c r="J38" s="420" t="str">
        <f ca="1">_xlfn.IFNA(_xlfn.TEXTBEFORE(_xlfn.TEXTAFTER(_xlfn.FORMULATEXT(H38),"'"),"'"),_xlfn.TEXTBEFORE(_xlfn.TEXTAFTER(_xlfn.FORMULATEXT(H38),"("),"!"))</f>
        <v>IS - GAAP</v>
      </c>
      <c r="K38" s="8"/>
      <c r="L38" s="8"/>
      <c r="M38" s="8"/>
      <c r="N38" s="8"/>
      <c r="O38" s="8"/>
      <c r="P38" s="8"/>
    </row>
    <row r="39" spans="1:16" ht="15" customHeight="1">
      <c r="B39" s="391" t="s">
        <v>394</v>
      </c>
      <c r="C39" s="418">
        <f>SUMIFS('IS - GAAP'!E:E,'IS - GAAP'!$O:$O,Data!$B39)</f>
        <v>3.52</v>
      </c>
      <c r="D39" s="419">
        <f>SUMIFS('IS - GAAP'!F:F,'IS - GAAP'!$O:$O,Data!$B39)</f>
        <v>1.87</v>
      </c>
      <c r="E39" s="419">
        <f>SUMIFS('IS - GAAP'!G:G,'IS - GAAP'!$O:$O,Data!$B39)</f>
        <v>2.82</v>
      </c>
      <c r="F39" s="419">
        <f>SUMIFS('IS - GAAP'!H:H,'IS - GAAP'!$O:$O,Data!$B39)</f>
        <v>1.63</v>
      </c>
      <c r="G39" s="419">
        <f>SUMIFS('IS - GAAP'!I:I,'IS - GAAP'!$O:$O,Data!$B39)</f>
        <v>3.85</v>
      </c>
      <c r="H39" s="419">
        <f>SUMIFS('IS - GAAP'!J:J,'IS - GAAP'!$O:$O,Data!$B39)</f>
        <v>5.47</v>
      </c>
      <c r="I39" s="225"/>
      <c r="J39" s="420" t="str">
        <f ca="1">_xlfn.IFNA(_xlfn.TEXTBEFORE(_xlfn.TEXTAFTER(_xlfn.FORMULATEXT(H39),"'"),"'"),_xlfn.TEXTBEFORE(_xlfn.TEXTAFTER(_xlfn.FORMULATEXT(H39),"("),"!"))</f>
        <v>IS - GAAP</v>
      </c>
      <c r="K39" s="8"/>
      <c r="L39" s="8"/>
      <c r="M39" s="8"/>
      <c r="N39" s="8"/>
      <c r="O39" s="8"/>
      <c r="P39" s="8"/>
    </row>
    <row r="40" spans="1:16" ht="9.75" customHeight="1">
      <c r="C40" s="33"/>
      <c r="D40" s="33"/>
      <c r="E40" s="33"/>
      <c r="F40" s="33"/>
      <c r="G40" s="33"/>
      <c r="H40" s="33"/>
      <c r="J40" s="217"/>
    </row>
    <row r="41" spans="1:16" ht="20.25" customHeight="1">
      <c r="A41" s="389" t="s">
        <v>372</v>
      </c>
      <c r="B41" s="401" t="s">
        <v>395</v>
      </c>
      <c r="C41" s="216"/>
      <c r="D41" s="216"/>
      <c r="E41" s="216"/>
      <c r="F41" s="216"/>
      <c r="G41" s="216"/>
      <c r="H41" s="216"/>
      <c r="I41" s="230"/>
      <c r="J41" s="218"/>
      <c r="K41" s="162"/>
      <c r="L41" s="162"/>
      <c r="M41" s="162"/>
      <c r="N41" s="162"/>
      <c r="O41" s="162"/>
      <c r="P41" s="162"/>
    </row>
    <row r="42" spans="1:16" s="201" customFormat="1" ht="15" customHeight="1">
      <c r="B42" s="402" t="s">
        <v>382</v>
      </c>
      <c r="I42" s="231"/>
      <c r="J42" s="219"/>
    </row>
    <row r="43" spans="1:16" ht="9.75" customHeight="1">
      <c r="B43" s="27"/>
      <c r="J43" s="217"/>
    </row>
    <row r="44" spans="1:16" ht="15" customHeight="1">
      <c r="A44" s="246"/>
      <c r="B44" s="421" t="s">
        <v>396</v>
      </c>
      <c r="C44" s="157"/>
      <c r="D44" s="157"/>
      <c r="E44" s="157"/>
      <c r="F44" s="157"/>
      <c r="G44" s="157"/>
      <c r="H44" s="157"/>
      <c r="I44" s="225"/>
      <c r="J44" s="220"/>
      <c r="K44" s="8"/>
      <c r="L44" s="8"/>
      <c r="M44" s="8"/>
      <c r="N44" s="8"/>
      <c r="O44" s="8"/>
      <c r="P44" s="8"/>
    </row>
    <row r="45" spans="1:16" ht="15" customHeight="1">
      <c r="B45" s="406" t="s">
        <v>289</v>
      </c>
      <c r="C45" s="422">
        <f>SUMIFS('BS - Standardized'!E:E,'BS - Standardized'!$O:$O,$B45)</f>
        <v>19992</v>
      </c>
      <c r="D45" s="423">
        <f>SUMIFS('BS - Standardized'!F:F,'BS - Standardized'!$O:$O,$B45)</f>
        <v>18833</v>
      </c>
      <c r="E45" s="423">
        <f>SUMIFS('BS - Standardized'!G:G,'BS - Standardized'!$O:$O,$B45)</f>
        <v>9646</v>
      </c>
      <c r="F45" s="423">
        <f>SUMIFS('BS - Standardized'!H:H,'BS - Standardized'!$O:$O,$B45)</f>
        <v>12223</v>
      </c>
      <c r="G45" s="423">
        <f>SUMIFS('BS - Standardized'!I:I,'BS - Standardized'!$O:$O,$B45)</f>
        <v>31069</v>
      </c>
      <c r="H45" s="423">
        <f>SUMIFS('BS - Standardized'!J:J,'BS - Standardized'!$O:$O,$B45)</f>
        <v>22732</v>
      </c>
      <c r="I45" s="225"/>
      <c r="J45" s="408" t="str">
        <f ca="1">_xlfn.IFNA(_xlfn.TEXTBEFORE(_xlfn.TEXTAFTER(_xlfn.FORMULATEXT(H45),"'"),"'"),_xlfn.TEXTBEFORE(_xlfn.TEXTAFTER(_xlfn.FORMULATEXT(H45),"("),"!"))</f>
        <v>BS - Standardized</v>
      </c>
      <c r="K45" s="8"/>
      <c r="L45" s="8"/>
      <c r="M45" s="8"/>
      <c r="N45" s="8"/>
      <c r="O45" s="8"/>
      <c r="P45" s="8"/>
    </row>
    <row r="46" spans="1:16" ht="15" customHeight="1">
      <c r="B46" s="406" t="s">
        <v>162</v>
      </c>
      <c r="C46" s="422">
        <f>SUMIFS('BS - Standardized'!E:E,'BS - Standardized'!$O:$O,$B46)</f>
        <v>8221</v>
      </c>
      <c r="D46" s="423">
        <f>SUMIFS('BS - Standardized'!F:F,'BS - Standardized'!$O:$O,$B46)</f>
        <v>8025</v>
      </c>
      <c r="E46" s="423">
        <f>SUMIFS('BS - Standardized'!G:G,'BS - Standardized'!$O:$O,$B46)</f>
        <v>6772</v>
      </c>
      <c r="F46" s="423">
        <f>SUMIFS('BS - Standardized'!H:H,'BS - Standardized'!$O:$O,$B46)</f>
        <v>7913</v>
      </c>
      <c r="G46" s="423">
        <f>SUMIFS('BS - Standardized'!I:I,'BS - Standardized'!$O:$O,$B46)</f>
        <v>11479</v>
      </c>
      <c r="H46" s="423">
        <f>SUMIFS('BS - Standardized'!J:J,'BS - Standardized'!$O:$O,$B46)</f>
        <v>10952</v>
      </c>
      <c r="I46" s="225"/>
      <c r="J46" s="408" t="str">
        <f ca="1">_xlfn.IFNA(_xlfn.TEXTBEFORE(_xlfn.TEXTAFTER(_xlfn.FORMULATEXT(H46),"'"),"'"),_xlfn.TEXTBEFORE(_xlfn.TEXTAFTER(_xlfn.FORMULATEXT(H46),"("),"!"))</f>
        <v>BS - Standardized</v>
      </c>
      <c r="K46" s="8"/>
      <c r="L46" s="8"/>
      <c r="M46" s="8"/>
      <c r="N46" s="8"/>
      <c r="O46" s="8"/>
      <c r="P46" s="8"/>
    </row>
    <row r="47" spans="1:16" ht="15" customHeight="1">
      <c r="B47" s="406" t="s">
        <v>163</v>
      </c>
      <c r="C47" s="422">
        <f>SUMIFS('BS - Standardized'!E:E,'BS - Standardized'!$O:$O,$B47)</f>
        <v>7579</v>
      </c>
      <c r="D47" s="423">
        <f>SUMIFS('BS - Standardized'!F:F,'BS - Standardized'!$O:$O,$B47)</f>
        <v>7509</v>
      </c>
      <c r="E47" s="423">
        <f>SUMIFS('BS - Standardized'!G:G,'BS - Standardized'!$O:$O,$B47)</f>
        <v>7068</v>
      </c>
      <c r="F47" s="423">
        <f>SUMIFS('BS - Standardized'!H:H,'BS - Standardized'!$O:$O,$B47)</f>
        <v>8019</v>
      </c>
      <c r="G47" s="423">
        <f>SUMIFS('BS - Standardized'!I:I,'BS - Standardized'!$O:$O,$B47)</f>
        <v>9059</v>
      </c>
      <c r="H47" s="423">
        <f>SUMIFS('BS - Standardized'!J:J,'BS - Standardized'!$O:$O,$B47)</f>
        <v>8981</v>
      </c>
      <c r="I47" s="225"/>
      <c r="J47" s="408" t="str">
        <f ca="1">_xlfn.IFNA(_xlfn.TEXTBEFORE(_xlfn.TEXTAFTER(_xlfn.FORMULATEXT(H47),"'"),"'"),_xlfn.TEXTBEFORE(_xlfn.TEXTAFTER(_xlfn.FORMULATEXT(H47),"("),"!"))</f>
        <v>BS - Standardized</v>
      </c>
      <c r="K47" s="8"/>
      <c r="L47" s="8"/>
      <c r="M47" s="8"/>
      <c r="N47" s="8"/>
      <c r="O47" s="8"/>
      <c r="P47" s="8"/>
    </row>
    <row r="48" spans="1:16" ht="15" customHeight="1">
      <c r="B48" s="406" t="s">
        <v>164</v>
      </c>
      <c r="C48" s="422">
        <f>SUMIFS('BS - Standardized'!E:E,'BS - Standardized'!$O:$O,$B48)</f>
        <v>5349</v>
      </c>
      <c r="D48" s="423">
        <f>SUMIFS('BS - Standardized'!F:F,'BS - Standardized'!$O:$O,$B48)</f>
        <v>15559</v>
      </c>
      <c r="E48" s="423">
        <f>SUMIFS('BS - Standardized'!G:G,'BS - Standardized'!$O:$O,$B48)</f>
        <v>9317</v>
      </c>
      <c r="F48" s="423">
        <f>SUMIFS('BS - Standardized'!H:H,'BS - Standardized'!$O:$O,$B48)</f>
        <v>6912</v>
      </c>
      <c r="G48" s="423">
        <f>SUMIFS('BS - Standardized'!I:I,'BS - Standardized'!$O:$O,$B48)</f>
        <v>8086</v>
      </c>
      <c r="H48" s="423">
        <f>SUMIFS('BS - Standardized'!J:J,'BS - Standardized'!$O:$O,$B48)</f>
        <v>8594</v>
      </c>
      <c r="I48" s="225"/>
      <c r="J48" s="408" t="str">
        <f ca="1">_xlfn.IFNA(_xlfn.TEXTBEFORE(_xlfn.TEXTAFTER(_xlfn.FORMULATEXT(H48),"'"),"'"),_xlfn.TEXTBEFORE(_xlfn.TEXTAFTER(_xlfn.FORMULATEXT(H48),"("),"!"))</f>
        <v>BS - Standardized</v>
      </c>
      <c r="K48" s="8"/>
      <c r="L48" s="8"/>
      <c r="M48" s="8"/>
      <c r="N48" s="8"/>
      <c r="O48" s="8"/>
      <c r="P48" s="8"/>
    </row>
    <row r="49" spans="2:16" ht="15" customHeight="1">
      <c r="B49" s="409" t="s">
        <v>165</v>
      </c>
      <c r="C49" s="424">
        <f t="shared" ref="C49:H49" si="5">SUM(C45:C48)</f>
        <v>41141</v>
      </c>
      <c r="D49" s="425">
        <f t="shared" si="5"/>
        <v>49926</v>
      </c>
      <c r="E49" s="425">
        <f t="shared" si="5"/>
        <v>32803</v>
      </c>
      <c r="F49" s="425">
        <f t="shared" si="5"/>
        <v>35067</v>
      </c>
      <c r="G49" s="425">
        <f t="shared" si="5"/>
        <v>59693</v>
      </c>
      <c r="H49" s="425">
        <f t="shared" si="5"/>
        <v>51259</v>
      </c>
      <c r="I49" s="412"/>
      <c r="J49" s="426"/>
      <c r="K49" s="30"/>
      <c r="L49" s="30"/>
      <c r="M49" s="30"/>
      <c r="N49" s="30"/>
      <c r="O49" s="30"/>
      <c r="P49" s="30"/>
    </row>
    <row r="50" spans="2:16" ht="15" customHeight="1">
      <c r="B50" s="406" t="s">
        <v>397</v>
      </c>
      <c r="C50" s="422">
        <f>SUMIFS('BS - Standardized'!E:E,'BS - Standardized'!$O:$O,$B50)</f>
        <v>13865</v>
      </c>
      <c r="D50" s="423">
        <f>SUMIFS('BS - Standardized'!F:F,'BS - Standardized'!$O:$O,$B50)</f>
        <v>13385</v>
      </c>
      <c r="E50" s="423">
        <f>SUMIFS('BS - Standardized'!G:G,'BS - Standardized'!$O:$O,$B50)</f>
        <v>14257</v>
      </c>
      <c r="F50" s="423">
        <f>SUMIFS('BS - Standardized'!H:H,'BS - Standardized'!$O:$O,$B50)</f>
        <v>15131</v>
      </c>
      <c r="G50" s="423">
        <f>SUMIFS('BS - Standardized'!I:I,'BS - Standardized'!$O:$O,$B50)</f>
        <v>17721</v>
      </c>
      <c r="H50" s="423">
        <f>SUMIFS('BS - Standardized'!J:J,'BS - Standardized'!$O:$O,$B50)</f>
        <v>19275</v>
      </c>
      <c r="I50" s="225"/>
      <c r="J50" s="408" t="str">
        <f ca="1">_xlfn.IFNA(_xlfn.TEXTBEFORE(_xlfn.TEXTAFTER(_xlfn.FORMULATEXT(H50),"'"),"'"),_xlfn.TEXTBEFORE(_xlfn.TEXTAFTER(_xlfn.FORMULATEXT(H50),"("),"!"))</f>
        <v>BS - Standardized</v>
      </c>
      <c r="K50" s="8"/>
      <c r="L50" s="8"/>
      <c r="M50" s="8"/>
      <c r="N50" s="8"/>
      <c r="O50" s="8"/>
      <c r="P50" s="8"/>
    </row>
    <row r="51" spans="2:16" ht="15" customHeight="1">
      <c r="B51" s="406" t="s">
        <v>398</v>
      </c>
      <c r="C51" s="422">
        <f>SUMIFS('BS - Standardized'!E:E,'BS - Standardized'!$O:$O,$B51)</f>
        <v>7015</v>
      </c>
      <c r="D51" s="423">
        <f>SUMIFS('BS - Standardized'!F:F,'BS - Standardized'!$O:$O,$B51)</f>
        <v>2767</v>
      </c>
      <c r="E51" s="423">
        <f>SUMIFS('BS - Standardized'!G:G,'BS - Standardized'!$O:$O,$B51)</f>
        <v>20147</v>
      </c>
      <c r="F51" s="423">
        <f>SUMIFS('BS - Standardized'!H:H,'BS - Standardized'!$O:$O,$B51)</f>
        <v>20262</v>
      </c>
      <c r="G51" s="423">
        <f>SUMIFS('BS - Standardized'!I:I,'BS - Standardized'!$O:$O,$B51)</f>
        <v>21526</v>
      </c>
      <c r="H51" s="423">
        <f>SUMIFS('BS - Standardized'!J:J,'BS - Standardized'!$O:$O,$B51)</f>
        <v>15069</v>
      </c>
      <c r="I51" s="225"/>
      <c r="J51" s="408" t="str">
        <f ca="1">_xlfn.IFNA(_xlfn.TEXTBEFORE(_xlfn.TEXTAFTER(_xlfn.FORMULATEXT(H51),"'"),"'"),_xlfn.TEXTBEFORE(_xlfn.TEXTAFTER(_xlfn.FORMULATEXT(H51),"("),"!"))</f>
        <v>BS - Standardized</v>
      </c>
      <c r="K51" s="8"/>
      <c r="L51" s="8"/>
      <c r="M51" s="8"/>
      <c r="N51" s="8"/>
      <c r="O51" s="8"/>
      <c r="P51" s="8"/>
    </row>
    <row r="52" spans="2:16" ht="15" customHeight="1">
      <c r="B52" s="406" t="s">
        <v>399</v>
      </c>
      <c r="C52" s="422">
        <f>SUMIFS('BS - Standardized'!E:E,'BS - Standardized'!$O:$O,$B52)</f>
        <v>109776</v>
      </c>
      <c r="D52" s="423">
        <f>SUMIFS('BS - Standardized'!F:F,'BS - Standardized'!$O:$O,$B52)</f>
        <v>93344</v>
      </c>
      <c r="E52" s="423">
        <f>SUMIFS('BS - Standardized'!G:G,'BS - Standardized'!$O:$O,$B52)</f>
        <v>100387</v>
      </c>
      <c r="F52" s="423">
        <f>SUMIFS('BS - Standardized'!H:H,'BS - Standardized'!$O:$O,$B52)</f>
        <v>83769</v>
      </c>
      <c r="G52" s="423">
        <f>SUMIFS('BS - Standardized'!I:I,'BS - Standardized'!$O:$O,$B52)</f>
        <v>82536</v>
      </c>
      <c r="H52" s="423">
        <f>SUMIFS('BS - Standardized'!J:J,'BS - Standardized'!$O:$O,$B52)</f>
        <v>111602</v>
      </c>
      <c r="I52" s="225"/>
      <c r="J52" s="408" t="str">
        <f ca="1">_xlfn.IFNA(_xlfn.TEXTBEFORE(_xlfn.TEXTAFTER(_xlfn.FORMULATEXT(H52),"'"),"'"),_xlfn.TEXTBEFORE(_xlfn.TEXTAFTER(_xlfn.FORMULATEXT(H52),"("),"!"))</f>
        <v>BS - Standardized</v>
      </c>
      <c r="K52" s="8"/>
      <c r="L52" s="8"/>
      <c r="M52" s="8"/>
      <c r="N52" s="8"/>
      <c r="O52" s="8"/>
      <c r="P52" s="8"/>
    </row>
    <row r="53" spans="2:16" ht="15" customHeight="1">
      <c r="B53" s="409" t="s">
        <v>400</v>
      </c>
      <c r="C53" s="424">
        <f t="shared" ref="C53:H53" si="6">SUM(C50:C52)</f>
        <v>130656</v>
      </c>
      <c r="D53" s="425">
        <f t="shared" si="6"/>
        <v>109496</v>
      </c>
      <c r="E53" s="425">
        <f t="shared" si="6"/>
        <v>134791</v>
      </c>
      <c r="F53" s="425">
        <f t="shared" si="6"/>
        <v>119162</v>
      </c>
      <c r="G53" s="425">
        <f t="shared" si="6"/>
        <v>121783</v>
      </c>
      <c r="H53" s="425">
        <f t="shared" si="6"/>
        <v>145946</v>
      </c>
      <c r="I53" s="412"/>
      <c r="J53" s="426"/>
      <c r="K53" s="30"/>
      <c r="L53" s="30"/>
      <c r="M53" s="30"/>
      <c r="N53" s="30"/>
      <c r="O53" s="30"/>
      <c r="P53" s="30"/>
    </row>
    <row r="54" spans="2:16" ht="15" customHeight="1">
      <c r="B54" s="409" t="s">
        <v>401</v>
      </c>
      <c r="C54" s="424">
        <f t="shared" ref="C54:H54" si="7">C49+C53</f>
        <v>171797</v>
      </c>
      <c r="D54" s="425">
        <f t="shared" si="7"/>
        <v>159422</v>
      </c>
      <c r="E54" s="425">
        <f t="shared" si="7"/>
        <v>167594</v>
      </c>
      <c r="F54" s="425">
        <f t="shared" si="7"/>
        <v>154229</v>
      </c>
      <c r="G54" s="425">
        <f t="shared" si="7"/>
        <v>181476</v>
      </c>
      <c r="H54" s="425">
        <f t="shared" si="7"/>
        <v>197205</v>
      </c>
      <c r="I54" s="412"/>
      <c r="J54" s="426"/>
      <c r="K54" s="30"/>
      <c r="L54" s="30"/>
      <c r="M54" s="30"/>
      <c r="N54" s="30"/>
      <c r="O54" s="30"/>
      <c r="P54" s="30"/>
    </row>
    <row r="55" spans="2:16" ht="9.75" customHeight="1">
      <c r="B55" s="209"/>
      <c r="C55" s="213"/>
      <c r="D55" s="213"/>
      <c r="E55" s="213"/>
      <c r="F55" s="213"/>
      <c r="G55" s="213"/>
      <c r="H55" s="213"/>
      <c r="I55" s="194"/>
      <c r="J55" s="221"/>
    </row>
    <row r="56" spans="2:16" ht="15" customHeight="1">
      <c r="B56" s="421" t="s">
        <v>402</v>
      </c>
      <c r="C56" s="214"/>
      <c r="D56" s="214"/>
      <c r="E56" s="214"/>
      <c r="F56" s="214"/>
      <c r="G56" s="214"/>
      <c r="H56" s="214"/>
      <c r="I56" s="225"/>
      <c r="J56" s="220"/>
      <c r="K56" s="8"/>
      <c r="L56" s="8"/>
      <c r="M56" s="8"/>
      <c r="N56" s="8"/>
      <c r="O56" s="8"/>
      <c r="P56" s="8"/>
    </row>
    <row r="57" spans="2:16" ht="15" customHeight="1">
      <c r="B57" s="406" t="s">
        <v>403</v>
      </c>
      <c r="C57" s="422">
        <f>SUMIFS('BS - Standardized'!E:E,'BS - Standardized'!$O:$O,$B57)</f>
        <v>9953</v>
      </c>
      <c r="D57" s="423">
        <f>SUMIFS('BS - Standardized'!F:F,'BS - Standardized'!$O:$O,$B57)</f>
        <v>8831</v>
      </c>
      <c r="E57" s="423">
        <f>SUMIFS('BS - Standardized'!G:G,'BS - Standardized'!$O:$O,$B57)</f>
        <v>16464</v>
      </c>
      <c r="F57" s="423">
        <f>SUMIFS('BS - Standardized'!H:H,'BS - Standardized'!$O:$O,$B57)</f>
        <v>3023</v>
      </c>
      <c r="G57" s="423">
        <f>SUMIFS('BS - Standardized'!I:I,'BS - Standardized'!$O:$O,$B57)</f>
        <v>2690</v>
      </c>
      <c r="H57" s="423">
        <f>SUMIFS('BS - Standardized'!J:J,'BS - Standardized'!$O:$O,$B57)</f>
        <v>3565</v>
      </c>
      <c r="I57" s="225"/>
      <c r="J57" s="408" t="str">
        <f ca="1">_xlfn.IFNA(_xlfn.TEXTBEFORE(_xlfn.TEXTAFTER(_xlfn.FORMULATEXT(H57),"'"),"'"),_xlfn.TEXTBEFORE(_xlfn.TEXTAFTER(_xlfn.FORMULATEXT(H57),"("),"!"))</f>
        <v>BS - Standardized</v>
      </c>
      <c r="K57" s="8"/>
      <c r="L57" s="8"/>
      <c r="M57" s="8"/>
      <c r="N57" s="8"/>
      <c r="O57" s="8"/>
      <c r="P57" s="8"/>
    </row>
    <row r="58" spans="2:16" ht="15" customHeight="1">
      <c r="B58" s="406" t="s">
        <v>166</v>
      </c>
      <c r="C58" s="422">
        <f>SUMIFS('BS - Standardized'!E:E,'BS - Standardized'!$O:$O,$B58)</f>
        <v>4656</v>
      </c>
      <c r="D58" s="423">
        <f>SUMIFS('BS - Standardized'!F:F,'BS - Standardized'!$O:$O,$B58)</f>
        <v>4674</v>
      </c>
      <c r="E58" s="423">
        <f>SUMIFS('BS - Standardized'!G:G,'BS - Standardized'!$O:$O,$B58)</f>
        <v>3887</v>
      </c>
      <c r="F58" s="423">
        <f>SUMIFS('BS - Standardized'!H:H,'BS - Standardized'!$O:$O,$B58)</f>
        <v>4283</v>
      </c>
      <c r="G58" s="423">
        <f>SUMIFS('BS - Standardized'!I:I,'BS - Standardized'!$O:$O,$B58)</f>
        <v>5578</v>
      </c>
      <c r="H58" s="423">
        <f>SUMIFS('BS - Standardized'!J:J,'BS - Standardized'!$O:$O,$B58)</f>
        <v>6809</v>
      </c>
      <c r="I58" s="225"/>
      <c r="J58" s="408" t="str">
        <f ca="1">_xlfn.IFNA(_xlfn.TEXTBEFORE(_xlfn.TEXTAFTER(_xlfn.FORMULATEXT(H58),"'"),"'"),_xlfn.TEXTBEFORE(_xlfn.TEXTAFTER(_xlfn.FORMULATEXT(H58),"("),"!"))</f>
        <v>BS - Standardized</v>
      </c>
      <c r="K58" s="8"/>
      <c r="L58" s="8"/>
      <c r="M58" s="8"/>
      <c r="N58" s="8"/>
      <c r="O58" s="8"/>
      <c r="P58" s="8"/>
    </row>
    <row r="59" spans="2:16" ht="15" customHeight="1">
      <c r="B59" s="406" t="s">
        <v>167</v>
      </c>
      <c r="C59" s="422">
        <f>SUMIFS('BS - Standardized'!E:E,'BS - Standardized'!$O:$O,$B59)</f>
        <v>4702</v>
      </c>
      <c r="D59" s="423">
        <f>SUMIFS('BS - Standardized'!F:F,'BS - Standardized'!$O:$O,$B59)</f>
        <v>5709</v>
      </c>
      <c r="E59" s="423">
        <f>SUMIFS('BS - Standardized'!G:G,'BS - Standardized'!$O:$O,$B59)</f>
        <v>5474</v>
      </c>
      <c r="F59" s="423">
        <f>SUMIFS('BS - Standardized'!H:H,'BS - Standardized'!$O:$O,$B59)</f>
        <v>6260</v>
      </c>
      <c r="G59" s="423">
        <f>SUMIFS('BS - Standardized'!I:I,'BS - Standardized'!$O:$O,$B59)</f>
        <v>6847</v>
      </c>
      <c r="H59" s="423">
        <f>SUMIFS('BS - Standardized'!J:J,'BS - Standardized'!$O:$O,$B59)</f>
        <v>7297</v>
      </c>
      <c r="I59" s="225"/>
      <c r="J59" s="408" t="str">
        <f ca="1">_xlfn.IFNA(_xlfn.TEXTBEFORE(_xlfn.TEXTAFTER(_xlfn.FORMULATEXT(H59),"'"),"'"),_xlfn.TEXTBEFORE(_xlfn.TEXTAFTER(_xlfn.FORMULATEXT(H59),"("),"!"))</f>
        <v>BS - Standardized</v>
      </c>
      <c r="K59" s="8"/>
      <c r="L59" s="8"/>
      <c r="M59" s="8"/>
      <c r="N59" s="8"/>
      <c r="O59" s="8"/>
      <c r="P59" s="8"/>
    </row>
    <row r="60" spans="2:16" ht="15" customHeight="1">
      <c r="B60" s="406" t="s">
        <v>168</v>
      </c>
      <c r="C60" s="422">
        <f>SUMIFS('BS - Standardized'!E:E,'BS - Standardized'!$O:$O,$B60)</f>
        <v>11116</v>
      </c>
      <c r="D60" s="423">
        <f>SUMIFS('BS - Standardized'!F:F,'BS - Standardized'!$O:$O,$B60)</f>
        <v>12644</v>
      </c>
      <c r="E60" s="423">
        <f>SUMIFS('BS - Standardized'!G:G,'BS - Standardized'!$O:$O,$B60)</f>
        <v>11479</v>
      </c>
      <c r="F60" s="423">
        <f>SUMIFS('BS - Standardized'!H:H,'BS - Standardized'!$O:$O,$B60)</f>
        <v>12354</v>
      </c>
      <c r="G60" s="423">
        <f>SUMIFS('BS - Standardized'!I:I,'BS - Standardized'!$O:$O,$B60)</f>
        <v>27557</v>
      </c>
      <c r="H60" s="423">
        <f>SUMIFS('BS - Standardized'!J:J,'BS - Standardized'!$O:$O,$B60)</f>
        <v>24467</v>
      </c>
      <c r="I60" s="225"/>
      <c r="J60" s="408" t="str">
        <f ca="1">_xlfn.IFNA(_xlfn.TEXTBEFORE(_xlfn.TEXTAFTER(_xlfn.FORMULATEXT(H60),"'"),"'"),_xlfn.TEXTBEFORE(_xlfn.TEXTAFTER(_xlfn.FORMULATEXT(H60),"("),"!"))</f>
        <v>BS - Standardized</v>
      </c>
      <c r="K60" s="8"/>
      <c r="L60" s="8"/>
      <c r="M60" s="8"/>
      <c r="N60" s="8"/>
      <c r="O60" s="8"/>
      <c r="P60" s="8"/>
    </row>
    <row r="61" spans="2:16" ht="15" customHeight="1">
      <c r="B61" s="409" t="s">
        <v>169</v>
      </c>
      <c r="C61" s="424">
        <f t="shared" ref="C61:H61" si="8">SUM(C57:C60)</f>
        <v>30427</v>
      </c>
      <c r="D61" s="425">
        <f t="shared" si="8"/>
        <v>31858</v>
      </c>
      <c r="E61" s="425">
        <f t="shared" si="8"/>
        <v>37304</v>
      </c>
      <c r="F61" s="425">
        <f t="shared" si="8"/>
        <v>25920</v>
      </c>
      <c r="G61" s="425">
        <f t="shared" si="8"/>
        <v>42672</v>
      </c>
      <c r="H61" s="425">
        <f t="shared" si="8"/>
        <v>42138</v>
      </c>
      <c r="I61" s="412"/>
      <c r="J61" s="426"/>
      <c r="K61" s="30"/>
      <c r="L61" s="30"/>
      <c r="M61" s="30"/>
      <c r="N61" s="30"/>
      <c r="O61" s="30"/>
      <c r="P61" s="30"/>
    </row>
    <row r="62" spans="2:16" ht="15" customHeight="1">
      <c r="B62" s="406" t="s">
        <v>404</v>
      </c>
      <c r="C62" s="422">
        <f>SUMIFS('BS - Standardized'!E:E,'BS - Standardized'!$O:$O,$B62)</f>
        <v>33538</v>
      </c>
      <c r="D62" s="423">
        <f>SUMIFS('BS - Standardized'!F:F,'BS - Standardized'!$O:$O,$B62)</f>
        <v>32909</v>
      </c>
      <c r="E62" s="423">
        <f>SUMIFS('BS - Standardized'!G:G,'BS - Standardized'!$O:$O,$B62)</f>
        <v>36985</v>
      </c>
      <c r="F62" s="423">
        <f>SUMIFS('BS - Standardized'!H:H,'BS - Standardized'!$O:$O,$B62)</f>
        <v>38241</v>
      </c>
      <c r="G62" s="423">
        <f>SUMIFS('BS - Standardized'!I:I,'BS - Standardized'!$O:$O,$B62)</f>
        <v>38705</v>
      </c>
      <c r="H62" s="423">
        <f>SUMIFS('BS - Standardized'!J:J,'BS - Standardized'!$O:$O,$B62)</f>
        <v>35481</v>
      </c>
      <c r="I62" s="225"/>
      <c r="J62" s="408" t="str">
        <f ca="1">_xlfn.IFNA(_xlfn.TEXTBEFORE(_xlfn.TEXTAFTER(_xlfn.FORMULATEXT(H62),"'"),"'"),_xlfn.TEXTBEFORE(_xlfn.TEXTAFTER(_xlfn.FORMULATEXT(H62),"("),"!"))</f>
        <v>BS - Standardized</v>
      </c>
      <c r="K62" s="8"/>
      <c r="L62" s="8"/>
      <c r="M62" s="8"/>
      <c r="N62" s="8"/>
      <c r="O62" s="8"/>
      <c r="P62" s="8"/>
    </row>
    <row r="63" spans="2:16" ht="15" customHeight="1">
      <c r="B63" s="406" t="s">
        <v>405</v>
      </c>
      <c r="C63" s="422">
        <f>SUMIFS('BS - Standardized'!E:E,'BS - Standardized'!$O:$O,$B63)</f>
        <v>36176</v>
      </c>
      <c r="D63" s="423">
        <f>SUMIFS('BS - Standardized'!F:F,'BS - Standardized'!$O:$O,$B63)</f>
        <v>30897</v>
      </c>
      <c r="E63" s="423">
        <f>SUMIFS('BS - Standardized'!G:G,'BS - Standardized'!$O:$O,$B63)</f>
        <v>29859</v>
      </c>
      <c r="F63" s="423">
        <f>SUMIFS('BS - Standardized'!H:H,'BS - Standardized'!$O:$O,$B63)</f>
        <v>26595</v>
      </c>
      <c r="G63" s="423">
        <f>SUMIFS('BS - Standardized'!I:I,'BS - Standardized'!$O:$O,$B63)</f>
        <v>22637</v>
      </c>
      <c r="H63" s="423">
        <f>SUMIFS('BS - Standardized'!J:J,'BS - Standardized'!$O:$O,$B63)</f>
        <v>23669</v>
      </c>
      <c r="I63" s="225"/>
      <c r="J63" s="408" t="str">
        <f ca="1">_xlfn.IFNA(_xlfn.TEXTBEFORE(_xlfn.TEXTAFTER(_xlfn.FORMULATEXT(H63),"'"),"'"),_xlfn.TEXTBEFORE(_xlfn.TEXTAFTER(_xlfn.FORMULATEXT(H63),"("),"!"))</f>
        <v>BS - Standardized</v>
      </c>
      <c r="K63" s="8"/>
      <c r="L63" s="8"/>
      <c r="M63" s="8"/>
      <c r="N63" s="8"/>
      <c r="O63" s="8"/>
      <c r="P63" s="8"/>
    </row>
    <row r="64" spans="2:16" ht="15" customHeight="1">
      <c r="B64" s="409" t="s">
        <v>406</v>
      </c>
      <c r="C64" s="424">
        <f t="shared" ref="C64:H64" si="9">SUM(C62:C63)</f>
        <v>69714</v>
      </c>
      <c r="D64" s="425">
        <f t="shared" si="9"/>
        <v>63806</v>
      </c>
      <c r="E64" s="425">
        <f t="shared" si="9"/>
        <v>66844</v>
      </c>
      <c r="F64" s="425">
        <f t="shared" si="9"/>
        <v>64836</v>
      </c>
      <c r="G64" s="425">
        <f t="shared" si="9"/>
        <v>61342</v>
      </c>
      <c r="H64" s="425">
        <f t="shared" si="9"/>
        <v>59150</v>
      </c>
      <c r="I64" s="412"/>
      <c r="J64" s="426"/>
      <c r="K64" s="30"/>
      <c r="L64" s="30"/>
      <c r="M64" s="30"/>
      <c r="N64" s="30"/>
      <c r="O64" s="30"/>
      <c r="P64" s="30"/>
    </row>
    <row r="65" spans="1:16" ht="15" customHeight="1">
      <c r="B65" s="409" t="s">
        <v>407</v>
      </c>
      <c r="C65" s="424">
        <f t="shared" ref="C65:H65" si="10">C61+C64</f>
        <v>100141</v>
      </c>
      <c r="D65" s="425">
        <f t="shared" si="10"/>
        <v>95664</v>
      </c>
      <c r="E65" s="425">
        <f t="shared" si="10"/>
        <v>104148</v>
      </c>
      <c r="F65" s="425">
        <f t="shared" si="10"/>
        <v>90756</v>
      </c>
      <c r="G65" s="425">
        <f t="shared" si="10"/>
        <v>104014</v>
      </c>
      <c r="H65" s="425">
        <f t="shared" si="10"/>
        <v>101288</v>
      </c>
      <c r="I65" s="412"/>
      <c r="J65" s="426"/>
      <c r="K65" s="30"/>
      <c r="L65" s="30"/>
      <c r="M65" s="30"/>
      <c r="N65" s="30"/>
      <c r="O65" s="30"/>
      <c r="P65" s="30"/>
    </row>
    <row r="66" spans="1:16" ht="9.75" customHeight="1">
      <c r="B66" s="209"/>
      <c r="C66" s="213"/>
      <c r="D66" s="213"/>
      <c r="E66" s="213"/>
      <c r="F66" s="213"/>
      <c r="G66" s="213"/>
      <c r="H66" s="213"/>
      <c r="I66" s="194"/>
      <c r="J66" s="221"/>
    </row>
    <row r="67" spans="1:16" ht="15" customHeight="1">
      <c r="B67" s="421" t="s">
        <v>185</v>
      </c>
      <c r="C67" s="214"/>
      <c r="D67" s="214"/>
      <c r="E67" s="214"/>
      <c r="F67" s="214"/>
      <c r="G67" s="214"/>
      <c r="H67" s="214"/>
      <c r="I67" s="225"/>
      <c r="J67" s="220"/>
      <c r="K67" s="8"/>
      <c r="L67" s="8"/>
      <c r="M67" s="8"/>
      <c r="N67" s="8"/>
      <c r="O67" s="8"/>
      <c r="P67" s="8"/>
    </row>
    <row r="68" spans="1:16" ht="15" customHeight="1">
      <c r="B68" s="406" t="s">
        <v>408</v>
      </c>
      <c r="C68" s="422">
        <f>SUMIFS('BS - Standardized'!E:E,'BS - Standardized'!$O:$O,$B68)</f>
        <v>71308</v>
      </c>
      <c r="D68" s="423">
        <f>SUMIFS('BS - Standardized'!F:F,'BS - Standardized'!$O:$O,$B68)</f>
        <v>63407</v>
      </c>
      <c r="E68" s="423">
        <f>SUMIFS('BS - Standardized'!G:G,'BS - Standardized'!$O:$O,$B68)</f>
        <v>63143</v>
      </c>
      <c r="F68" s="423">
        <f>SUMIFS('BS - Standardized'!H:H,'BS - Standardized'!$O:$O,$B68)</f>
        <v>63238</v>
      </c>
      <c r="G68" s="423">
        <f>SUMIFS('BS - Standardized'!I:I,'BS - Standardized'!$O:$O,$B68)</f>
        <v>77200</v>
      </c>
      <c r="H68" s="423">
        <f>SUMIFS('BS - Standardized'!J:J,'BS - Standardized'!$O:$O,$B68)</f>
        <v>95661</v>
      </c>
      <c r="I68" s="225"/>
      <c r="J68" s="408" t="str">
        <f ca="1">_xlfn.IFNA(_xlfn.TEXTBEFORE(_xlfn.TEXTAFTER(_xlfn.FORMULATEXT(H68),"'"),"'"),_xlfn.TEXTBEFORE(_xlfn.TEXTAFTER(_xlfn.FORMULATEXT(H68),"("),"!"))</f>
        <v>BS - Standardized</v>
      </c>
      <c r="K68" s="8"/>
      <c r="L68" s="8"/>
      <c r="M68" s="8"/>
      <c r="N68" s="8"/>
      <c r="O68" s="8"/>
      <c r="P68" s="8"/>
    </row>
    <row r="69" spans="1:16" ht="15" customHeight="1">
      <c r="B69" s="406" t="s">
        <v>409</v>
      </c>
      <c r="C69" s="422">
        <f>SUMIFS('BS - Standardized'!E:E,'BS - Standardized'!$O:$O,$B69)</f>
        <v>348</v>
      </c>
      <c r="D69" s="423">
        <f>SUMIFS('BS - Standardized'!F:F,'BS - Standardized'!$O:$O,$B69)</f>
        <v>351</v>
      </c>
      <c r="E69" s="423">
        <f>SUMIFS('BS - Standardized'!G:G,'BS - Standardized'!$O:$O,$B69)</f>
        <v>303</v>
      </c>
      <c r="F69" s="423">
        <f>SUMIFS('BS - Standardized'!H:H,'BS - Standardized'!$O:$O,$B69)</f>
        <v>235</v>
      </c>
      <c r="G69" s="423">
        <f>SUMIFS('BS - Standardized'!I:I,'BS - Standardized'!$O:$O,$B69)</f>
        <v>262</v>
      </c>
      <c r="H69" s="423">
        <f>SUMIFS('BS - Standardized'!J:J,'BS - Standardized'!$O:$O,$B69)</f>
        <v>256</v>
      </c>
      <c r="I69" s="225"/>
      <c r="J69" s="408" t="str">
        <f ca="1">_xlfn.IFNA(_xlfn.TEXTBEFORE(_xlfn.TEXTAFTER(_xlfn.FORMULATEXT(H69),"'"),"'"),_xlfn.TEXTBEFORE(_xlfn.TEXTAFTER(_xlfn.FORMULATEXT(H69),"("),"!"))</f>
        <v>BS - Standardized</v>
      </c>
      <c r="K69" s="8"/>
      <c r="L69" s="8"/>
      <c r="M69" s="8"/>
      <c r="N69" s="8"/>
      <c r="O69" s="8"/>
      <c r="P69" s="8"/>
    </row>
    <row r="70" spans="1:16" ht="15" customHeight="1">
      <c r="B70" s="409" t="s">
        <v>410</v>
      </c>
      <c r="C70" s="424">
        <f t="shared" ref="C70:H70" si="11">SUM(C68:C69)</f>
        <v>71656</v>
      </c>
      <c r="D70" s="425">
        <f t="shared" si="11"/>
        <v>63758</v>
      </c>
      <c r="E70" s="425">
        <f t="shared" si="11"/>
        <v>63446</v>
      </c>
      <c r="F70" s="425">
        <f t="shared" si="11"/>
        <v>63473</v>
      </c>
      <c r="G70" s="425">
        <f t="shared" si="11"/>
        <v>77462</v>
      </c>
      <c r="H70" s="425">
        <f t="shared" si="11"/>
        <v>95917</v>
      </c>
      <c r="I70" s="412"/>
      <c r="J70" s="426"/>
      <c r="K70" s="30"/>
      <c r="L70" s="30"/>
      <c r="M70" s="30"/>
      <c r="N70" s="30"/>
      <c r="O70" s="30"/>
      <c r="P70" s="30"/>
    </row>
    <row r="71" spans="1:16" ht="15" customHeight="1">
      <c r="B71" s="409" t="s">
        <v>411</v>
      </c>
      <c r="C71" s="424">
        <f t="shared" ref="C71:H71" si="12">C65+C70</f>
        <v>171797</v>
      </c>
      <c r="D71" s="425">
        <f t="shared" si="12"/>
        <v>159422</v>
      </c>
      <c r="E71" s="425">
        <f t="shared" si="12"/>
        <v>167594</v>
      </c>
      <c r="F71" s="425">
        <f t="shared" si="12"/>
        <v>154229</v>
      </c>
      <c r="G71" s="425">
        <f t="shared" si="12"/>
        <v>181476</v>
      </c>
      <c r="H71" s="425">
        <f t="shared" si="12"/>
        <v>197205</v>
      </c>
      <c r="I71" s="412"/>
      <c r="J71" s="426"/>
      <c r="K71" s="30"/>
      <c r="L71" s="30"/>
      <c r="M71" s="30"/>
      <c r="N71" s="30"/>
      <c r="O71" s="30"/>
      <c r="P71" s="30"/>
    </row>
    <row r="72" spans="1:16" ht="9.75" customHeight="1">
      <c r="C72" s="33"/>
      <c r="D72" s="33"/>
      <c r="E72" s="33"/>
      <c r="F72" s="33"/>
      <c r="G72" s="33"/>
      <c r="H72" s="33"/>
      <c r="J72" s="217"/>
    </row>
    <row r="73" spans="1:16" ht="20.25" customHeight="1">
      <c r="A73" s="389" t="s">
        <v>372</v>
      </c>
      <c r="B73" s="401" t="s">
        <v>412</v>
      </c>
      <c r="C73" s="216"/>
      <c r="D73" s="216"/>
      <c r="E73" s="216"/>
      <c r="F73" s="216"/>
      <c r="G73" s="216"/>
      <c r="H73" s="216"/>
      <c r="I73" s="230"/>
      <c r="J73" s="218"/>
      <c r="K73" s="162"/>
      <c r="L73" s="162"/>
      <c r="M73" s="162"/>
      <c r="N73" s="162"/>
      <c r="O73" s="162"/>
      <c r="P73" s="162"/>
    </row>
    <row r="74" spans="1:16" s="201" customFormat="1" ht="15" customHeight="1">
      <c r="B74" s="402" t="s">
        <v>382</v>
      </c>
      <c r="I74" s="231"/>
      <c r="J74" s="219"/>
    </row>
    <row r="75" spans="1:16" s="201" customFormat="1" ht="10" customHeight="1">
      <c r="B75" s="200"/>
      <c r="I75" s="231"/>
      <c r="J75" s="219"/>
    </row>
    <row r="76" spans="1:16" ht="15" customHeight="1">
      <c r="B76" s="391" t="s">
        <v>330</v>
      </c>
      <c r="C76" s="414">
        <f t="shared" ref="C76:H76" si="13">C36</f>
        <v>21307</v>
      </c>
      <c r="D76" s="415">
        <f t="shared" si="13"/>
        <v>11152</v>
      </c>
      <c r="E76" s="415">
        <f t="shared" si="13"/>
        <v>16026</v>
      </c>
      <c r="F76" s="415">
        <f t="shared" si="13"/>
        <v>34070</v>
      </c>
      <c r="G76" s="415">
        <f t="shared" si="13"/>
        <v>21979</v>
      </c>
      <c r="H76" s="415">
        <f t="shared" si="13"/>
        <v>31372</v>
      </c>
      <c r="I76" s="225"/>
      <c r="J76" s="220"/>
      <c r="K76" s="8"/>
      <c r="L76" s="8"/>
      <c r="M76" s="8"/>
      <c r="N76" s="8"/>
      <c r="O76" s="8"/>
      <c r="P76" s="8"/>
    </row>
    <row r="77" spans="1:16" ht="15" customHeight="1">
      <c r="B77" s="391" t="s">
        <v>413</v>
      </c>
      <c r="C77" s="414">
        <f t="shared" ref="C77:H77" si="14">C24</f>
        <v>-6269</v>
      </c>
      <c r="D77" s="415">
        <f t="shared" si="14"/>
        <v>-6384</v>
      </c>
      <c r="E77" s="415">
        <f t="shared" si="14"/>
        <v>-5755</v>
      </c>
      <c r="F77" s="415">
        <f t="shared" si="14"/>
        <v>-4681</v>
      </c>
      <c r="G77" s="415">
        <f t="shared" si="14"/>
        <v>-5191</v>
      </c>
      <c r="H77" s="415">
        <f t="shared" si="14"/>
        <v>-5064</v>
      </c>
      <c r="I77" s="225"/>
      <c r="J77" s="220"/>
      <c r="K77" s="8"/>
      <c r="L77" s="8"/>
      <c r="M77" s="8"/>
      <c r="N77" s="8"/>
      <c r="O77" s="8"/>
      <c r="P77" s="8"/>
    </row>
    <row r="78" spans="1:16" ht="15" customHeight="1">
      <c r="B78" s="391" t="s">
        <v>107</v>
      </c>
      <c r="C78" s="414">
        <f>0-(C88-0)</f>
        <v>-675</v>
      </c>
      <c r="D78" s="415">
        <f>0-(D88-C88)</f>
        <v>-7391</v>
      </c>
      <c r="E78" s="415">
        <f>0-(E88-D88)</f>
        <v>5749</v>
      </c>
      <c r="F78" s="415">
        <f>0-(F88-E88)</f>
        <v>2370</v>
      </c>
      <c r="G78" s="415">
        <f>0-(G88-F88)</f>
        <v>11305</v>
      </c>
      <c r="H78" s="415">
        <f>0-(H88-G88)</f>
        <v>-1312</v>
      </c>
      <c r="I78" s="225"/>
      <c r="J78" s="220"/>
      <c r="K78" s="8"/>
      <c r="L78" s="8"/>
      <c r="M78" s="8"/>
      <c r="N78" s="8"/>
      <c r="O78" s="8"/>
      <c r="P78" s="8"/>
    </row>
    <row r="79" spans="1:16" ht="15" customHeight="1">
      <c r="B79" s="391" t="s">
        <v>414</v>
      </c>
      <c r="C79" s="414">
        <f t="shared" ref="C79:H79" si="15">SUM(C76:C78)</f>
        <v>14363</v>
      </c>
      <c r="D79" s="415">
        <f t="shared" si="15"/>
        <v>-2623</v>
      </c>
      <c r="E79" s="415">
        <f t="shared" si="15"/>
        <v>16020</v>
      </c>
      <c r="F79" s="415">
        <f t="shared" si="15"/>
        <v>31759</v>
      </c>
      <c r="G79" s="415">
        <f t="shared" si="15"/>
        <v>28093</v>
      </c>
      <c r="H79" s="415">
        <f t="shared" si="15"/>
        <v>24996</v>
      </c>
      <c r="I79" s="232"/>
      <c r="J79" s="222"/>
      <c r="K79" s="30"/>
      <c r="L79" s="30"/>
      <c r="M79" s="30"/>
      <c r="N79" s="30"/>
      <c r="O79" s="30"/>
      <c r="P79" s="30"/>
    </row>
    <row r="80" spans="1:16" ht="15" customHeight="1">
      <c r="B80" s="391" t="s">
        <v>415</v>
      </c>
      <c r="C80" s="396">
        <f>SUMIFS(CF!E:E,CF!$O:$O,$B80)</f>
        <v>-2217</v>
      </c>
      <c r="D80" s="407">
        <f>SUMIFS(CF!F:F,CF!$O:$O,$B80)</f>
        <v>-2196</v>
      </c>
      <c r="E80" s="407">
        <f>SUMIFS(CF!G:G,CF!$O:$O,$B80)</f>
        <v>-2046</v>
      </c>
      <c r="F80" s="407">
        <f>SUMIFS(CF!H:H,CF!$O:$O,$B80)</f>
        <v>-2226</v>
      </c>
      <c r="G80" s="407">
        <f>SUMIFS(CF!I:I,CF!$O:$O,$B80)</f>
        <v>-2711</v>
      </c>
      <c r="H80" s="407">
        <f>SUMIFS(CF!J:J,CF!$O:$O,$B80)</f>
        <v>-3236</v>
      </c>
      <c r="I80" s="225"/>
      <c r="J80" s="408" t="str">
        <f ca="1">_xlfn.IFNA(_xlfn.TEXTBEFORE(_xlfn.TEXTAFTER(_xlfn.FORMULATEXT(H80),"'"),"'"),_xlfn.TEXTBEFORE(_xlfn.TEXTAFTER(_xlfn.FORMULATEXT(H80),"("),"!"))</f>
        <v>CF</v>
      </c>
      <c r="K80" s="8"/>
      <c r="L80" s="8"/>
      <c r="M80" s="8"/>
      <c r="N80" s="8"/>
      <c r="O80" s="8"/>
      <c r="P80" s="8"/>
    </row>
    <row r="81" spans="1:16" ht="15" customHeight="1">
      <c r="I81" s="225"/>
      <c r="J81" s="5"/>
      <c r="K81" s="31"/>
      <c r="L81" s="31"/>
      <c r="M81" s="31"/>
      <c r="N81" s="31"/>
      <c r="O81" s="31"/>
      <c r="P81" s="31"/>
    </row>
    <row r="82" spans="1:16" ht="20.25" customHeight="1">
      <c r="A82" s="389" t="s">
        <v>372</v>
      </c>
      <c r="B82" s="401" t="s">
        <v>416</v>
      </c>
      <c r="C82" s="216"/>
      <c r="D82" s="216"/>
      <c r="E82" s="216"/>
      <c r="F82" s="216"/>
      <c r="G82" s="216"/>
      <c r="H82" s="216"/>
      <c r="I82" s="230"/>
      <c r="J82" s="216"/>
    </row>
    <row r="83" spans="1:16" ht="10" customHeight="1">
      <c r="I83" s="193"/>
    </row>
    <row r="84" spans="1:16" ht="15" customHeight="1">
      <c r="B84" s="391" t="s">
        <v>417</v>
      </c>
      <c r="C84" s="212"/>
      <c r="D84" s="427">
        <f>D19/C19-1</f>
        <v>2.0953069691318049E-2</v>
      </c>
      <c r="E84" s="427">
        <f>E19/D19-1</f>
        <v>-0.23751561131097731</v>
      </c>
      <c r="F84" s="427">
        <f>F19/E19-1</f>
        <v>1.8237379293484901E-2</v>
      </c>
      <c r="G84" s="427">
        <f>G19/F19-1</f>
        <v>0.95164581882787935</v>
      </c>
      <c r="H84" s="427">
        <f>H19/G19-1</f>
        <v>0.23425351835449271</v>
      </c>
      <c r="I84" s="225"/>
      <c r="J84" s="211"/>
      <c r="K84" s="8"/>
      <c r="L84" s="8"/>
      <c r="M84" s="8"/>
      <c r="N84" s="8"/>
      <c r="O84" s="8"/>
      <c r="P84" s="8"/>
    </row>
    <row r="85" spans="1:16" ht="15" customHeight="1">
      <c r="B85" s="391" t="s">
        <v>418</v>
      </c>
      <c r="C85" s="428">
        <f t="shared" ref="C85:H85" si="16">C21/C19</f>
        <v>0.78632055722604954</v>
      </c>
      <c r="D85" s="427">
        <f t="shared" si="16"/>
        <v>0.7903331034354204</v>
      </c>
      <c r="E85" s="427">
        <f t="shared" si="16"/>
        <v>0.80310475491993649</v>
      </c>
      <c r="F85" s="427">
        <f t="shared" si="16"/>
        <v>0.79630741158675666</v>
      </c>
      <c r="G85" s="427">
        <f t="shared" si="16"/>
        <v>0.62084194469048326</v>
      </c>
      <c r="H85" s="427">
        <f t="shared" si="16"/>
        <v>0.65768962424000799</v>
      </c>
      <c r="I85" s="225"/>
      <c r="J85" s="211"/>
      <c r="K85" s="8"/>
      <c r="L85" s="8"/>
      <c r="M85" s="8"/>
      <c r="N85" s="8"/>
      <c r="O85" s="8"/>
      <c r="P85" s="8"/>
    </row>
    <row r="86" spans="1:16" ht="15" customHeight="1">
      <c r="B86" s="391" t="s">
        <v>419</v>
      </c>
      <c r="C86" s="428">
        <f t="shared" ref="C86:H86" si="17">C23/C19</f>
        <v>-0.40587294941575003</v>
      </c>
      <c r="D86" s="427">
        <f t="shared" si="17"/>
        <v>-0.41034913415475238</v>
      </c>
      <c r="E86" s="427">
        <f t="shared" si="17"/>
        <v>-0.30018335166850019</v>
      </c>
      <c r="F86" s="427">
        <f t="shared" si="17"/>
        <v>0.1123862572327195</v>
      </c>
      <c r="G86" s="427">
        <f t="shared" si="17"/>
        <v>-0.31791900403503592</v>
      </c>
      <c r="H86" s="427">
        <f t="shared" si="17"/>
        <v>-0.25892554569919268</v>
      </c>
      <c r="I86" s="225"/>
      <c r="J86" s="211"/>
      <c r="K86" s="8"/>
      <c r="L86" s="8"/>
      <c r="M86" s="8"/>
      <c r="N86" s="8"/>
      <c r="O86" s="8"/>
      <c r="P86" s="8"/>
    </row>
    <row r="87" spans="1:16" ht="15" customHeight="1">
      <c r="B87" s="391" t="s">
        <v>420</v>
      </c>
      <c r="C87" s="428">
        <f t="shared" ref="C87:H87" si="18">C36/C19</f>
        <v>0.40549233052944089</v>
      </c>
      <c r="D87" s="427">
        <f t="shared" si="18"/>
        <v>0.2078774209182247</v>
      </c>
      <c r="E87" s="427">
        <f t="shared" si="18"/>
        <v>0.39178584525119181</v>
      </c>
      <c r="F87" s="427">
        <f t="shared" si="18"/>
        <v>0.81798756332380973</v>
      </c>
      <c r="G87" s="427">
        <f t="shared" si="18"/>
        <v>0.27038431256766066</v>
      </c>
      <c r="H87" s="427">
        <f t="shared" si="18"/>
        <v>0.31268812917372668</v>
      </c>
      <c r="I87" s="225"/>
      <c r="J87" s="211"/>
      <c r="K87" s="8"/>
      <c r="L87" s="8"/>
      <c r="M87" s="8"/>
      <c r="N87" s="8"/>
      <c r="O87" s="8"/>
      <c r="P87" s="8"/>
    </row>
    <row r="88" spans="1:16" ht="15" customHeight="1">
      <c r="B88" s="391" t="s">
        <v>421</v>
      </c>
      <c r="C88" s="414">
        <f t="shared" ref="C88:H88" si="19">SUM(C46:C48)-SUM(C58:C60)</f>
        <v>675</v>
      </c>
      <c r="D88" s="415">
        <f t="shared" si="19"/>
        <v>8066</v>
      </c>
      <c r="E88" s="415">
        <f t="shared" si="19"/>
        <v>2317</v>
      </c>
      <c r="F88" s="415">
        <f t="shared" si="19"/>
        <v>-53</v>
      </c>
      <c r="G88" s="415">
        <f t="shared" si="19"/>
        <v>-11358</v>
      </c>
      <c r="H88" s="415">
        <f t="shared" si="19"/>
        <v>-10046</v>
      </c>
      <c r="I88" s="225"/>
      <c r="J88" s="211"/>
      <c r="K88" s="8"/>
      <c r="L88" s="8"/>
      <c r="M88" s="8"/>
      <c r="N88" s="8"/>
      <c r="O88" s="8"/>
      <c r="P88" s="8"/>
    </row>
    <row r="89" spans="1:16" ht="15" customHeight="1">
      <c r="B89" s="391" t="s">
        <v>422</v>
      </c>
      <c r="C89" s="428">
        <f t="shared" ref="C89:H89" si="20">(SUM(C46:C48)-SUM(C58:C60))/C19</f>
        <v>1.2845887412933429E-2</v>
      </c>
      <c r="D89" s="427">
        <f t="shared" si="20"/>
        <v>0.15035323503644193</v>
      </c>
      <c r="E89" s="427">
        <f t="shared" si="20"/>
        <v>5.6643442121989976E-2</v>
      </c>
      <c r="F89" s="427">
        <f t="shared" si="20"/>
        <v>-1.2724784518979137E-3</v>
      </c>
      <c r="G89" s="427">
        <f t="shared" si="20"/>
        <v>-0.13972542072630648</v>
      </c>
      <c r="H89" s="427">
        <f t="shared" si="20"/>
        <v>-0.10012957241104356</v>
      </c>
      <c r="I89" s="225"/>
      <c r="J89" s="211"/>
      <c r="K89" s="8"/>
      <c r="L89" s="8"/>
      <c r="M89" s="8"/>
      <c r="N89" s="8"/>
      <c r="O89" s="8"/>
      <c r="P89" s="8"/>
    </row>
    <row r="90" spans="1:16" ht="15" customHeight="1">
      <c r="B90" s="391" t="s">
        <v>423</v>
      </c>
      <c r="C90" s="428">
        <f>C36/C70</f>
        <v>0.2973512336719884</v>
      </c>
      <c r="D90" s="427">
        <f>D36/((D68+C68)/2)</f>
        <v>0.16556433953160377</v>
      </c>
      <c r="E90" s="427">
        <f>E36/((E68+D68)/2)</f>
        <v>0.2532753852232319</v>
      </c>
      <c r="F90" s="427">
        <f>F36/((F68+E68)/2)</f>
        <v>0.53916332360085772</v>
      </c>
      <c r="G90" s="427">
        <f>G36/((G68+F68)/2)</f>
        <v>0.31300645124538945</v>
      </c>
      <c r="H90" s="427">
        <f>H36/((H68+G68)/2)</f>
        <v>0.3629737187682589</v>
      </c>
      <c r="I90" s="225"/>
      <c r="J90" s="211"/>
      <c r="K90" s="8"/>
      <c r="L90" s="8"/>
      <c r="M90" s="8"/>
      <c r="N90" s="8"/>
      <c r="O90" s="8"/>
      <c r="P90" s="8"/>
    </row>
    <row r="91" spans="1:16" ht="14" customHeight="1">
      <c r="A91" s="389" t="s">
        <v>372</v>
      </c>
      <c r="B91" s="391" t="s">
        <v>424</v>
      </c>
      <c r="C91" s="429">
        <f t="shared" ref="C91:H91" si="21">C54-C71</f>
        <v>0</v>
      </c>
      <c r="D91" s="430">
        <f t="shared" si="21"/>
        <v>0</v>
      </c>
      <c r="E91" s="430">
        <f t="shared" si="21"/>
        <v>0</v>
      </c>
      <c r="F91" s="430">
        <f t="shared" si="21"/>
        <v>0</v>
      </c>
      <c r="G91" s="430">
        <f t="shared" si="21"/>
        <v>0</v>
      </c>
      <c r="H91" s="430">
        <f t="shared" si="21"/>
        <v>0</v>
      </c>
      <c r="I91" s="225"/>
      <c r="J91" s="211"/>
    </row>
  </sheetData>
  <pageMargins left="0.7" right="0.7" top="0.75" bottom="0.75" header="0.511811023622047" footer="0.3"/>
  <pageSetup scale="80" orientation="portrait" horizontalDpi="300" verticalDpi="300"/>
  <headerFooter>
    <oddFooter>&amp;L© Darrell Day&amp;C&amp;P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D7E96"/>
    <pageSetUpPr fitToPage="1"/>
  </sheetPr>
  <dimension ref="A1:Z80"/>
  <sheetViews>
    <sheetView showGridLines="0" zoomScaleNormal="100" workbookViewId="0"/>
  </sheetViews>
  <sheetFormatPr baseColWidth="10" defaultColWidth="12.42578125" defaultRowHeight="11"/>
  <cols>
    <col min="1" max="1" width="2" style="9" customWidth="1"/>
    <col min="2" max="2" width="38" style="9" customWidth="1"/>
    <col min="3" max="8" width="12.42578125" style="9" customWidth="1"/>
    <col min="9" max="16384" width="12.42578125" style="9"/>
  </cols>
  <sheetData>
    <row r="1" spans="1:26" ht="8" customHeight="1"/>
    <row r="2" spans="1:26" ht="22" customHeight="1">
      <c r="B2" s="248" t="str">
        <f>Data!C5&amp;" - Ratio Analysis"</f>
        <v>Pfizer Inc - Ratio Analysis</v>
      </c>
      <c r="C2" s="136"/>
      <c r="D2" s="136"/>
      <c r="E2" s="136"/>
      <c r="F2" s="136"/>
      <c r="G2" s="136"/>
      <c r="H2" s="136"/>
      <c r="I2" s="136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ht="16" customHeight="1">
      <c r="B3" s="249" t="s">
        <v>425</v>
      </c>
    </row>
    <row r="4" spans="1:26" ht="15" customHeight="1">
      <c r="A4" s="431">
        <v>1</v>
      </c>
      <c r="B4" s="292" t="s">
        <v>426</v>
      </c>
      <c r="C4" s="8"/>
      <c r="D4" s="8"/>
      <c r="E4" s="8"/>
      <c r="F4" s="8"/>
      <c r="G4" s="8"/>
      <c r="H4" s="8"/>
      <c r="I4" s="8"/>
    </row>
    <row r="5" spans="1:26" ht="9.75" customHeight="1"/>
    <row r="6" spans="1:26" ht="15" customHeight="1">
      <c r="B6" s="292" t="s">
        <v>427</v>
      </c>
      <c r="C6" s="333">
        <f>Data!C8</f>
        <v>43100</v>
      </c>
      <c r="D6" s="358">
        <f>Data!D8</f>
        <v>43465</v>
      </c>
      <c r="E6" s="358">
        <f>Data!E8</f>
        <v>43830</v>
      </c>
      <c r="F6" s="358">
        <f>Data!F8</f>
        <v>44196</v>
      </c>
      <c r="G6" s="358">
        <f>Data!G8</f>
        <v>44561</v>
      </c>
      <c r="H6" s="358">
        <f>Data!H8</f>
        <v>44926</v>
      </c>
      <c r="I6" s="8"/>
    </row>
    <row r="7" spans="1:26" ht="15" customHeight="1">
      <c r="B7" s="292" t="s">
        <v>428</v>
      </c>
      <c r="C7" s="335">
        <f>Data!C19</f>
        <v>52546</v>
      </c>
      <c r="D7" s="336">
        <f>Data!D19</f>
        <v>53647</v>
      </c>
      <c r="E7" s="336">
        <f>Data!E19</f>
        <v>40905</v>
      </c>
      <c r="F7" s="336">
        <f>Data!F19</f>
        <v>41651</v>
      </c>
      <c r="G7" s="336">
        <f>Data!G19</f>
        <v>81288</v>
      </c>
      <c r="H7" s="336">
        <f>Data!H19</f>
        <v>100330</v>
      </c>
      <c r="I7" s="8"/>
    </row>
    <row r="8" spans="1:26" ht="15" customHeight="1">
      <c r="B8" s="292" t="s">
        <v>429</v>
      </c>
      <c r="C8" s="8"/>
      <c r="D8" s="358">
        <f>Data!C8</f>
        <v>43100</v>
      </c>
      <c r="E8" s="358">
        <f>Data!D8</f>
        <v>43465</v>
      </c>
      <c r="F8" s="358">
        <f>Data!E8</f>
        <v>43830</v>
      </c>
      <c r="G8" s="358">
        <f>Data!F8</f>
        <v>44196</v>
      </c>
      <c r="H8" s="358">
        <f>Data!G8</f>
        <v>44561</v>
      </c>
      <c r="I8" s="8"/>
    </row>
    <row r="9" spans="1:26" ht="15" customHeight="1">
      <c r="B9" s="292" t="s">
        <v>428</v>
      </c>
      <c r="C9" s="37"/>
      <c r="D9" s="336">
        <f>Data!C19</f>
        <v>52546</v>
      </c>
      <c r="E9" s="336">
        <f>Data!D19</f>
        <v>53647</v>
      </c>
      <c r="F9" s="336">
        <f>Data!E19</f>
        <v>40905</v>
      </c>
      <c r="G9" s="336">
        <f>Data!F19</f>
        <v>41651</v>
      </c>
      <c r="H9" s="336">
        <f>Data!G19</f>
        <v>81288</v>
      </c>
      <c r="I9" s="8"/>
    </row>
    <row r="10" spans="1:26" ht="9.75" customHeight="1">
      <c r="C10" s="38"/>
      <c r="D10" s="38"/>
      <c r="E10" s="38"/>
      <c r="F10" s="38"/>
      <c r="G10" s="38"/>
      <c r="H10" s="38"/>
      <c r="I10" s="39"/>
    </row>
    <row r="11" spans="1:26" ht="15" customHeight="1">
      <c r="B11" s="292" t="s">
        <v>417</v>
      </c>
      <c r="C11" s="35"/>
      <c r="D11" s="300">
        <f>D7/D9-1</f>
        <v>2.0953069691318049E-2</v>
      </c>
      <c r="E11" s="300">
        <f>E7/E9-1</f>
        <v>-0.23751561131097731</v>
      </c>
      <c r="F11" s="300">
        <f>F7/F9-1</f>
        <v>1.8237379293484901E-2</v>
      </c>
      <c r="G11" s="300">
        <f>G7/G9-1</f>
        <v>0.95164581882787935</v>
      </c>
      <c r="H11" s="300">
        <f>H7/H9-1</f>
        <v>0.23425351835449271</v>
      </c>
      <c r="I11" s="8"/>
    </row>
    <row r="12" spans="1:26" ht="9.75" customHeight="1">
      <c r="C12" s="40"/>
      <c r="D12" s="40"/>
      <c r="E12" s="40"/>
      <c r="F12" s="40"/>
      <c r="G12" s="40"/>
      <c r="H12" s="40"/>
    </row>
    <row r="13" spans="1:26" ht="15" customHeight="1">
      <c r="A13" s="431">
        <v>2</v>
      </c>
      <c r="B13" s="292" t="s">
        <v>430</v>
      </c>
      <c r="C13" s="8"/>
      <c r="D13" s="8"/>
      <c r="E13" s="8"/>
      <c r="F13" s="8"/>
      <c r="G13" s="8"/>
      <c r="H13" s="8"/>
      <c r="I13" s="8"/>
    </row>
    <row r="14" spans="1:26" ht="9.75" customHeight="1"/>
    <row r="15" spans="1:26" ht="15" customHeight="1">
      <c r="B15" s="292" t="s">
        <v>427</v>
      </c>
      <c r="C15" s="333">
        <f>Data!H8</f>
        <v>44926</v>
      </c>
      <c r="D15" s="8"/>
      <c r="E15" s="8"/>
      <c r="F15" s="8"/>
      <c r="G15" s="8"/>
      <c r="H15" s="8"/>
      <c r="I15" s="8"/>
    </row>
    <row r="16" spans="1:26" ht="15" customHeight="1">
      <c r="B16" s="292" t="s">
        <v>428</v>
      </c>
      <c r="C16" s="335">
        <f>Data!H19</f>
        <v>100330</v>
      </c>
      <c r="D16" s="8"/>
      <c r="E16" s="8"/>
      <c r="F16" s="8"/>
      <c r="G16" s="8"/>
      <c r="H16" s="8"/>
      <c r="I16" s="8"/>
    </row>
    <row r="17" spans="1:9" ht="15" customHeight="1">
      <c r="B17" s="292" t="s">
        <v>429</v>
      </c>
      <c r="C17" s="333">
        <f>Data!C8</f>
        <v>43100</v>
      </c>
      <c r="D17" s="8"/>
      <c r="E17" s="8"/>
      <c r="F17" s="8"/>
      <c r="G17" s="8"/>
      <c r="H17" s="8"/>
      <c r="I17" s="8"/>
    </row>
    <row r="18" spans="1:9" ht="15" customHeight="1">
      <c r="B18" s="292" t="s">
        <v>428</v>
      </c>
      <c r="C18" s="335">
        <f>Data!C19</f>
        <v>52546</v>
      </c>
      <c r="D18" s="8"/>
      <c r="E18" s="8"/>
      <c r="F18" s="8"/>
      <c r="G18" s="8"/>
      <c r="H18" s="8"/>
      <c r="I18" s="8"/>
    </row>
    <row r="19" spans="1:9" ht="15" customHeight="1">
      <c r="B19" s="292" t="s">
        <v>431</v>
      </c>
      <c r="C19" s="322">
        <f>YEAR(C15)-YEAR(C17)</f>
        <v>5</v>
      </c>
      <c r="D19" s="8"/>
      <c r="E19" s="8"/>
      <c r="F19" s="8"/>
      <c r="G19" s="8"/>
      <c r="H19" s="8"/>
      <c r="I19" s="8"/>
    </row>
    <row r="20" spans="1:9" ht="9.75" customHeight="1">
      <c r="C20" s="38"/>
    </row>
    <row r="21" spans="1:9" ht="15" customHeight="1">
      <c r="B21" s="292" t="s">
        <v>432</v>
      </c>
      <c r="C21" s="303">
        <f>((C16/C18)^(1/C19))-1</f>
        <v>0.13809425260177766</v>
      </c>
      <c r="D21" s="8"/>
      <c r="E21" s="8"/>
      <c r="F21" s="8"/>
      <c r="G21" s="8"/>
      <c r="H21" s="8"/>
      <c r="I21" s="8"/>
    </row>
    <row r="22" spans="1:9" ht="9.75" customHeight="1"/>
    <row r="23" spans="1:9" ht="15" customHeight="1">
      <c r="A23" s="431">
        <v>3</v>
      </c>
      <c r="B23" s="292" t="s">
        <v>433</v>
      </c>
      <c r="C23" s="8"/>
      <c r="D23" s="8"/>
      <c r="E23" s="8"/>
      <c r="F23" s="8"/>
      <c r="G23" s="8"/>
      <c r="H23" s="8"/>
      <c r="I23" s="8"/>
    </row>
    <row r="24" spans="1:9" ht="9.75" customHeight="1"/>
    <row r="25" spans="1:9" ht="15" customHeight="1">
      <c r="B25" s="292" t="s">
        <v>427</v>
      </c>
      <c r="C25" s="34"/>
      <c r="D25" s="358">
        <f>Data!D8</f>
        <v>43465</v>
      </c>
      <c r="E25" s="358">
        <f>Data!E8</f>
        <v>43830</v>
      </c>
      <c r="F25" s="358">
        <f>Data!F8</f>
        <v>44196</v>
      </c>
      <c r="G25" s="358">
        <f>Data!G8</f>
        <v>44561</v>
      </c>
      <c r="H25" s="358">
        <f>Data!H8</f>
        <v>44926</v>
      </c>
      <c r="I25" s="8"/>
    </row>
    <row r="26" spans="1:9" ht="15" customHeight="1">
      <c r="B26" s="292" t="s">
        <v>388</v>
      </c>
      <c r="C26" s="34"/>
      <c r="D26" s="336">
        <f>Data!D31</f>
        <v>11179</v>
      </c>
      <c r="E26" s="336">
        <f>Data!E31</f>
        <v>10738</v>
      </c>
      <c r="F26" s="336">
        <f>Data!F31</f>
        <v>31577</v>
      </c>
      <c r="G26" s="336">
        <f>Data!G31</f>
        <v>22459</v>
      </c>
      <c r="H26" s="336">
        <f>Data!H31</f>
        <v>31401</v>
      </c>
      <c r="I26" s="8"/>
    </row>
    <row r="27" spans="1:9" ht="15" customHeight="1">
      <c r="B27" s="292" t="s">
        <v>434</v>
      </c>
      <c r="C27" s="37"/>
      <c r="D27" s="336">
        <f>Data!D36</f>
        <v>11152</v>
      </c>
      <c r="E27" s="336">
        <f>Data!E36</f>
        <v>16026</v>
      </c>
      <c r="F27" s="336">
        <f>Data!F36</f>
        <v>34070</v>
      </c>
      <c r="G27" s="336">
        <f>Data!G36</f>
        <v>21979</v>
      </c>
      <c r="H27" s="336">
        <f>Data!H36</f>
        <v>31372</v>
      </c>
      <c r="I27" s="8"/>
    </row>
    <row r="28" spans="1:9" ht="15" customHeight="1">
      <c r="B28" s="292" t="s">
        <v>435</v>
      </c>
      <c r="C28" s="37"/>
      <c r="D28" s="336">
        <f>Data!D70</f>
        <v>63758</v>
      </c>
      <c r="E28" s="336">
        <f>Data!E70</f>
        <v>63446</v>
      </c>
      <c r="F28" s="336">
        <f>Data!F70</f>
        <v>63473</v>
      </c>
      <c r="G28" s="336">
        <f>Data!G70</f>
        <v>77462</v>
      </c>
      <c r="H28" s="336">
        <f>Data!H70</f>
        <v>95917</v>
      </c>
      <c r="I28" s="8"/>
    </row>
    <row r="29" spans="1:9" ht="15" customHeight="1">
      <c r="B29" s="292" t="s">
        <v>436</v>
      </c>
      <c r="C29" s="37"/>
      <c r="D29" s="336">
        <f>Data!D68</f>
        <v>63407</v>
      </c>
      <c r="E29" s="336">
        <f>Data!E68</f>
        <v>63143</v>
      </c>
      <c r="F29" s="336">
        <f>Data!F68</f>
        <v>63238</v>
      </c>
      <c r="G29" s="336">
        <f>Data!G68</f>
        <v>77200</v>
      </c>
      <c r="H29" s="336">
        <f>Data!H68</f>
        <v>95661</v>
      </c>
      <c r="I29" s="8"/>
    </row>
    <row r="30" spans="1:9" ht="9.75" customHeight="1">
      <c r="C30" s="38"/>
      <c r="D30" s="38"/>
      <c r="E30" s="38"/>
      <c r="F30" s="38"/>
      <c r="G30" s="38"/>
      <c r="H30" s="38"/>
    </row>
    <row r="31" spans="1:9" ht="15" customHeight="1">
      <c r="B31" s="292" t="s">
        <v>429</v>
      </c>
      <c r="C31" s="8"/>
      <c r="D31" s="358">
        <f>Data!C8</f>
        <v>43100</v>
      </c>
      <c r="E31" s="358">
        <f>Data!D8</f>
        <v>43465</v>
      </c>
      <c r="F31" s="358">
        <f>Data!E8</f>
        <v>43830</v>
      </c>
      <c r="G31" s="358">
        <f>Data!F8</f>
        <v>44196</v>
      </c>
      <c r="H31" s="358">
        <f>Data!G8</f>
        <v>44561</v>
      </c>
      <c r="I31" s="8"/>
    </row>
    <row r="32" spans="1:9" ht="15" customHeight="1">
      <c r="B32" s="292" t="s">
        <v>435</v>
      </c>
      <c r="C32" s="37"/>
      <c r="D32" s="336">
        <f>Data!C70</f>
        <v>71656</v>
      </c>
      <c r="E32" s="336">
        <f>Data!D70</f>
        <v>63758</v>
      </c>
      <c r="F32" s="336">
        <f>Data!E70</f>
        <v>63446</v>
      </c>
      <c r="G32" s="336">
        <f>Data!F70</f>
        <v>63473</v>
      </c>
      <c r="H32" s="336">
        <f>Data!G70</f>
        <v>77462</v>
      </c>
      <c r="I32" s="8"/>
    </row>
    <row r="33" spans="1:9" ht="15" customHeight="1">
      <c r="B33" s="292" t="s">
        <v>436</v>
      </c>
      <c r="C33" s="37"/>
      <c r="D33" s="336">
        <f>Data!C68</f>
        <v>71308</v>
      </c>
      <c r="E33" s="336">
        <f>Data!D68</f>
        <v>63407</v>
      </c>
      <c r="F33" s="336">
        <f>Data!E68</f>
        <v>63143</v>
      </c>
      <c r="G33" s="336">
        <f>Data!F68</f>
        <v>63238</v>
      </c>
      <c r="H33" s="336">
        <f>Data!G68</f>
        <v>77200</v>
      </c>
      <c r="I33" s="8"/>
    </row>
    <row r="34" spans="1:9" ht="9.75" customHeight="1"/>
    <row r="35" spans="1:9" ht="15" customHeight="1">
      <c r="B35" s="292" t="s">
        <v>437</v>
      </c>
      <c r="C35" s="41"/>
      <c r="D35" s="300">
        <f t="shared" ref="D35:H36" si="0">D26/((D28+D32)/2)</f>
        <v>0.16510848213626361</v>
      </c>
      <c r="E35" s="300">
        <f t="shared" si="0"/>
        <v>0.16883116883116883</v>
      </c>
      <c r="F35" s="300">
        <f t="shared" si="0"/>
        <v>0.49759295298576256</v>
      </c>
      <c r="G35" s="300">
        <f t="shared" si="0"/>
        <v>0.31871430091886332</v>
      </c>
      <c r="H35" s="300">
        <f t="shared" si="0"/>
        <v>0.36222379872994998</v>
      </c>
      <c r="I35" s="8"/>
    </row>
    <row r="36" spans="1:9" ht="15" customHeight="1">
      <c r="B36" s="292" t="s">
        <v>438</v>
      </c>
      <c r="C36" s="41"/>
      <c r="D36" s="300">
        <f t="shared" si="0"/>
        <v>0.16556433953160377</v>
      </c>
      <c r="E36" s="300">
        <f t="shared" si="0"/>
        <v>0.2532753852232319</v>
      </c>
      <c r="F36" s="300">
        <f t="shared" si="0"/>
        <v>0.53916332360085772</v>
      </c>
      <c r="G36" s="300">
        <f t="shared" si="0"/>
        <v>0.31300645124538945</v>
      </c>
      <c r="H36" s="300">
        <f t="shared" si="0"/>
        <v>0.3629737187682589</v>
      </c>
      <c r="I36" s="8"/>
    </row>
    <row r="37" spans="1:9" ht="9.75" customHeight="1"/>
    <row r="38" spans="1:9" ht="15" customHeight="1">
      <c r="A38" s="431">
        <v>4</v>
      </c>
      <c r="B38" s="292" t="s">
        <v>439</v>
      </c>
      <c r="C38" s="41"/>
      <c r="D38" s="41"/>
      <c r="E38" s="41"/>
      <c r="F38" s="41"/>
      <c r="G38" s="41"/>
      <c r="H38" s="41"/>
      <c r="I38" s="8"/>
    </row>
    <row r="39" spans="1:9" ht="9.75" customHeight="1"/>
    <row r="40" spans="1:9" ht="15" customHeight="1">
      <c r="B40" s="292" t="s">
        <v>427</v>
      </c>
      <c r="C40" s="34"/>
      <c r="D40" s="358">
        <f>Data!D8</f>
        <v>43465</v>
      </c>
      <c r="E40" s="358">
        <f>Data!E8</f>
        <v>43830</v>
      </c>
      <c r="F40" s="358">
        <f>Data!F8</f>
        <v>44196</v>
      </c>
      <c r="G40" s="358">
        <f>Data!G8</f>
        <v>44561</v>
      </c>
      <c r="H40" s="358">
        <f>Data!H8</f>
        <v>44926</v>
      </c>
      <c r="I40" s="8"/>
    </row>
    <row r="41" spans="1:9" ht="15" customHeight="1">
      <c r="B41" s="292" t="s">
        <v>440</v>
      </c>
      <c r="C41" s="37"/>
      <c r="D41" s="336">
        <f>Data!D31</f>
        <v>11179</v>
      </c>
      <c r="E41" s="336">
        <f>Data!E31</f>
        <v>10738</v>
      </c>
      <c r="F41" s="336">
        <f>Data!F31</f>
        <v>31577</v>
      </c>
      <c r="G41" s="336">
        <f>Data!G31</f>
        <v>22459</v>
      </c>
      <c r="H41" s="336">
        <f>Data!H31</f>
        <v>31401</v>
      </c>
      <c r="I41" s="8"/>
    </row>
    <row r="42" spans="1:9" ht="15" customHeight="1">
      <c r="B42" s="292" t="s">
        <v>428</v>
      </c>
      <c r="C42" s="37"/>
      <c r="D42" s="336">
        <f>Data!D19</f>
        <v>53647</v>
      </c>
      <c r="E42" s="336">
        <f>Data!E19</f>
        <v>40905</v>
      </c>
      <c r="F42" s="336">
        <f>Data!F19</f>
        <v>41651</v>
      </c>
      <c r="G42" s="336">
        <f>Data!G19</f>
        <v>81288</v>
      </c>
      <c r="H42" s="336">
        <f>Data!H19</f>
        <v>100330</v>
      </c>
      <c r="I42" s="8"/>
    </row>
    <row r="43" spans="1:9" ht="15" customHeight="1">
      <c r="B43" s="292" t="s">
        <v>435</v>
      </c>
      <c r="C43" s="37"/>
      <c r="D43" s="336">
        <f>Data!D70</f>
        <v>63758</v>
      </c>
      <c r="E43" s="336">
        <f>Data!E70</f>
        <v>63446</v>
      </c>
      <c r="F43" s="336">
        <f>Data!F70</f>
        <v>63473</v>
      </c>
      <c r="G43" s="336">
        <f>Data!G70</f>
        <v>77462</v>
      </c>
      <c r="H43" s="336">
        <f>Data!H70</f>
        <v>95917</v>
      </c>
      <c r="I43" s="8"/>
    </row>
    <row r="44" spans="1:9" ht="15" customHeight="1">
      <c r="B44" s="295" t="s">
        <v>401</v>
      </c>
      <c r="C44" s="42"/>
      <c r="D44" s="432">
        <f>Data!D54</f>
        <v>159422</v>
      </c>
      <c r="E44" s="432">
        <f>Data!E54</f>
        <v>167594</v>
      </c>
      <c r="F44" s="432">
        <f>Data!F54</f>
        <v>154229</v>
      </c>
      <c r="G44" s="432">
        <f>Data!G54</f>
        <v>181476</v>
      </c>
      <c r="H44" s="432">
        <f>Data!H54</f>
        <v>197205</v>
      </c>
      <c r="I44" s="15"/>
    </row>
    <row r="45" spans="1:9" ht="9.75" customHeight="1"/>
    <row r="46" spans="1:9" ht="15" customHeight="1">
      <c r="B46" s="292" t="s">
        <v>429</v>
      </c>
      <c r="C46" s="8"/>
      <c r="D46" s="318" t="e">
        <f>Data!#REF!</f>
        <v>#REF!</v>
      </c>
      <c r="E46" s="318" t="e">
        <f>Data!#REF!</f>
        <v>#REF!</v>
      </c>
      <c r="F46" s="318" t="e">
        <f>Data!#REF!</f>
        <v>#REF!</v>
      </c>
      <c r="G46" s="318" t="e">
        <f>Data!#REF!</f>
        <v>#REF!</v>
      </c>
      <c r="H46" s="318" t="e">
        <f>Data!#REF!</f>
        <v>#REF!</v>
      </c>
      <c r="I46" s="8"/>
    </row>
    <row r="47" spans="1:9" ht="15" customHeight="1">
      <c r="B47" s="292" t="s">
        <v>435</v>
      </c>
      <c r="C47" s="37"/>
      <c r="D47" s="336">
        <f>Data!C70</f>
        <v>71656</v>
      </c>
      <c r="E47" s="336">
        <f>Data!D70</f>
        <v>63758</v>
      </c>
      <c r="F47" s="336">
        <f>Data!E70</f>
        <v>63446</v>
      </c>
      <c r="G47" s="336">
        <f>Data!F70</f>
        <v>63473</v>
      </c>
      <c r="H47" s="336">
        <f>Data!G70</f>
        <v>77462</v>
      </c>
      <c r="I47" s="8"/>
    </row>
    <row r="48" spans="1:9" ht="15" customHeight="1">
      <c r="B48" s="295" t="s">
        <v>401</v>
      </c>
      <c r="C48" s="42"/>
      <c r="D48" s="432">
        <f>Data!C54</f>
        <v>171797</v>
      </c>
      <c r="E48" s="432">
        <f>Data!D54</f>
        <v>159422</v>
      </c>
      <c r="F48" s="432">
        <f>Data!E54</f>
        <v>167594</v>
      </c>
      <c r="G48" s="432">
        <f>Data!F54</f>
        <v>154229</v>
      </c>
      <c r="H48" s="432">
        <f>Data!G54</f>
        <v>181476</v>
      </c>
      <c r="I48" s="15"/>
    </row>
    <row r="49" spans="1:9" ht="9.75" customHeight="1"/>
    <row r="50" spans="1:9" ht="15" customHeight="1">
      <c r="B50" s="292" t="s">
        <v>441</v>
      </c>
      <c r="C50" s="41"/>
      <c r="D50" s="319">
        <f>D41/D42</f>
        <v>0.20838071094376201</v>
      </c>
      <c r="E50" s="319">
        <f>E41/E42</f>
        <v>0.26251069551399586</v>
      </c>
      <c r="F50" s="319">
        <f>F41/F42</f>
        <v>0.75813305802981923</v>
      </c>
      <c r="G50" s="319">
        <f>G41/G42</f>
        <v>0.27628924318472592</v>
      </c>
      <c r="H50" s="319">
        <f>H41/H42</f>
        <v>0.31297717532143926</v>
      </c>
      <c r="I50" s="8"/>
    </row>
    <row r="51" spans="1:9" ht="15" customHeight="1">
      <c r="B51" s="292" t="s">
        <v>442</v>
      </c>
      <c r="C51" s="41"/>
      <c r="D51" s="300">
        <f>D42/((D44+D48)/2)</f>
        <v>0.3239367306827205</v>
      </c>
      <c r="E51" s="300">
        <f>E42/((E44+E48)/2)</f>
        <v>0.25017124544364799</v>
      </c>
      <c r="F51" s="300">
        <f>F42/((F44+F48)/2)</f>
        <v>0.25884414724864291</v>
      </c>
      <c r="G51" s="300">
        <f>G42/((G44+G48)/2)</f>
        <v>0.48428233121341652</v>
      </c>
      <c r="H51" s="300">
        <f>H42/((H44+H48)/2)</f>
        <v>0.52989191430253957</v>
      </c>
      <c r="I51" s="8"/>
    </row>
    <row r="52" spans="1:9" ht="15" customHeight="1">
      <c r="B52" s="292" t="s">
        <v>443</v>
      </c>
      <c r="C52" s="41"/>
      <c r="D52" s="310">
        <f>((D44+D48)/2)/((D43+D47)/2)</f>
        <v>2.4459730899316172</v>
      </c>
      <c r="E52" s="310">
        <f>((E44+E48)/2)/((E43+E47)/2)</f>
        <v>2.5707996603880381</v>
      </c>
      <c r="F52" s="310">
        <f>((F44+F48)/2)/((F43+F47)/2)</f>
        <v>2.5356565998786627</v>
      </c>
      <c r="G52" s="310">
        <f>((G44+G48)/2)/((G43+G47)/2)</f>
        <v>2.3819846028310923</v>
      </c>
      <c r="H52" s="310">
        <f>((H44+H48)/2)/((H43+H47)/2)</f>
        <v>2.1841226446109392</v>
      </c>
      <c r="I52" s="8"/>
    </row>
    <row r="53" spans="1:9" ht="15" customHeight="1">
      <c r="B53" s="292" t="s">
        <v>444</v>
      </c>
      <c r="C53" s="41"/>
      <c r="D53" s="300">
        <f>D50*D51</f>
        <v>6.7502166240463263E-2</v>
      </c>
      <c r="E53" s="300">
        <f>E50*E51</f>
        <v>6.5672627639014602E-2</v>
      </c>
      <c r="F53" s="300">
        <f>F50*F51</f>
        <v>0.19623830490673447</v>
      </c>
      <c r="G53" s="300">
        <f>G50*G51</f>
        <v>0.13380199877868962</v>
      </c>
      <c r="H53" s="300">
        <f>H50*H51</f>
        <v>0.16584407456407899</v>
      </c>
      <c r="I53" s="8"/>
    </row>
    <row r="54" spans="1:9" ht="15" customHeight="1">
      <c r="B54" s="292" t="s">
        <v>437</v>
      </c>
      <c r="C54" s="41"/>
      <c r="D54" s="300">
        <f>D53*D52</f>
        <v>0.16510848213626361</v>
      </c>
      <c r="E54" s="300">
        <f>E53*E52</f>
        <v>0.16883116883116883</v>
      </c>
      <c r="F54" s="300">
        <f>F53*F52</f>
        <v>0.49759295298576262</v>
      </c>
      <c r="G54" s="300">
        <f>G53*G52</f>
        <v>0.31871430091886327</v>
      </c>
      <c r="H54" s="300">
        <f>H53*H52</f>
        <v>0.36222379872994998</v>
      </c>
      <c r="I54" s="8"/>
    </row>
    <row r="55" spans="1:9" ht="9.75" customHeight="1"/>
    <row r="56" spans="1:9" ht="15" customHeight="1">
      <c r="A56" s="431">
        <v>5</v>
      </c>
      <c r="B56" s="292" t="s">
        <v>445</v>
      </c>
      <c r="C56" s="8"/>
      <c r="D56" s="8"/>
      <c r="E56" s="8"/>
      <c r="F56" s="8"/>
      <c r="G56" s="8"/>
      <c r="H56" s="8"/>
      <c r="I56" s="8"/>
    </row>
    <row r="57" spans="1:9" ht="9.75" customHeight="1"/>
    <row r="58" spans="1:9" ht="15" customHeight="1">
      <c r="B58" s="292" t="s">
        <v>427</v>
      </c>
      <c r="C58" s="34"/>
      <c r="D58" s="358">
        <f>Data!D8</f>
        <v>43465</v>
      </c>
      <c r="E58" s="358">
        <f>Data!E8</f>
        <v>43830</v>
      </c>
      <c r="F58" s="358">
        <f>Data!F8</f>
        <v>44196</v>
      </c>
      <c r="G58" s="358">
        <f>Data!G8</f>
        <v>44561</v>
      </c>
      <c r="H58" s="358">
        <f>Data!H8</f>
        <v>44926</v>
      </c>
      <c r="I58" s="8"/>
    </row>
    <row r="59" spans="1:9" ht="15" customHeight="1">
      <c r="B59" s="292" t="s">
        <v>428</v>
      </c>
      <c r="C59" s="37"/>
      <c r="D59" s="336">
        <f>Data!D19</f>
        <v>53647</v>
      </c>
      <c r="E59" s="336">
        <f>Data!E19</f>
        <v>40905</v>
      </c>
      <c r="F59" s="336">
        <f>Data!F19</f>
        <v>41651</v>
      </c>
      <c r="G59" s="336">
        <f>Data!G19</f>
        <v>81288</v>
      </c>
      <c r="H59" s="336">
        <f>Data!H19</f>
        <v>100330</v>
      </c>
      <c r="I59" s="8"/>
    </row>
    <row r="60" spans="1:9" ht="15" customHeight="1">
      <c r="B60" s="292" t="s">
        <v>446</v>
      </c>
      <c r="C60" s="37"/>
      <c r="D60" s="336">
        <f>0-Data!D20</f>
        <v>11248</v>
      </c>
      <c r="E60" s="336">
        <f>0-Data!E20</f>
        <v>8054</v>
      </c>
      <c r="F60" s="336">
        <f>0-Data!F20</f>
        <v>8484</v>
      </c>
      <c r="G60" s="336">
        <f>0-Data!G20</f>
        <v>30821</v>
      </c>
      <c r="H60" s="336">
        <f>0-Data!H20</f>
        <v>34344</v>
      </c>
      <c r="I60" s="8"/>
    </row>
    <row r="61" spans="1:9" ht="15" customHeight="1">
      <c r="B61" s="292" t="s">
        <v>447</v>
      </c>
      <c r="C61" s="37"/>
      <c r="D61" s="336">
        <f>Data!D46</f>
        <v>8025</v>
      </c>
      <c r="E61" s="336">
        <f>Data!E46</f>
        <v>6772</v>
      </c>
      <c r="F61" s="336">
        <f>Data!F46</f>
        <v>7913</v>
      </c>
      <c r="G61" s="336">
        <f>Data!G46</f>
        <v>11479</v>
      </c>
      <c r="H61" s="336">
        <f>Data!H46</f>
        <v>10952</v>
      </c>
      <c r="I61" s="8"/>
    </row>
    <row r="62" spans="1:9" ht="15" customHeight="1">
      <c r="B62" s="292" t="s">
        <v>448</v>
      </c>
      <c r="C62" s="37"/>
      <c r="D62" s="336">
        <f>Data!D47</f>
        <v>7509</v>
      </c>
      <c r="E62" s="336">
        <f>Data!E47</f>
        <v>7068</v>
      </c>
      <c r="F62" s="336">
        <f>Data!F47</f>
        <v>8019</v>
      </c>
      <c r="G62" s="336">
        <f>Data!G47</f>
        <v>9059</v>
      </c>
      <c r="H62" s="336">
        <f>Data!H47</f>
        <v>8981</v>
      </c>
      <c r="I62" s="8"/>
    </row>
    <row r="63" spans="1:9" ht="15" customHeight="1">
      <c r="B63" s="292" t="s">
        <v>449</v>
      </c>
      <c r="C63" s="37"/>
      <c r="D63" s="336">
        <f>Data!D58</f>
        <v>4674</v>
      </c>
      <c r="E63" s="336">
        <f>Data!E58</f>
        <v>3887</v>
      </c>
      <c r="F63" s="336">
        <f>Data!F58</f>
        <v>4283</v>
      </c>
      <c r="G63" s="336">
        <f>Data!G58</f>
        <v>5578</v>
      </c>
      <c r="H63" s="336">
        <f>Data!H58</f>
        <v>6809</v>
      </c>
      <c r="I63" s="8"/>
    </row>
    <row r="64" spans="1:9" ht="9.75" customHeight="1">
      <c r="C64" s="38"/>
      <c r="D64" s="38"/>
      <c r="E64" s="38"/>
      <c r="F64" s="38"/>
      <c r="G64" s="38"/>
      <c r="H64" s="38"/>
    </row>
    <row r="65" spans="2:9" ht="15" customHeight="1">
      <c r="B65" s="292" t="s">
        <v>429</v>
      </c>
      <c r="C65" s="8"/>
      <c r="D65" s="358">
        <f>Data!C8</f>
        <v>43100</v>
      </c>
      <c r="E65" s="358">
        <f>Data!D8</f>
        <v>43465</v>
      </c>
      <c r="F65" s="358">
        <f>Data!E8</f>
        <v>43830</v>
      </c>
      <c r="G65" s="358">
        <f>Data!F8</f>
        <v>44196</v>
      </c>
      <c r="H65" s="358">
        <f>Data!G8</f>
        <v>44561</v>
      </c>
      <c r="I65" s="8"/>
    </row>
    <row r="66" spans="2:9" ht="15" customHeight="1">
      <c r="B66" s="292" t="s">
        <v>447</v>
      </c>
      <c r="C66" s="37"/>
      <c r="D66" s="336">
        <f>Data!C46</f>
        <v>8221</v>
      </c>
      <c r="E66" s="336">
        <f>Data!D46</f>
        <v>8025</v>
      </c>
      <c r="F66" s="336">
        <f>Data!E46</f>
        <v>6772</v>
      </c>
      <c r="G66" s="336">
        <f>Data!F46</f>
        <v>7913</v>
      </c>
      <c r="H66" s="336">
        <f>Data!G46</f>
        <v>11479</v>
      </c>
      <c r="I66" s="8"/>
    </row>
    <row r="67" spans="2:9" ht="15" customHeight="1">
      <c r="B67" s="292" t="s">
        <v>448</v>
      </c>
      <c r="C67" s="37"/>
      <c r="D67" s="336">
        <f>Data!C47</f>
        <v>7579</v>
      </c>
      <c r="E67" s="336">
        <f>Data!D47</f>
        <v>7509</v>
      </c>
      <c r="F67" s="336">
        <f>Data!E47</f>
        <v>7068</v>
      </c>
      <c r="G67" s="336">
        <f>Data!F47</f>
        <v>8019</v>
      </c>
      <c r="H67" s="336">
        <f>Data!G47</f>
        <v>9059</v>
      </c>
      <c r="I67" s="8"/>
    </row>
    <row r="68" spans="2:9" ht="15" customHeight="1">
      <c r="B68" s="292" t="s">
        <v>449</v>
      </c>
      <c r="C68" s="37"/>
      <c r="D68" s="336">
        <f>Data!C58</f>
        <v>4656</v>
      </c>
      <c r="E68" s="336">
        <f>Data!D58</f>
        <v>4674</v>
      </c>
      <c r="F68" s="336">
        <f>Data!E58</f>
        <v>3887</v>
      </c>
      <c r="G68" s="336">
        <f>Data!F58</f>
        <v>4283</v>
      </c>
      <c r="H68" s="336">
        <f>Data!G58</f>
        <v>5578</v>
      </c>
      <c r="I68" s="8"/>
    </row>
    <row r="69" spans="2:9" ht="9.75" customHeight="1"/>
    <row r="70" spans="2:9" ht="15" customHeight="1">
      <c r="B70" s="292" t="s">
        <v>450</v>
      </c>
      <c r="C70" s="44"/>
      <c r="D70" s="310">
        <f t="shared" ref="D70:H71" si="1">D59/((D61+D66)/2)</f>
        <v>6.6043333743690757</v>
      </c>
      <c r="E70" s="310">
        <f t="shared" si="1"/>
        <v>5.5288234101507063</v>
      </c>
      <c r="F70" s="310">
        <f t="shared" si="1"/>
        <v>5.6725910793326522</v>
      </c>
      <c r="G70" s="310">
        <f t="shared" si="1"/>
        <v>8.3836633663366342</v>
      </c>
      <c r="H70" s="310">
        <f t="shared" si="1"/>
        <v>8.9456555659578267</v>
      </c>
      <c r="I70" s="8"/>
    </row>
    <row r="71" spans="2:9" ht="15" customHeight="1">
      <c r="B71" s="292" t="s">
        <v>451</v>
      </c>
      <c r="C71" s="44"/>
      <c r="D71" s="310">
        <f t="shared" si="1"/>
        <v>1.4909862142099681</v>
      </c>
      <c r="E71" s="310">
        <f t="shared" si="1"/>
        <v>1.1050284695067571</v>
      </c>
      <c r="F71" s="310">
        <f t="shared" si="1"/>
        <v>1.1246768741300457</v>
      </c>
      <c r="G71" s="310">
        <f t="shared" si="1"/>
        <v>3.6094390443845885</v>
      </c>
      <c r="H71" s="310">
        <f t="shared" si="1"/>
        <v>3.807538802660754</v>
      </c>
      <c r="I71" s="8"/>
    </row>
    <row r="72" spans="2:9" ht="15" customHeight="1">
      <c r="B72" s="292" t="s">
        <v>452</v>
      </c>
      <c r="C72" s="44"/>
      <c r="D72" s="310">
        <f>(D60+D62-D67)/((D63+D68)/2)</f>
        <v>2.3961414790996787</v>
      </c>
      <c r="E72" s="310">
        <f>(E60+E62-E67)/((E63+E68)/2)</f>
        <v>1.7785305454970213</v>
      </c>
      <c r="F72" s="310">
        <f>(F60+F62-F67)/((F63+F68)/2)</f>
        <v>2.3096695226438189</v>
      </c>
      <c r="G72" s="310">
        <f>(G60+G62-G67)/((G63+G68)/2)</f>
        <v>6.4620221072913502</v>
      </c>
      <c r="H72" s="310">
        <f>(H60+H62-H67)/((H63+H68)/2)</f>
        <v>5.5325744732380722</v>
      </c>
      <c r="I72" s="8"/>
    </row>
    <row r="73" spans="2:9" ht="15" customHeight="1">
      <c r="B73" s="292" t="s">
        <v>453</v>
      </c>
      <c r="C73" s="44"/>
      <c r="D73" s="310">
        <f>365/D71</f>
        <v>244.80440967283073</v>
      </c>
      <c r="E73" s="310">
        <f>365/E71</f>
        <v>330.30823193444252</v>
      </c>
      <c r="F73" s="310">
        <f>365/F71</f>
        <v>324.53765912305516</v>
      </c>
      <c r="G73" s="310">
        <f>365/G71</f>
        <v>101.12374679601569</v>
      </c>
      <c r="H73" s="310">
        <f>365/H71</f>
        <v>95.862450500815285</v>
      </c>
      <c r="I73" s="8"/>
    </row>
    <row r="74" spans="2:9" ht="15" customHeight="1">
      <c r="B74" s="292" t="s">
        <v>454</v>
      </c>
      <c r="C74" s="44"/>
      <c r="D74" s="310">
        <f>365/D70</f>
        <v>55.266743713534773</v>
      </c>
      <c r="E74" s="310">
        <f>365/E70</f>
        <v>66.017662877398848</v>
      </c>
      <c r="F74" s="310">
        <f>365/F70</f>
        <v>64.344493529567117</v>
      </c>
      <c r="G74" s="310">
        <f>365/G70</f>
        <v>43.537053439622085</v>
      </c>
      <c r="H74" s="310">
        <f>365/H70</f>
        <v>40.80192863550284</v>
      </c>
      <c r="I74" s="8"/>
    </row>
    <row r="75" spans="2:9" ht="15" customHeight="1">
      <c r="B75" s="292" t="s">
        <v>455</v>
      </c>
      <c r="C75" s="44"/>
      <c r="D75" s="310">
        <f>365/D72</f>
        <v>152.32823403113258</v>
      </c>
      <c r="E75" s="310">
        <f>365/E72</f>
        <v>205.2256009457507</v>
      </c>
      <c r="F75" s="310">
        <f>365/F72</f>
        <v>158.03126656067832</v>
      </c>
      <c r="G75" s="310">
        <f>365/G72</f>
        <v>56.483867424123531</v>
      </c>
      <c r="H75" s="310">
        <f>365/H72</f>
        <v>65.972903169322365</v>
      </c>
      <c r="I75" s="8"/>
    </row>
    <row r="76" spans="2:9" ht="15" customHeight="1">
      <c r="B76" s="292" t="s">
        <v>456</v>
      </c>
      <c r="C76" s="44"/>
      <c r="D76" s="310">
        <f>D73+D74-D75</f>
        <v>147.74291935523291</v>
      </c>
      <c r="E76" s="310">
        <f>E73+E74-E75</f>
        <v>191.10029386609065</v>
      </c>
      <c r="F76" s="310">
        <f>F73+F74-F75</f>
        <v>230.85088609194395</v>
      </c>
      <c r="G76" s="310">
        <f>G73+G74-G75</f>
        <v>88.176932811514263</v>
      </c>
      <c r="H76" s="310">
        <f>H73+H74-H75</f>
        <v>70.691475966995768</v>
      </c>
      <c r="I76" s="8"/>
    </row>
    <row r="77" spans="2:9" ht="9.75" customHeight="1"/>
    <row r="78" spans="2:9" ht="15" customHeight="1">
      <c r="B78" s="292" t="s">
        <v>457</v>
      </c>
      <c r="C78" s="8"/>
      <c r="D78" s="44"/>
      <c r="E78" s="44"/>
      <c r="F78" s="44"/>
      <c r="G78" s="44"/>
      <c r="H78" s="44"/>
      <c r="I78" s="8"/>
    </row>
    <row r="79" spans="2:9" ht="15" customHeight="1">
      <c r="B79" s="292" t="s">
        <v>456</v>
      </c>
      <c r="C79" s="8"/>
      <c r="D79" s="336">
        <f>SUMIFS('BS - Standardized'!F:F,'BS - Standardized'!$O:$O,$B79)</f>
        <v>147.74289999999999</v>
      </c>
      <c r="E79" s="336">
        <f>SUMIFS('BS - Standardized'!G:G,'BS - Standardized'!$O:$O,$B79)</f>
        <v>191.1003</v>
      </c>
      <c r="F79" s="336">
        <f>SUMIFS('BS - Standardized'!H:H,'BS - Standardized'!$O:$O,$B79)</f>
        <v>231.48339999999999</v>
      </c>
      <c r="G79" s="336">
        <f>SUMIFS('BS - Standardized'!I:I,'BS - Standardized'!$O:$O,$B79)</f>
        <v>88.176900000000003</v>
      </c>
      <c r="H79" s="336">
        <f>SUMIFS('BS - Standardized'!J:J,'BS - Standardized'!$O:$O,$B79)</f>
        <v>70.691500000000005</v>
      </c>
      <c r="I79" s="8"/>
    </row>
    <row r="80" spans="2:9" ht="15" customHeight="1">
      <c r="B80" s="292" t="s">
        <v>458</v>
      </c>
      <c r="C80" s="8"/>
      <c r="D80" s="310">
        <f>+D76-D79</f>
        <v>1.9355232922180221E-5</v>
      </c>
      <c r="E80" s="310">
        <f>+E76-E79</f>
        <v>-6.133909352001865E-6</v>
      </c>
      <c r="F80" s="310">
        <f>+F76-F79</f>
        <v>-0.63251390805604046</v>
      </c>
      <c r="G80" s="310">
        <f>+G76-G79</f>
        <v>3.2811514259378782E-5</v>
      </c>
      <c r="H80" s="310">
        <f>+H76-H79</f>
        <v>-2.4033004237367095E-5</v>
      </c>
      <c r="I80" s="8"/>
    </row>
  </sheetData>
  <pageMargins left="0.7" right="0.7" top="0.75" bottom="0.75" header="0.511811023622047" footer="0.3"/>
  <pageSetup orientation="portrait" horizontalDpi="300" verticalDpi="300"/>
  <headerFooter>
    <oddFooter>&amp;L© Darrell Day&amp;C&amp;P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D7E96"/>
  </sheetPr>
  <dimension ref="B1:Z27"/>
  <sheetViews>
    <sheetView showGridLines="0" workbookViewId="0"/>
  </sheetViews>
  <sheetFormatPr baseColWidth="10" defaultColWidth="8.85546875" defaultRowHeight="15"/>
  <cols>
    <col min="1" max="1" width="2" customWidth="1"/>
    <col min="2" max="2" width="28" customWidth="1"/>
    <col min="3" max="3" width="14" customWidth="1"/>
    <col min="4" max="4" width="2" customWidth="1"/>
    <col min="5" max="5" width="28" customWidth="1"/>
    <col min="6" max="6" width="14" customWidth="1"/>
    <col min="7" max="7" width="2" customWidth="1"/>
    <col min="8" max="8" width="28" customWidth="1"/>
    <col min="9" max="11" width="14" customWidth="1"/>
  </cols>
  <sheetData>
    <row r="1" spans="2:26" ht="8" customHeight="1"/>
    <row r="2" spans="2:26" ht="22" customHeight="1">
      <c r="B2" s="248" t="str">
        <f>Data!C5&amp;" - Dynamic WACC Engine"</f>
        <v>Pfizer Inc - Dynamic WACC Engine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2:26" ht="16" customHeight="1">
      <c r="B3" s="249" t="s">
        <v>459</v>
      </c>
    </row>
    <row r="5" spans="2:26">
      <c r="B5" s="369" t="s">
        <v>460</v>
      </c>
      <c r="C5" s="151"/>
      <c r="E5" s="369" t="s">
        <v>461</v>
      </c>
      <c r="F5" s="151"/>
      <c r="G5" s="151"/>
      <c r="H5" s="151"/>
      <c r="I5" s="151"/>
    </row>
    <row r="6" spans="2:26">
      <c r="B6" s="284" t="s">
        <v>1</v>
      </c>
      <c r="C6" s="433" t="str">
        <f>'Executive Summary'!$B$7</f>
        <v>Base</v>
      </c>
      <c r="E6" s="284" t="s">
        <v>462</v>
      </c>
      <c r="F6" s="434">
        <f>C7+(C8*C9)</f>
        <v>7.8579999999999997E-2</v>
      </c>
    </row>
    <row r="7" spans="2:26">
      <c r="B7" s="284" t="s">
        <v>22</v>
      </c>
      <c r="C7" s="331">
        <f>'Executive Summary'!$F$18</f>
        <v>3.9199999999999999E-2</v>
      </c>
      <c r="E7" s="284" t="s">
        <v>463</v>
      </c>
      <c r="F7" s="434">
        <f>C10-F6</f>
        <v>1.4200000000000046E-3</v>
      </c>
    </row>
    <row r="8" spans="2:26">
      <c r="B8" s="284" t="s">
        <v>25</v>
      </c>
      <c r="C8" s="328">
        <f>'Executive Summary'!$F$19</f>
        <v>0.71599999999999997</v>
      </c>
      <c r="E8" s="284" t="s">
        <v>203</v>
      </c>
      <c r="F8" s="434">
        <f>F6+F7</f>
        <v>0.08</v>
      </c>
    </row>
    <row r="9" spans="2:26">
      <c r="B9" s="284" t="s">
        <v>27</v>
      </c>
      <c r="C9" s="331">
        <f>'Executive Summary'!$F$20</f>
        <v>5.5E-2</v>
      </c>
      <c r="E9" s="284" t="s">
        <v>206</v>
      </c>
      <c r="F9" s="434">
        <f>C11/(1-C15)</f>
        <v>5.1111111111111107E-2</v>
      </c>
    </row>
    <row r="10" spans="2:26">
      <c r="B10" s="284" t="s">
        <v>29</v>
      </c>
      <c r="C10" s="331">
        <f>'Executive Summary'!$F$21</f>
        <v>0.08</v>
      </c>
      <c r="E10" s="284" t="s">
        <v>31</v>
      </c>
      <c r="F10" s="434">
        <f>C11</f>
        <v>4.5999999999999999E-2</v>
      </c>
    </row>
    <row r="11" spans="2:26">
      <c r="B11" s="284" t="s">
        <v>31</v>
      </c>
      <c r="C11" s="331">
        <f>'Executive Summary'!$F$22</f>
        <v>4.5999999999999999E-2</v>
      </c>
      <c r="E11" s="284" t="s">
        <v>56</v>
      </c>
      <c r="F11" s="434">
        <f>(C12*F10)+(C13*F8)</f>
        <v>7.5953999999999994E-2</v>
      </c>
    </row>
    <row r="12" spans="2:26">
      <c r="B12" s="284" t="s">
        <v>33</v>
      </c>
      <c r="C12" s="331">
        <f>'Executive Summary'!$F$23</f>
        <v>0.11899999999999999</v>
      </c>
    </row>
    <row r="13" spans="2:26">
      <c r="B13" s="284" t="s">
        <v>464</v>
      </c>
      <c r="C13" s="434">
        <f>1-C12</f>
        <v>0.88100000000000001</v>
      </c>
    </row>
    <row r="15" spans="2:26">
      <c r="B15" s="369" t="s">
        <v>465</v>
      </c>
      <c r="C15" s="435">
        <f>'Executive Summary'!$L$23</f>
        <v>0.1</v>
      </c>
      <c r="D15" s="151"/>
      <c r="E15" s="151"/>
      <c r="F15" s="151"/>
      <c r="G15" s="151"/>
      <c r="H15" s="151"/>
      <c r="I15" s="151"/>
    </row>
    <row r="17" spans="2:8">
      <c r="B17" s="343" t="s">
        <v>466</v>
      </c>
      <c r="C17" s="343" t="s">
        <v>186</v>
      </c>
      <c r="D17" s="343" t="s">
        <v>467</v>
      </c>
      <c r="E17" s="343" t="s">
        <v>468</v>
      </c>
      <c r="F17" s="343" t="s">
        <v>469</v>
      </c>
      <c r="G17" s="343" t="s">
        <v>470</v>
      </c>
      <c r="H17" s="343" t="s">
        <v>471</v>
      </c>
    </row>
    <row r="18" spans="2:8">
      <c r="B18" s="436" t="s">
        <v>188</v>
      </c>
      <c r="C18" s="437">
        <f>'Question 1 - DCF'!$J$154</f>
        <v>0.53</v>
      </c>
      <c r="D18" s="437">
        <f>'Question 1 - DCF'!$K$154</f>
        <v>33000</v>
      </c>
      <c r="E18" s="437">
        <f>'Question 1 - DCF'!$L$154</f>
        <v>409898</v>
      </c>
      <c r="F18" s="437">
        <f>'Question 1 - DCF'!$M$154</f>
        <v>8.0507833656177877E-2</v>
      </c>
      <c r="G18" s="437">
        <f>'Question 1 - DCF'!$N$154</f>
        <v>0.25</v>
      </c>
      <c r="H18" s="437">
        <f>'Question 1 - DCF'!$O$154</f>
        <v>0.49982040639782083</v>
      </c>
    </row>
    <row r="19" spans="2:8">
      <c r="B19" s="436" t="s">
        <v>189</v>
      </c>
      <c r="C19" s="437">
        <f>'Question 1 - DCF'!$J$155</f>
        <v>0.4</v>
      </c>
      <c r="D19" s="437">
        <f>'Question 1 - DCF'!$K$155</f>
        <v>18200</v>
      </c>
      <c r="E19" s="437">
        <f>'Question 1 - DCF'!$L$155</f>
        <v>313785</v>
      </c>
      <c r="F19" s="437">
        <f>'Question 1 - DCF'!$M$155</f>
        <v>5.8001497840878311E-2</v>
      </c>
      <c r="G19" s="437">
        <f>'Question 1 - DCF'!$N$155</f>
        <v>0.25</v>
      </c>
      <c r="H19" s="437">
        <f>'Question 1 - DCF'!$O$155</f>
        <v>0.38332493471986806</v>
      </c>
    </row>
    <row r="20" spans="2:8">
      <c r="B20" s="436" t="s">
        <v>190</v>
      </c>
      <c r="C20" s="437">
        <f>'Question 1 - DCF'!$J$156</f>
        <v>0.41</v>
      </c>
      <c r="D20" s="437">
        <f>'Question 1 - DCF'!$K$156</f>
        <v>28700</v>
      </c>
      <c r="E20" s="437">
        <f>'Question 1 - DCF'!$L$156</f>
        <v>275807</v>
      </c>
      <c r="F20" s="437">
        <f>'Question 1 - DCF'!$M$156</f>
        <v>0.1040582726326743</v>
      </c>
      <c r="G20" s="437">
        <f>'Question 1 - DCF'!$N$156</f>
        <v>0.25</v>
      </c>
      <c r="H20" s="437">
        <f>'Question 1 - DCF'!$O$156</f>
        <v>0.38031853281853278</v>
      </c>
    </row>
    <row r="23" spans="2:8">
      <c r="B23" s="369" t="s">
        <v>472</v>
      </c>
      <c r="C23" s="151"/>
      <c r="D23" s="151"/>
      <c r="E23" s="151"/>
      <c r="F23" s="151"/>
    </row>
    <row r="24" spans="2:8">
      <c r="B24" s="284" t="s">
        <v>55</v>
      </c>
      <c r="C24" s="378">
        <f>'Question 2 - Trading Comps'!$AB$33</f>
        <v>40.18</v>
      </c>
    </row>
    <row r="25" spans="2:8">
      <c r="B25" s="284" t="s">
        <v>473</v>
      </c>
      <c r="C25" s="378">
        <f>'Question 1 - DCF'!$E$70</f>
        <v>38.194793648129973</v>
      </c>
    </row>
    <row r="26" spans="2:8">
      <c r="B26" s="284" t="s">
        <v>474</v>
      </c>
      <c r="C26" s="378">
        <f>AVERAGE('Question 4 - Valuation Summary'!$B$27,'Question 4 - Valuation Summary'!$C$27)</f>
        <v>86.605000000000004</v>
      </c>
    </row>
    <row r="27" spans="2:8">
      <c r="B27" s="284" t="s">
        <v>475</v>
      </c>
      <c r="C27" s="331">
        <f>C26/'Question 2 - Trading Comps'!$AB$33-1</f>
        <v>1.1554255848680937</v>
      </c>
    </row>
  </sheetData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D7E96"/>
  </sheetPr>
  <dimension ref="B1:Z34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1"/>
  <cols>
    <col min="1" max="1" width="2" style="9" customWidth="1"/>
    <col min="2" max="2" width="34" style="9" customWidth="1"/>
    <col min="3" max="3" width="22" style="9" hidden="1" customWidth="1"/>
    <col min="4" max="13" width="12.42578125" style="9" customWidth="1"/>
    <col min="14" max="19" width="8.7109375" style="9" customWidth="1"/>
    <col min="20" max="16384" width="8.7109375" style="9"/>
  </cols>
  <sheetData>
    <row r="1" spans="2:26" ht="8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6" ht="22" customHeight="1">
      <c r="B2" s="248" t="str">
        <f>Data!C5&amp;" - WACC Reference"</f>
        <v>Pfizer Inc - WACC Reference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2:26" ht="16" customHeight="1">
      <c r="B3" s="249" t="s">
        <v>476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6" ht="15" customHeight="1">
      <c r="B4" s="438" t="s">
        <v>477</v>
      </c>
      <c r="C4" s="172"/>
      <c r="D4" s="439" t="s">
        <v>478</v>
      </c>
      <c r="E4" s="439" t="s">
        <v>479</v>
      </c>
      <c r="F4" s="439" t="s">
        <v>480</v>
      </c>
      <c r="G4" s="343" t="s">
        <v>481</v>
      </c>
      <c r="H4" s="343" t="s">
        <v>482</v>
      </c>
      <c r="I4" s="343" t="s">
        <v>483</v>
      </c>
      <c r="J4" s="343" t="s">
        <v>484</v>
      </c>
      <c r="K4" s="343" t="s">
        <v>485</v>
      </c>
      <c r="L4" s="341" t="s">
        <v>486</v>
      </c>
      <c r="M4" s="341" t="s">
        <v>487</v>
      </c>
    </row>
    <row r="5" spans="2:26" ht="15" customHeight="1">
      <c r="B5" s="295" t="s">
        <v>488</v>
      </c>
      <c r="C5" s="26"/>
      <c r="D5" s="440" t="s">
        <v>489</v>
      </c>
      <c r="E5" s="440" t="s">
        <v>490</v>
      </c>
      <c r="F5" s="440" t="s">
        <v>491</v>
      </c>
      <c r="G5" s="440" t="s">
        <v>492</v>
      </c>
      <c r="H5" s="440" t="s">
        <v>493</v>
      </c>
      <c r="I5" s="440" t="s">
        <v>494</v>
      </c>
      <c r="J5" s="440" t="s">
        <v>495</v>
      </c>
      <c r="K5" s="440" t="s">
        <v>496</v>
      </c>
      <c r="L5" s="295" t="s">
        <v>497</v>
      </c>
      <c r="M5" s="295" t="s">
        <v>498</v>
      </c>
    </row>
    <row r="6" spans="2:26" ht="20.25" customHeight="1">
      <c r="B6" s="306" t="s">
        <v>185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26" ht="15" customHeight="1">
      <c r="B7" s="292" t="s">
        <v>203</v>
      </c>
      <c r="C7" s="292" t="s">
        <v>499</v>
      </c>
      <c r="D7" s="441">
        <v>8.2225999999999999</v>
      </c>
      <c r="E7" s="441">
        <v>7.2408999999999999</v>
      </c>
      <c r="F7" s="441">
        <v>8.9034999999999993</v>
      </c>
      <c r="G7" s="441">
        <v>7.2632000000000003</v>
      </c>
      <c r="H7" s="441">
        <v>7.1887999999999996</v>
      </c>
      <c r="I7" s="441">
        <v>6.7539999999999996</v>
      </c>
      <c r="J7" s="441">
        <v>8.3411000000000008</v>
      </c>
      <c r="K7" s="441">
        <v>10.5884</v>
      </c>
      <c r="L7" s="441">
        <v>8.1995000000000005</v>
      </c>
      <c r="M7" s="441">
        <v>7.8075000000000001</v>
      </c>
    </row>
    <row r="8" spans="2:26" ht="15" customHeight="1">
      <c r="B8" s="292" t="s">
        <v>500</v>
      </c>
      <c r="C8" s="292" t="s">
        <v>501</v>
      </c>
      <c r="D8" s="441">
        <v>67.743099999999998</v>
      </c>
      <c r="E8" s="441">
        <v>69.175700000000006</v>
      </c>
      <c r="F8" s="441">
        <v>68.415700000000001</v>
      </c>
      <c r="G8" s="441">
        <v>88.052400000000006</v>
      </c>
      <c r="H8" s="441">
        <v>88.909800000000004</v>
      </c>
      <c r="I8" s="441">
        <v>83.238600000000005</v>
      </c>
      <c r="J8" s="441">
        <v>80.218900000000005</v>
      </c>
      <c r="K8" s="441">
        <v>85.664900000000003</v>
      </c>
      <c r="L8" s="441">
        <v>83.269199999999998</v>
      </c>
      <c r="M8" s="441">
        <v>82.400199999999998</v>
      </c>
    </row>
    <row r="9" spans="2:26" ht="20.25" customHeight="1">
      <c r="B9" s="306" t="s">
        <v>502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</row>
    <row r="10" spans="2:26" ht="15" customHeight="1">
      <c r="B10" s="292" t="s">
        <v>196</v>
      </c>
      <c r="C10" s="292" t="s">
        <v>503</v>
      </c>
      <c r="D10" s="441">
        <v>5.3113999999999999</v>
      </c>
      <c r="E10" s="441">
        <v>5.8285</v>
      </c>
      <c r="F10" s="441">
        <v>5.0564999999999998</v>
      </c>
      <c r="G10" s="441">
        <v>4.3940000000000001</v>
      </c>
      <c r="H10" s="441">
        <v>1.6694</v>
      </c>
      <c r="I10" s="441">
        <v>1.0031000000000001</v>
      </c>
      <c r="J10" s="441">
        <v>2.044</v>
      </c>
      <c r="K10" s="441">
        <v>2.8408000000000002</v>
      </c>
      <c r="L10" s="441">
        <v>2.6124000000000001</v>
      </c>
      <c r="M10" s="441">
        <v>2.1023000000000001</v>
      </c>
    </row>
    <row r="11" spans="2:26" ht="15" customHeight="1">
      <c r="B11" s="292" t="s">
        <v>504</v>
      </c>
      <c r="C11" s="292" t="s">
        <v>505</v>
      </c>
      <c r="D11" s="441">
        <v>32.256900000000002</v>
      </c>
      <c r="E11" s="441">
        <v>30.824300000000001</v>
      </c>
      <c r="F11" s="441">
        <v>31.584299999999999</v>
      </c>
      <c r="G11" s="441">
        <v>11.9476</v>
      </c>
      <c r="H11" s="441">
        <v>11.090199999999999</v>
      </c>
      <c r="I11" s="441">
        <v>16.761399999999998</v>
      </c>
      <c r="J11" s="441">
        <v>19.774799999999999</v>
      </c>
      <c r="K11" s="441">
        <v>14.3286</v>
      </c>
      <c r="L11" s="441">
        <v>16.7227</v>
      </c>
      <c r="M11" s="441">
        <v>17.5898</v>
      </c>
    </row>
    <row r="12" spans="2:26" ht="20.25" customHeight="1">
      <c r="B12" s="306" t="s">
        <v>506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</row>
    <row r="13" spans="2:26" ht="15" customHeight="1">
      <c r="B13" s="292" t="s">
        <v>507</v>
      </c>
      <c r="C13" s="292" t="s">
        <v>508</v>
      </c>
      <c r="D13" s="310">
        <v>0</v>
      </c>
      <c r="E13" s="310">
        <v>0</v>
      </c>
      <c r="F13" s="310">
        <v>0</v>
      </c>
      <c r="G13" s="310">
        <v>0</v>
      </c>
      <c r="H13" s="310">
        <v>0</v>
      </c>
      <c r="I13" s="310">
        <v>0</v>
      </c>
      <c r="J13" s="310">
        <v>0</v>
      </c>
      <c r="K13" s="441">
        <v>5.2632000000000003</v>
      </c>
      <c r="L13" s="441">
        <v>4.7618999999999998</v>
      </c>
      <c r="M13" s="441">
        <v>8.3332999999999995</v>
      </c>
    </row>
    <row r="14" spans="2:26" ht="15" customHeight="1">
      <c r="B14" s="292" t="s">
        <v>509</v>
      </c>
      <c r="C14" s="292" t="s">
        <v>510</v>
      </c>
      <c r="D14" s="300">
        <v>0</v>
      </c>
      <c r="E14" s="300">
        <v>0</v>
      </c>
      <c r="F14" s="300">
        <v>0</v>
      </c>
      <c r="G14" s="300">
        <v>0</v>
      </c>
      <c r="H14" s="300">
        <v>0</v>
      </c>
      <c r="I14" s="300">
        <v>0</v>
      </c>
      <c r="J14" s="441">
        <v>6.3E-3</v>
      </c>
      <c r="K14" s="441">
        <v>6.4999999999999997E-3</v>
      </c>
      <c r="L14" s="441">
        <v>8.0999999999999996E-3</v>
      </c>
      <c r="M14" s="441">
        <v>0.01</v>
      </c>
    </row>
    <row r="15" spans="2:26" ht="15" customHeight="1" thickBot="1">
      <c r="B15" s="313" t="s">
        <v>126</v>
      </c>
      <c r="C15" s="313" t="s">
        <v>126</v>
      </c>
      <c r="D15" s="442">
        <v>7.2835999999999999</v>
      </c>
      <c r="E15" s="442">
        <v>6.8055000000000003</v>
      </c>
      <c r="F15" s="442">
        <v>7.6885000000000003</v>
      </c>
      <c r="G15" s="442">
        <v>6.9203999999999999</v>
      </c>
      <c r="H15" s="442">
        <v>6.5766999999999998</v>
      </c>
      <c r="I15" s="442">
        <v>5.7900999999999998</v>
      </c>
      <c r="J15" s="442">
        <v>7.0953999999999997</v>
      </c>
      <c r="K15" s="442">
        <v>9.4779</v>
      </c>
      <c r="L15" s="442">
        <v>7.2648999999999999</v>
      </c>
      <c r="M15" s="442">
        <v>6.8040000000000003</v>
      </c>
    </row>
    <row r="16" spans="2:26" ht="9.75" customHeight="1" thickTop="1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 ht="20.25" customHeight="1">
      <c r="B17" s="306" t="s">
        <v>511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</row>
    <row r="18" spans="2:13" ht="15" customHeight="1">
      <c r="B18" s="292" t="s">
        <v>512</v>
      </c>
      <c r="C18" s="292" t="s">
        <v>513</v>
      </c>
      <c r="D18" s="443">
        <v>141581.4</v>
      </c>
      <c r="E18" s="443">
        <v>150345.51</v>
      </c>
      <c r="F18" s="443">
        <v>162548.34</v>
      </c>
      <c r="G18" s="443">
        <v>287763.84000000003</v>
      </c>
      <c r="H18" s="443">
        <v>331861</v>
      </c>
      <c r="I18" s="443">
        <v>204921.27</v>
      </c>
      <c r="J18" s="443">
        <v>216822.12</v>
      </c>
      <c r="K18" s="443">
        <v>249547.05</v>
      </c>
      <c r="L18" s="443">
        <v>216559.38</v>
      </c>
      <c r="M18" s="443">
        <v>197153.6</v>
      </c>
    </row>
    <row r="19" spans="2:13" ht="15" customHeight="1">
      <c r="B19" s="292" t="s">
        <v>514</v>
      </c>
      <c r="C19" s="292" t="s">
        <v>515</v>
      </c>
      <c r="D19" s="443">
        <v>3484</v>
      </c>
      <c r="E19" s="443">
        <v>7302</v>
      </c>
      <c r="F19" s="443">
        <v>10877</v>
      </c>
      <c r="G19" s="443">
        <v>3565</v>
      </c>
      <c r="H19" s="443">
        <v>2690</v>
      </c>
      <c r="I19" s="443">
        <v>3023</v>
      </c>
      <c r="J19" s="443">
        <v>16464</v>
      </c>
      <c r="K19" s="443">
        <v>8831</v>
      </c>
      <c r="L19" s="443">
        <v>9953</v>
      </c>
      <c r="M19" s="443">
        <v>10688</v>
      </c>
    </row>
    <row r="20" spans="2:13" ht="15" customHeight="1">
      <c r="B20" s="292" t="s">
        <v>516</v>
      </c>
      <c r="C20" s="292" t="s">
        <v>517</v>
      </c>
      <c r="D20" s="443">
        <v>63932</v>
      </c>
      <c r="E20" s="443">
        <v>59691</v>
      </c>
      <c r="F20" s="443">
        <v>64164</v>
      </c>
      <c r="G20" s="443">
        <v>35481</v>
      </c>
      <c r="H20" s="443">
        <v>38705</v>
      </c>
      <c r="I20" s="443">
        <v>38241</v>
      </c>
      <c r="J20" s="443">
        <v>36985</v>
      </c>
      <c r="K20" s="443">
        <v>32909</v>
      </c>
      <c r="L20" s="443">
        <v>33538</v>
      </c>
      <c r="M20" s="443">
        <v>31398</v>
      </c>
    </row>
    <row r="21" spans="2:13" ht="15" customHeight="1">
      <c r="B21" s="292" t="s">
        <v>518</v>
      </c>
      <c r="C21" s="292" t="s">
        <v>519</v>
      </c>
      <c r="D21" s="443">
        <v>0</v>
      </c>
      <c r="E21" s="443">
        <v>0</v>
      </c>
      <c r="F21" s="443">
        <v>0</v>
      </c>
      <c r="G21" s="443">
        <v>0</v>
      </c>
      <c r="H21" s="443">
        <v>0</v>
      </c>
      <c r="I21" s="443">
        <v>0</v>
      </c>
      <c r="J21" s="443">
        <v>17</v>
      </c>
      <c r="K21" s="443">
        <v>19</v>
      </c>
      <c r="L21" s="443">
        <v>21</v>
      </c>
      <c r="M21" s="443">
        <v>24</v>
      </c>
    </row>
    <row r="22" spans="2:13" ht="15" customHeight="1" thickBot="1">
      <c r="B22" s="313" t="s">
        <v>520</v>
      </c>
      <c r="C22" s="313" t="s">
        <v>521</v>
      </c>
      <c r="D22" s="444">
        <v>208997.4</v>
      </c>
      <c r="E22" s="444">
        <v>217338.51</v>
      </c>
      <c r="F22" s="444">
        <v>237589.34</v>
      </c>
      <c r="G22" s="444">
        <v>326809.84000000003</v>
      </c>
      <c r="H22" s="444">
        <v>373256</v>
      </c>
      <c r="I22" s="444">
        <v>246185.27</v>
      </c>
      <c r="J22" s="444">
        <v>270288.12</v>
      </c>
      <c r="K22" s="444">
        <v>291306.05</v>
      </c>
      <c r="L22" s="444">
        <v>260071.38</v>
      </c>
      <c r="M22" s="444">
        <v>239263.6</v>
      </c>
    </row>
    <row r="23" spans="2:13" ht="9.75" customHeight="1" thickTop="1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2:13" ht="20.25" customHeight="1">
      <c r="B24" s="306" t="s">
        <v>522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</row>
    <row r="25" spans="2:13" ht="15" customHeight="1">
      <c r="B25" s="292" t="s">
        <v>523</v>
      </c>
      <c r="C25" s="292" t="s">
        <v>524</v>
      </c>
      <c r="D25" s="443">
        <v>13738</v>
      </c>
      <c r="E25" s="443">
        <v>12561</v>
      </c>
      <c r="F25" s="443">
        <v>772</v>
      </c>
      <c r="G25" s="443">
        <v>34699</v>
      </c>
      <c r="H25" s="443">
        <v>17292</v>
      </c>
      <c r="I25" s="443">
        <v>8919</v>
      </c>
      <c r="J25" s="443">
        <v>15023</v>
      </c>
      <c r="K25" s="443">
        <v>13863</v>
      </c>
      <c r="L25" s="443">
        <v>13953</v>
      </c>
      <c r="M25" s="443">
        <v>12262</v>
      </c>
    </row>
    <row r="26" spans="2:13" ht="15" customHeight="1">
      <c r="B26" s="292" t="s">
        <v>525</v>
      </c>
      <c r="C26" s="292" t="s">
        <v>526</v>
      </c>
      <c r="D26" s="443">
        <v>491</v>
      </c>
      <c r="E26" s="443">
        <v>3446</v>
      </c>
      <c r="F26" s="443">
        <v>-3719</v>
      </c>
      <c r="G26" s="443">
        <v>6026.6030000000001</v>
      </c>
      <c r="H26" s="443">
        <v>6152.3963999999996</v>
      </c>
      <c r="I26" s="443">
        <v>2495.1558</v>
      </c>
      <c r="J26" s="443">
        <v>-1201.9657</v>
      </c>
      <c r="K26" s="443">
        <v>1100.6958999999999</v>
      </c>
      <c r="L26" s="443">
        <v>17848</v>
      </c>
      <c r="M26" s="443">
        <v>-2243.4942000000001</v>
      </c>
    </row>
    <row r="27" spans="2:13" ht="15" customHeight="1">
      <c r="B27" s="292" t="s">
        <v>527</v>
      </c>
      <c r="C27" s="292" t="s">
        <v>528</v>
      </c>
      <c r="D27" s="443">
        <v>13247</v>
      </c>
      <c r="E27" s="443">
        <v>9115</v>
      </c>
      <c r="F27" s="443">
        <v>4491</v>
      </c>
      <c r="G27" s="443">
        <v>28672.397000000001</v>
      </c>
      <c r="H27" s="443">
        <v>11139.6036</v>
      </c>
      <c r="I27" s="443">
        <v>6423.8441999999995</v>
      </c>
      <c r="J27" s="443">
        <v>16224.965700000001</v>
      </c>
      <c r="K27" s="443">
        <v>12762.304099999999</v>
      </c>
      <c r="L27" s="443">
        <v>-3895</v>
      </c>
      <c r="M27" s="443">
        <v>14505.494199999999</v>
      </c>
    </row>
    <row r="28" spans="2:13" ht="15" customHeight="1">
      <c r="B28" s="292" t="s">
        <v>529</v>
      </c>
      <c r="C28" s="292" t="s">
        <v>530</v>
      </c>
      <c r="D28" s="443">
        <v>155052</v>
      </c>
      <c r="E28" s="443">
        <v>157532</v>
      </c>
      <c r="F28" s="443">
        <v>169342</v>
      </c>
      <c r="G28" s="443">
        <v>137188</v>
      </c>
      <c r="H28" s="443">
        <v>125436</v>
      </c>
      <c r="I28" s="443">
        <v>120045</v>
      </c>
      <c r="J28" s="443">
        <v>135921</v>
      </c>
      <c r="K28" s="443">
        <v>122917</v>
      </c>
      <c r="L28" s="443">
        <v>133441</v>
      </c>
      <c r="M28" s="443">
        <v>148538</v>
      </c>
    </row>
    <row r="29" spans="2:13" ht="15" customHeight="1" thickBot="1">
      <c r="B29" s="313" t="s">
        <v>126</v>
      </c>
      <c r="C29" s="313" t="s">
        <v>126</v>
      </c>
      <c r="D29" s="442">
        <v>7.2835999999999999</v>
      </c>
      <c r="E29" s="442">
        <v>6.8055000000000003</v>
      </c>
      <c r="F29" s="442">
        <v>7.6885000000000003</v>
      </c>
      <c r="G29" s="442">
        <v>6.9203999999999999</v>
      </c>
      <c r="H29" s="442">
        <v>6.5766999999999998</v>
      </c>
      <c r="I29" s="442">
        <v>5.7900999999999998</v>
      </c>
      <c r="J29" s="442">
        <v>7.0953999999999997</v>
      </c>
      <c r="K29" s="442">
        <v>9.4779</v>
      </c>
      <c r="L29" s="442">
        <v>7.2648999999999999</v>
      </c>
      <c r="M29" s="442">
        <v>6.8040000000000003</v>
      </c>
    </row>
    <row r="30" spans="2:13" ht="15" customHeight="1" thickTop="1">
      <c r="B30" s="292" t="s">
        <v>531</v>
      </c>
      <c r="C30" s="292" t="s">
        <v>532</v>
      </c>
      <c r="D30" s="443">
        <v>11293.312599999999</v>
      </c>
      <c r="E30" s="443">
        <v>10720.8572</v>
      </c>
      <c r="F30" s="443">
        <v>13019.813099999999</v>
      </c>
      <c r="G30" s="443">
        <v>9493.9490999999998</v>
      </c>
      <c r="H30" s="443">
        <v>8249.5488000000005</v>
      </c>
      <c r="I30" s="443">
        <v>6950.6988000000001</v>
      </c>
      <c r="J30" s="443">
        <v>9644.0789000000004</v>
      </c>
      <c r="K30" s="443">
        <v>11649.9383</v>
      </c>
      <c r="L30" s="443">
        <v>9694.3940000000002</v>
      </c>
      <c r="M30" s="443">
        <v>10106.516600000001</v>
      </c>
    </row>
    <row r="31" spans="2:13" ht="15" customHeight="1">
      <c r="B31" s="295" t="s">
        <v>533</v>
      </c>
      <c r="C31" s="295" t="s">
        <v>534</v>
      </c>
      <c r="D31" s="445">
        <v>1953.6874</v>
      </c>
      <c r="E31" s="445">
        <v>-1605.8571999999999</v>
      </c>
      <c r="F31" s="445">
        <v>-8528.8130999999994</v>
      </c>
      <c r="G31" s="445">
        <v>19178.448</v>
      </c>
      <c r="H31" s="445">
        <v>2890.0547999999999</v>
      </c>
      <c r="I31" s="445">
        <v>-526.85450000000003</v>
      </c>
      <c r="J31" s="445">
        <v>6580.8868000000002</v>
      </c>
      <c r="K31" s="445">
        <v>1112.3658</v>
      </c>
      <c r="L31" s="445">
        <v>-13589.394</v>
      </c>
      <c r="M31" s="445">
        <v>4398.9776000000002</v>
      </c>
    </row>
    <row r="32" spans="2:13" ht="15" customHeight="1">
      <c r="B32" s="292" t="s">
        <v>535</v>
      </c>
      <c r="C32" s="292" t="s">
        <v>536</v>
      </c>
      <c r="D32" s="441">
        <v>8.5435999999999996</v>
      </c>
      <c r="E32" s="441">
        <v>5.7861000000000002</v>
      </c>
      <c r="F32" s="441">
        <v>2.6520000000000001</v>
      </c>
      <c r="G32" s="441">
        <v>20.900099999999998</v>
      </c>
      <c r="H32" s="441">
        <v>8.8806999999999992</v>
      </c>
      <c r="I32" s="441">
        <v>5.3512000000000004</v>
      </c>
      <c r="J32" s="441">
        <v>11.937099999999999</v>
      </c>
      <c r="K32" s="441">
        <v>10.382899999999999</v>
      </c>
      <c r="L32" s="441">
        <v>-2.9188999999999998</v>
      </c>
      <c r="M32" s="441">
        <v>9.7654999999999994</v>
      </c>
    </row>
    <row r="33" spans="2:13" ht="15" customHeight="1">
      <c r="B33" s="292" t="s">
        <v>537</v>
      </c>
      <c r="C33" s="292" t="s">
        <v>538</v>
      </c>
      <c r="D33" s="441">
        <v>1.26</v>
      </c>
      <c r="E33" s="441">
        <v>-1.0194000000000001</v>
      </c>
      <c r="F33" s="441">
        <v>-5.0364000000000004</v>
      </c>
      <c r="G33" s="441">
        <v>13.979699999999999</v>
      </c>
      <c r="H33" s="441">
        <v>2.3039999999999998</v>
      </c>
      <c r="I33" s="441">
        <v>-0.43890000000000001</v>
      </c>
      <c r="J33" s="441">
        <v>4.8417000000000003</v>
      </c>
      <c r="K33" s="441">
        <v>0.90500000000000003</v>
      </c>
      <c r="L33" s="441">
        <v>-10.1838</v>
      </c>
      <c r="M33" s="441">
        <v>2.9615</v>
      </c>
    </row>
    <row r="34" spans="2:13" ht="15" customHeight="1">
      <c r="B34" s="292" t="s">
        <v>539</v>
      </c>
      <c r="C34" s="22"/>
      <c r="D34" s="292" t="s">
        <v>540</v>
      </c>
      <c r="E34" s="22"/>
      <c r="F34" s="22"/>
      <c r="G34" s="22"/>
      <c r="H34" s="22"/>
      <c r="I34" s="22"/>
      <c r="J34" s="22"/>
      <c r="K34" s="22"/>
      <c r="L34" s="22"/>
      <c r="M34" s="22"/>
    </row>
  </sheetData>
  <pageMargins left="0.7" right="0.7" top="0.75" bottom="0.75" header="0.511811023622047" footer="0.511811023622047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170051ed-867f-4092-a6af-8a42e27b7e09}" enabled="1" method="Standard" siteId="{5217e0e7-539d-4563-b1bf-7c6dcf074f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Executive Summary</vt:lpstr>
      <vt:lpstr>Question 1 - DCF</vt:lpstr>
      <vt:lpstr>Question 2 - Trading Comps</vt:lpstr>
      <vt:lpstr>Question 3 - Deal Comps</vt:lpstr>
      <vt:lpstr>Question 4 - Valuation Summary</vt:lpstr>
      <vt:lpstr>Data</vt:lpstr>
      <vt:lpstr>Ratios</vt:lpstr>
      <vt:lpstr>WACC</vt:lpstr>
      <vt:lpstr>WACC Reference</vt:lpstr>
      <vt:lpstr>CF</vt:lpstr>
      <vt:lpstr>IS - GAAP</vt:lpstr>
      <vt:lpstr>IS - As Reported</vt:lpstr>
      <vt:lpstr>IS Reconciliation</vt:lpstr>
      <vt:lpstr>BS - Standardized</vt:lpstr>
      <vt:lpstr>BS - As Reported</vt:lpstr>
      <vt:lpstr>README</vt:lpstr>
      <vt:lpstr>Live Log</vt:lpstr>
      <vt:lpstr>'BS - As Reported'!Print_Area</vt:lpstr>
      <vt:lpstr>'BS - Standardized'!Print_Area</vt:lpstr>
      <vt:lpstr>CF!Print_Area</vt:lpstr>
      <vt:lpstr>Data!Print_Area</vt:lpstr>
      <vt:lpstr>'IS - As Reported'!Print_Area</vt:lpstr>
      <vt:lpstr>'IS - GAAP'!Print_Area</vt:lpstr>
      <vt:lpstr>'IS Reconciliation'!Print_Area</vt:lpstr>
      <vt:lpstr>'Question 1 - DCF'!Print_Area</vt:lpstr>
      <vt:lpstr>'Question 2 - Trading Comps'!Print_Area</vt:lpstr>
      <vt:lpstr>'Question 3 - Deal Comps'!Print_Area</vt:lpstr>
      <vt:lpstr>'Question 4 - Valuation Summary'!Print_Area</vt:lpstr>
      <vt:lpstr>Ratios!Print_Area</vt:lpstr>
      <vt:lpstr>README!Print_Area</vt:lpstr>
      <vt:lpstr>'WACC Reference'!Print_Area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Day</dc:creator>
  <cp:lastModifiedBy>Darrell Day</cp:lastModifiedBy>
  <cp:revision>7</cp:revision>
  <dcterms:created xsi:type="dcterms:W3CDTF">2023-02-03T23:31:09Z</dcterms:created>
  <dcterms:modified xsi:type="dcterms:W3CDTF">2026-07-07T20:35:23Z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0x010100EE5FE409319F8A46956C6C271AAA683B</vt:lpwstr>
  </property>
  <property fmtid="{D5CDD505-2E9C-101B-9397-08002B2CF9AE}" pid="3" name="MediaServiceImageTags">
    <vt:lpwstr/>
  </property>
</Properties>
</file>