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darrell/Projects/_active/dday-portfolio/public/archive/"/>
    </mc:Choice>
  </mc:AlternateContent>
  <xr:revisionPtr revIDLastSave="0" documentId="13_ncr:1_{6E0F066A-966C-9C47-8363-1C9AD12EBA42}" xr6:coauthVersionLast="47" xr6:coauthVersionMax="47" xr10:uidLastSave="{00000000-0000-0000-0000-000000000000}"/>
  <bookViews>
    <workbookView xWindow="68800" yWindow="-10980" windowWidth="40960" windowHeight="26560" tabRatio="1000" activeTab="5" xr2:uid="{00000000-000D-0000-FFFF-FFFF00000000}"/>
  </bookViews>
  <sheets>
    <sheet name="Cover" sheetId="1" r:id="rId1"/>
    <sheet name="Summary" sheetId="2" r:id="rId2"/>
    <sheet name="Assumptions" sheetId="3" r:id="rId3"/>
    <sheet name="DCF" sheetId="4" r:id="rId4"/>
    <sheet name="WACC" sheetId="5" r:id="rId5"/>
    <sheet name="Trading Comps" sheetId="6" r:id="rId6"/>
    <sheet name="Precedent Txns" sheetId="7" r:id="rId7"/>
    <sheet name="KDP Ratios" sheetId="8" r:id="rId8"/>
    <sheet name="PEP Historical" sheetId="9" r:id="rId9"/>
    <sheet name="KDP Historical" sheetId="10" r:id="rId10"/>
    <sheet name="Monte Carlo Snapshot" sheetId="11" state="hidden" r:id="rId11"/>
    <sheet name="EPS Assumptions" sheetId="12" r:id="rId12"/>
    <sheet name="Pro Forma EPS" sheetId="13" r:id="rId13"/>
    <sheet name="Sensitivity Analysis" sheetId="14" r:id="rId14"/>
    <sheet name="Contribution Summary" sheetId="15" r:id="rId15"/>
    <sheet name="Revenue Contribution" sheetId="16" r:id="rId16"/>
    <sheet name="EBITDA Contribution" sheetId="17" r:id="rId17"/>
    <sheet name="Net Income Contribution" sheetId="18" r:id="rId18"/>
    <sheet name="Ownership Bridge" sheetId="19" r:id="rId19"/>
    <sheet name="Contribution Inputs" sheetId="20" state="veryHidden" r:id="rId20"/>
    <sheet name="IRI Readme" sheetId="21" r:id="rId21"/>
    <sheet name="IRI Inputs" sheetId="22" r:id="rId22"/>
    <sheet name="IRI Model" sheetId="23" r:id="rId23"/>
    <sheet name="IRI Figures" sheetId="24" r:id="rId24"/>
    <sheet name="IRI Core Inputs" sheetId="25" state="veryHidden" r:id="rId25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5" l="1"/>
  <c r="B13" i="25"/>
  <c r="C8" i="22" s="1"/>
  <c r="C34" i="22" s="1"/>
  <c r="B11" i="25"/>
  <c r="B10" i="25"/>
  <c r="B9" i="25"/>
  <c r="B6" i="25"/>
  <c r="C17" i="22" s="1"/>
  <c r="B5" i="25"/>
  <c r="C16" i="22" s="1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0" i="23"/>
  <c r="K28" i="24" s="1"/>
  <c r="B79" i="23"/>
  <c r="K27" i="24" s="1"/>
  <c r="B78" i="23"/>
  <c r="B77" i="23"/>
  <c r="K25" i="24" s="1"/>
  <c r="B76" i="23"/>
  <c r="B75" i="23"/>
  <c r="K23" i="24" s="1"/>
  <c r="B74" i="23"/>
  <c r="B73" i="23"/>
  <c r="K21" i="24" s="1"/>
  <c r="B72" i="23"/>
  <c r="K20" i="24" s="1"/>
  <c r="B71" i="23"/>
  <c r="K19" i="24" s="1"/>
  <c r="B70" i="23"/>
  <c r="B66" i="23"/>
  <c r="H26" i="24" s="1"/>
  <c r="B65" i="23"/>
  <c r="H25" i="24" s="1"/>
  <c r="B64" i="23"/>
  <c r="H24" i="24" s="1"/>
  <c r="B63" i="23"/>
  <c r="H23" i="24" s="1"/>
  <c r="B62" i="23"/>
  <c r="H22" i="24" s="1"/>
  <c r="B61" i="23"/>
  <c r="H21" i="24" s="1"/>
  <c r="B60" i="23"/>
  <c r="H20" i="24" s="1"/>
  <c r="B59" i="23"/>
  <c r="H19" i="24" s="1"/>
  <c r="B58" i="23"/>
  <c r="H18" i="24" s="1"/>
  <c r="B54" i="23"/>
  <c r="E32" i="24" s="1"/>
  <c r="B53" i="23"/>
  <c r="E31" i="24" s="1"/>
  <c r="B52" i="23"/>
  <c r="E30" i="24" s="1"/>
  <c r="B51" i="23"/>
  <c r="E29" i="24" s="1"/>
  <c r="B50" i="23"/>
  <c r="E28" i="24" s="1"/>
  <c r="B49" i="23"/>
  <c r="E27" i="24" s="1"/>
  <c r="B48" i="23"/>
  <c r="E26" i="24" s="1"/>
  <c r="B47" i="23"/>
  <c r="E25" i="24" s="1"/>
  <c r="B46" i="23"/>
  <c r="E24" i="24" s="1"/>
  <c r="B45" i="23"/>
  <c r="E23" i="24" s="1"/>
  <c r="B44" i="23"/>
  <c r="E22" i="24" s="1"/>
  <c r="B43" i="23"/>
  <c r="E21" i="24" s="1"/>
  <c r="B42" i="23"/>
  <c r="E20" i="24" s="1"/>
  <c r="B41" i="23"/>
  <c r="E19" i="24" s="1"/>
  <c r="B40" i="23"/>
  <c r="E18" i="24" s="1"/>
  <c r="B36" i="23"/>
  <c r="B30" i="24" s="1"/>
  <c r="B35" i="23"/>
  <c r="B29" i="24" s="1"/>
  <c r="B34" i="23"/>
  <c r="B28" i="24" s="1"/>
  <c r="B33" i="23"/>
  <c r="B27" i="24" s="1"/>
  <c r="B32" i="23"/>
  <c r="B26" i="24" s="1"/>
  <c r="B31" i="23"/>
  <c r="B25" i="24" s="1"/>
  <c r="B30" i="23"/>
  <c r="B24" i="24" s="1"/>
  <c r="B29" i="23"/>
  <c r="B23" i="24" s="1"/>
  <c r="B28" i="23"/>
  <c r="B22" i="24" s="1"/>
  <c r="B27" i="23"/>
  <c r="B21" i="24" s="1"/>
  <c r="B26" i="23"/>
  <c r="B20" i="24" s="1"/>
  <c r="B25" i="23"/>
  <c r="B19" i="24" s="1"/>
  <c r="B24" i="23"/>
  <c r="B18" i="24" s="1"/>
  <c r="B20" i="23"/>
  <c r="D11" i="23"/>
  <c r="C9" i="24" s="1"/>
  <c r="C33" i="22"/>
  <c r="C19" i="22"/>
  <c r="H26" i="20"/>
  <c r="H7" i="18" s="1"/>
  <c r="G26" i="20"/>
  <c r="G7" i="18" s="1"/>
  <c r="F26" i="20"/>
  <c r="F7" i="18" s="1"/>
  <c r="E26" i="20"/>
  <c r="E7" i="18" s="1"/>
  <c r="D26" i="20"/>
  <c r="D7" i="18" s="1"/>
  <c r="C26" i="20"/>
  <c r="C7" i="18" s="1"/>
  <c r="H25" i="20"/>
  <c r="H6" i="18" s="1"/>
  <c r="G25" i="20"/>
  <c r="G6" i="18" s="1"/>
  <c r="F25" i="20"/>
  <c r="F6" i="18" s="1"/>
  <c r="E25" i="20"/>
  <c r="E6" i="18" s="1"/>
  <c r="D25" i="20"/>
  <c r="D6" i="18" s="1"/>
  <c r="C25" i="20"/>
  <c r="C6" i="18" s="1"/>
  <c r="H24" i="20"/>
  <c r="H7" i="17" s="1"/>
  <c r="G24" i="20"/>
  <c r="G7" i="17" s="1"/>
  <c r="F24" i="20"/>
  <c r="F7" i="17" s="1"/>
  <c r="E24" i="20"/>
  <c r="E7" i="17" s="1"/>
  <c r="D24" i="20"/>
  <c r="D7" i="17" s="1"/>
  <c r="C24" i="20"/>
  <c r="C7" i="17" s="1"/>
  <c r="H23" i="20"/>
  <c r="C8" i="15" s="1"/>
  <c r="G23" i="20"/>
  <c r="G6" i="17" s="1"/>
  <c r="F23" i="20"/>
  <c r="F6" i="17" s="1"/>
  <c r="E23" i="20"/>
  <c r="E6" i="17" s="1"/>
  <c r="D23" i="20"/>
  <c r="D6" i="17" s="1"/>
  <c r="C23" i="20"/>
  <c r="C6" i="17" s="1"/>
  <c r="H22" i="20"/>
  <c r="D7" i="15" s="1"/>
  <c r="G22" i="20"/>
  <c r="G7" i="16" s="1"/>
  <c r="F22" i="20"/>
  <c r="F7" i="16" s="1"/>
  <c r="E22" i="20"/>
  <c r="E7" i="16" s="1"/>
  <c r="D22" i="20"/>
  <c r="D7" i="16" s="1"/>
  <c r="C22" i="20"/>
  <c r="C7" i="16" s="1"/>
  <c r="H21" i="20"/>
  <c r="C7" i="15" s="1"/>
  <c r="G21" i="20"/>
  <c r="G6" i="16" s="1"/>
  <c r="F21" i="20"/>
  <c r="F6" i="16" s="1"/>
  <c r="E21" i="20"/>
  <c r="E6" i="16" s="1"/>
  <c r="D21" i="20"/>
  <c r="D6" i="16" s="1"/>
  <c r="C21" i="20"/>
  <c r="C6" i="16" s="1"/>
  <c r="B18" i="20"/>
  <c r="D11" i="15" s="1"/>
  <c r="B17" i="20"/>
  <c r="C11" i="15" s="1"/>
  <c r="B16" i="20"/>
  <c r="D10" i="15" s="1"/>
  <c r="B15" i="20"/>
  <c r="C10" i="15" s="1"/>
  <c r="B11" i="20"/>
  <c r="B9" i="20"/>
  <c r="B8" i="20"/>
  <c r="B3" i="18"/>
  <c r="B3" i="17"/>
  <c r="D32" i="16"/>
  <c r="C29" i="16"/>
  <c r="C28" i="16"/>
  <c r="C27" i="16"/>
  <c r="C26" i="16"/>
  <c r="C22" i="16"/>
  <c r="C21" i="16"/>
  <c r="C20" i="16"/>
  <c r="C19" i="16"/>
  <c r="C18" i="16"/>
  <c r="C17" i="16"/>
  <c r="B3" i="16"/>
  <c r="E33" i="14"/>
  <c r="D22" i="13"/>
  <c r="D15" i="13"/>
  <c r="E15" i="13" s="1"/>
  <c r="D9" i="13"/>
  <c r="E9" i="13" s="1"/>
  <c r="F48" i="12"/>
  <c r="G28" i="12"/>
  <c r="D14" i="13" s="1"/>
  <c r="E14" i="13" s="1"/>
  <c r="F28" i="12"/>
  <c r="D8" i="13" s="1"/>
  <c r="G26" i="12"/>
  <c r="F26" i="12"/>
  <c r="G25" i="12"/>
  <c r="F25" i="12"/>
  <c r="F24" i="12"/>
  <c r="B10" i="20" s="1"/>
  <c r="G20" i="12"/>
  <c r="B12" i="25" s="1"/>
  <c r="I18" i="6"/>
  <c r="H18" i="6"/>
  <c r="G18" i="6"/>
  <c r="I17" i="6"/>
  <c r="E21" i="6" s="1"/>
  <c r="E22" i="6" s="1"/>
  <c r="H17" i="6"/>
  <c r="D21" i="6" s="1"/>
  <c r="D22" i="6" s="1"/>
  <c r="G17" i="6"/>
  <c r="C21" i="6" s="1"/>
  <c r="C22" i="6" s="1"/>
  <c r="C25" i="5"/>
  <c r="C26" i="5" s="1"/>
  <c r="E14" i="5"/>
  <c r="E13" i="5"/>
  <c r="E11" i="5"/>
  <c r="E10" i="5"/>
  <c r="C74" i="4"/>
  <c r="C44" i="3"/>
  <c r="C70" i="4" s="1"/>
  <c r="C49" i="2" s="1"/>
  <c r="C43" i="3"/>
  <c r="C30" i="5" s="1"/>
  <c r="C39" i="3"/>
  <c r="C72" i="4" s="1"/>
  <c r="C38" i="3"/>
  <c r="C37" i="3"/>
  <c r="C36" i="3"/>
  <c r="C7" i="4" s="1"/>
  <c r="C23" i="4" s="1"/>
  <c r="G19" i="3"/>
  <c r="H8" i="4" s="1"/>
  <c r="F19" i="3"/>
  <c r="G8" i="4" s="1"/>
  <c r="E19" i="3"/>
  <c r="E23" i="3" s="1"/>
  <c r="D19" i="3"/>
  <c r="E8" i="4" s="1"/>
  <c r="C19" i="3"/>
  <c r="C23" i="3" s="1"/>
  <c r="C16" i="3"/>
  <c r="G16" i="12" s="1"/>
  <c r="E22" i="13" s="1"/>
  <c r="C15" i="3"/>
  <c r="G6" i="12" s="1"/>
  <c r="C14" i="3"/>
  <c r="C13" i="3"/>
  <c r="I8" i="4" s="1"/>
  <c r="C12" i="3"/>
  <c r="D16" i="4" s="1"/>
  <c r="C11" i="3"/>
  <c r="H22" i="4" s="1"/>
  <c r="C10" i="3"/>
  <c r="E13" i="4" s="1"/>
  <c r="C9" i="3"/>
  <c r="E20" i="4" s="1"/>
  <c r="C8" i="3"/>
  <c r="H10" i="4" s="1"/>
  <c r="C5" i="3"/>
  <c r="D33" i="2"/>
  <c r="D27" i="2"/>
  <c r="E26" i="2"/>
  <c r="D26" i="2"/>
  <c r="C26" i="2"/>
  <c r="C13" i="2"/>
  <c r="C12" i="2"/>
  <c r="C10" i="2"/>
  <c r="C9" i="2"/>
  <c r="B3" i="25" l="1"/>
  <c r="B9" i="21" s="1"/>
  <c r="D31" i="2"/>
  <c r="C25" i="22"/>
  <c r="C19" i="2"/>
  <c r="F20" i="4"/>
  <c r="C42" i="3"/>
  <c r="C29" i="5" s="1"/>
  <c r="C31" i="5" s="1"/>
  <c r="C33" i="5" s="1"/>
  <c r="H20" i="4"/>
  <c r="H7" i="16"/>
  <c r="H17" i="18" s="1"/>
  <c r="D20" i="4"/>
  <c r="C69" i="4"/>
  <c r="C48" i="2" s="1"/>
  <c r="C9" i="15"/>
  <c r="D9" i="15"/>
  <c r="E16" i="4"/>
  <c r="H16" i="4"/>
  <c r="H6" i="17"/>
  <c r="H8" i="17" s="1"/>
  <c r="H11" i="17" s="1"/>
  <c r="G20" i="4"/>
  <c r="D16" i="18"/>
  <c r="C17" i="2"/>
  <c r="F8" i="16"/>
  <c r="F11" i="16" s="1"/>
  <c r="E7" i="15"/>
  <c r="F7" i="15" s="1"/>
  <c r="F23" i="3"/>
  <c r="G22" i="4"/>
  <c r="G16" i="18"/>
  <c r="I22" i="4"/>
  <c r="G8" i="12"/>
  <c r="G21" i="12" s="1"/>
  <c r="G24" i="12" s="1"/>
  <c r="C51" i="4"/>
  <c r="F8" i="4"/>
  <c r="C30" i="16"/>
  <c r="C16" i="2"/>
  <c r="I10" i="4"/>
  <c r="E11" i="15"/>
  <c r="F11" i="15" s="1"/>
  <c r="D13" i="4"/>
  <c r="B12" i="20"/>
  <c r="B13" i="20" s="1"/>
  <c r="C7" i="19" s="1"/>
  <c r="G18" i="19" s="1"/>
  <c r="C18" i="2"/>
  <c r="F13" i="4"/>
  <c r="C15" i="5"/>
  <c r="C19" i="5" s="1"/>
  <c r="C20" i="5" s="1"/>
  <c r="E10" i="15"/>
  <c r="F10" i="15" s="1"/>
  <c r="C32" i="19" s="1"/>
  <c r="I13" i="4"/>
  <c r="C16" i="4"/>
  <c r="C17" i="4" s="1"/>
  <c r="C18" i="4" s="1"/>
  <c r="G8" i="16"/>
  <c r="G10" i="16" s="1"/>
  <c r="G29" i="12"/>
  <c r="C15" i="17"/>
  <c r="G23" i="3"/>
  <c r="C35" i="22"/>
  <c r="D13" i="23" s="1"/>
  <c r="C11" i="24" s="1"/>
  <c r="I20" i="4"/>
  <c r="D22" i="4"/>
  <c r="D24" i="2"/>
  <c r="C24" i="2"/>
  <c r="D10" i="13"/>
  <c r="E8" i="13"/>
  <c r="D18" i="13"/>
  <c r="E8" i="16"/>
  <c r="E10" i="16" s="1"/>
  <c r="E16" i="18"/>
  <c r="E15" i="17"/>
  <c r="C20" i="2"/>
  <c r="C16" i="18"/>
  <c r="C8" i="18"/>
  <c r="D8" i="16"/>
  <c r="D11" i="16" s="1"/>
  <c r="E24" i="2"/>
  <c r="C12" i="22"/>
  <c r="D9" i="23" s="1"/>
  <c r="C7" i="24" s="1"/>
  <c r="G7" i="12"/>
  <c r="D7" i="4"/>
  <c r="F16" i="18"/>
  <c r="F8" i="18"/>
  <c r="D8" i="4"/>
  <c r="H8" i="18"/>
  <c r="C14" i="17"/>
  <c r="C8" i="17"/>
  <c r="C10" i="17" s="1"/>
  <c r="C17" i="18"/>
  <c r="C20" i="22"/>
  <c r="D14" i="17"/>
  <c r="D8" i="17"/>
  <c r="D11" i="17" s="1"/>
  <c r="D17" i="18"/>
  <c r="C6" i="19"/>
  <c r="C12" i="15"/>
  <c r="E14" i="17"/>
  <c r="E8" i="17"/>
  <c r="E10" i="17" s="1"/>
  <c r="E8" i="18"/>
  <c r="E11" i="18" s="1"/>
  <c r="E17" i="18"/>
  <c r="F17" i="18"/>
  <c r="F14" i="17"/>
  <c r="F8" i="17"/>
  <c r="G14" i="17"/>
  <c r="G8" i="17"/>
  <c r="C7" i="22"/>
  <c r="D23" i="3"/>
  <c r="C8" i="16"/>
  <c r="C11" i="16" s="1"/>
  <c r="K26" i="24"/>
  <c r="G13" i="4"/>
  <c r="F16" i="4"/>
  <c r="F27" i="12"/>
  <c r="H13" i="4"/>
  <c r="G16" i="4"/>
  <c r="K24" i="24"/>
  <c r="G17" i="18"/>
  <c r="B3" i="20"/>
  <c r="D10" i="4"/>
  <c r="I16" i="4"/>
  <c r="D8" i="15"/>
  <c r="E8" i="15" s="1"/>
  <c r="B4" i="20"/>
  <c r="K22" i="24"/>
  <c r="E10" i="4"/>
  <c r="F29" i="12"/>
  <c r="F32" i="12" s="1"/>
  <c r="D15" i="17"/>
  <c r="F10" i="4"/>
  <c r="H6" i="16"/>
  <c r="H16" i="18" s="1"/>
  <c r="G10" i="4"/>
  <c r="C23" i="16"/>
  <c r="F15" i="17"/>
  <c r="G15" i="17"/>
  <c r="K18" i="24"/>
  <c r="D8" i="18"/>
  <c r="E22" i="4"/>
  <c r="F22" i="4"/>
  <c r="G8" i="18"/>
  <c r="G18" i="18" l="1"/>
  <c r="G16" i="17"/>
  <c r="F16" i="17"/>
  <c r="F18" i="18"/>
  <c r="E9" i="15"/>
  <c r="F9" i="15" s="1"/>
  <c r="H15" i="17"/>
  <c r="G32" i="12"/>
  <c r="F10" i="16"/>
  <c r="C10" i="16"/>
  <c r="C18" i="18"/>
  <c r="D23" i="13"/>
  <c r="E23" i="13" s="1"/>
  <c r="G22" i="12"/>
  <c r="D10" i="17"/>
  <c r="G11" i="16"/>
  <c r="E11" i="17"/>
  <c r="G10" i="17"/>
  <c r="E11" i="16"/>
  <c r="F10" i="18"/>
  <c r="D18" i="19"/>
  <c r="D19" i="19" s="1"/>
  <c r="D21" i="19" s="1"/>
  <c r="B8" i="25"/>
  <c r="C22" i="22" s="1"/>
  <c r="C23" i="22" s="1"/>
  <c r="F18" i="19"/>
  <c r="F19" i="19" s="1"/>
  <c r="F21" i="19" s="1"/>
  <c r="C18" i="19"/>
  <c r="C19" i="19" s="1"/>
  <c r="C21" i="19" s="1"/>
  <c r="E18" i="19"/>
  <c r="E19" i="19" s="1"/>
  <c r="E21" i="19" s="1"/>
  <c r="D12" i="15"/>
  <c r="E12" i="15" s="1"/>
  <c r="F12" i="15" s="1"/>
  <c r="E18" i="18"/>
  <c r="E16" i="17"/>
  <c r="C8" i="19"/>
  <c r="H10" i="17"/>
  <c r="H11" i="18"/>
  <c r="C29" i="19"/>
  <c r="C10" i="18"/>
  <c r="D10" i="16"/>
  <c r="H14" i="17"/>
  <c r="H8" i="16"/>
  <c r="H11" i="16" s="1"/>
  <c r="G11" i="17"/>
  <c r="C11" i="18"/>
  <c r="E10" i="18"/>
  <c r="C12" i="19"/>
  <c r="B5" i="20"/>
  <c r="C13" i="19" s="1"/>
  <c r="D21" i="4"/>
  <c r="D14" i="4"/>
  <c r="D23" i="4"/>
  <c r="D24" i="4" s="1"/>
  <c r="C30" i="4"/>
  <c r="D11" i="4"/>
  <c r="E7" i="4"/>
  <c r="C26" i="22"/>
  <c r="C9" i="22"/>
  <c r="F10" i="17"/>
  <c r="F8" i="15"/>
  <c r="C30" i="2" s="1"/>
  <c r="F37" i="12"/>
  <c r="G42" i="12"/>
  <c r="F38" i="12"/>
  <c r="G27" i="12"/>
  <c r="G19" i="19"/>
  <c r="G21" i="19" s="1"/>
  <c r="D18" i="18"/>
  <c r="E10" i="13"/>
  <c r="E18" i="13"/>
  <c r="D10" i="18"/>
  <c r="D11" i="18"/>
  <c r="D34" i="13"/>
  <c r="C16" i="17"/>
  <c r="C11" i="17"/>
  <c r="C32" i="5"/>
  <c r="C36" i="5" s="1"/>
  <c r="C52" i="4" s="1"/>
  <c r="C31" i="19"/>
  <c r="F36" i="12"/>
  <c r="F11" i="18"/>
  <c r="D16" i="17"/>
  <c r="C11" i="19"/>
  <c r="F11" i="19" s="1"/>
  <c r="C32" i="16"/>
  <c r="G10" i="18"/>
  <c r="F11" i="17"/>
  <c r="H10" i="18"/>
  <c r="G11" i="18"/>
  <c r="B3" i="19" l="1"/>
  <c r="H16" i="17"/>
  <c r="B17" i="15"/>
  <c r="B3" i="15"/>
  <c r="F12" i="19"/>
  <c r="F13" i="19" s="1"/>
  <c r="F14" i="19" s="1"/>
  <c r="D34" i="19" s="1"/>
  <c r="G20" i="19"/>
  <c r="C20" i="19"/>
  <c r="C28" i="22"/>
  <c r="C27" i="22"/>
  <c r="C30" i="22" s="1"/>
  <c r="D12" i="23" s="1"/>
  <c r="C22" i="19"/>
  <c r="C23" i="19" s="1"/>
  <c r="F7" i="4"/>
  <c r="E21" i="4"/>
  <c r="E23" i="4"/>
  <c r="E24" i="4" s="1"/>
  <c r="E14" i="4"/>
  <c r="D30" i="4"/>
  <c r="E11" i="4"/>
  <c r="D29" i="16"/>
  <c r="D18" i="16"/>
  <c r="D19" i="16"/>
  <c r="D26" i="16"/>
  <c r="D17" i="16"/>
  <c r="D21" i="16"/>
  <c r="D27" i="16"/>
  <c r="D20" i="16"/>
  <c r="D28" i="16"/>
  <c r="D22" i="16"/>
  <c r="D30" i="16"/>
  <c r="D23" i="16"/>
  <c r="C33" i="19"/>
  <c r="G12" i="15"/>
  <c r="H12" i="15" s="1"/>
  <c r="D32" i="19"/>
  <c r="E32" i="19" s="1"/>
  <c r="G22" i="19"/>
  <c r="G23" i="19" s="1"/>
  <c r="G44" i="12"/>
  <c r="D25" i="13" s="1"/>
  <c r="E22" i="19"/>
  <c r="E23" i="19" s="1"/>
  <c r="F39" i="12"/>
  <c r="G38" i="12" s="1"/>
  <c r="F49" i="12"/>
  <c r="E20" i="19"/>
  <c r="D22" i="19"/>
  <c r="D23" i="19" s="1"/>
  <c r="E34" i="13"/>
  <c r="D20" i="19"/>
  <c r="C31" i="4"/>
  <c r="D15" i="4"/>
  <c r="D24" i="13"/>
  <c r="F22" i="19"/>
  <c r="F23" i="19" s="1"/>
  <c r="F20" i="19"/>
  <c r="C30" i="19"/>
  <c r="H59" i="4"/>
  <c r="G59" i="4"/>
  <c r="F59" i="4"/>
  <c r="E59" i="4"/>
  <c r="D59" i="4"/>
  <c r="C13" i="22"/>
  <c r="D10" i="23" s="1"/>
  <c r="D8" i="23"/>
  <c r="C6" i="24" s="1"/>
  <c r="H10" i="16"/>
  <c r="H18" i="18"/>
  <c r="D30" i="19" l="1"/>
  <c r="G9" i="15"/>
  <c r="H9" i="15" s="1"/>
  <c r="G8" i="15"/>
  <c r="H8" i="15" s="1"/>
  <c r="G11" i="15"/>
  <c r="H11" i="15" s="1"/>
  <c r="D33" i="19"/>
  <c r="E33" i="19" s="1"/>
  <c r="D29" i="19"/>
  <c r="E29" i="19" s="1"/>
  <c r="D31" i="19"/>
  <c r="E31" i="19" s="1"/>
  <c r="G7" i="15"/>
  <c r="B16" i="15" s="1"/>
  <c r="G10" i="15"/>
  <c r="H10" i="15" s="1"/>
  <c r="C31" i="2"/>
  <c r="C32" i="2" s="1"/>
  <c r="G24" i="19"/>
  <c r="E24" i="19"/>
  <c r="F24" i="19"/>
  <c r="G45" i="12"/>
  <c r="G36" i="12"/>
  <c r="E30" i="19"/>
  <c r="F50" i="12"/>
  <c r="G49" i="12" s="1"/>
  <c r="D31" i="4"/>
  <c r="E15" i="4"/>
  <c r="C34" i="19"/>
  <c r="E34" i="19" s="1"/>
  <c r="G7" i="4"/>
  <c r="F11" i="4"/>
  <c r="E30" i="4"/>
  <c r="F14" i="4"/>
  <c r="F23" i="4"/>
  <c r="F24" i="4" s="1"/>
  <c r="F21" i="4"/>
  <c r="G37" i="12"/>
  <c r="D17" i="4"/>
  <c r="D18" i="4" s="1"/>
  <c r="C77" i="23"/>
  <c r="D77" i="23" s="1"/>
  <c r="L25" i="24" s="1"/>
  <c r="C71" i="23"/>
  <c r="D71" i="23" s="1"/>
  <c r="L19" i="24" s="1"/>
  <c r="C8" i="24"/>
  <c r="C75" i="23"/>
  <c r="D75" i="23" s="1"/>
  <c r="L23" i="24" s="1"/>
  <c r="C76" i="23"/>
  <c r="D76" i="23" s="1"/>
  <c r="L24" i="24" s="1"/>
  <c r="C70" i="23"/>
  <c r="D70" i="23" s="1"/>
  <c r="L18" i="24" s="1"/>
  <c r="C73" i="23"/>
  <c r="D73" i="23" s="1"/>
  <c r="L21" i="24" s="1"/>
  <c r="C79" i="23"/>
  <c r="D79" i="23" s="1"/>
  <c r="L27" i="24" s="1"/>
  <c r="C80" i="23"/>
  <c r="D80" i="23" s="1"/>
  <c r="L28" i="24" s="1"/>
  <c r="C74" i="23"/>
  <c r="D74" i="23" s="1"/>
  <c r="L22" i="24" s="1"/>
  <c r="C72" i="23"/>
  <c r="D72" i="23" s="1"/>
  <c r="L20" i="24" s="1"/>
  <c r="C78" i="23"/>
  <c r="D78" i="23" s="1"/>
  <c r="L26" i="24" s="1"/>
  <c r="C24" i="19"/>
  <c r="E24" i="13"/>
  <c r="D27" i="13"/>
  <c r="D26" i="13"/>
  <c r="C10" i="24"/>
  <c r="C62" i="23"/>
  <c r="D62" i="23" s="1"/>
  <c r="I22" i="24" s="1"/>
  <c r="C53" i="23"/>
  <c r="D53" i="23" s="1"/>
  <c r="F31" i="24" s="1"/>
  <c r="C47" i="23"/>
  <c r="D47" i="23" s="1"/>
  <c r="F25" i="24" s="1"/>
  <c r="C41" i="23"/>
  <c r="D41" i="23" s="1"/>
  <c r="F19" i="24" s="1"/>
  <c r="C32" i="23"/>
  <c r="D32" i="23" s="1"/>
  <c r="C26" i="24" s="1"/>
  <c r="C26" i="23"/>
  <c r="D26" i="23" s="1"/>
  <c r="C20" i="24" s="1"/>
  <c r="C61" i="23"/>
  <c r="D61" i="23" s="1"/>
  <c r="I21" i="24" s="1"/>
  <c r="C52" i="23"/>
  <c r="D52" i="23" s="1"/>
  <c r="F30" i="24" s="1"/>
  <c r="C46" i="23"/>
  <c r="D46" i="23" s="1"/>
  <c r="F24" i="24" s="1"/>
  <c r="C40" i="23"/>
  <c r="D40" i="23" s="1"/>
  <c r="F18" i="24" s="1"/>
  <c r="C31" i="23"/>
  <c r="D31" i="23" s="1"/>
  <c r="C25" i="24" s="1"/>
  <c r="C25" i="23"/>
  <c r="D25" i="23" s="1"/>
  <c r="C19" i="24" s="1"/>
  <c r="C65" i="23"/>
  <c r="D65" i="23" s="1"/>
  <c r="I25" i="24" s="1"/>
  <c r="C59" i="23"/>
  <c r="D59" i="23" s="1"/>
  <c r="I19" i="24" s="1"/>
  <c r="C50" i="23"/>
  <c r="D50" i="23" s="1"/>
  <c r="F28" i="24" s="1"/>
  <c r="C44" i="23"/>
  <c r="D44" i="23" s="1"/>
  <c r="F22" i="24" s="1"/>
  <c r="C35" i="23"/>
  <c r="D35" i="23" s="1"/>
  <c r="C29" i="24" s="1"/>
  <c r="C29" i="23"/>
  <c r="D29" i="23" s="1"/>
  <c r="C23" i="24" s="1"/>
  <c r="D17" i="23"/>
  <c r="C64" i="23"/>
  <c r="D64" i="23" s="1"/>
  <c r="I24" i="24" s="1"/>
  <c r="C58" i="23"/>
  <c r="D58" i="23" s="1"/>
  <c r="I18" i="24" s="1"/>
  <c r="C49" i="23"/>
  <c r="D49" i="23" s="1"/>
  <c r="F27" i="24" s="1"/>
  <c r="C43" i="23"/>
  <c r="D43" i="23" s="1"/>
  <c r="F21" i="24" s="1"/>
  <c r="C34" i="23"/>
  <c r="D34" i="23" s="1"/>
  <c r="C28" i="24" s="1"/>
  <c r="C28" i="23"/>
  <c r="D28" i="23" s="1"/>
  <c r="C22" i="24" s="1"/>
  <c r="C33" i="23"/>
  <c r="D33" i="23" s="1"/>
  <c r="C27" i="24" s="1"/>
  <c r="C63" i="23"/>
  <c r="D63" i="23" s="1"/>
  <c r="I23" i="24" s="1"/>
  <c r="C54" i="23"/>
  <c r="D54" i="23" s="1"/>
  <c r="F32" i="24" s="1"/>
  <c r="C48" i="23"/>
  <c r="D48" i="23" s="1"/>
  <c r="F26" i="24" s="1"/>
  <c r="C42" i="23"/>
  <c r="D42" i="23" s="1"/>
  <c r="F20" i="24" s="1"/>
  <c r="C27" i="23"/>
  <c r="D27" i="23" s="1"/>
  <c r="C21" i="24" s="1"/>
  <c r="C51" i="23"/>
  <c r="D51" i="23" s="1"/>
  <c r="F29" i="24" s="1"/>
  <c r="C30" i="23"/>
  <c r="D30" i="23" s="1"/>
  <c r="C24" i="24" s="1"/>
  <c r="C66" i="23"/>
  <c r="D66" i="23" s="1"/>
  <c r="I26" i="24" s="1"/>
  <c r="C45" i="23"/>
  <c r="D45" i="23" s="1"/>
  <c r="F23" i="24" s="1"/>
  <c r="C24" i="23"/>
  <c r="D24" i="23" s="1"/>
  <c r="C18" i="24" s="1"/>
  <c r="C60" i="23"/>
  <c r="D60" i="23" s="1"/>
  <c r="I20" i="24" s="1"/>
  <c r="C36" i="23"/>
  <c r="D36" i="23" s="1"/>
  <c r="C30" i="24" s="1"/>
  <c r="D24" i="19"/>
  <c r="H7" i="15" l="1"/>
  <c r="B18" i="15" s="1"/>
  <c r="D26" i="4"/>
  <c r="C32" i="4"/>
  <c r="D98" i="23"/>
  <c r="D92" i="23"/>
  <c r="D86" i="23"/>
  <c r="C98" i="23"/>
  <c r="C92" i="23"/>
  <c r="C86" i="23"/>
  <c r="D97" i="23"/>
  <c r="D91" i="23"/>
  <c r="D85" i="23"/>
  <c r="C97" i="23"/>
  <c r="C91" i="23"/>
  <c r="C85" i="23"/>
  <c r="D102" i="23"/>
  <c r="D96" i="23"/>
  <c r="D90" i="23"/>
  <c r="D84" i="23"/>
  <c r="D101" i="23"/>
  <c r="D95" i="23"/>
  <c r="D89" i="23"/>
  <c r="C101" i="23"/>
  <c r="C95" i="23"/>
  <c r="C89" i="23"/>
  <c r="D18" i="23"/>
  <c r="D100" i="23"/>
  <c r="D94" i="23"/>
  <c r="D88" i="23"/>
  <c r="C100" i="23"/>
  <c r="C94" i="23"/>
  <c r="C88" i="23"/>
  <c r="D99" i="23"/>
  <c r="D93" i="23"/>
  <c r="D87" i="23"/>
  <c r="C99" i="23"/>
  <c r="C93" i="23"/>
  <c r="C87" i="23"/>
  <c r="C14" i="24"/>
  <c r="C34" i="2"/>
  <c r="C90" i="23"/>
  <c r="C102" i="23"/>
  <c r="C84" i="23"/>
  <c r="C96" i="23"/>
  <c r="D28" i="13"/>
  <c r="D31" i="13" s="1"/>
  <c r="E27" i="13"/>
  <c r="E26" i="13"/>
  <c r="F15" i="4"/>
  <c r="E31" i="4"/>
  <c r="H7" i="4"/>
  <c r="G11" i="4"/>
  <c r="G14" i="4"/>
  <c r="G23" i="4"/>
  <c r="G24" i="4" s="1"/>
  <c r="F30" i="4"/>
  <c r="G21" i="4"/>
  <c r="E17" i="4"/>
  <c r="E18" i="4" s="1"/>
  <c r="G48" i="12"/>
  <c r="G50" i="12" s="1"/>
  <c r="D19" i="13"/>
  <c r="G39" i="12"/>
  <c r="E28" i="13" l="1"/>
  <c r="E31" i="13" s="1"/>
  <c r="E26" i="4"/>
  <c r="D32" i="4"/>
  <c r="G15" i="4"/>
  <c r="F31" i="4"/>
  <c r="I7" i="4"/>
  <c r="H11" i="4"/>
  <c r="H14" i="4"/>
  <c r="H23" i="4"/>
  <c r="H24" i="4" s="1"/>
  <c r="G30" i="4"/>
  <c r="H21" i="4"/>
  <c r="F17" i="4"/>
  <c r="F18" i="4" s="1"/>
  <c r="C33" i="2"/>
  <c r="C15" i="24"/>
  <c r="E19" i="13"/>
  <c r="E32" i="13" s="1"/>
  <c r="E40" i="13" s="1"/>
  <c r="D32" i="13"/>
  <c r="D40" i="13" s="1"/>
  <c r="C33" i="4"/>
  <c r="D60" i="4"/>
  <c r="F26" i="4" l="1"/>
  <c r="E32" i="4"/>
  <c r="D33" i="13"/>
  <c r="E33" i="13"/>
  <c r="H15" i="4"/>
  <c r="G31" i="4"/>
  <c r="I11" i="4"/>
  <c r="I21" i="4"/>
  <c r="I23" i="4"/>
  <c r="I14" i="4"/>
  <c r="G17" i="4"/>
  <c r="G18" i="4" s="1"/>
  <c r="D33" i="4"/>
  <c r="E60" i="4"/>
  <c r="F32" i="4" l="1"/>
  <c r="G26" i="4"/>
  <c r="H17" i="4"/>
  <c r="H18" i="4" s="1"/>
  <c r="I15" i="4"/>
  <c r="E36" i="13"/>
  <c r="E37" i="13"/>
  <c r="C36" i="2" s="1"/>
  <c r="D37" i="13"/>
  <c r="C35" i="2" s="1"/>
  <c r="D36" i="13"/>
  <c r="F60" i="4"/>
  <c r="E33" i="4"/>
  <c r="H26" i="4" l="1"/>
  <c r="G32" i="4"/>
  <c r="I17" i="4"/>
  <c r="I18" i="4"/>
  <c r="I26" i="4" s="1"/>
  <c r="C53" i="4" s="1"/>
  <c r="C54" i="4" s="1"/>
  <c r="G60" i="4"/>
  <c r="F33" i="4"/>
  <c r="H98" i="4" l="1"/>
  <c r="D95" i="4"/>
  <c r="E99" i="4"/>
  <c r="H95" i="4"/>
  <c r="G98" i="4"/>
  <c r="G33" i="4"/>
  <c r="H60" i="4"/>
  <c r="C63" i="4" s="1"/>
  <c r="I103" i="4"/>
  <c r="I100" i="4"/>
  <c r="D99" i="4"/>
  <c r="I102" i="4"/>
  <c r="E103" i="4"/>
  <c r="I99" i="4"/>
  <c r="D100" i="4"/>
  <c r="F102" i="4"/>
  <c r="G103" i="4"/>
  <c r="I96" i="4"/>
  <c r="G99" i="4"/>
  <c r="H102" i="4"/>
  <c r="F95" i="4"/>
  <c r="G96" i="4"/>
  <c r="D103" i="4"/>
  <c r="D102" i="4"/>
  <c r="E96" i="4"/>
  <c r="I97" i="4"/>
  <c r="H103" i="4"/>
  <c r="E98" i="4"/>
  <c r="D96" i="4"/>
  <c r="F100" i="4"/>
  <c r="I98" i="4"/>
  <c r="E100" i="4"/>
  <c r="H97" i="4"/>
  <c r="E95" i="4"/>
  <c r="F96" i="4"/>
  <c r="E101" i="4"/>
  <c r="G100" i="4"/>
  <c r="H99" i="4"/>
  <c r="I101" i="4"/>
  <c r="E97" i="4"/>
  <c r="D98" i="4"/>
  <c r="G95" i="4"/>
  <c r="G102" i="4"/>
  <c r="H100" i="4"/>
  <c r="D101" i="4"/>
  <c r="H101" i="4"/>
  <c r="H96" i="4"/>
  <c r="F97" i="4"/>
  <c r="G101" i="4"/>
  <c r="F99" i="4"/>
  <c r="E102" i="4"/>
  <c r="F98" i="4"/>
  <c r="I95" i="4"/>
  <c r="F101" i="4"/>
  <c r="F103" i="4"/>
  <c r="G97" i="4"/>
  <c r="C55" i="4"/>
  <c r="D55" i="4" s="1"/>
  <c r="C62" i="4"/>
  <c r="D97" i="4"/>
  <c r="C65" i="2" l="1"/>
  <c r="C80" i="4"/>
  <c r="C47" i="2"/>
  <c r="C79" i="4"/>
  <c r="C64" i="4"/>
  <c r="C68" i="4" s="1"/>
  <c r="C71" i="4" s="1"/>
  <c r="C73" i="4" s="1"/>
  <c r="C64" i="2"/>
  <c r="C46" i="2"/>
  <c r="C75" i="4" l="1"/>
  <c r="C11" i="2"/>
  <c r="C8" i="2"/>
  <c r="C23" i="2"/>
  <c r="E23" i="2"/>
  <c r="D23" i="2"/>
  <c r="C65" i="4"/>
</calcChain>
</file>

<file path=xl/sharedStrings.xml><?xml version="1.0" encoding="utf-8"?>
<sst xmlns="http://schemas.openxmlformats.org/spreadsheetml/2006/main" count="1159" uniqueCount="696">
  <si>
    <r>
      <rPr>
        <sz val="22"/>
        <color rgb="FF1E3A8A"/>
        <rFont val="Söhne Fett"/>
      </rPr>
      <t>PEP</t>
    </r>
    <r>
      <rPr>
        <sz val="12"/>
        <color rgb="FF1E3A8A"/>
        <rFont val="Söhne Fett"/>
      </rPr>
      <t xml:space="preserve"> </t>
    </r>
    <r>
      <rPr>
        <sz val="16"/>
        <color theme="6" tint="-0.249977111117893"/>
        <rFont val="Söhne Fett"/>
      </rPr>
      <t>x</t>
    </r>
    <r>
      <rPr>
        <sz val="12"/>
        <color theme="6" tint="-0.249977111117893"/>
        <rFont val="Söhne Fett"/>
      </rPr>
      <t xml:space="preserve"> </t>
    </r>
    <r>
      <rPr>
        <sz val="22"/>
        <color rgb="FFBF3D34"/>
        <rFont val="Söhne Fett"/>
      </rPr>
      <t>KDP</t>
    </r>
  </si>
  <si>
    <t>For the Period Ending 12/31/2025</t>
  </si>
  <si>
    <t>M&amp;A Valuation Analysis</t>
  </si>
  <si>
    <r>
      <t xml:space="preserve">Darrell Day   </t>
    </r>
    <r>
      <rPr>
        <sz val="9"/>
        <color theme="1"/>
        <rFont val="Söhne Kräftig"/>
      </rPr>
      <t>|</t>
    </r>
    <r>
      <rPr>
        <sz val="9"/>
        <color rgb="FFBF3D34"/>
        <rFont val="Söhne"/>
      </rPr>
      <t xml:space="preserve">   </t>
    </r>
    <r>
      <rPr>
        <sz val="9"/>
        <color theme="4" tint="0.39997558519241921"/>
        <rFont val="Söhne"/>
      </rPr>
      <t>11th April, 2026</t>
    </r>
  </si>
  <si>
    <t>Acquirer</t>
  </si>
  <si>
    <t>PepsiCo, Inc. (NASDAQ: PEP)</t>
  </si>
  <si>
    <t>Target</t>
  </si>
  <si>
    <t>Keurig Dr Pepper Inc. (NASDAQ: KDP)</t>
  </si>
  <si>
    <t>Sector</t>
  </si>
  <si>
    <t>Consumer Staples / Non-Alcoholic Beverages</t>
  </si>
  <si>
    <t>Transaction Type</t>
  </si>
  <si>
    <t>Hypothetical Strategic Acquisition</t>
  </si>
  <si>
    <t>Currency</t>
  </si>
  <si>
    <t>USD ($ millions unless stated)</t>
  </si>
  <si>
    <t>Valuation Summary Dashboard</t>
  </si>
  <si>
    <t>PepsiCo (PEP) Acquisition of Keurig Dr Pepper (KDP)</t>
  </si>
  <si>
    <t>For additional customization, see Assumptions! (Sheet 3)</t>
  </si>
  <si>
    <t>Active Scenario</t>
  </si>
  <si>
    <t>Base Case</t>
  </si>
  <si>
    <t>Key Valuation Metrics</t>
  </si>
  <si>
    <t>Value</t>
  </si>
  <si>
    <t>Notes</t>
  </si>
  <si>
    <t>DCF Implied Share Price</t>
  </si>
  <si>
    <t>5-yr DCF + Terminal Value</t>
  </si>
  <si>
    <t>Current Market Price</t>
  </si>
  <si>
    <t>As of Dec 31, 2025</t>
  </si>
  <si>
    <t>Analyst Consensus Target</t>
  </si>
  <si>
    <t>Mean analyst PT</t>
  </si>
  <si>
    <t>DCF Upside / (Downside)</t>
  </si>
  <si>
    <t>vs. current price</t>
  </si>
  <si>
    <t>Monte Carlo Median Price</t>
  </si>
  <si>
    <t>10K sims, median</t>
  </si>
  <si>
    <t>Monte Carlo P(&gt;Market)</t>
  </si>
  <si>
    <t>Prob implied &gt; $28.01</t>
  </si>
  <si>
    <t>Deal Metrics</t>
  </si>
  <si>
    <t>Deal Premium</t>
  </si>
  <si>
    <t>Over current price</t>
  </si>
  <si>
    <t>Offer Price per Share</t>
  </si>
  <si>
    <t>Current x (1+Premium)</t>
  </si>
  <si>
    <t>Implied Equity Value ($M)</t>
  </si>
  <si>
    <t>Offer x Shares</t>
  </si>
  <si>
    <t>Stock Component</t>
  </si>
  <si>
    <t>% in PEP stock</t>
  </si>
  <si>
    <t>Pre-Tax Synergies ($M)</t>
  </si>
  <si>
    <t>Annual run-rate</t>
  </si>
  <si>
    <t>Valuation Methodology</t>
  </si>
  <si>
    <t>Low</t>
  </si>
  <si>
    <t>Mid</t>
  </si>
  <si>
    <t>High</t>
  </si>
  <si>
    <t>DCF (Base)</t>
  </si>
  <si>
    <t>Trading Comps (Median)</t>
  </si>
  <si>
    <t>Precedent Txns (EV/Sales)</t>
  </si>
  <si>
    <t>Monte Carlo (10K sims)</t>
  </si>
  <si>
    <t>Analyst Consensus</t>
  </si>
  <si>
    <t>Deal quality checks</t>
  </si>
  <si>
    <t>Operating contribution average</t>
  </si>
  <si>
    <t>Revenue, EBITDA, and net income only</t>
  </si>
  <si>
    <t>Base-case KDP ownership</t>
  </si>
  <si>
    <t>Contribution gap</t>
  </si>
  <si>
    <t>Positive means KDP contributes more than it receives</t>
  </si>
  <si>
    <t>IRI</t>
  </si>
  <si>
    <t>Required ROE</t>
  </si>
  <si>
    <t>ROE needed to justify the paid price in year 5</t>
  </si>
  <si>
    <t>EPS accretion / dilution CY+1</t>
  </si>
  <si>
    <t>Current package base case</t>
  </si>
  <si>
    <t>EPS accretion / dilution CY+2</t>
  </si>
  <si>
    <t>EV-to-Equity Waterfall (Chart Data)</t>
  </si>
  <si>
    <t>Component</t>
  </si>
  <si>
    <t>Amount ($M)</t>
  </si>
  <si>
    <t>PV of FCFs</t>
  </si>
  <si>
    <t>PV of Terminal Value</t>
  </si>
  <si>
    <t>Less: Debt</t>
  </si>
  <si>
    <t>Plus: Cash</t>
  </si>
  <si>
    <t>Terminal Value Composition (Chart Data)</t>
  </si>
  <si>
    <t>Source: Financial Modeling Prep /stable/ API  |  SDC Platinum  |  dday Analysis  |  2026-04-12</t>
  </si>
  <si>
    <t>Monte Carlo: 10,000 simulations  |  TV ~79.3% of EV (Monte Carlo median)</t>
  </si>
  <si>
    <t>Assumptions &amp; Scenarios</t>
  </si>
  <si>
    <t>Scenario Selector</t>
  </si>
  <si>
    <t>Active Assumptions</t>
  </si>
  <si>
    <t>Units</t>
  </si>
  <si>
    <t>EBITDA Margin</t>
  </si>
  <si>
    <t>%</t>
  </si>
  <si>
    <t>CapEx / Revenue</t>
  </si>
  <si>
    <t>D&amp;A / Revenue</t>
  </si>
  <si>
    <t>NWC / Revenue</t>
  </si>
  <si>
    <t>Tax Rate</t>
  </si>
  <si>
    <t>Terminal Growth Rate</t>
  </si>
  <si>
    <t>Stock / Cash Mix (Stock %)</t>
  </si>
  <si>
    <t>Pre-Tax Synergies</t>
  </si>
  <si>
    <t>$M</t>
  </si>
  <si>
    <t>Revenue Growth by Year</t>
  </si>
  <si>
    <t>FY2026</t>
  </si>
  <si>
    <t>FY2027</t>
  </si>
  <si>
    <t>FY2028</t>
  </si>
  <si>
    <t>FY2029</t>
  </si>
  <si>
    <t>FY2030</t>
  </si>
  <si>
    <t>Revenue Growth Rate</t>
  </si>
  <si>
    <t>Growth Trajectory (Chart Data)</t>
  </si>
  <si>
    <t>Key Reference Data</t>
  </si>
  <si>
    <t>KDP FY2025 Revenue</t>
  </si>
  <si>
    <t>KDP FY2025 EBITDA</t>
  </si>
  <si>
    <t>KDP FY2025 Net Debt</t>
  </si>
  <si>
    <t>KDP Diluted Shares Outstanding</t>
  </si>
  <si>
    <t>M</t>
  </si>
  <si>
    <t>KDP Current Market Price</t>
  </si>
  <si>
    <t>$/sh</t>
  </si>
  <si>
    <t>KDP Analyst Consensus Target</t>
  </si>
  <si>
    <t>KDP Market Capitalization</t>
  </si>
  <si>
    <t>KDP Total Debt</t>
  </si>
  <si>
    <t>KDP Cash &amp; Equivalents</t>
  </si>
  <si>
    <t>Scenario Lookup Table (Assumptions)</t>
  </si>
  <si>
    <t>Bull Case</t>
  </si>
  <si>
    <t>Bear Case</t>
  </si>
  <si>
    <t>Custom</t>
  </si>
  <si>
    <t>Stock / Cash Mix %</t>
  </si>
  <si>
    <t>Rev Growth FY2026</t>
  </si>
  <si>
    <t>Rev Growth FY2027</t>
  </si>
  <si>
    <t>Rev Growth FY2028</t>
  </si>
  <si>
    <t>Rev Growth FY2029</t>
  </si>
  <si>
    <t>Rev Growth FY2030</t>
  </si>
  <si>
    <t>DCF Valuation — Keurig Dr Pepper</t>
  </si>
  <si>
    <t>5-Year Explicit Forecast + Terminal Value  |  Mid-Year Convention</t>
  </si>
  <si>
    <t>FY2025</t>
  </si>
  <si>
    <t>Terminal</t>
  </si>
  <si>
    <t>Operating Cash Flows</t>
  </si>
  <si>
    <t>Revenue ($M)</t>
  </si>
  <si>
    <t xml:space="preserve">  Revenue Growth %</t>
  </si>
  <si>
    <t>--</t>
  </si>
  <si>
    <t>EBITDA ($M)</t>
  </si>
  <si>
    <t>D&amp;A ($M)</t>
  </si>
  <si>
    <t>EBIT ($M)</t>
  </si>
  <si>
    <t>Taxes on EBIT ($M)</t>
  </si>
  <si>
    <t>NOPAT ($M)</t>
  </si>
  <si>
    <t>CapEx ($M)</t>
  </si>
  <si>
    <t>NWC Level ($M)</t>
  </si>
  <si>
    <t>Change in NWC ($M)</t>
  </si>
  <si>
    <t>Unlevered FCF ($M)</t>
  </si>
  <si>
    <t>FCF Build-Up (Chart Data)</t>
  </si>
  <si>
    <t>Revenue</t>
  </si>
  <si>
    <t>EBITDA</t>
  </si>
  <si>
    <t>NOPAT</t>
  </si>
  <si>
    <t>UFCF</t>
  </si>
  <si>
    <t>Terminal Value</t>
  </si>
  <si>
    <t>Terminal Growth Rate (g)</t>
  </si>
  <si>
    <t>WACC</t>
  </si>
  <si>
    <t>Terminal UFCF x (1+g)</t>
  </si>
  <si>
    <t>Terminal Value ($M)</t>
  </si>
  <si>
    <t>Implied Terminal EV/EBITDA</t>
  </si>
  <si>
    <t>Present Value (Mid-Year Convention)</t>
  </si>
  <si>
    <t>Discount Period</t>
  </si>
  <si>
    <t>PV Factor</t>
  </si>
  <si>
    <t>PV of UFCF ($M)</t>
  </si>
  <si>
    <t>PV of Terminal Value ($M)</t>
  </si>
  <si>
    <t>Sum of PV of UFCF ($M)</t>
  </si>
  <si>
    <t>Enterprise Value ($M)</t>
  </si>
  <si>
    <t>Terminal Value % of EV</t>
  </si>
  <si>
    <t>Equity Value Bridge</t>
  </si>
  <si>
    <t>Enterprise Value</t>
  </si>
  <si>
    <t>Less: Total Debt</t>
  </si>
  <si>
    <t>Equity Value ($M)</t>
  </si>
  <si>
    <t>Diluted Shares Outstanding (M)</t>
  </si>
  <si>
    <t>Implied Share Price</t>
  </si>
  <si>
    <t>Upside / (Downside)</t>
  </si>
  <si>
    <t>EV Bridge (Chart Data)</t>
  </si>
  <si>
    <t>Sum PV(FCFs)</t>
  </si>
  <si>
    <t>PV(Terminal Value)</t>
  </si>
  <si>
    <t>Sensitivity: Implied Share Price</t>
  </si>
  <si>
    <t>WACC \ Terminal Growth</t>
  </si>
  <si>
    <t>Green: implied price &gt;= $28.01 (current market)  |  Red: below market</t>
  </si>
  <si>
    <t>Weighted Average Cost of Capital (WACC)</t>
  </si>
  <si>
    <t>KDP Standalone WACC Build</t>
  </si>
  <si>
    <t>Cost of Equity (CAPM)</t>
  </si>
  <si>
    <t>Risk-Free Rate (10Y UST)</t>
  </si>
  <si>
    <t>Dec 31 2025</t>
  </si>
  <si>
    <t>Equity Risk Premium</t>
  </si>
  <si>
    <t>US, Damodaran</t>
  </si>
  <si>
    <t>Comparable Company Betas</t>
  </si>
  <si>
    <t xml:space="preserve">  KO Levered Beta</t>
  </si>
  <si>
    <t>D/E: 1.41</t>
  </si>
  <si>
    <t xml:space="preserve">  MNST Levered Beta</t>
  </si>
  <si>
    <t>D/E: 0.00</t>
  </si>
  <si>
    <t xml:space="preserve">  COKE Levered Beta</t>
  </si>
  <si>
    <t>D/E: -4.06</t>
  </si>
  <si>
    <t>N/A</t>
  </si>
  <si>
    <t xml:space="preserve">  PRMB Levered Beta</t>
  </si>
  <si>
    <t>D/E: 1.91</t>
  </si>
  <si>
    <t xml:space="preserve">  CELH Levered Beta</t>
  </si>
  <si>
    <t>D/E: 0.23</t>
  </si>
  <si>
    <t>Median Unlevered Beta</t>
  </si>
  <si>
    <t>Excl. negative equity</t>
  </si>
  <si>
    <t>KDP Debt/Equity Ratio</t>
  </si>
  <si>
    <t>FY2025: 16.14B/25.52B</t>
  </si>
  <si>
    <t>Marginal Tax Rate</t>
  </si>
  <si>
    <t>From Assumptions</t>
  </si>
  <si>
    <t>KDP Relevered Beta</t>
  </si>
  <si>
    <t>Cost of Equity (Ke)</t>
  </si>
  <si>
    <t>CAPM: Rf + B*ERP</t>
  </si>
  <si>
    <t>Cost of Debt</t>
  </si>
  <si>
    <t>Interest Expense (FY2025, $M)</t>
  </si>
  <si>
    <t>KDP IS</t>
  </si>
  <si>
    <t>Average Total Debt ($M)</t>
  </si>
  <si>
    <t>(FY2024+FY2025)/2</t>
  </si>
  <si>
    <t>Pre-Tax Cost of Debt</t>
  </si>
  <si>
    <t>After-Tax Cost of Debt (Kd)</t>
  </si>
  <si>
    <t>Kd * (1-T)</t>
  </si>
  <si>
    <t>Capital Structure Weights</t>
  </si>
  <si>
    <t>Market Capitalization ($M)</t>
  </si>
  <si>
    <t>KDP Dec 31 2025</t>
  </si>
  <si>
    <t>Total Debt ($M)</t>
  </si>
  <si>
    <t>KDP BS FY2025</t>
  </si>
  <si>
    <t>Total Capital ($M)</t>
  </si>
  <si>
    <t>Weight of Equity (We)</t>
  </si>
  <si>
    <t>Weight of Debt (Wd)</t>
  </si>
  <si>
    <t>WACC Calculation</t>
  </si>
  <si>
    <t>We*Ke + Wd*Kd</t>
  </si>
  <si>
    <t>Comparable Company Analysis</t>
  </si>
  <si>
    <t>Expanded beverage peers  |  Latest annual actuals + forward annual consensus</t>
  </si>
  <si>
    <t>Company</t>
  </si>
  <si>
    <t>Market Cap ($M)</t>
  </si>
  <si>
    <t>EV ($M)</t>
  </si>
  <si>
    <t>EV/Revenue</t>
  </si>
  <si>
    <t>EV/EBITDA</t>
  </si>
  <si>
    <t>P/E</t>
  </si>
  <si>
    <t>Keurig Dr Pepper (KDP)</t>
  </si>
  <si>
    <t>Coca-Cola Co (KO)</t>
  </si>
  <si>
    <t>PepsiCo, Inc. (PEP)</t>
  </si>
  <si>
    <t>Monster Beverage (MNST)</t>
  </si>
  <si>
    <t>Celsius Holdings (CELH)</t>
  </si>
  <si>
    <t>Coca-Cola Consol. (COKE)</t>
  </si>
  <si>
    <t>National Beverage (FIZZ)</t>
  </si>
  <si>
    <t>Molson Coors (TAP)</t>
  </si>
  <si>
    <t>Vita Coco (COCO)</t>
  </si>
  <si>
    <t>AB InBev (BUD)</t>
  </si>
  <si>
    <t>Peer Median (excl. KDP)</t>
  </si>
  <si>
    <t>Peer Mean (excl. KDP)</t>
  </si>
  <si>
    <t>Implied KDP Valuation</t>
  </si>
  <si>
    <t>Implied Value (Median, $M)</t>
  </si>
  <si>
    <t>Implied Share Price (Median)</t>
  </si>
  <si>
    <t>EV Multiples by Peer (Chart)</t>
  </si>
  <si>
    <t>KDP</t>
  </si>
  <si>
    <t>KO</t>
  </si>
  <si>
    <t>PEP</t>
  </si>
  <si>
    <t>MNST</t>
  </si>
  <si>
    <t>CELH</t>
  </si>
  <si>
    <t>COKE</t>
  </si>
  <si>
    <t>FIZZ</t>
  </si>
  <si>
    <t>TAP</t>
  </si>
  <si>
    <t>COCO</t>
  </si>
  <si>
    <t>BUD</t>
  </si>
  <si>
    <t>Forward Annual Estimate Detail</t>
  </si>
  <si>
    <t>*FMP annual consensus where available; COKE uses labeled fallback estimates beyond the nearest available annual endpoint.</t>
  </si>
  <si>
    <t>c</t>
  </si>
  <si>
    <t>Ticker</t>
  </si>
  <si>
    <t>FY End</t>
  </si>
  <si>
    <t>Basis</t>
  </si>
  <si>
    <t>Net Income ($M)</t>
  </si>
  <si>
    <t>EPS</t>
  </si>
  <si>
    <t>Rev Ests</t>
  </si>
  <si>
    <t>EPS Ests</t>
  </si>
  <si>
    <t>2026-12-31</t>
  </si>
  <si>
    <t>FMP annual consensus</t>
  </si>
  <si>
    <t>Forward annual analyst consensus from FMP stable analyst-estimates.</t>
  </si>
  <si>
    <t>2027-12-31</t>
  </si>
  <si>
    <t>2028-12-31</t>
  </si>
  <si>
    <t>2029-12-31</t>
  </si>
  <si>
    <t>2030-12-31</t>
  </si>
  <si>
    <t>2026-12-27</t>
  </si>
  <si>
    <t>2027-12-27</t>
  </si>
  <si>
    <t>2028-12-27</t>
  </si>
  <si>
    <t>2029-12-27</t>
  </si>
  <si>
    <t>2030-12-27</t>
  </si>
  <si>
    <t>2025-12-31</t>
  </si>
  <si>
    <t>FMP annual endpoint</t>
  </si>
  <si>
    <t>Estimated fallback</t>
  </si>
  <si>
    <t>2026-04-30</t>
  </si>
  <si>
    <t>2027-04-30</t>
  </si>
  <si>
    <t>2028-04-30</t>
  </si>
  <si>
    <t>Source: Financial Modeling Prep /stable/ API  |  dday Analysis  |  2026-04-13  |  Headline valuation output updates from the expanded median peer set. Negative TAP EV/EBITDA and P/E are shown in the table but excluded from the headline median and mean calculations. COKE forward rows are labeled fallback estimates due to thin FMP coverage.</t>
  </si>
  <si>
    <t>Precedent M&amp;A Transactions</t>
  </si>
  <si>
    <t>Selected Beverage &amp; Consumer Staples Deals  |  SDC Platinum</t>
  </si>
  <si>
    <t>Date</t>
  </si>
  <si>
    <t>Value ($M)</t>
  </si>
  <si>
    <t>EV/Sales</t>
  </si>
  <si>
    <t>EV/EBIT</t>
  </si>
  <si>
    <t>4-Wk Premium</t>
  </si>
  <si>
    <t>2008-06-11</t>
  </si>
  <si>
    <t>InBev NV</t>
  </si>
  <si>
    <t>Anheuser-Busch Cos Inc</t>
  </si>
  <si>
    <t>2000-05-02</t>
  </si>
  <si>
    <t>Unilever PLC</t>
  </si>
  <si>
    <t>Bestfoods</t>
  </si>
  <si>
    <t>2016-06-30</t>
  </si>
  <si>
    <t>Mondelez International In</t>
  </si>
  <si>
    <t>Hershey Co</t>
  </si>
  <si>
    <t>2000-06-25</t>
  </si>
  <si>
    <t>Philip Morris Cos Inc</t>
  </si>
  <si>
    <t>Nabisco Holdings Corp(Nab</t>
  </si>
  <si>
    <t>2017-02-01</t>
  </si>
  <si>
    <t>Reckitt Benckiser Group P</t>
  </si>
  <si>
    <t>Mead Johnson Nutrition Co</t>
  </si>
  <si>
    <t>2000-12-04</t>
  </si>
  <si>
    <t>PepsiCo Inc</t>
  </si>
  <si>
    <t>Quaker Oats Co</t>
  </si>
  <si>
    <t>2017-06-16</t>
  </si>
  <si>
    <t>Amazon.com Inc</t>
  </si>
  <si>
    <t>Whole Foods Market Inc</t>
  </si>
  <si>
    <t>1998-10-19</t>
  </si>
  <si>
    <t>Kroger Co</t>
  </si>
  <si>
    <t>Fred Meyer Inc</t>
  </si>
  <si>
    <t>1998-08-03</t>
  </si>
  <si>
    <t>Albertsons Inc</t>
  </si>
  <si>
    <t>American Stores Co</t>
  </si>
  <si>
    <t>RJ Reynolds Tobacco Holdi</t>
  </si>
  <si>
    <t>Nabisco Group Holdings Co</t>
  </si>
  <si>
    <t>2000-07-17</t>
  </si>
  <si>
    <t>General Mills Inc</t>
  </si>
  <si>
    <t>Pillsbury Co(Diageo PLC)</t>
  </si>
  <si>
    <t>2001-01-15</t>
  </si>
  <si>
    <t>Nestle SA</t>
  </si>
  <si>
    <t>Ralston Purina Co</t>
  </si>
  <si>
    <t>2016-07-07</t>
  </si>
  <si>
    <t>Danone SA</t>
  </si>
  <si>
    <t>The WhiteWave Foods Co</t>
  </si>
  <si>
    <t>2000-04-04</t>
  </si>
  <si>
    <t>Carl Icahn</t>
  </si>
  <si>
    <t>2018-06-27</t>
  </si>
  <si>
    <t>Conagra Brands Inc</t>
  </si>
  <si>
    <t>Pinnacle Foods Inc</t>
  </si>
  <si>
    <t>Median</t>
  </si>
  <si>
    <t>Mean</t>
  </si>
  <si>
    <t>Implied EV (Median, $M)</t>
  </si>
  <si>
    <t>Source: SDC Platinum  |  dday Analysis  |  2026-04-12</t>
  </si>
  <si>
    <t>Keurig Dr Pepper — Ratios &amp; Margins</t>
  </si>
  <si>
    <t>FY2020–FY2025</t>
  </si>
  <si>
    <t>FY2020</t>
  </si>
  <si>
    <t>FY2021</t>
  </si>
  <si>
    <t>FY2022</t>
  </si>
  <si>
    <t>FY2023</t>
  </si>
  <si>
    <t>FY2024</t>
  </si>
  <si>
    <t>Profitability Margins</t>
  </si>
  <si>
    <t>Gross Margin</t>
  </si>
  <si>
    <t>EBIT Margin</t>
  </si>
  <si>
    <t>Net Profit Margin</t>
  </si>
  <si>
    <t>Return Metrics</t>
  </si>
  <si>
    <t>Return on Equity</t>
  </si>
  <si>
    <t>Return on Assets</t>
  </si>
  <si>
    <t>Return on Invested Capital</t>
  </si>
  <si>
    <t>Leverage &amp; Coverage</t>
  </si>
  <si>
    <t>Debt / Equity</t>
  </si>
  <si>
    <t>Net Debt / EBITDA</t>
  </si>
  <si>
    <t>Interest Coverage</t>
  </si>
  <si>
    <t>Current Ratio</t>
  </si>
  <si>
    <t>Efficiency</t>
  </si>
  <si>
    <t>Asset Turnover</t>
  </si>
  <si>
    <t>Receivables Turnover</t>
  </si>
  <si>
    <t>Growth (YoY)</t>
  </si>
  <si>
    <t>Revenue Growth</t>
  </si>
  <si>
    <t>EBITDA Growth</t>
  </si>
  <si>
    <t>Net Income Growth</t>
  </si>
  <si>
    <t>Source: Financial Modeling Prep /stable/ API  |  dday Analysis  |  2026-04-12</t>
  </si>
  <si>
    <t>PepsiCo, Inc. — Historical Financials</t>
  </si>
  <si>
    <t>USD ($M)  |  Annual  |  FY2020–FY2025</t>
  </si>
  <si>
    <t>Income Statement</t>
  </si>
  <si>
    <t>Cost of Revenue</t>
  </si>
  <si>
    <t>Gross Profit</t>
  </si>
  <si>
    <t>SG&amp;A</t>
  </si>
  <si>
    <t>R&amp;D</t>
  </si>
  <si>
    <t>Operating Expenses</t>
  </si>
  <si>
    <t>Operating Income (EBIT)</t>
  </si>
  <si>
    <t>D&amp;A</t>
  </si>
  <si>
    <t>Interest Expense</t>
  </si>
  <si>
    <t>Pre-Tax Income</t>
  </si>
  <si>
    <t>Income Tax</t>
  </si>
  <si>
    <t>Net Income</t>
  </si>
  <si>
    <t>EPS (Diluted)</t>
  </si>
  <si>
    <t>Diluted Shares</t>
  </si>
  <si>
    <t>Balance Sheet</t>
  </si>
  <si>
    <t>Cash &amp; Equivalents</t>
  </si>
  <si>
    <t>Accounts Receivable</t>
  </si>
  <si>
    <t>Inventory</t>
  </si>
  <si>
    <t>Total Current Assets</t>
  </si>
  <si>
    <t>PP&amp;E (Net)</t>
  </si>
  <si>
    <t>Goodwill</t>
  </si>
  <si>
    <t>Total Assets</t>
  </si>
  <si>
    <t>Accounts Payable</t>
  </si>
  <si>
    <t>Short-Term Debt</t>
  </si>
  <si>
    <t>Total Current Liabilities</t>
  </si>
  <si>
    <t>Long-Term Debt</t>
  </si>
  <si>
    <t>Total Liabilities</t>
  </si>
  <si>
    <t>Total Equity</t>
  </si>
  <si>
    <t>Total Debt</t>
  </si>
  <si>
    <t>Net Debt</t>
  </si>
  <si>
    <t>Cash Flow Statement</t>
  </si>
  <si>
    <t>Stock-Based Compensation</t>
  </si>
  <si>
    <t>Change in Working Capital</t>
  </si>
  <si>
    <t>Operating Cash Flow</t>
  </si>
  <si>
    <t>Capital Expenditure</t>
  </si>
  <si>
    <t>Free Cash Flow</t>
  </si>
  <si>
    <t>Dividends Paid</t>
  </si>
  <si>
    <t>Share Repurchases</t>
  </si>
  <si>
    <t>Keurig Dr Pepper Inc. — Historical Financials</t>
  </si>
  <si>
    <t>Monte-Carlo Results</t>
  </si>
  <si>
    <t>Metric</t>
  </si>
  <si>
    <t>Mean Share Price</t>
  </si>
  <si>
    <t>Median Share Price</t>
  </si>
  <si>
    <t>P5 Share Price</t>
  </si>
  <si>
    <t>P25 Share Price</t>
  </si>
  <si>
    <t>P50 Share Price</t>
  </si>
  <si>
    <t>P75 Share Price</t>
  </si>
  <si>
    <t>P95 Share Price</t>
  </si>
  <si>
    <t>Prob Above Market</t>
  </si>
  <si>
    <t>Simulations</t>
  </si>
  <si>
    <t>Valid Sims After Filter</t>
  </si>
  <si>
    <t>Snapshot Source</t>
  </si>
  <si>
    <t>monte-carlo/monte_carlo_results.json</t>
  </si>
  <si>
    <t>EPS Accretion / Dilution Analysis</t>
  </si>
  <si>
    <t>PepsiCo, Inc. (PEP) Acquisition of Keurig Dr Pepper Inc. (KDP)</t>
  </si>
  <si>
    <t>Deal Terms</t>
  </si>
  <si>
    <t>Stock consideration %</t>
  </si>
  <si>
    <t>Cash consideration %</t>
  </si>
  <si>
    <t>Premium over current price %</t>
  </si>
  <si>
    <t>Acquirer effective tax rate</t>
  </si>
  <si>
    <t>Transaction fees (% of equity value)</t>
  </si>
  <si>
    <t>Assumed acquisition completion date</t>
  </si>
  <si>
    <t>Interest rate on new debt</t>
  </si>
  <si>
    <t>PP&amp;E step-up (% of acq. premium)</t>
  </si>
  <si>
    <t>Step-up amortization period (years)</t>
  </si>
  <si>
    <t>Pre-tax synergies CY+1 ($M)</t>
  </si>
  <si>
    <t>Pre-tax synergies CY+2 ($M)</t>
  </si>
  <si>
    <t>Transaction Summary</t>
  </si>
  <si>
    <t>PEP (Acquirer)</t>
  </si>
  <si>
    <t>KDP (Target)</t>
  </si>
  <si>
    <t>($ in millions, except per share amounts)</t>
  </si>
  <si>
    <t>Current share price</t>
  </si>
  <si>
    <t>Offer price per share</t>
  </si>
  <si>
    <t>Exchange ratio (offer / acquirer price)</t>
  </si>
  <si>
    <t>Fully diluted shares outstanding (M)</t>
  </si>
  <si>
    <t>Equity value ($M)</t>
  </si>
  <si>
    <t xml:space="preserve">  Less: Cash &amp; equivalents ($M)</t>
  </si>
  <si>
    <t xml:space="preserve">  Plus: Total debt ($M)</t>
  </si>
  <si>
    <t>Enterprise value ($M)</t>
  </si>
  <si>
    <t>FY2025 net income ($M)</t>
  </si>
  <si>
    <t>FY2025 diluted EPS</t>
  </si>
  <si>
    <t>Implied P/E (current price / EPS)</t>
  </si>
  <si>
    <t>Sources of Funds</t>
  </si>
  <si>
    <t>% of Total</t>
  </si>
  <si>
    <t>Issuance of new PEP shares</t>
  </si>
  <si>
    <t>Issuance of new debt</t>
  </si>
  <si>
    <t>Cash on hand (transaction fees)</t>
  </si>
  <si>
    <t>Total sources</t>
  </si>
  <si>
    <t>Uses of Funds</t>
  </si>
  <si>
    <t>Purchase KDP equity at offer</t>
  </si>
  <si>
    <t>Refinance existing KDP debt</t>
  </si>
  <si>
    <t>Transaction and advisory fees</t>
  </si>
  <si>
    <t>Total uses</t>
  </si>
  <si>
    <t>Pro Forma Ownership</t>
  </si>
  <si>
    <t>Shares (M)</t>
  </si>
  <si>
    <t>% Ownership</t>
  </si>
  <si>
    <t>Existing PEP fully diluted shares</t>
  </si>
  <si>
    <t>New shares issued to KDP shareholders</t>
  </si>
  <si>
    <t>Pro forma fully diluted shares</t>
  </si>
  <si>
    <t>Source: FMP API data  |  Model: dday Inc  |  2026-04-12</t>
  </si>
  <si>
    <t>Pro Forma EPS Accretion / Dilution</t>
  </si>
  <si>
    <t>PEP Standalone Projections</t>
  </si>
  <si>
    <t xml:space="preserve">  Net income growth assumed</t>
  </si>
  <si>
    <t xml:space="preserve">  Projected net income ($M)</t>
  </si>
  <si>
    <t xml:space="preserve">  Diluted shares outstanding (M)</t>
  </si>
  <si>
    <t xml:space="preserve">  Standalone diluted EPS</t>
  </si>
  <si>
    <t>KDP Standalone Projections</t>
  </si>
  <si>
    <t>Combined (Before Adjustments)</t>
  </si>
  <si>
    <t xml:space="preserve">  Combined net income ($M)</t>
  </si>
  <si>
    <t xml:space="preserve">  Pro forma diluted shares (M)</t>
  </si>
  <si>
    <t>Transaction Adjustments to Net Income</t>
  </si>
  <si>
    <t xml:space="preserve">  Add: Pre-tax synergies ($M)</t>
  </si>
  <si>
    <t xml:space="preserve">  Less: Addtl D&amp;A from PP&amp;E step-up ($M)</t>
  </si>
  <si>
    <t xml:space="preserve">  Less: Addtl interest on new debt ($M)</t>
  </si>
  <si>
    <t xml:space="preserve">  Less: Transaction / advisory fees ($M)</t>
  </si>
  <si>
    <t xml:space="preserve">  Total pre-tax adjustments ($M)</t>
  </si>
  <si>
    <t xml:space="preserve">  Less: Taxes on adjustments ($M)</t>
  </si>
  <si>
    <t xml:space="preserve"> </t>
  </si>
  <si>
    <t>Pro Forma Results</t>
  </si>
  <si>
    <t>Pro forma combined net income ($M)</t>
  </si>
  <si>
    <t>Pro forma diluted shares (M)</t>
  </si>
  <si>
    <t>Pro forma diluted EPS</t>
  </si>
  <si>
    <t>PEP standalone diluted EPS</t>
  </si>
  <si>
    <t>Diluted EPS impact ($)</t>
  </si>
  <si>
    <t>EPS Accretion / (Dilution) %</t>
  </si>
  <si>
    <t>Breakeven Analysis</t>
  </si>
  <si>
    <t>Pre-tax synergies for nil dilution ($M)</t>
  </si>
  <si>
    <t>Positive breakeven synergy = synergies required to avoid dilution. Negative = deal is accretive without synergies.</t>
  </si>
  <si>
    <t>Sensitivity Analysis</t>
  </si>
  <si>
    <t>EPS accretion/(dilution) under varying deal structures</t>
  </si>
  <si>
    <t>FY2026 - Forecasted EPS Accretion / (Dilution) %</t>
  </si>
  <si>
    <t>FY2027 - Forecasted EPS Accretion / (Dilution) %</t>
  </si>
  <si>
    <t>Synergy Impact on EPS Accretion %</t>
  </si>
  <si>
    <t>FY2026 - Breakeven Synergies ($M) for Nil Dilution</t>
  </si>
  <si>
    <t>Green (negative): deal is accretive without synergies. Red (positive): synergies required to avoid dilution.</t>
  </si>
  <si>
    <t>Base case: 30% premium, 70% stock, 4.5% debt rate, 19% tax rate.</t>
  </si>
  <si>
    <t>Contribution summary</t>
  </si>
  <si>
    <t>Contributions - Comparative Multi-Metric</t>
  </si>
  <si>
    <t>Combined</t>
  </si>
  <si>
    <t>KDP Contribution %</t>
  </si>
  <si>
    <t>KDP Ownership %</t>
  </si>
  <si>
    <t>Gap</t>
  </si>
  <si>
    <t>Net income ($M)</t>
  </si>
  <si>
    <t>Total assets ($M)</t>
  </si>
  <si>
    <t>Total equity ($M)</t>
  </si>
  <si>
    <t>Market cap ($M)</t>
  </si>
  <si>
    <t>Key takeaways</t>
  </si>
  <si>
    <t>Interpretation guide</t>
  </si>
  <si>
    <t>Positive gap: KDP contributes more than its ownership share implies.</t>
  </si>
  <si>
    <t>Near-zero gap: contribution and ownership are roughly aligned.</t>
  </si>
  <si>
    <t>Negative gap: KDP receives more ownership than it contributes.</t>
  </si>
  <si>
    <t>Source: internal model package  ·  Analysis date 2026-04-14</t>
  </si>
  <si>
    <t>Revenue contribution</t>
  </si>
  <si>
    <t xml:space="preserve">  PEP revenue ($M)</t>
  </si>
  <si>
    <t xml:space="preserve">  KDP revenue ($M)</t>
  </si>
  <si>
    <t>Combined revenue ($M)</t>
  </si>
  <si>
    <t xml:space="preserve">  PEP contribution (%)</t>
  </si>
  <si>
    <t xml:space="preserve">  KDP contribution (%)</t>
  </si>
  <si>
    <t>Segment breakdown (FY2025)</t>
  </si>
  <si>
    <t>Segment</t>
  </si>
  <si>
    <t>% of Combined</t>
  </si>
  <si>
    <t>PepsiCo segments</t>
  </si>
  <si>
    <t>PepsiCo Beverages North America</t>
  </si>
  <si>
    <t>PepsiCo Foods North America</t>
  </si>
  <si>
    <t>Africa, Middle East and South Asia</t>
  </si>
  <si>
    <t>Latin America (Segment)</t>
  </si>
  <si>
    <t>International Beverage Franchise</t>
  </si>
  <si>
    <t>Asia Pacific, Australia and New Zealand, and China Region</t>
  </si>
  <si>
    <t>PEP total</t>
  </si>
  <si>
    <t>Keurig Dr Pepper segments</t>
  </si>
  <si>
    <t>LRB</t>
  </si>
  <si>
    <t>K-Cup Pods</t>
  </si>
  <si>
    <t>Appliances</t>
  </si>
  <si>
    <t>Other Products</t>
  </si>
  <si>
    <t>KDP total</t>
  </si>
  <si>
    <t>Combined total</t>
  </si>
  <si>
    <t>EBITDA contribution</t>
  </si>
  <si>
    <t>PEP EBITDA ($M)</t>
  </si>
  <si>
    <t>KDP EBITDA ($M)</t>
  </si>
  <si>
    <t>Combined EBITDA ($M)</t>
  </si>
  <si>
    <t>EBITDA margin comparison</t>
  </si>
  <si>
    <t>PEP margin (%)</t>
  </si>
  <si>
    <t>KDP margin (%)</t>
  </si>
  <si>
    <t>Combined margin (%)</t>
  </si>
  <si>
    <t>Net income contribution</t>
  </si>
  <si>
    <t>Net income margin comparison</t>
  </si>
  <si>
    <t>Ownership bridge</t>
  </si>
  <si>
    <t>Standalone equity values</t>
  </si>
  <si>
    <t>PEP market capitalization ($M)</t>
  </si>
  <si>
    <t>KDP market capitalization ($M)</t>
  </si>
  <si>
    <t>Combined undisturbed market value ($M)</t>
  </si>
  <si>
    <t>Base case deal terms</t>
  </si>
  <si>
    <t>Live Case Outputs</t>
  </si>
  <si>
    <t>Premium</t>
  </si>
  <si>
    <t>Offer equity value ($M)</t>
  </si>
  <si>
    <t>Stock consideration</t>
  </si>
  <si>
    <t>Stock component ($M)</t>
  </si>
  <si>
    <t>Cash consideration</t>
  </si>
  <si>
    <t>New PEP shares issued (M)</t>
  </si>
  <si>
    <t xml:space="preserve">  KDP share price ($)</t>
  </si>
  <si>
    <t>KDP pro forma ownership (%)</t>
  </si>
  <si>
    <t>Ownership sensitivity?</t>
  </si>
  <si>
    <t>Hold stock / cash mix constant and vary premium.</t>
  </si>
  <si>
    <t>KDP equity value at offer ($M)</t>
  </si>
  <si>
    <t>Cash component ($M)</t>
  </si>
  <si>
    <t>Total pro forma shares (M)</t>
  </si>
  <si>
    <t>PEP pro forma ownership (%)</t>
  </si>
  <si>
    <t>Ownership vs contribution test</t>
  </si>
  <si>
    <t>KDP contribution %</t>
  </si>
  <si>
    <t>KDP ownership %</t>
  </si>
  <si>
    <t>Gap (contrib - own)</t>
  </si>
  <si>
    <t>Net income</t>
  </si>
  <si>
    <t>Total assets</t>
  </si>
  <si>
    <t>Market cap (undisturbed)</t>
  </si>
  <si>
    <t>Operating average</t>
  </si>
  <si>
    <t>Green (+) = KDP contributes more than ownership stake implies (deal favorable to PEP)</t>
  </si>
  <si>
    <t>Positive gap means KDP contributes more than the ownership it receives.</t>
  </si>
  <si>
    <t>Contribution workbook support layer</t>
  </si>
  <si>
    <t>Analysis date</t>
  </si>
  <si>
    <t>2026-04-14</t>
  </si>
  <si>
    <t>Base premium</t>
  </si>
  <si>
    <t>Stock mix</t>
  </si>
  <si>
    <t>Cash mix</t>
  </si>
  <si>
    <t>PEP diluted shares (M)</t>
  </si>
  <si>
    <t>PEP share price</t>
  </si>
  <si>
    <t>PEP market cap (M)</t>
  </si>
  <si>
    <t>KDP diluted shares (M)</t>
  </si>
  <si>
    <t>KDP share price</t>
  </si>
  <si>
    <t>KDP market cap (M)</t>
  </si>
  <si>
    <t>PEP total assets (M)</t>
  </si>
  <si>
    <t>KDP total assets (M)</t>
  </si>
  <si>
    <t>PEP total equity (M)</t>
  </si>
  <si>
    <t>KDP total equity (M)</t>
  </si>
  <si>
    <t>Years</t>
  </si>
  <si>
    <t>PEP revenue</t>
  </si>
  <si>
    <t>KDP revenue</t>
  </si>
  <si>
    <t>PEP EBITDA</t>
  </si>
  <si>
    <t>KDP EBITDA</t>
  </si>
  <si>
    <t>PEP net income</t>
  </si>
  <si>
    <t>KDP net income</t>
  </si>
  <si>
    <t>PEP segment label</t>
  </si>
  <si>
    <t>KDP segment label</t>
  </si>
  <si>
    <t>What the IRI is telling us</t>
  </si>
  <si>
    <t>The IRI converts the paid price into an operating hurdle.</t>
  </si>
  <si>
    <t xml:space="preserve">Purpose of IRI </t>
  </si>
  <si>
    <t xml:space="preserve">  IRI quantifies the minimum improvement in the target's ROE that the acquirer</t>
  </si>
  <si>
    <t>Low IRI means the price is easier to justify. High IRI means the deal needs stronger post-close improvement.</t>
  </si>
  <si>
    <t>1. Investment Horizon</t>
  </si>
  <si>
    <t>2. Target market-to-book ratio</t>
  </si>
  <si>
    <t>3. Bid premium</t>
  </si>
  <si>
    <t xml:space="preserve">4. Weighted-average cost of equity </t>
  </si>
  <si>
    <t>Model Instructions</t>
  </si>
  <si>
    <t>1. IRI Inputs builds the paid multiple, combined cost of equity, and current ROE.</t>
  </si>
  <si>
    <t>2. IRI Model converts those into the required ROE and the improvement gap.</t>
  </si>
  <si>
    <t>3. IRI Figures lays out chart-ready sensitivity data for premium, multiple, horizon, cost of equity, and target ROE.</t>
  </si>
  <si>
    <t>4. IRI = Implied ROE - Target ROE</t>
  </si>
  <si>
    <t>Scoring</t>
  </si>
  <si>
    <t xml:space="preserve">  IRI &lt; 5%: Low hurdle. Acquirer needs minimal operational improvement.</t>
  </si>
  <si>
    <t xml:space="preserve">  IRI 5-15%: Moderate hurdle. Requires meaningful synergies.</t>
  </si>
  <si>
    <t xml:space="preserve">  IRI &gt; 15%: High hurdle. Significant transformation needed to justify price.</t>
  </si>
  <si>
    <t>Citation:</t>
  </si>
  <si>
    <t xml:space="preserve">  framework author, A., framework authors, S., &amp; Zhang, F., 2024.</t>
  </si>
  <si>
    <t xml:space="preserve">  Measuring the Quality of Mergers and Acquisitions.</t>
  </si>
  <si>
    <t xml:space="preserve">  Management Science, in press.</t>
  </si>
  <si>
    <t xml:space="preserve">  https://doi.org/10.1287/mnsc.2023.01225</t>
  </si>
  <si>
    <t>IRI input calculations</t>
  </si>
  <si>
    <t>PepsiCo (PEP) acquiring Keurig Dr Pepper (KDP)  ·  FY2025 data</t>
  </si>
  <si>
    <t>Source / Derivation</t>
  </si>
  <si>
    <t>Target MV/BV</t>
  </si>
  <si>
    <t xml:space="preserve">  KDP market capitalization ($M)</t>
  </si>
  <si>
    <t>FMP EV data, FY2025 (38.0B)</t>
  </si>
  <si>
    <t xml:space="preserve">  KDP book value of equity ($M)</t>
  </si>
  <si>
    <t>FY2025 balance sheet, totalStockholdersEquity</t>
  </si>
  <si>
    <t xml:space="preserve">  Target MV/BV</t>
  </si>
  <si>
    <t xml:space="preserve">  Premium — base case</t>
  </si>
  <si>
    <t>Assumed 30% control premium</t>
  </si>
  <si>
    <t xml:space="preserve">  MV/BV (inc. premium)</t>
  </si>
  <si>
    <t>Combined Cost Of Equity (CAPM)</t>
  </si>
  <si>
    <t xml:space="preserve">  Risk-free rate (%)</t>
  </si>
  <si>
    <t>US 10-year Treasury, FMP treasury_rates</t>
  </si>
  <si>
    <t xml:space="preserve">  US equity risk premium (%)</t>
  </si>
  <si>
    <t>FMP market_risk_premium (Damodaran)</t>
  </si>
  <si>
    <t xml:space="preserve">  PEP beta</t>
  </si>
  <si>
    <t>FMP company profile</t>
  </si>
  <si>
    <t xml:space="preserve">  PEP cost of equity (%)</t>
  </si>
  <si>
    <t xml:space="preserve">  KDP beta</t>
  </si>
  <si>
    <t xml:space="preserve">  KDP cost of equity (%)</t>
  </si>
  <si>
    <t xml:space="preserve">  PEP market cap ($M)</t>
  </si>
  <si>
    <t>FMP EV data, FY2025</t>
  </si>
  <si>
    <t xml:space="preserve">  KDP market cap ($M)</t>
  </si>
  <si>
    <t xml:space="preserve">  PEP weight</t>
  </si>
  <si>
    <t xml:space="preserve">  KDP weight</t>
  </si>
  <si>
    <t xml:space="preserve">  Combined COE (%)</t>
  </si>
  <si>
    <t>Target ROE</t>
  </si>
  <si>
    <t xml:space="preserve">  KDP net income ($M)</t>
  </si>
  <si>
    <t>FY2025 income statement</t>
  </si>
  <si>
    <t>FY2025 balance sheet</t>
  </si>
  <si>
    <t xml:space="preserve">  Target ROE (%)</t>
  </si>
  <si>
    <t>Effects of varying assumptions on implied ROE improvement</t>
  </si>
  <si>
    <t>PepsiCo (PEP) acquiring Keurig Dr Pepper (KDP)</t>
  </si>
  <si>
    <t>Date of analysis:</t>
  </si>
  <si>
    <t>Assumptions</t>
  </si>
  <si>
    <t>Base case</t>
  </si>
  <si>
    <t xml:space="preserve">  Premium (%)</t>
  </si>
  <si>
    <t xml:space="preserve">  Target MV/BV (inc. premium)</t>
  </si>
  <si>
    <t xml:space="preserve">  Investment horizon (n)</t>
  </si>
  <si>
    <t>Calculated outputs</t>
  </si>
  <si>
    <t xml:space="preserve">  Implied ROE (%)</t>
  </si>
  <si>
    <t>IRI (%)</t>
  </si>
  <si>
    <t>Sensitivity 1: IRI vs Target MV/BV</t>
  </si>
  <si>
    <t>Implied ROE</t>
  </si>
  <si>
    <t>Sensitivity 2: IRI vs Premium (%)</t>
  </si>
  <si>
    <t>Sensitivity 3: IRI vs Investment Horizon (years)</t>
  </si>
  <si>
    <t>Horizon</t>
  </si>
  <si>
    <t>Sensitivity 4: IRI vs Combined COE (%)</t>
  </si>
  <si>
    <t>Combined cost of equity</t>
  </si>
  <si>
    <t>Sensitivity 5: IRI vs Target ROE (%)</t>
  </si>
  <si>
    <t>IRI sensitivity data</t>
  </si>
  <si>
    <t>Chart-ready support for the presentation deck</t>
  </si>
  <si>
    <t>Assumptions (linked)</t>
  </si>
  <si>
    <t>Premium (%)</t>
  </si>
  <si>
    <t>Target MV/BV (inc. premium)</t>
  </si>
  <si>
    <t>Combined cost of equity (%)</t>
  </si>
  <si>
    <t>Target ROE (%)</t>
  </si>
  <si>
    <t>Calculated outputs (linked)</t>
  </si>
  <si>
    <t>Implied ROE (%)</t>
  </si>
  <si>
    <t>IRI support layer</t>
  </si>
  <si>
    <t>Investment horizon</t>
  </si>
  <si>
    <t>Risk-free rate</t>
  </si>
  <si>
    <t>Equity risk premium</t>
  </si>
  <si>
    <t>PEP beta</t>
  </si>
  <si>
    <t>KDP beta</t>
  </si>
  <si>
    <t>KDP book equity (M)</t>
  </si>
  <si>
    <t>KDP net income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</si>
</sst>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(* #,##0.00_);_(* \(#,##0.00\);_(* &quot;-&quot;??_);_(@_)"/>
    <numFmt numFmtId="164" formatCode="\$#,##0.00"/>
    <numFmt numFmtId="165" formatCode="0.0%"/>
    <numFmt numFmtId="166" formatCode="0.0\x"/>
    <numFmt numFmtId="167" formatCode="_(* #,##0.0000_);_(* \(#,##0.0000\);_(* &quot;-&quot;??_);_(@_)"/>
    <numFmt numFmtId="168" formatCode="#,##0.0"/>
    <numFmt numFmtId="169" formatCode="0.000\x"/>
    <numFmt numFmtId="170" formatCode="0.00\x"/>
    <numFmt numFmtId="171" formatCode="\$#,##0.0"/>
    <numFmt numFmtId="172" formatCode="0.0000"/>
    <numFmt numFmtId="173" formatCode="yyyy\-mm\-dd"/>
    <numFmt numFmtId="174" formatCode="0.0000\x"/>
    <numFmt numFmtId="175" formatCode="#,##0,,"/>
  </numFmts>
  <fonts count="118">
    <font>
      <sz val="11"/>
      <color theme="1"/>
      <name val="SF Pro Text"/>
      <family val="2"/>
      <scheme val="minor"/>
    </font>
    <font>
      <sz val="9"/>
      <color rgb="FF475569"/>
      <name val="SF Pro Text"/>
      <family val="2"/>
    </font>
    <font>
      <sz val="9"/>
      <color rgb="FF0F172A"/>
      <name val="SF Pro Text"/>
      <family val="2"/>
    </font>
    <font>
      <sz val="9"/>
      <color rgb="FF000000"/>
      <name val="SF Mono"/>
      <family val="2"/>
    </font>
    <font>
      <sz val="9"/>
      <color rgb="FFFFFFFF"/>
      <name val="SF Mono"/>
      <family val="2"/>
    </font>
    <font>
      <sz val="9"/>
      <color rgb="FF0000FF"/>
      <name val="SF Mono"/>
      <family val="2"/>
    </font>
    <font>
      <sz val="9"/>
      <color rgb="FF008000"/>
      <name val="SF Mono"/>
      <family val="2"/>
    </font>
    <font>
      <i/>
      <sz val="8"/>
      <color rgb="FF475569"/>
      <name val="SF Pro Text"/>
      <family val="2"/>
    </font>
    <font>
      <sz val="9"/>
      <color rgb="FF0F172A"/>
      <name val="SF Mono"/>
      <family val="2"/>
    </font>
    <font>
      <i/>
      <sz val="8"/>
      <color rgb="FFE3120B"/>
      <name val="SF Pro Text"/>
      <family val="2"/>
    </font>
    <font>
      <sz val="11"/>
      <color theme="1"/>
      <name val="SF Pro Text"/>
      <family val="2"/>
    </font>
    <font>
      <sz val="9"/>
      <name val="SF Pro Text"/>
      <family val="2"/>
    </font>
    <font>
      <sz val="10"/>
      <color rgb="FFFFFFFF"/>
      <name val="SF Mono"/>
      <family val="2"/>
    </font>
    <font>
      <sz val="10"/>
      <color rgb="FFFFFFFF"/>
      <name val="SF Pro Text Medium"/>
    </font>
    <font>
      <sz val="10"/>
      <color theme="1"/>
      <name val="SF Pro Text Medium"/>
    </font>
    <font>
      <sz val="9"/>
      <color theme="0"/>
      <name val="SF Mono"/>
      <family val="2"/>
    </font>
    <font>
      <sz val="11"/>
      <color theme="1"/>
      <name val="SF Pro Text"/>
      <family val="2"/>
      <scheme val="minor"/>
    </font>
    <font>
      <sz val="11"/>
      <name val="SF Pro Text Regular"/>
    </font>
    <font>
      <u/>
      <sz val="11"/>
      <color theme="10"/>
      <name val="SF Pro Text"/>
      <family val="2"/>
      <scheme val="minor"/>
    </font>
    <font>
      <sz val="9"/>
      <color theme="0"/>
      <name val="SF Pro Text"/>
      <family val="2"/>
    </font>
    <font>
      <sz val="11"/>
      <color theme="0"/>
      <name val="SF Pro Text"/>
      <family val="2"/>
    </font>
    <font>
      <i/>
      <sz val="8"/>
      <color theme="0"/>
      <name val="SF Pro Text"/>
      <family val="2"/>
    </font>
    <font>
      <sz val="11"/>
      <color theme="0"/>
      <name val="SF Pro Text"/>
      <family val="2"/>
      <scheme val="minor"/>
    </font>
    <font>
      <sz val="9"/>
      <color theme="1"/>
      <name val="SF Pro Text"/>
      <family val="2"/>
    </font>
    <font>
      <sz val="9"/>
      <color rgb="FFFFFFFF"/>
      <name val="SF Pro Text"/>
      <family val="2"/>
    </font>
    <font>
      <sz val="10"/>
      <color rgb="FF0F172A"/>
      <name val="SF Pro Text"/>
      <family val="2"/>
    </font>
    <font>
      <sz val="9"/>
      <color rgb="FF16A34A"/>
      <name val="SF Mono"/>
      <family val="2"/>
    </font>
    <font>
      <sz val="9"/>
      <color rgb="FFDC2626"/>
      <name val="SF Mono"/>
      <family val="2"/>
    </font>
    <font>
      <sz val="9"/>
      <color rgb="FF854D0E"/>
      <name val="SF Mono"/>
      <family val="2"/>
    </font>
    <font>
      <sz val="9"/>
      <color rgb="FF166534"/>
      <name val="SF Mono"/>
      <family val="2"/>
    </font>
    <font>
      <sz val="9"/>
      <color rgb="FF334155"/>
      <name val="SF Pro Text"/>
      <family val="2"/>
    </font>
    <font>
      <sz val="11"/>
      <color theme="1"/>
      <name val="SF Pro Text"/>
      <family val="2"/>
    </font>
    <font>
      <sz val="9"/>
      <color rgb="FF0F172A"/>
      <name val="SF Pro Text"/>
      <family val="2"/>
    </font>
    <font>
      <sz val="9"/>
      <color rgb="FF334155"/>
      <name val="SF Pro Text"/>
      <family val="2"/>
    </font>
    <font>
      <sz val="9"/>
      <color rgb="FF0000FF"/>
      <name val="SF Mono"/>
      <family val="2"/>
    </font>
    <font>
      <i/>
      <sz val="9"/>
      <color rgb="FF475569"/>
      <name val="SF Pro Text"/>
      <family val="2"/>
    </font>
    <font>
      <sz val="9"/>
      <color rgb="FF000000"/>
      <name val="SF Mono"/>
      <family val="2"/>
    </font>
    <font>
      <i/>
      <sz val="8"/>
      <color rgb="FF475569"/>
      <name val="SF Pro Text"/>
      <family val="2"/>
    </font>
    <font>
      <sz val="10"/>
      <color theme="2" tint="-0.89999084444715716"/>
      <name val="SF Pro Text Medium"/>
    </font>
    <font>
      <sz val="9"/>
      <color rgb="FF854D0E"/>
      <name val="SF Mono"/>
      <family val="2"/>
    </font>
    <font>
      <sz val="9"/>
      <color rgb="FF166534"/>
      <name val="SF Mono"/>
      <family val="2"/>
    </font>
    <font>
      <sz val="9"/>
      <color rgb="FF991B1B"/>
      <name val="SF Mono"/>
      <family val="2"/>
    </font>
    <font>
      <sz val="9"/>
      <color rgb="FF008000"/>
      <name val="SF Mono"/>
      <family val="2"/>
    </font>
    <font>
      <sz val="9"/>
      <color rgb="FF0F172A"/>
      <name val="SF Mono"/>
      <family val="2"/>
    </font>
    <font>
      <sz val="11"/>
      <color theme="1"/>
      <name val="SF Pro Text Medium"/>
    </font>
    <font>
      <sz val="9"/>
      <color theme="1"/>
      <name val="SF Pro Text Medium"/>
    </font>
    <font>
      <sz val="10"/>
      <color rgb="FFFFFFFF"/>
      <name val="SF Pro Text"/>
      <family val="2"/>
    </font>
    <font>
      <sz val="9"/>
      <color theme="1"/>
      <name val="SF Mono"/>
      <family val="2"/>
    </font>
    <font>
      <sz val="10"/>
      <color theme="1"/>
      <name val="SF Pro Text"/>
      <family val="2"/>
    </font>
    <font>
      <sz val="10"/>
      <color rgb="FF0F172A"/>
      <name val="SF Mono"/>
      <family val="2"/>
    </font>
    <font>
      <sz val="10"/>
      <color rgb="FF000000"/>
      <name val="SF Mono"/>
      <family val="2"/>
    </font>
    <font>
      <sz val="18"/>
      <color rgb="FF0F172A"/>
      <name val="SF Pro Display Medium"/>
    </font>
    <font>
      <i/>
      <sz val="8"/>
      <color rgb="FF5B6798"/>
      <name val="SF Pro Text"/>
      <family val="2"/>
    </font>
    <font>
      <sz val="9"/>
      <color theme="1" tint="0.249977111117893"/>
      <name val="SF Pro Text Regular Italic"/>
    </font>
    <font>
      <sz val="10"/>
      <color theme="1"/>
      <name val="SF Mono"/>
      <family val="2"/>
    </font>
    <font>
      <sz val="11"/>
      <name val="SF Pro Text"/>
      <family val="2"/>
    </font>
    <font>
      <sz val="10"/>
      <color rgb="FF1E3A8A"/>
      <name val="SF Pro Text Medium"/>
    </font>
    <font>
      <sz val="9"/>
      <color rgb="FF0F172A"/>
      <name val="SF Pro Text Semibold"/>
    </font>
    <font>
      <i/>
      <sz val="8"/>
      <color rgb="FF475569"/>
      <name val="SF Pro Text Semibold"/>
    </font>
    <font>
      <i/>
      <sz val="9"/>
      <color rgb="FF475569"/>
      <name val="SF Pro Text Semibold"/>
    </font>
    <font>
      <sz val="11"/>
      <color theme="1"/>
      <name val="SF Pro Text Semibold"/>
    </font>
    <font>
      <sz val="11"/>
      <color theme="1"/>
      <name val="Söhne"/>
    </font>
    <font>
      <sz val="11"/>
      <color theme="3" tint="-0.249977111117893"/>
      <name val="Söhne"/>
    </font>
    <font>
      <sz val="11"/>
      <color theme="1"/>
      <name val="Söhne Leicht"/>
    </font>
    <font>
      <sz val="11"/>
      <color theme="1"/>
      <name val="Söhne Italic"/>
    </font>
    <font>
      <sz val="9"/>
      <color theme="1"/>
      <name val="Söhne Kräftig"/>
    </font>
    <font>
      <sz val="9"/>
      <color rgb="FF475569"/>
      <name val="Söhne Leicht"/>
    </font>
    <font>
      <sz val="22"/>
      <color rgb="FF0F172A"/>
      <name val="Söhne Fett"/>
    </font>
    <font>
      <sz val="22"/>
      <color rgb="FF1E3A8A"/>
      <name val="Söhne Fett"/>
    </font>
    <font>
      <sz val="12"/>
      <color rgb="FF1E3A8A"/>
      <name val="Söhne Fett"/>
    </font>
    <font>
      <sz val="16"/>
      <color theme="6" tint="-0.249977111117893"/>
      <name val="Söhne Fett"/>
    </font>
    <font>
      <sz val="12"/>
      <color theme="6" tint="-0.249977111117893"/>
      <name val="Söhne Fett"/>
    </font>
    <font>
      <sz val="22"/>
      <color rgb="FFBF3D34"/>
      <name val="Söhne Fett"/>
    </font>
    <font>
      <sz val="9"/>
      <color theme="1" tint="0.14999847407452621"/>
      <name val="Söhne Leicht"/>
    </font>
    <font>
      <sz val="12"/>
      <color theme="1"/>
      <name val="Söhne Kräftig"/>
    </font>
    <font>
      <sz val="9"/>
      <color rgb="FFBF3D34"/>
      <name val="Söhne"/>
    </font>
    <font>
      <i/>
      <sz val="8"/>
      <color theme="4" tint="0.39997558519241921"/>
      <name val="Söhne Leicht"/>
    </font>
    <font>
      <sz val="9"/>
      <color theme="4" tint="0.39997558519241921"/>
      <name val="Söhne"/>
    </font>
    <font>
      <sz val="8"/>
      <color rgb="FF475569"/>
      <name val="Söhne Leicht"/>
    </font>
    <font>
      <sz val="8"/>
      <color theme="1"/>
      <name val="Söhne"/>
    </font>
    <font>
      <sz val="8"/>
      <color theme="1" tint="0.249977111117893"/>
      <name val="Söhne"/>
    </font>
    <font>
      <sz val="15"/>
      <color rgb="FF0F172A"/>
      <name val="SF Pro Text Semibold"/>
    </font>
    <font>
      <i/>
      <sz val="9"/>
      <color theme="1" tint="0.249977111117893"/>
      <name val="SF Pro Text"/>
      <family val="2"/>
    </font>
    <font>
      <sz val="10"/>
      <color rgb="FFFFFFFF"/>
      <name val="SF Pro Text Semibold"/>
    </font>
    <font>
      <sz val="9"/>
      <color theme="1"/>
      <name val="SF Mono Semibold"/>
    </font>
    <font>
      <i/>
      <sz val="8"/>
      <color rgb="FF475569"/>
      <name val="SF Mono"/>
      <family val="2"/>
    </font>
    <font>
      <sz val="10"/>
      <color theme="1"/>
      <name val="SF Pro Text Semibold"/>
    </font>
    <font>
      <sz val="10"/>
      <color theme="0"/>
      <name val="SF Pro Text Semibold"/>
    </font>
    <font>
      <sz val="10"/>
      <color rgb="FF475569"/>
      <name val="SF Pro Text Semibold"/>
    </font>
    <font>
      <sz val="10"/>
      <color rgb="FF0F172A"/>
      <name val="SF Pro Text Semibold"/>
    </font>
    <font>
      <sz val="10"/>
      <name val="SF Pro Text Semibold"/>
    </font>
    <font>
      <sz val="10"/>
      <color theme="1"/>
      <name val="SF Pro Text"/>
      <family val="2"/>
    </font>
    <font>
      <i/>
      <sz val="9"/>
      <color rgb="FF475569"/>
      <name val="SF Pro Text"/>
      <family val="2"/>
    </font>
    <font>
      <i/>
      <sz val="9"/>
      <color theme="1"/>
      <name val="SF Pro Text"/>
      <family val="2"/>
    </font>
    <font>
      <sz val="10"/>
      <color theme="0"/>
      <name val="SF Pro Text"/>
      <family val="2"/>
    </font>
    <font>
      <sz val="10"/>
      <name val="SF Pro Text"/>
      <family val="2"/>
    </font>
    <font>
      <sz val="9"/>
      <name val="SF Mono"/>
      <family val="2"/>
    </font>
    <font>
      <u/>
      <sz val="9"/>
      <color theme="10"/>
      <name val="SF Pro Text"/>
      <family val="2"/>
    </font>
    <font>
      <sz val="9"/>
      <color theme="1"/>
      <name val="SF Pro Text"/>
      <family val="2"/>
    </font>
    <font>
      <sz val="10"/>
      <color theme="0"/>
      <name val="SF Mono Semibold"/>
    </font>
    <font>
      <sz val="9"/>
      <color rgb="FFC00000"/>
      <name val="SF Pro Text Semibold"/>
    </font>
    <font>
      <sz val="9"/>
      <color rgb="FF1E3A8A"/>
      <name val="SF Pro Text Semibold"/>
    </font>
    <font>
      <sz val="10"/>
      <color rgb="FF334155"/>
      <name val="SF Pro Text Semibold"/>
    </font>
    <font>
      <sz val="9"/>
      <color theme="1"/>
      <name val="SF Mono"/>
      <family val="2"/>
    </font>
    <font>
      <sz val="9"/>
      <color rgb="FF0F172A"/>
      <name val="SF Mono"/>
      <family val="2"/>
    </font>
    <font>
      <sz val="9"/>
      <color rgb="FFFFFFFF"/>
      <name val="SF Pro Text Semibold"/>
    </font>
    <font>
      <u/>
      <sz val="9"/>
      <color rgb="FF5B6798"/>
      <name val="SF Pro Text"/>
      <family val="2"/>
    </font>
    <font>
      <i/>
      <sz val="9"/>
      <color rgb="FF40496D"/>
      <name val="SF Pro Text Semibold"/>
    </font>
    <font>
      <sz val="10"/>
      <color theme="1"/>
      <name val="SF Mono Semibold"/>
    </font>
    <font>
      <sz val="9"/>
      <color theme="1"/>
      <name val="SF Pro Text Semibold"/>
    </font>
    <font>
      <sz val="9"/>
      <color theme="1" tint="0.14999847407452621"/>
      <name val="SF Mono Semibold"/>
    </font>
    <font>
      <i/>
      <sz val="9"/>
      <color theme="1" tint="0.14999847407452621"/>
      <name val="SF Mono"/>
      <family val="2"/>
    </font>
    <font>
      <i/>
      <sz val="8"/>
      <color rgb="FF1E3A8A"/>
      <name val="SF Pro Text"/>
      <family val="2"/>
    </font>
    <font>
      <sz val="9"/>
      <color rgb="FF000000"/>
      <name val="SF Mono Semibold"/>
    </font>
    <font>
      <i/>
      <sz val="10"/>
      <color theme="2" tint="-0.89999084444715716"/>
      <name val="SF Pro Text"/>
      <family val="2"/>
    </font>
    <font>
      <sz val="10"/>
      <color rgb="FF0F172A"/>
      <name val="SF Mono Semibold"/>
    </font>
    <font>
      <sz val="10"/>
      <color theme="4"/>
      <name val="SF Pro Text"/>
      <family val="2"/>
    </font>
    <font>
      <sz val="10"/>
      <color theme="2" tint="-0.89999084444715716"/>
      <name val="SF Mono Semibold"/>
    </font>
  </fonts>
  <fills count="23">
    <fill>
      <patternFill patternType="none"/>
    </fill>
    <fill>
      <patternFill patternType="gray125"/>
    </fill>
    <fill>
      <patternFill patternType="solid">
        <fgColor rgb="FF1E293B"/>
        <bgColor rgb="FF1E293B"/>
      </patternFill>
    </fill>
    <fill>
      <patternFill patternType="solid">
        <fgColor rgb="FFEAF0FB"/>
        <bgColor rgb="FFEAF0FB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1E293B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6D7E9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rgb="FF1E293B"/>
      </patternFill>
    </fill>
    <fill>
      <patternFill patternType="solid">
        <fgColor rgb="FFDCFCE7"/>
        <bgColor rgb="FFDCFCE7"/>
      </patternFill>
    </fill>
    <fill>
      <patternFill patternType="solid">
        <fgColor rgb="FFFEE2E2"/>
        <bgColor rgb="FFFEE2E2"/>
      </patternFill>
    </fill>
    <fill>
      <patternFill patternType="solid">
        <fgColor theme="6" tint="0.79998168889431442"/>
        <bgColor rgb="FF1E293B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FEF9C3"/>
      </patternFill>
    </fill>
    <fill>
      <patternFill patternType="solid">
        <fgColor theme="2"/>
        <bgColor rgb="FF1E293B"/>
      </patternFill>
    </fill>
    <fill>
      <patternFill patternType="solid">
        <fgColor theme="2"/>
        <bgColor rgb="FFF1F5F9"/>
      </patternFill>
    </fill>
    <fill>
      <patternFill patternType="solid">
        <fgColor theme="4" tint="0.59999389629810485"/>
        <bgColor rgb="FF1E293B"/>
      </patternFill>
    </fill>
    <fill>
      <patternFill patternType="solid">
        <fgColor rgb="FFE2E8F0"/>
        <bgColor rgb="FF1E293B"/>
      </patternFill>
    </fill>
    <fill>
      <patternFill patternType="solid">
        <fgColor rgb="FFE2E8F0"/>
        <bgColor indexed="64"/>
      </patternFill>
    </fill>
    <fill>
      <patternFill patternType="solid">
        <fgColor rgb="FF1E293B"/>
        <bgColor indexed="64"/>
      </patternFill>
    </fill>
    <fill>
      <patternFill patternType="solid">
        <fgColor rgb="FFEFF6FF"/>
        <bgColor rgb="FFEFF6FF"/>
      </patternFill>
    </fill>
  </fills>
  <borders count="39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CBD5E1"/>
      </top>
      <bottom/>
      <diagonal/>
    </border>
    <border>
      <left/>
      <right/>
      <top style="medium">
        <color rgb="FF1E293B"/>
      </top>
      <bottom style="double">
        <color rgb="FF1E293B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1E293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6" tint="0.39988402966399123"/>
      </left>
      <right style="dotted">
        <color theme="6" tint="0.39988402966399123"/>
      </right>
      <top style="dotted">
        <color theme="6" tint="0.39988402966399123"/>
      </top>
      <bottom style="dotted">
        <color theme="6" tint="0.39988402966399123"/>
      </bottom>
      <diagonal/>
    </border>
    <border>
      <left style="dotted">
        <color theme="6" tint="0.39988402966399123"/>
      </left>
      <right style="dotted">
        <color theme="6" tint="0.39988402966399123"/>
      </right>
      <top/>
      <bottom style="dotted">
        <color theme="6" tint="0.39988402966399123"/>
      </bottom>
      <diagonal/>
    </border>
    <border>
      <left/>
      <right/>
      <top/>
      <bottom style="medium">
        <color rgb="FF1E293B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rgb="FFE2E8F0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E2E8F0"/>
      </bottom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theme="7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rgb="FFE2E8F0"/>
      </top>
      <bottom style="thin">
        <color rgb="FFE2E8F0"/>
      </bottom>
      <diagonal/>
    </border>
    <border>
      <left/>
      <right/>
      <top style="thin">
        <color indexed="64"/>
      </top>
      <bottom style="thin">
        <color rgb="FFE2E8F0"/>
      </bottom>
      <diagonal/>
    </border>
    <border>
      <left/>
      <right/>
      <top style="thin">
        <color indexed="64"/>
      </top>
      <bottom style="dotted">
        <color theme="3" tint="0.59996337778862885"/>
      </bottom>
      <diagonal/>
    </border>
    <border>
      <left/>
      <right/>
      <top style="dotted">
        <color theme="3" tint="0.59996337778862885"/>
      </top>
      <bottom style="dotted">
        <color theme="3" tint="0.59996337778862885"/>
      </bottom>
      <diagonal/>
    </border>
    <border>
      <left/>
      <right/>
      <top style="dotted">
        <color theme="3" tint="0.59996337778862885"/>
      </top>
      <bottom/>
      <diagonal/>
    </border>
    <border>
      <left style="dotted">
        <color theme="6" tint="0.39988402966399123"/>
      </left>
      <right style="dotted">
        <color theme="6" tint="0.39988402966399123"/>
      </right>
      <top style="dotted">
        <color theme="6" tint="0.39988402966399123"/>
      </top>
      <bottom/>
      <diagonal/>
    </border>
    <border>
      <left/>
      <right/>
      <top style="thin">
        <color rgb="FFE2E8F0"/>
      </top>
      <bottom/>
      <diagonal/>
    </border>
    <border>
      <left/>
      <right/>
      <top style="thin">
        <color rgb="FFE2E8F0"/>
      </top>
      <bottom style="thin">
        <color theme="6"/>
      </bottom>
      <diagonal/>
    </border>
    <border>
      <left style="dotted">
        <color theme="6" tint="0.39988402966399123"/>
      </left>
      <right/>
      <top style="thin">
        <color rgb="FFE2E8F0"/>
      </top>
      <bottom style="thin">
        <color rgb="FFE2E8F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6"/>
      </right>
      <top/>
      <bottom style="thin">
        <color rgb="FFE2E8F0"/>
      </bottom>
      <diagonal/>
    </border>
    <border>
      <left/>
      <right/>
      <top style="thin">
        <color theme="6"/>
      </top>
      <bottom style="thin">
        <color rgb="FFE2E8F0"/>
      </bottom>
      <diagonal/>
    </border>
    <border>
      <left/>
      <right/>
      <top style="thin">
        <color rgb="FFE2E8F0"/>
      </top>
      <bottom style="thin">
        <color theme="6" tint="0.39994506668294322"/>
      </bottom>
      <diagonal/>
    </border>
  </borders>
  <cellStyleXfs count="4">
    <xf numFmtId="0" fontId="0" fillId="0" borderId="0"/>
    <xf numFmtId="43" fontId="16" fillId="0" borderId="0"/>
    <xf numFmtId="0" fontId="18" fillId="0" borderId="0"/>
    <xf numFmtId="9" fontId="16" fillId="0" borderId="0"/>
  </cellStyleXfs>
  <cellXfs count="4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6" fillId="3" borderId="0" xfId="0" applyFont="1" applyFill="1"/>
    <xf numFmtId="0" fontId="2" fillId="0" borderId="1" xfId="0" applyFont="1" applyBorder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/>
    <xf numFmtId="165" fontId="6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0" xfId="0" applyFont="1"/>
    <xf numFmtId="3" fontId="3" fillId="0" borderId="0" xfId="0" applyNumberFormat="1" applyFont="1"/>
    <xf numFmtId="0" fontId="1" fillId="0" borderId="0" xfId="0" applyFont="1" applyAlignment="1">
      <alignment horizontal="left" vertical="center"/>
    </xf>
    <xf numFmtId="165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9" fillId="0" borderId="0" xfId="0" applyFont="1"/>
    <xf numFmtId="164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10" fillId="0" borderId="0" xfId="0" applyFont="1"/>
    <xf numFmtId="0" fontId="10" fillId="0" borderId="1" xfId="0" applyFont="1" applyBorder="1"/>
    <xf numFmtId="0" fontId="11" fillId="4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0" fillId="0" borderId="4" xfId="0" applyFont="1" applyBorder="1"/>
    <xf numFmtId="0" fontId="14" fillId="0" borderId="0" xfId="0" applyFont="1"/>
    <xf numFmtId="0" fontId="10" fillId="0" borderId="0" xfId="0" applyFont="1" applyAlignment="1">
      <alignment horizontal="right"/>
    </xf>
    <xf numFmtId="0" fontId="0" fillId="0" borderId="4" xfId="0" applyBorder="1"/>
    <xf numFmtId="10" fontId="3" fillId="0" borderId="6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4" fontId="15" fillId="0" borderId="0" xfId="0" applyNumberFormat="1" applyFont="1"/>
    <xf numFmtId="0" fontId="17" fillId="0" borderId="0" xfId="0" applyFont="1"/>
    <xf numFmtId="2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/>
    <xf numFmtId="165" fontId="15" fillId="0" borderId="0" xfId="0" applyNumberFormat="1" applyFont="1"/>
    <xf numFmtId="3" fontId="15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centerContinuous"/>
    </xf>
    <xf numFmtId="0" fontId="19" fillId="9" borderId="5" xfId="0" applyFont="1" applyFill="1" applyBorder="1" applyAlignment="1">
      <alignment horizontal="left" vertical="center"/>
    </xf>
    <xf numFmtId="0" fontId="19" fillId="9" borderId="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8" fontId="3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10" fontId="26" fillId="11" borderId="1" xfId="0" applyNumberFormat="1" applyFont="1" applyFill="1" applyBorder="1" applyAlignment="1">
      <alignment horizontal="right" vertical="center"/>
    </xf>
    <xf numFmtId="10" fontId="27" fillId="12" borderId="1" xfId="0" applyNumberFormat="1" applyFont="1" applyFill="1" applyBorder="1" applyAlignment="1">
      <alignment horizontal="right" vertical="center"/>
    </xf>
    <xf numFmtId="3" fontId="26" fillId="11" borderId="1" xfId="0" applyNumberFormat="1" applyFont="1" applyFill="1" applyBorder="1" applyAlignment="1">
      <alignment horizontal="right" vertical="center"/>
    </xf>
    <xf numFmtId="3" fontId="27" fillId="12" borderId="1" xfId="0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0" borderId="0" xfId="0" applyFont="1"/>
    <xf numFmtId="0" fontId="31" fillId="0" borderId="0" xfId="0" applyFont="1"/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165" fontId="36" fillId="0" borderId="1" xfId="0" applyNumberFormat="1" applyFont="1" applyBorder="1" applyAlignment="1">
      <alignment horizontal="right" vertical="center"/>
    </xf>
    <xf numFmtId="0" fontId="24" fillId="5" borderId="0" xfId="0" applyFont="1" applyFill="1"/>
    <xf numFmtId="0" fontId="11" fillId="4" borderId="0" xfId="0" applyFont="1" applyFill="1" applyAlignment="1">
      <alignment horizontal="left" indent="9"/>
    </xf>
    <xf numFmtId="0" fontId="25" fillId="0" borderId="0" xfId="0" applyFont="1" applyAlignment="1">
      <alignment horizontal="left" vertical="center" indent="1"/>
    </xf>
    <xf numFmtId="0" fontId="38" fillId="0" borderId="0" xfId="0" applyFont="1" applyAlignment="1">
      <alignment horizontal="left" vertical="center"/>
    </xf>
    <xf numFmtId="0" fontId="44" fillId="0" borderId="0" xfId="0" applyFont="1"/>
    <xf numFmtId="0" fontId="45" fillId="0" borderId="0" xfId="0" applyFont="1"/>
    <xf numFmtId="0" fontId="13" fillId="0" borderId="0" xfId="0" applyFont="1"/>
    <xf numFmtId="0" fontId="0" fillId="6" borderId="0" xfId="0" applyFill="1"/>
    <xf numFmtId="0" fontId="32" fillId="0" borderId="20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46" fillId="2" borderId="18" xfId="0" applyFont="1" applyFill="1" applyBorder="1"/>
    <xf numFmtId="0" fontId="10" fillId="0" borderId="24" xfId="0" applyFont="1" applyBorder="1"/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3" fontId="47" fillId="0" borderId="1" xfId="0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right" vertical="center"/>
    </xf>
    <xf numFmtId="164" fontId="47" fillId="0" borderId="1" xfId="0" applyNumberFormat="1" applyFont="1" applyBorder="1" applyAlignment="1">
      <alignment horizontal="right" vertical="center"/>
    </xf>
    <xf numFmtId="2" fontId="47" fillId="0" borderId="1" xfId="0" applyNumberFormat="1" applyFont="1" applyBorder="1" applyAlignment="1">
      <alignment horizontal="right" vertical="center"/>
    </xf>
    <xf numFmtId="1" fontId="47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165" fontId="47" fillId="0" borderId="1" xfId="0" applyNumberFormat="1" applyFont="1" applyBorder="1" applyAlignment="1">
      <alignment horizontal="right" vertical="center"/>
    </xf>
    <xf numFmtId="3" fontId="47" fillId="0" borderId="1" xfId="0" applyNumberFormat="1" applyFont="1" applyBorder="1" applyAlignment="1">
      <alignment horizontal="center" vertical="center"/>
    </xf>
    <xf numFmtId="164" fontId="47" fillId="0" borderId="3" xfId="0" applyNumberFormat="1" applyFont="1" applyBorder="1" applyAlignment="1">
      <alignment horizontal="center" vertical="center"/>
    </xf>
    <xf numFmtId="10" fontId="47" fillId="0" borderId="1" xfId="0" applyNumberFormat="1" applyFont="1" applyBorder="1" applyAlignment="1">
      <alignment horizontal="right" vertical="center"/>
    </xf>
    <xf numFmtId="4" fontId="47" fillId="0" borderId="1" xfId="0" applyNumberFormat="1" applyFont="1" applyBorder="1" applyAlignment="1">
      <alignment horizontal="right" vertical="center"/>
    </xf>
    <xf numFmtId="0" fontId="23" fillId="0" borderId="26" xfId="0" applyFont="1" applyBorder="1" applyAlignment="1">
      <alignment horizontal="left" vertical="center"/>
    </xf>
    <xf numFmtId="10" fontId="47" fillId="0" borderId="26" xfId="0" applyNumberFormat="1" applyFont="1" applyBorder="1" applyAlignment="1">
      <alignment horizontal="right" vertical="center"/>
    </xf>
    <xf numFmtId="0" fontId="47" fillId="0" borderId="26" xfId="0" applyFont="1" applyBorder="1" applyAlignment="1">
      <alignment horizontal="right"/>
    </xf>
    <xf numFmtId="0" fontId="48" fillId="0" borderId="3" xfId="0" applyFont="1" applyBorder="1" applyAlignment="1">
      <alignment horizontal="left" vertical="center"/>
    </xf>
    <xf numFmtId="3" fontId="49" fillId="0" borderId="3" xfId="0" applyNumberFormat="1" applyFont="1" applyBorder="1" applyAlignment="1">
      <alignment horizontal="right" vertical="center"/>
    </xf>
    <xf numFmtId="0" fontId="48" fillId="0" borderId="1" xfId="0" applyFont="1" applyBorder="1" applyAlignment="1">
      <alignment horizontal="left" vertical="center"/>
    </xf>
    <xf numFmtId="166" fontId="50" fillId="0" borderId="0" xfId="0" applyNumberFormat="1" applyFont="1" applyAlignment="1">
      <alignment horizontal="right" vertical="center"/>
    </xf>
    <xf numFmtId="0" fontId="31" fillId="0" borderId="23" xfId="0" applyFont="1" applyBorder="1"/>
    <xf numFmtId="0" fontId="51" fillId="0" borderId="0" xfId="0" applyFont="1"/>
    <xf numFmtId="0" fontId="31" fillId="0" borderId="24" xfId="0" applyFont="1" applyBorder="1"/>
    <xf numFmtId="0" fontId="7" fillId="0" borderId="0" xfId="0" applyFont="1" applyAlignment="1">
      <alignment horizontal="left" indent="1"/>
    </xf>
    <xf numFmtId="0" fontId="52" fillId="0" borderId="0" xfId="0" applyFont="1" applyAlignment="1">
      <alignment horizontal="left" indent="2"/>
    </xf>
    <xf numFmtId="0" fontId="52" fillId="0" borderId="0" xfId="0" applyFont="1" applyAlignment="1">
      <alignment horizontal="left" wrapText="1" indent="2"/>
    </xf>
    <xf numFmtId="0" fontId="52" fillId="0" borderId="0" xfId="0" applyFont="1" applyAlignment="1">
      <alignment horizontal="centerContinuous" wrapText="1"/>
    </xf>
    <xf numFmtId="0" fontId="53" fillId="0" borderId="0" xfId="0" applyFont="1" applyAlignment="1">
      <alignment horizontal="left" indent="3"/>
    </xf>
    <xf numFmtId="165" fontId="54" fillId="13" borderId="0" xfId="0" applyNumberFormat="1" applyFont="1" applyFill="1" applyAlignment="1">
      <alignment horizontal="center" vertical="center"/>
    </xf>
    <xf numFmtId="165" fontId="40" fillId="11" borderId="0" xfId="0" applyNumberFormat="1" applyFont="1" applyFill="1" applyAlignment="1">
      <alignment horizontal="right" vertical="center"/>
    </xf>
    <xf numFmtId="165" fontId="36" fillId="0" borderId="0" xfId="0" applyNumberFormat="1" applyFont="1" applyAlignment="1">
      <alignment horizontal="right" vertical="center"/>
    </xf>
    <xf numFmtId="165" fontId="39" fillId="15" borderId="0" xfId="0" applyNumberFormat="1" applyFont="1" applyFill="1" applyAlignment="1">
      <alignment horizontal="right" vertical="center"/>
    </xf>
    <xf numFmtId="165" fontId="41" fillId="12" borderId="0" xfId="0" applyNumberFormat="1" applyFont="1" applyFill="1" applyAlignment="1">
      <alignment horizontal="right" vertical="center"/>
    </xf>
    <xf numFmtId="165" fontId="40" fillId="11" borderId="1" xfId="0" applyNumberFormat="1" applyFont="1" applyFill="1" applyBorder="1" applyAlignment="1">
      <alignment horizontal="right" vertical="center"/>
    </xf>
    <xf numFmtId="165" fontId="39" fillId="15" borderId="1" xfId="0" applyNumberFormat="1" applyFont="1" applyFill="1" applyBorder="1" applyAlignment="1">
      <alignment horizontal="right" vertical="center"/>
    </xf>
    <xf numFmtId="165" fontId="41" fillId="12" borderId="1" xfId="0" applyNumberFormat="1" applyFont="1" applyFill="1" applyBorder="1" applyAlignment="1">
      <alignment horizontal="right" vertical="center"/>
    </xf>
    <xf numFmtId="165" fontId="43" fillId="0" borderId="1" xfId="0" applyNumberFormat="1" applyFont="1" applyBorder="1" applyAlignment="1">
      <alignment horizontal="right" vertical="center"/>
    </xf>
    <xf numFmtId="1" fontId="36" fillId="0" borderId="1" xfId="0" applyNumberFormat="1" applyFont="1" applyBorder="1" applyAlignment="1">
      <alignment horizontal="right" vertical="center"/>
    </xf>
    <xf numFmtId="1" fontId="43" fillId="0" borderId="1" xfId="0" applyNumberFormat="1" applyFont="1" applyBorder="1" applyAlignment="1">
      <alignment horizontal="right" vertical="center"/>
    </xf>
    <xf numFmtId="1" fontId="36" fillId="0" borderId="0" xfId="0" applyNumberFormat="1" applyFont="1" applyAlignment="1">
      <alignment horizontal="right" vertical="center"/>
    </xf>
    <xf numFmtId="10" fontId="41" fillId="12" borderId="1" xfId="0" applyNumberFormat="1" applyFont="1" applyFill="1" applyBorder="1" applyAlignment="1">
      <alignment horizontal="right" vertical="center"/>
    </xf>
    <xf numFmtId="10" fontId="39" fillId="15" borderId="1" xfId="0" applyNumberFormat="1" applyFont="1" applyFill="1" applyBorder="1" applyAlignment="1">
      <alignment horizontal="right" vertical="center"/>
    </xf>
    <xf numFmtId="10" fontId="40" fillId="11" borderId="1" xfId="0" applyNumberFormat="1" applyFont="1" applyFill="1" applyBorder="1" applyAlignment="1">
      <alignment horizontal="right" vertical="center"/>
    </xf>
    <xf numFmtId="10" fontId="40" fillId="11" borderId="0" xfId="0" applyNumberFormat="1" applyFont="1" applyFill="1" applyAlignment="1">
      <alignment horizontal="right" vertical="center"/>
    </xf>
    <xf numFmtId="169" fontId="42" fillId="0" borderId="1" xfId="0" applyNumberFormat="1" applyFont="1" applyBorder="1" applyAlignment="1">
      <alignment horizontal="right" vertical="center"/>
    </xf>
    <xf numFmtId="165" fontId="42" fillId="0" borderId="1" xfId="0" applyNumberFormat="1" applyFont="1" applyBorder="1" applyAlignment="1">
      <alignment horizontal="right" vertical="center"/>
    </xf>
    <xf numFmtId="1" fontId="42" fillId="0" borderId="1" xfId="0" applyNumberFormat="1" applyFont="1" applyBorder="1" applyAlignment="1">
      <alignment horizontal="right" vertical="center"/>
    </xf>
    <xf numFmtId="165" fontId="42" fillId="0" borderId="0" xfId="0" applyNumberFormat="1" applyFont="1" applyAlignment="1">
      <alignment horizontal="right" vertical="center"/>
    </xf>
    <xf numFmtId="0" fontId="32" fillId="0" borderId="27" xfId="0" applyFont="1" applyBorder="1" applyAlignment="1">
      <alignment horizontal="left" vertical="center"/>
    </xf>
    <xf numFmtId="169" fontId="42" fillId="0" borderId="27" xfId="0" applyNumberFormat="1" applyFont="1" applyBorder="1" applyAlignment="1">
      <alignment horizontal="right" vertical="center"/>
    </xf>
    <xf numFmtId="165" fontId="42" fillId="0" borderId="27" xfId="0" applyNumberFormat="1" applyFont="1" applyBorder="1" applyAlignment="1">
      <alignment horizontal="right" vertical="center"/>
    </xf>
    <xf numFmtId="165" fontId="47" fillId="15" borderId="0" xfId="0" applyNumberFormat="1" applyFont="1" applyFill="1" applyAlignment="1">
      <alignment horizontal="right" vertical="center"/>
    </xf>
    <xf numFmtId="0" fontId="23" fillId="0" borderId="21" xfId="0" applyFont="1" applyBorder="1" applyAlignment="1">
      <alignment horizontal="left" vertical="center"/>
    </xf>
    <xf numFmtId="164" fontId="6" fillId="0" borderId="2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indent="1"/>
    </xf>
    <xf numFmtId="165" fontId="6" fillId="0" borderId="1" xfId="0" applyNumberFormat="1" applyFont="1" applyBorder="1" applyAlignment="1">
      <alignment horizontal="right" vertical="center"/>
    </xf>
    <xf numFmtId="165" fontId="6" fillId="0" borderId="26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left" indent="1"/>
    </xf>
    <xf numFmtId="3" fontId="6" fillId="0" borderId="26" xfId="0" applyNumberFormat="1" applyFont="1" applyBorder="1" applyAlignment="1">
      <alignment horizontal="right" vertical="center"/>
    </xf>
    <xf numFmtId="0" fontId="23" fillId="0" borderId="26" xfId="0" applyFont="1" applyBorder="1"/>
    <xf numFmtId="0" fontId="10" fillId="0" borderId="26" xfId="0" applyFont="1" applyBorder="1"/>
    <xf numFmtId="164" fontId="3" fillId="0" borderId="26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0" fontId="23" fillId="0" borderId="32" xfId="0" applyFont="1" applyBorder="1"/>
    <xf numFmtId="0" fontId="7" fillId="0" borderId="32" xfId="0" applyFont="1" applyBorder="1" applyAlignment="1">
      <alignment horizontal="left" indent="1"/>
    </xf>
    <xf numFmtId="0" fontId="10" fillId="0" borderId="32" xfId="0" applyFont="1" applyBorder="1"/>
    <xf numFmtId="0" fontId="7" fillId="0" borderId="26" xfId="0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right" vertical="center"/>
    </xf>
    <xf numFmtId="3" fontId="6" fillId="0" borderId="26" xfId="0" applyNumberFormat="1" applyFont="1" applyBorder="1"/>
    <xf numFmtId="0" fontId="10" fillId="0" borderId="1" xfId="0" applyFont="1" applyBorder="1" applyAlignment="1">
      <alignment horizontal="right"/>
    </xf>
    <xf numFmtId="0" fontId="23" fillId="0" borderId="33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horizontal="right"/>
    </xf>
    <xf numFmtId="0" fontId="4" fillId="2" borderId="18" xfId="0" applyFont="1" applyFill="1" applyBorder="1" applyAlignment="1">
      <alignment horizontal="center" vertical="center"/>
    </xf>
    <xf numFmtId="10" fontId="6" fillId="0" borderId="26" xfId="0" applyNumberFormat="1" applyFont="1" applyBorder="1" applyAlignment="1">
      <alignment horizontal="right" vertical="center"/>
    </xf>
    <xf numFmtId="4" fontId="3" fillId="0" borderId="26" xfId="0" applyNumberFormat="1" applyFont="1" applyBorder="1" applyAlignment="1">
      <alignment horizontal="right" vertical="center"/>
    </xf>
    <xf numFmtId="172" fontId="3" fillId="0" borderId="26" xfId="0" applyNumberFormat="1" applyFont="1" applyBorder="1" applyAlignment="1">
      <alignment horizontal="right" vertical="center"/>
    </xf>
    <xf numFmtId="3" fontId="3" fillId="0" borderId="26" xfId="0" applyNumberFormat="1" applyFont="1" applyBorder="1"/>
    <xf numFmtId="10" fontId="3" fillId="0" borderId="26" xfId="0" applyNumberFormat="1" applyFont="1" applyBorder="1" applyAlignment="1">
      <alignment horizontal="right" vertical="center"/>
    </xf>
    <xf numFmtId="0" fontId="23" fillId="0" borderId="32" xfId="0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right" vertical="center"/>
    </xf>
    <xf numFmtId="3" fontId="47" fillId="0" borderId="32" xfId="0" applyNumberFormat="1" applyFont="1" applyBorder="1" applyAlignment="1">
      <alignment horizontal="right" vertical="center"/>
    </xf>
    <xf numFmtId="166" fontId="47" fillId="0" borderId="32" xfId="0" applyNumberFormat="1" applyFont="1" applyBorder="1" applyAlignment="1">
      <alignment horizontal="right" vertical="center"/>
    </xf>
    <xf numFmtId="3" fontId="47" fillId="0" borderId="26" xfId="0" applyNumberFormat="1" applyFont="1" applyBorder="1" applyAlignment="1">
      <alignment horizontal="right" vertical="center"/>
    </xf>
    <xf numFmtId="166" fontId="47" fillId="0" borderId="26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 wrapText="1"/>
    </xf>
    <xf numFmtId="2" fontId="47" fillId="0" borderId="26" xfId="0" applyNumberFormat="1" applyFont="1" applyBorder="1" applyAlignment="1">
      <alignment horizontal="right" vertical="center"/>
    </xf>
    <xf numFmtId="1" fontId="47" fillId="0" borderId="26" xfId="0" applyNumberFormat="1" applyFont="1" applyBorder="1" applyAlignment="1">
      <alignment horizontal="right" vertical="center"/>
    </xf>
    <xf numFmtId="0" fontId="23" fillId="0" borderId="26" xfId="0" applyFont="1" applyBorder="1" applyAlignment="1">
      <alignment vertical="top" wrapText="1"/>
    </xf>
    <xf numFmtId="2" fontId="47" fillId="0" borderId="32" xfId="0" applyNumberFormat="1" applyFont="1" applyBorder="1" applyAlignment="1">
      <alignment horizontal="right" vertical="center"/>
    </xf>
    <xf numFmtId="1" fontId="47" fillId="0" borderId="32" xfId="0" applyNumberFormat="1" applyFont="1" applyBorder="1" applyAlignment="1">
      <alignment horizontal="right" vertical="center"/>
    </xf>
    <xf numFmtId="0" fontId="23" fillId="0" borderId="32" xfId="0" applyFont="1" applyBorder="1" applyAlignment="1">
      <alignment vertical="top" wrapText="1"/>
    </xf>
    <xf numFmtId="165" fontId="47" fillId="0" borderId="26" xfId="0" applyNumberFormat="1" applyFont="1" applyBorder="1" applyAlignment="1">
      <alignment horizontal="right" vertical="center"/>
    </xf>
    <xf numFmtId="165" fontId="47" fillId="0" borderId="32" xfId="0" applyNumberFormat="1" applyFont="1" applyBorder="1" applyAlignment="1">
      <alignment horizontal="right" vertical="center"/>
    </xf>
    <xf numFmtId="10" fontId="47" fillId="0" borderId="32" xfId="0" applyNumberFormat="1" applyFont="1" applyBorder="1" applyAlignment="1">
      <alignment horizontal="right" vertical="center"/>
    </xf>
    <xf numFmtId="4" fontId="47" fillId="0" borderId="26" xfId="0" applyNumberFormat="1" applyFont="1" applyBorder="1" applyAlignment="1">
      <alignment horizontal="right" vertical="center"/>
    </xf>
    <xf numFmtId="4" fontId="47" fillId="0" borderId="32" xfId="0" applyNumberFormat="1" applyFont="1" applyBorder="1" applyAlignment="1">
      <alignment horizontal="right" vertical="center"/>
    </xf>
    <xf numFmtId="0" fontId="47" fillId="0" borderId="1" xfId="0" applyFont="1" applyBorder="1" applyAlignment="1">
      <alignment horizontal="right"/>
    </xf>
    <xf numFmtId="0" fontId="47" fillId="0" borderId="32" xfId="0" applyFont="1" applyBorder="1" applyAlignment="1">
      <alignment horizontal="right"/>
    </xf>
    <xf numFmtId="0" fontId="2" fillId="0" borderId="26" xfId="0" applyFont="1" applyBorder="1" applyAlignment="1">
      <alignment horizontal="left" vertical="center"/>
    </xf>
    <xf numFmtId="3" fontId="8" fillId="0" borderId="26" xfId="0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26" xfId="0" applyBorder="1"/>
    <xf numFmtId="0" fontId="0" fillId="0" borderId="32" xfId="0" applyBorder="1"/>
    <xf numFmtId="174" fontId="3" fillId="0" borderId="26" xfId="0" applyNumberFormat="1" applyFont="1" applyBorder="1" applyAlignment="1">
      <alignment horizontal="right" vertical="center"/>
    </xf>
    <xf numFmtId="4" fontId="3" fillId="0" borderId="32" xfId="0" applyNumberFormat="1" applyFont="1" applyBorder="1" applyAlignment="1">
      <alignment horizontal="right" vertical="center"/>
    </xf>
    <xf numFmtId="168" fontId="3" fillId="0" borderId="26" xfId="0" applyNumberFormat="1" applyFont="1" applyBorder="1" applyAlignment="1">
      <alignment horizontal="right" vertical="center"/>
    </xf>
    <xf numFmtId="165" fontId="8" fillId="0" borderId="32" xfId="0" applyNumberFormat="1" applyFont="1" applyBorder="1" applyAlignment="1">
      <alignment horizontal="right" vertical="center"/>
    </xf>
    <xf numFmtId="168" fontId="8" fillId="0" borderId="32" xfId="0" applyNumberFormat="1" applyFont="1" applyBorder="1" applyAlignment="1">
      <alignment horizontal="right" vertical="center"/>
    </xf>
    <xf numFmtId="168" fontId="6" fillId="0" borderId="26" xfId="0" applyNumberFormat="1" applyFont="1" applyBorder="1" applyAlignment="1">
      <alignment horizontal="right" vertical="center"/>
    </xf>
    <xf numFmtId="4" fontId="8" fillId="0" borderId="32" xfId="0" applyNumberFormat="1" applyFont="1" applyBorder="1" applyAlignment="1">
      <alignment horizontal="right" vertical="center"/>
    </xf>
    <xf numFmtId="168" fontId="6" fillId="0" borderId="32" xfId="0" applyNumberFormat="1" applyFont="1" applyBorder="1" applyAlignment="1">
      <alignment horizontal="right" vertical="center"/>
    </xf>
    <xf numFmtId="168" fontId="3" fillId="0" borderId="32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10" fontId="8" fillId="0" borderId="32" xfId="0" applyNumberFormat="1" applyFont="1" applyBorder="1" applyAlignment="1">
      <alignment horizontal="right" vertical="center"/>
    </xf>
    <xf numFmtId="0" fontId="23" fillId="16" borderId="23" xfId="0" applyFont="1" applyFill="1" applyBorder="1" applyAlignment="1">
      <alignment horizontal="center" vertical="center"/>
    </xf>
    <xf numFmtId="0" fontId="23" fillId="16" borderId="23" xfId="0" applyFont="1" applyFill="1" applyBorder="1" applyAlignment="1">
      <alignment horizontal="right" vertical="center"/>
    </xf>
    <xf numFmtId="0" fontId="23" fillId="0" borderId="17" xfId="0" applyFont="1" applyBorder="1" applyAlignment="1">
      <alignment horizontal="left" vertical="center"/>
    </xf>
    <xf numFmtId="168" fontId="3" fillId="0" borderId="0" xfId="0" applyNumberFormat="1" applyFont="1" applyAlignment="1">
      <alignment horizontal="right" vertical="center"/>
    </xf>
    <xf numFmtId="166" fontId="3" fillId="0" borderId="32" xfId="0" applyNumberFormat="1" applyFont="1" applyBorder="1" applyAlignment="1">
      <alignment horizontal="right" vertical="center"/>
    </xf>
    <xf numFmtId="165" fontId="47" fillId="0" borderId="1" xfId="0" applyNumberFormat="1" applyFont="1" applyBorder="1" applyAlignment="1">
      <alignment horizontal="center" vertical="center"/>
    </xf>
    <xf numFmtId="165" fontId="47" fillId="15" borderId="1" xfId="0" applyNumberFormat="1" applyFont="1" applyFill="1" applyBorder="1" applyAlignment="1">
      <alignment horizontal="center" vertical="center"/>
    </xf>
    <xf numFmtId="165" fontId="47" fillId="11" borderId="1" xfId="0" applyNumberFormat="1" applyFont="1" applyFill="1" applyBorder="1" applyAlignment="1">
      <alignment horizontal="center" vertical="center"/>
    </xf>
    <xf numFmtId="3" fontId="47" fillId="0" borderId="32" xfId="0" applyNumberFormat="1" applyFont="1" applyBorder="1" applyAlignment="1">
      <alignment horizontal="center" vertical="center"/>
    </xf>
    <xf numFmtId="165" fontId="47" fillId="0" borderId="32" xfId="0" applyNumberFormat="1" applyFont="1" applyBorder="1" applyAlignment="1">
      <alignment horizontal="center" vertical="center"/>
    </xf>
    <xf numFmtId="165" fontId="47" fillId="11" borderId="3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3" fontId="47" fillId="0" borderId="1" xfId="0" applyNumberFormat="1" applyFont="1" applyBorder="1" applyAlignment="1">
      <alignment horizontal="right" vertical="center" indent="1"/>
    </xf>
    <xf numFmtId="165" fontId="47" fillId="0" borderId="1" xfId="0" applyNumberFormat="1" applyFont="1" applyBorder="1" applyAlignment="1">
      <alignment horizontal="right" vertical="center" indent="1"/>
    </xf>
    <xf numFmtId="3" fontId="47" fillId="0" borderId="2" xfId="0" applyNumberFormat="1" applyFont="1" applyBorder="1" applyAlignment="1">
      <alignment horizontal="right" vertical="center" indent="1"/>
    </xf>
    <xf numFmtId="165" fontId="47" fillId="0" borderId="2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 indent="1"/>
    </xf>
    <xf numFmtId="3" fontId="10" fillId="0" borderId="0" xfId="0" applyNumberFormat="1" applyFont="1" applyAlignment="1">
      <alignment horizontal="right" indent="1"/>
    </xf>
    <xf numFmtId="3" fontId="47" fillId="0" borderId="17" xfId="0" applyNumberFormat="1" applyFont="1" applyBorder="1" applyAlignment="1">
      <alignment horizontal="right" vertical="center" indent="1"/>
    </xf>
    <xf numFmtId="165" fontId="47" fillId="0" borderId="17" xfId="0" applyNumberFormat="1" applyFont="1" applyBorder="1" applyAlignment="1">
      <alignment horizontal="right" vertical="center" indent="1"/>
    </xf>
    <xf numFmtId="165" fontId="3" fillId="0" borderId="32" xfId="0" applyNumberFormat="1" applyFont="1" applyBorder="1" applyAlignment="1">
      <alignment horizontal="right" vertical="center"/>
    </xf>
    <xf numFmtId="165" fontId="36" fillId="0" borderId="26" xfId="0" applyNumberFormat="1" applyFont="1" applyBorder="1" applyAlignment="1">
      <alignment horizontal="right" vertical="center"/>
    </xf>
    <xf numFmtId="165" fontId="39" fillId="15" borderId="26" xfId="0" applyNumberFormat="1" applyFont="1" applyFill="1" applyBorder="1" applyAlignment="1">
      <alignment horizontal="right" vertical="center"/>
    </xf>
    <xf numFmtId="165" fontId="36" fillId="0" borderId="38" xfId="0" applyNumberFormat="1" applyFont="1" applyBorder="1" applyAlignment="1">
      <alignment horizontal="right" vertical="center"/>
    </xf>
    <xf numFmtId="165" fontId="40" fillId="11" borderId="38" xfId="0" applyNumberFormat="1" applyFont="1" applyFill="1" applyBorder="1" applyAlignment="1">
      <alignment horizontal="right" vertical="center"/>
    </xf>
    <xf numFmtId="169" fontId="36" fillId="0" borderId="0" xfId="0" applyNumberFormat="1" applyFont="1" applyAlignment="1">
      <alignment horizontal="center" vertical="center"/>
    </xf>
    <xf numFmtId="169" fontId="34" fillId="0" borderId="28" xfId="0" applyNumberFormat="1" applyFont="1" applyBorder="1" applyAlignment="1">
      <alignment horizontal="center" vertical="center"/>
    </xf>
    <xf numFmtId="165" fontId="34" fillId="0" borderId="29" xfId="0" applyNumberFormat="1" applyFont="1" applyBorder="1" applyAlignment="1">
      <alignment horizontal="center" vertical="center"/>
    </xf>
    <xf numFmtId="1" fontId="34" fillId="0" borderId="29" xfId="0" applyNumberFormat="1" applyFont="1" applyBorder="1" applyAlignment="1">
      <alignment horizontal="center" vertical="center"/>
    </xf>
    <xf numFmtId="165" fontId="34" fillId="0" borderId="30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28" fillId="15" borderId="1" xfId="0" applyNumberFormat="1" applyFont="1" applyFill="1" applyBorder="1" applyAlignment="1">
      <alignment horizontal="center" vertical="center"/>
    </xf>
    <xf numFmtId="165" fontId="29" fillId="11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3" fillId="0" borderId="26" xfId="0" applyNumberFormat="1" applyFont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165" fontId="41" fillId="12" borderId="32" xfId="0" applyNumberFormat="1" applyFont="1" applyFill="1" applyBorder="1" applyAlignment="1">
      <alignment horizontal="right" vertical="center"/>
    </xf>
    <xf numFmtId="165" fontId="40" fillId="11" borderId="1" xfId="0" applyNumberFormat="1" applyFont="1" applyFill="1" applyBorder="1" applyAlignment="1">
      <alignment horizontal="left" vertical="center"/>
    </xf>
    <xf numFmtId="165" fontId="39" fillId="15" borderId="1" xfId="0" applyNumberFormat="1" applyFont="1" applyFill="1" applyBorder="1" applyAlignment="1">
      <alignment horizontal="left" vertical="center"/>
    </xf>
    <xf numFmtId="165" fontId="41" fillId="12" borderId="32" xfId="0" applyNumberFormat="1" applyFont="1" applyFill="1" applyBorder="1" applyAlignment="1">
      <alignment horizontal="left" vertical="center"/>
    </xf>
    <xf numFmtId="0" fontId="56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indent="2"/>
    </xf>
    <xf numFmtId="0" fontId="52" fillId="0" borderId="0" xfId="0" applyFont="1" applyAlignment="1">
      <alignment horizontal="left" indent="4"/>
    </xf>
    <xf numFmtId="0" fontId="0" fillId="0" borderId="0" xfId="0" applyAlignment="1">
      <alignment horizontal="left" indent="2"/>
    </xf>
    <xf numFmtId="0" fontId="31" fillId="0" borderId="0" xfId="0" applyFont="1" applyAlignment="1">
      <alignment horizontal="right"/>
    </xf>
    <xf numFmtId="165" fontId="36" fillId="0" borderId="4" xfId="0" applyNumberFormat="1" applyFont="1" applyBorder="1" applyAlignment="1">
      <alignment horizontal="right" vertical="center"/>
    </xf>
    <xf numFmtId="168" fontId="36" fillId="0" borderId="1" xfId="0" applyNumberFormat="1" applyFont="1" applyBorder="1" applyAlignment="1">
      <alignment horizontal="right" vertical="center"/>
    </xf>
    <xf numFmtId="168" fontId="36" fillId="0" borderId="2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indent="1"/>
    </xf>
    <xf numFmtId="0" fontId="35" fillId="0" borderId="1" xfId="0" applyFont="1" applyBorder="1" applyAlignment="1">
      <alignment horizontal="left" vertical="center" indent="3"/>
    </xf>
    <xf numFmtId="0" fontId="35" fillId="0" borderId="4" xfId="0" applyFont="1" applyBorder="1" applyAlignment="1">
      <alignment horizontal="left" vertical="center" indent="3"/>
    </xf>
    <xf numFmtId="0" fontId="1" fillId="0" borderId="0" xfId="0" applyFont="1" applyAlignment="1">
      <alignment horizontal="left" indent="3"/>
    </xf>
    <xf numFmtId="0" fontId="37" fillId="0" borderId="1" xfId="0" applyFont="1" applyBorder="1" applyAlignment="1">
      <alignment horizontal="left" vertical="center" indent="3"/>
    </xf>
    <xf numFmtId="0" fontId="35" fillId="0" borderId="20" xfId="0" applyFont="1" applyBorder="1" applyAlignment="1">
      <alignment horizontal="left" vertical="center" indent="3"/>
    </xf>
    <xf numFmtId="0" fontId="1" fillId="6" borderId="0" xfId="0" applyFont="1" applyFill="1" applyAlignment="1">
      <alignment horizontal="left" indent="3"/>
    </xf>
    <xf numFmtId="0" fontId="37" fillId="0" borderId="4" xfId="0" applyFont="1" applyBorder="1" applyAlignment="1">
      <alignment horizontal="left" vertical="center" indent="3"/>
    </xf>
    <xf numFmtId="0" fontId="31" fillId="0" borderId="0" xfId="0" applyFont="1" applyAlignment="1">
      <alignment horizontal="left" indent="3"/>
    </xf>
    <xf numFmtId="0" fontId="35" fillId="0" borderId="21" xfId="0" applyFont="1" applyBorder="1" applyAlignment="1">
      <alignment horizontal="left" vertical="center" indent="3"/>
    </xf>
    <xf numFmtId="0" fontId="57" fillId="0" borderId="4" xfId="0" applyFont="1" applyBorder="1" applyAlignment="1">
      <alignment horizontal="left" vertical="center"/>
    </xf>
    <xf numFmtId="0" fontId="58" fillId="0" borderId="4" xfId="0" applyFont="1" applyBorder="1" applyAlignment="1">
      <alignment horizontal="left" vertical="center" indent="3"/>
    </xf>
    <xf numFmtId="0" fontId="57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left" vertical="center" indent="3"/>
    </xf>
    <xf numFmtId="0" fontId="59" fillId="0" borderId="4" xfId="0" applyFont="1" applyBorder="1" applyAlignment="1">
      <alignment horizontal="left" vertical="center" indent="3"/>
    </xf>
    <xf numFmtId="0" fontId="60" fillId="0" borderId="0" xfId="0" applyFont="1"/>
    <xf numFmtId="0" fontId="2" fillId="0" borderId="1" xfId="0" applyFont="1" applyBorder="1" applyAlignment="1">
      <alignment horizontal="left" vertical="center" indent="1"/>
    </xf>
    <xf numFmtId="175" fontId="3" fillId="0" borderId="1" xfId="0" applyNumberFormat="1" applyFont="1" applyBorder="1" applyAlignment="1">
      <alignment horizontal="right" vertical="center"/>
    </xf>
    <xf numFmtId="175" fontId="3" fillId="0" borderId="26" xfId="0" applyNumberFormat="1" applyFont="1" applyBorder="1" applyAlignment="1">
      <alignment horizontal="right" vertical="center"/>
    </xf>
    <xf numFmtId="175" fontId="8" fillId="0" borderId="26" xfId="0" applyNumberFormat="1" applyFont="1" applyBorder="1" applyAlignment="1">
      <alignment horizontal="right" vertical="center"/>
    </xf>
    <xf numFmtId="175" fontId="3" fillId="0" borderId="32" xfId="0" applyNumberFormat="1" applyFont="1" applyBorder="1" applyAlignment="1">
      <alignment horizontal="right" vertical="center"/>
    </xf>
    <xf numFmtId="175" fontId="3" fillId="0" borderId="3" xfId="0" applyNumberFormat="1" applyFont="1" applyBorder="1" applyAlignment="1">
      <alignment horizontal="right" vertical="center"/>
    </xf>
    <xf numFmtId="175" fontId="10" fillId="0" borderId="0" xfId="0" applyNumberFormat="1" applyFont="1"/>
    <xf numFmtId="175" fontId="3" fillId="0" borderId="0" xfId="0" applyNumberFormat="1" applyFont="1" applyAlignment="1">
      <alignment horizontal="right" vertical="center"/>
    </xf>
    <xf numFmtId="175" fontId="8" fillId="0" borderId="0" xfId="0" applyNumberFormat="1" applyFont="1" applyAlignment="1">
      <alignment horizontal="right" vertical="center"/>
    </xf>
    <xf numFmtId="175" fontId="8" fillId="0" borderId="32" xfId="0" applyNumberFormat="1" applyFont="1" applyBorder="1" applyAlignment="1">
      <alignment horizontal="right" vertical="center"/>
    </xf>
    <xf numFmtId="175" fontId="8" fillId="0" borderId="2" xfId="0" applyNumberFormat="1" applyFont="1" applyBorder="1" applyAlignment="1">
      <alignment horizontal="right" vertic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7" fillId="0" borderId="23" xfId="0" applyFont="1" applyBorder="1"/>
    <xf numFmtId="0" fontId="66" fillId="0" borderId="0" xfId="0" applyFont="1" applyAlignment="1">
      <alignment horizontal="left" vertical="top" indent="6"/>
    </xf>
    <xf numFmtId="0" fontId="73" fillId="0" borderId="0" xfId="0" applyFont="1" applyAlignment="1">
      <alignment horizontal="left" vertical="center"/>
    </xf>
    <xf numFmtId="0" fontId="67" fillId="0" borderId="23" xfId="0" applyFont="1" applyBorder="1" applyAlignment="1">
      <alignment vertical="top"/>
    </xf>
    <xf numFmtId="14" fontId="76" fillId="0" borderId="0" xfId="0" applyNumberFormat="1" applyFont="1" applyAlignment="1">
      <alignment horizontal="left"/>
    </xf>
    <xf numFmtId="0" fontId="74" fillId="0" borderId="0" xfId="0" applyFont="1" applyAlignment="1">
      <alignment horizontal="left" indent="6"/>
    </xf>
    <xf numFmtId="0" fontId="75" fillId="0" borderId="0" xfId="0" applyFont="1" applyAlignment="1">
      <alignment horizontal="left" vertical="top" indent="8"/>
    </xf>
    <xf numFmtId="0" fontId="78" fillId="0" borderId="0" xfId="0" applyFont="1" applyAlignment="1">
      <alignment horizontal="right" vertical="center" indent="1"/>
    </xf>
    <xf numFmtId="0" fontId="79" fillId="0" borderId="0" xfId="0" applyFont="1"/>
    <xf numFmtId="0" fontId="80" fillId="0" borderId="0" xfId="0" applyFont="1"/>
    <xf numFmtId="0" fontId="81" fillId="0" borderId="24" xfId="0" applyFont="1" applyBorder="1"/>
    <xf numFmtId="0" fontId="82" fillId="0" borderId="0" xfId="0" applyFont="1" applyAlignment="1">
      <alignment horizontal="left" indent="3"/>
    </xf>
    <xf numFmtId="0" fontId="82" fillId="0" borderId="0" xfId="0" applyFont="1" applyAlignment="1">
      <alignment horizontal="right" vertical="top" indent="16"/>
    </xf>
    <xf numFmtId="0" fontId="5" fillId="22" borderId="16" xfId="0" applyFont="1" applyFill="1" applyBorder="1" applyAlignment="1">
      <alignment horizontal="center" vertical="center"/>
    </xf>
    <xf numFmtId="0" fontId="83" fillId="2" borderId="5" xfId="0" applyFont="1" applyFill="1" applyBorder="1" applyAlignment="1">
      <alignment horizontal="left" vertical="center"/>
    </xf>
    <xf numFmtId="0" fontId="83" fillId="2" borderId="5" xfId="0" applyFont="1" applyFill="1" applyBorder="1" applyAlignment="1">
      <alignment horizontal="right" vertical="center" indent="1"/>
    </xf>
    <xf numFmtId="0" fontId="83" fillId="2" borderId="5" xfId="0" applyFont="1" applyFill="1" applyBorder="1" applyAlignment="1">
      <alignment horizontal="left" vertical="center" indent="1"/>
    </xf>
    <xf numFmtId="164" fontId="5" fillId="22" borderId="26" xfId="0" applyNumberFormat="1" applyFont="1" applyFill="1" applyBorder="1" applyAlignment="1">
      <alignment horizontal="right" vertical="center"/>
    </xf>
    <xf numFmtId="0" fontId="83" fillId="2" borderId="18" xfId="0" applyFont="1" applyFill="1" applyBorder="1" applyAlignment="1">
      <alignment horizontal="left" vertical="center"/>
    </xf>
    <xf numFmtId="0" fontId="83" fillId="2" borderId="18" xfId="0" applyFont="1" applyFill="1" applyBorder="1" applyAlignment="1">
      <alignment horizontal="right" vertical="center"/>
    </xf>
    <xf numFmtId="0" fontId="83" fillId="2" borderId="18" xfId="0" applyFont="1" applyFill="1" applyBorder="1" applyAlignment="1">
      <alignment horizontal="left" vertical="center" indent="1"/>
    </xf>
    <xf numFmtId="0" fontId="83" fillId="2" borderId="5" xfId="0" applyFont="1" applyFill="1" applyBorder="1" applyAlignment="1">
      <alignment horizontal="right" vertical="center"/>
    </xf>
    <xf numFmtId="0" fontId="83" fillId="2" borderId="18" xfId="0" applyFont="1" applyFill="1" applyBorder="1" applyAlignment="1">
      <alignment horizontal="right" vertical="center" indent="1"/>
    </xf>
    <xf numFmtId="0" fontId="83" fillId="2" borderId="18" xfId="0" applyFont="1" applyFill="1" applyBorder="1" applyAlignment="1">
      <alignment horizontal="centerContinuous" vertical="center"/>
    </xf>
    <xf numFmtId="165" fontId="84" fillId="0" borderId="26" xfId="0" applyNumberFormat="1" applyFont="1" applyBorder="1"/>
    <xf numFmtId="0" fontId="85" fillId="0" borderId="26" xfId="0" applyFont="1" applyBorder="1" applyAlignment="1">
      <alignment horizontal="left" indent="1"/>
    </xf>
    <xf numFmtId="165" fontId="84" fillId="0" borderId="32" xfId="0" applyNumberFormat="1" applyFont="1" applyBorder="1"/>
    <xf numFmtId="0" fontId="83" fillId="2" borderId="5" xfId="0" applyFont="1" applyFill="1" applyBorder="1" applyAlignment="1">
      <alignment horizontal="center" vertical="center"/>
    </xf>
    <xf numFmtId="0" fontId="83" fillId="2" borderId="18" xfId="0" applyFont="1" applyFill="1" applyBorder="1" applyAlignment="1">
      <alignment horizontal="center" vertical="center"/>
    </xf>
    <xf numFmtId="168" fontId="5" fillId="22" borderId="26" xfId="0" applyNumberFormat="1" applyFont="1" applyFill="1" applyBorder="1" applyAlignment="1">
      <alignment horizontal="right" vertical="center"/>
    </xf>
    <xf numFmtId="171" fontId="5" fillId="22" borderId="26" xfId="0" applyNumberFormat="1" applyFont="1" applyFill="1" applyBorder="1" applyAlignment="1">
      <alignment horizontal="right" vertical="center"/>
    </xf>
    <xf numFmtId="165" fontId="5" fillId="22" borderId="26" xfId="0" applyNumberFormat="1" applyFont="1" applyFill="1" applyBorder="1" applyAlignment="1">
      <alignment horizontal="right" vertical="center"/>
    </xf>
    <xf numFmtId="3" fontId="5" fillId="22" borderId="26" xfId="0" applyNumberFormat="1" applyFont="1" applyFill="1" applyBorder="1" applyAlignment="1">
      <alignment horizontal="right" vertical="center"/>
    </xf>
    <xf numFmtId="0" fontId="86" fillId="13" borderId="0" xfId="0" applyFont="1" applyFill="1" applyAlignment="1">
      <alignment horizontal="right" vertical="center"/>
    </xf>
    <xf numFmtId="0" fontId="87" fillId="2" borderId="18" xfId="0" applyFont="1" applyFill="1" applyBorder="1" applyAlignment="1">
      <alignment horizontal="left" vertical="center"/>
    </xf>
    <xf numFmtId="0" fontId="88" fillId="0" borderId="0" xfId="0" applyFont="1" applyAlignment="1">
      <alignment horizontal="right"/>
    </xf>
    <xf numFmtId="0" fontId="89" fillId="0" borderId="0" xfId="0" applyFont="1"/>
    <xf numFmtId="0" fontId="90" fillId="6" borderId="0" xfId="0" applyFont="1" applyFill="1"/>
    <xf numFmtId="3" fontId="5" fillId="22" borderId="15" xfId="0" applyNumberFormat="1" applyFont="1" applyFill="1" applyBorder="1" applyAlignment="1">
      <alignment horizontal="right" vertical="center"/>
    </xf>
    <xf numFmtId="4" fontId="5" fillId="22" borderId="15" xfId="0" applyNumberFormat="1" applyFont="1" applyFill="1" applyBorder="1" applyAlignment="1">
      <alignment horizontal="right" vertical="center"/>
    </xf>
    <xf numFmtId="164" fontId="5" fillId="22" borderId="31" xfId="0" applyNumberFormat="1" applyFont="1" applyFill="1" applyBorder="1" applyAlignment="1">
      <alignment horizontal="right" vertical="center"/>
    </xf>
    <xf numFmtId="10" fontId="5" fillId="22" borderId="26" xfId="0" applyNumberFormat="1" applyFont="1" applyFill="1" applyBorder="1" applyAlignment="1">
      <alignment horizontal="right" vertical="center"/>
    </xf>
    <xf numFmtId="0" fontId="91" fillId="0" borderId="0" xfId="0" applyFont="1" applyAlignment="1">
      <alignment horizontal="left" vertical="center"/>
    </xf>
    <xf numFmtId="4" fontId="5" fillId="22" borderId="34" xfId="0" applyNumberFormat="1" applyFont="1" applyFill="1" applyBorder="1" applyAlignment="1">
      <alignment horizontal="right" vertical="center"/>
    </xf>
    <xf numFmtId="10" fontId="5" fillId="22" borderId="34" xfId="0" applyNumberFormat="1" applyFont="1" applyFill="1" applyBorder="1" applyAlignment="1">
      <alignment horizontal="right" vertical="center"/>
    </xf>
    <xf numFmtId="3" fontId="5" fillId="22" borderId="1" xfId="0" applyNumberFormat="1" applyFont="1" applyFill="1" applyBorder="1" applyAlignment="1">
      <alignment horizontal="right" vertical="center"/>
    </xf>
    <xf numFmtId="4" fontId="5" fillId="22" borderId="26" xfId="0" applyNumberFormat="1" applyFont="1" applyFill="1" applyBorder="1" applyAlignment="1">
      <alignment horizontal="right" vertical="center"/>
    </xf>
    <xf numFmtId="0" fontId="81" fillId="8" borderId="0" xfId="0" applyFont="1" applyFill="1"/>
    <xf numFmtId="0" fontId="86" fillId="5" borderId="0" xfId="0" applyFont="1" applyFill="1" applyAlignment="1">
      <alignment horizontal="left" vertical="center"/>
    </xf>
    <xf numFmtId="0" fontId="92" fillId="0" borderId="0" xfId="0" applyFont="1" applyAlignment="1">
      <alignment horizontal="right"/>
    </xf>
    <xf numFmtId="0" fontId="87" fillId="10" borderId="5" xfId="0" applyFont="1" applyFill="1" applyBorder="1" applyAlignment="1">
      <alignment horizontal="right" vertical="center"/>
    </xf>
    <xf numFmtId="0" fontId="83" fillId="10" borderId="5" xfId="0" applyFont="1" applyFill="1" applyBorder="1" applyAlignment="1">
      <alignment horizontal="right" vertical="center"/>
    </xf>
    <xf numFmtId="0" fontId="93" fillId="0" borderId="1" xfId="0" applyFont="1" applyBorder="1"/>
    <xf numFmtId="0" fontId="93" fillId="0" borderId="26" xfId="0" applyFont="1" applyBorder="1"/>
    <xf numFmtId="0" fontId="93" fillId="0" borderId="32" xfId="0" applyFont="1" applyBorder="1"/>
    <xf numFmtId="0" fontId="83" fillId="2" borderId="35" xfId="0" applyFont="1" applyFill="1" applyBorder="1" applyAlignment="1">
      <alignment horizontal="left" vertical="center"/>
    </xf>
    <xf numFmtId="0" fontId="83" fillId="2" borderId="35" xfId="0" applyFont="1" applyFill="1" applyBorder="1" applyAlignment="1">
      <alignment horizontal="center" vertical="center"/>
    </xf>
    <xf numFmtId="0" fontId="86" fillId="14" borderId="0" xfId="0" applyFont="1" applyFill="1" applyAlignment="1">
      <alignment horizontal="right"/>
    </xf>
    <xf numFmtId="0" fontId="83" fillId="2" borderId="19" xfId="0" applyFont="1" applyFill="1" applyBorder="1" applyAlignment="1">
      <alignment horizontal="left" vertical="center"/>
    </xf>
    <xf numFmtId="0" fontId="81" fillId="0" borderId="4" xfId="0" applyFont="1" applyBorder="1"/>
    <xf numFmtId="0" fontId="94" fillId="7" borderId="13" xfId="0" applyFont="1" applyFill="1" applyBorder="1"/>
    <xf numFmtId="0" fontId="94" fillId="7" borderId="14" xfId="0" applyFont="1" applyFill="1" applyBorder="1"/>
    <xf numFmtId="0" fontId="95" fillId="0" borderId="7" xfId="0" applyFont="1" applyBorder="1"/>
    <xf numFmtId="167" fontId="96" fillId="0" borderId="8" xfId="1" applyNumberFormat="1" applyFont="1" applyBorder="1"/>
    <xf numFmtId="0" fontId="95" fillId="0" borderId="9" xfId="0" applyFont="1" applyBorder="1"/>
    <xf numFmtId="167" fontId="96" fillId="0" borderId="10" xfId="1" applyNumberFormat="1" applyFont="1" applyBorder="1"/>
    <xf numFmtId="0" fontId="95" fillId="0" borderId="11" xfId="0" applyFont="1" applyBorder="1"/>
    <xf numFmtId="167" fontId="96" fillId="0" borderId="12" xfId="1" applyNumberFormat="1" applyFont="1" applyBorder="1"/>
    <xf numFmtId="0" fontId="95" fillId="0" borderId="0" xfId="0" applyFont="1"/>
    <xf numFmtId="0" fontId="97" fillId="0" borderId="0" xfId="2" applyFont="1"/>
    <xf numFmtId="0" fontId="83" fillId="2" borderId="18" xfId="0" applyFont="1" applyFill="1" applyBorder="1"/>
    <xf numFmtId="165" fontId="5" fillId="22" borderId="1" xfId="0" applyNumberFormat="1" applyFont="1" applyFill="1" applyBorder="1" applyAlignment="1">
      <alignment horizontal="right" vertical="center"/>
    </xf>
    <xf numFmtId="173" fontId="5" fillId="22" borderId="26" xfId="0" applyNumberFormat="1" applyFont="1" applyFill="1" applyBorder="1" applyAlignment="1">
      <alignment horizontal="right" vertical="center"/>
    </xf>
    <xf numFmtId="1" fontId="5" fillId="22" borderId="26" xfId="0" applyNumberFormat="1" applyFont="1" applyFill="1" applyBorder="1" applyAlignment="1">
      <alignment horizontal="right" vertical="center"/>
    </xf>
    <xf numFmtId="3" fontId="5" fillId="22" borderId="32" xfId="0" applyNumberFormat="1" applyFont="1" applyFill="1" applyBorder="1" applyAlignment="1">
      <alignment horizontal="right" vertical="center"/>
    </xf>
    <xf numFmtId="0" fontId="87" fillId="21" borderId="0" xfId="0" applyFont="1" applyFill="1" applyAlignment="1">
      <alignment horizontal="left" vertical="center"/>
    </xf>
    <xf numFmtId="0" fontId="87" fillId="21" borderId="0" xfId="0" applyFont="1" applyFill="1"/>
    <xf numFmtId="0" fontId="57" fillId="0" borderId="26" xfId="0" applyFont="1" applyBorder="1" applyAlignment="1">
      <alignment horizontal="left" vertical="center"/>
    </xf>
    <xf numFmtId="0" fontId="57" fillId="0" borderId="32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98" fillId="22" borderId="22" xfId="0" applyFont="1" applyFill="1" applyBorder="1"/>
    <xf numFmtId="0" fontId="83" fillId="2" borderId="18" xfId="0" applyFont="1" applyFill="1" applyBorder="1" applyAlignment="1">
      <alignment vertical="center"/>
    </xf>
    <xf numFmtId="10" fontId="99" fillId="18" borderId="25" xfId="0" applyNumberFormat="1" applyFont="1" applyFill="1" applyBorder="1" applyAlignment="1">
      <alignment horizontal="center" vertical="center"/>
    </xf>
    <xf numFmtId="9" fontId="84" fillId="16" borderId="23" xfId="0" applyNumberFormat="1" applyFont="1" applyFill="1" applyBorder="1" applyAlignment="1">
      <alignment horizontal="right" vertical="center"/>
    </xf>
    <xf numFmtId="9" fontId="84" fillId="17" borderId="36" xfId="0" applyNumberFormat="1" applyFont="1" applyFill="1" applyBorder="1" applyAlignment="1">
      <alignment horizontal="center" vertical="center"/>
    </xf>
    <xf numFmtId="9" fontId="84" fillId="16" borderId="36" xfId="0" applyNumberFormat="1" applyFont="1" applyFill="1" applyBorder="1" applyAlignment="1">
      <alignment horizontal="center" vertical="center"/>
    </xf>
    <xf numFmtId="3" fontId="84" fillId="5" borderId="37" xfId="0" applyNumberFormat="1" applyFont="1" applyFill="1" applyBorder="1" applyAlignment="1">
      <alignment horizontal="center" vertical="center"/>
    </xf>
    <xf numFmtId="3" fontId="84" fillId="5" borderId="1" xfId="0" applyNumberFormat="1" applyFont="1" applyFill="1" applyBorder="1" applyAlignment="1">
      <alignment horizontal="center" vertical="center"/>
    </xf>
    <xf numFmtId="172" fontId="99" fillId="18" borderId="25" xfId="3" applyNumberFormat="1" applyFont="1" applyFill="1" applyBorder="1" applyAlignment="1">
      <alignment horizontal="center" vertical="center"/>
    </xf>
    <xf numFmtId="0" fontId="94" fillId="21" borderId="0" xfId="0" applyFont="1" applyFill="1"/>
    <xf numFmtId="0" fontId="86" fillId="19" borderId="0" xfId="0" applyFont="1" applyFill="1" applyAlignment="1">
      <alignment horizontal="left" vertical="center"/>
    </xf>
    <xf numFmtId="0" fontId="86" fillId="19" borderId="0" xfId="0" applyFont="1" applyFill="1" applyAlignment="1">
      <alignment horizontal="center" vertical="center"/>
    </xf>
    <xf numFmtId="0" fontId="87" fillId="21" borderId="4" xfId="0" applyFont="1" applyFill="1" applyBorder="1" applyAlignment="1">
      <alignment horizontal="left" vertical="center"/>
    </xf>
    <xf numFmtId="0" fontId="94" fillId="21" borderId="4" xfId="0" applyFont="1" applyFill="1" applyBorder="1"/>
    <xf numFmtId="0" fontId="100" fillId="0" borderId="0" xfId="0" applyFont="1" applyAlignment="1">
      <alignment horizontal="left" vertical="center"/>
    </xf>
    <xf numFmtId="0" fontId="100" fillId="0" borderId="0" xfId="0" applyFont="1"/>
    <xf numFmtId="0" fontId="101" fillId="0" borderId="0" xfId="0" applyFont="1"/>
    <xf numFmtId="0" fontId="102" fillId="0" borderId="4" xfId="0" applyFont="1" applyBorder="1" applyAlignment="1">
      <alignment horizontal="left" vertical="center"/>
    </xf>
    <xf numFmtId="0" fontId="86" fillId="6" borderId="0" xfId="0" applyFont="1" applyFill="1" applyAlignment="1">
      <alignment horizontal="right"/>
    </xf>
    <xf numFmtId="0" fontId="86" fillId="20" borderId="0" xfId="0" applyFont="1" applyFill="1" applyAlignment="1">
      <alignment horizontal="right"/>
    </xf>
    <xf numFmtId="3" fontId="103" fillId="0" borderId="1" xfId="0" applyNumberFormat="1" applyFont="1" applyBorder="1" applyAlignment="1">
      <alignment horizontal="right" vertical="center"/>
    </xf>
    <xf numFmtId="0" fontId="86" fillId="19" borderId="0" xfId="0" applyFont="1" applyFill="1" applyAlignment="1">
      <alignment horizontal="right" vertical="center"/>
    </xf>
    <xf numFmtId="3" fontId="104" fillId="0" borderId="1" xfId="0" applyNumberFormat="1" applyFont="1" applyBorder="1" applyAlignment="1">
      <alignment horizontal="right" vertical="center"/>
    </xf>
    <xf numFmtId="165" fontId="104" fillId="0" borderId="1" xfId="0" applyNumberFormat="1" applyFont="1" applyBorder="1" applyAlignment="1">
      <alignment horizontal="right" vertical="center"/>
    </xf>
    <xf numFmtId="168" fontId="104" fillId="0" borderId="1" xfId="0" applyNumberFormat="1" applyFont="1" applyBorder="1" applyAlignment="1">
      <alignment horizontal="right" vertical="center"/>
    </xf>
    <xf numFmtId="0" fontId="105" fillId="2" borderId="0" xfId="0" applyFont="1" applyFill="1" applyAlignment="1">
      <alignment horizontal="right" vertical="center"/>
    </xf>
    <xf numFmtId="0" fontId="94" fillId="21" borderId="4" xfId="0" applyFont="1" applyFill="1" applyBorder="1" applyAlignment="1">
      <alignment horizontal="center"/>
    </xf>
    <xf numFmtId="0" fontId="94" fillId="21" borderId="0" xfId="0" applyFont="1" applyFill="1" applyAlignment="1">
      <alignment horizontal="center"/>
    </xf>
    <xf numFmtId="0" fontId="87" fillId="21" borderId="23" xfId="0" applyFont="1" applyFill="1" applyBorder="1" applyAlignment="1">
      <alignment horizontal="centerContinuous"/>
    </xf>
    <xf numFmtId="0" fontId="94" fillId="21" borderId="23" xfId="0" applyFont="1" applyFill="1" applyBorder="1" applyAlignment="1">
      <alignment horizontal="centerContinuous"/>
    </xf>
    <xf numFmtId="165" fontId="5" fillId="22" borderId="22" xfId="0" applyNumberFormat="1" applyFont="1" applyFill="1" applyBorder="1" applyAlignment="1">
      <alignment horizontal="center" vertical="center"/>
    </xf>
    <xf numFmtId="3" fontId="84" fillId="0" borderId="0" xfId="0" applyNumberFormat="1" applyFont="1" applyAlignment="1">
      <alignment horizontal="right"/>
    </xf>
    <xf numFmtId="0" fontId="91" fillId="0" borderId="0" xfId="0" applyFont="1" applyAlignment="1">
      <alignment horizontal="center"/>
    </xf>
    <xf numFmtId="168" fontId="103" fillId="0" borderId="0" xfId="0" applyNumberFormat="1" applyFont="1" applyAlignment="1">
      <alignment horizontal="center"/>
    </xf>
    <xf numFmtId="164" fontId="5" fillId="22" borderId="22" xfId="0" applyNumberFormat="1" applyFont="1" applyFill="1" applyBorder="1" applyAlignment="1">
      <alignment horizontal="center" vertical="center"/>
    </xf>
    <xf numFmtId="165" fontId="103" fillId="0" borderId="0" xfId="0" applyNumberFormat="1" applyFont="1" applyAlignment="1">
      <alignment horizontal="center"/>
    </xf>
    <xf numFmtId="0" fontId="106" fillId="0" borderId="0" xfId="0" applyFont="1" applyAlignment="1">
      <alignment horizontal="left" indent="1"/>
    </xf>
    <xf numFmtId="0" fontId="107" fillId="0" borderId="0" xfId="0" applyFont="1" applyAlignment="1">
      <alignment horizontal="left" vertical="top" indent="1"/>
    </xf>
    <xf numFmtId="9" fontId="108" fillId="14" borderId="0" xfId="0" applyNumberFormat="1" applyFont="1" applyFill="1" applyAlignment="1">
      <alignment horizontal="center" vertical="center"/>
    </xf>
    <xf numFmtId="0" fontId="109" fillId="13" borderId="0" xfId="0" applyFont="1" applyFill="1" applyAlignment="1">
      <alignment horizontal="left" vertical="center"/>
    </xf>
    <xf numFmtId="0" fontId="109" fillId="13" borderId="0" xfId="0" applyFont="1" applyFill="1" applyAlignment="1">
      <alignment horizontal="center" vertical="center"/>
    </xf>
    <xf numFmtId="0" fontId="98" fillId="0" borderId="0" xfId="0" applyFont="1"/>
    <xf numFmtId="0" fontId="103" fillId="0" borderId="0" xfId="0" applyFont="1"/>
    <xf numFmtId="0" fontId="87" fillId="21" borderId="23" xfId="0" applyFont="1" applyFill="1" applyBorder="1" applyAlignment="1">
      <alignment horizontal="left" vertical="center"/>
    </xf>
    <xf numFmtId="0" fontId="94" fillId="21" borderId="23" xfId="0" applyFont="1" applyFill="1" applyBorder="1"/>
    <xf numFmtId="0" fontId="86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2" fillId="0" borderId="0" xfId="0" applyFont="1" applyAlignment="1">
      <alignment horizontal="left" vertical="center" indent="4"/>
    </xf>
    <xf numFmtId="0" fontId="86" fillId="14" borderId="0" xfId="0" applyFont="1" applyFill="1" applyAlignment="1">
      <alignment horizontal="right" vertical="center" indent="1"/>
    </xf>
    <xf numFmtId="0" fontId="86" fillId="14" borderId="0" xfId="0" applyFont="1" applyFill="1" applyAlignment="1">
      <alignment horizontal="left" indent="4"/>
    </xf>
    <xf numFmtId="0" fontId="87" fillId="2" borderId="5" xfId="0" applyFont="1" applyFill="1" applyBorder="1" applyAlignment="1">
      <alignment horizontal="left" vertical="center"/>
    </xf>
    <xf numFmtId="0" fontId="87" fillId="2" borderId="5" xfId="0" applyFont="1" applyFill="1" applyBorder="1" applyAlignment="1">
      <alignment horizontal="right" vertical="center"/>
    </xf>
    <xf numFmtId="0" fontId="87" fillId="2" borderId="5" xfId="0" applyFont="1" applyFill="1" applyBorder="1" applyAlignment="1">
      <alignment horizontal="right" vertical="center" indent="1"/>
    </xf>
    <xf numFmtId="168" fontId="34" fillId="22" borderId="22" xfId="0" applyNumberFormat="1" applyFont="1" applyFill="1" applyBorder="1" applyAlignment="1">
      <alignment horizontal="right" vertical="center"/>
    </xf>
    <xf numFmtId="169" fontId="113" fillId="0" borderId="4" xfId="0" applyNumberFormat="1" applyFont="1" applyBorder="1" applyAlignment="1">
      <alignment horizontal="right" vertical="center"/>
    </xf>
    <xf numFmtId="0" fontId="102" fillId="0" borderId="0" xfId="0" applyFont="1" applyAlignment="1">
      <alignment horizontal="left" vertical="center"/>
    </xf>
    <xf numFmtId="165" fontId="34" fillId="22" borderId="22" xfId="0" applyNumberFormat="1" applyFont="1" applyFill="1" applyBorder="1" applyAlignment="1">
      <alignment horizontal="right" vertical="center"/>
    </xf>
    <xf numFmtId="169" fontId="113" fillId="0" borderId="1" xfId="0" applyNumberFormat="1" applyFont="1" applyBorder="1" applyAlignment="1">
      <alignment horizontal="right" vertical="center"/>
    </xf>
    <xf numFmtId="0" fontId="87" fillId="2" borderId="5" xfId="0" applyFont="1" applyFill="1" applyBorder="1" applyAlignment="1">
      <alignment horizontal="left" vertical="center" indent="3"/>
    </xf>
    <xf numFmtId="0" fontId="91" fillId="6" borderId="0" xfId="0" applyFont="1" applyFill="1"/>
    <xf numFmtId="0" fontId="91" fillId="6" borderId="0" xfId="0" applyFont="1" applyFill="1" applyAlignment="1">
      <alignment horizontal="right"/>
    </xf>
    <xf numFmtId="0" fontId="91" fillId="6" borderId="0" xfId="0" applyFont="1" applyFill="1" applyAlignment="1">
      <alignment horizontal="left" indent="3"/>
    </xf>
    <xf numFmtId="165" fontId="113" fillId="0" borderId="1" xfId="0" applyNumberFormat="1" applyFont="1" applyBorder="1" applyAlignment="1">
      <alignment horizontal="right" vertical="center"/>
    </xf>
    <xf numFmtId="165" fontId="113" fillId="0" borderId="4" xfId="0" applyNumberFormat="1" applyFont="1" applyBorder="1" applyAlignment="1">
      <alignment horizontal="right" vertical="center"/>
    </xf>
    <xf numFmtId="0" fontId="114" fillId="6" borderId="4" xfId="0" applyFont="1" applyFill="1" applyBorder="1" applyAlignment="1">
      <alignment horizontal="right" vertical="center" indent="1"/>
    </xf>
    <xf numFmtId="49" fontId="115" fillId="14" borderId="1" xfId="0" applyNumberFormat="1" applyFont="1" applyFill="1" applyBorder="1" applyAlignment="1">
      <alignment horizontal="center" vertical="center"/>
    </xf>
    <xf numFmtId="0" fontId="94" fillId="21" borderId="4" xfId="0" applyFont="1" applyFill="1" applyBorder="1" applyAlignment="1">
      <alignment horizontal="center" vertical="center"/>
    </xf>
    <xf numFmtId="169" fontId="34" fillId="22" borderId="28" xfId="0" applyNumberFormat="1" applyFont="1" applyFill="1" applyBorder="1" applyAlignment="1">
      <alignment horizontal="center" vertical="center"/>
    </xf>
    <xf numFmtId="165" fontId="34" fillId="22" borderId="29" xfId="0" applyNumberFormat="1" applyFont="1" applyFill="1" applyBorder="1" applyAlignment="1">
      <alignment horizontal="center" vertical="center"/>
    </xf>
    <xf numFmtId="1" fontId="34" fillId="22" borderId="29" xfId="0" applyNumberFormat="1" applyFont="1" applyFill="1" applyBorder="1" applyAlignment="1">
      <alignment horizontal="center" vertical="center"/>
    </xf>
    <xf numFmtId="165" fontId="34" fillId="22" borderId="30" xfId="0" applyNumberFormat="1" applyFont="1" applyFill="1" applyBorder="1" applyAlignment="1">
      <alignment horizontal="center" vertical="center"/>
    </xf>
    <xf numFmtId="0" fontId="91" fillId="21" borderId="0" xfId="0" applyFont="1" applyFill="1"/>
    <xf numFmtId="0" fontId="116" fillId="0" borderId="0" xfId="0" applyFont="1" applyAlignment="1">
      <alignment horizontal="left" vertical="center" indent="1"/>
    </xf>
    <xf numFmtId="0" fontId="109" fillId="13" borderId="0" xfId="0" applyFont="1" applyFill="1" applyAlignment="1">
      <alignment horizontal="right" vertical="center"/>
    </xf>
    <xf numFmtId="0" fontId="109" fillId="13" borderId="0" xfId="0" applyFont="1" applyFill="1" applyAlignment="1">
      <alignment horizontal="right" vertical="center" indent="1"/>
    </xf>
    <xf numFmtId="170" fontId="104" fillId="0" borderId="1" xfId="0" applyNumberFormat="1" applyFont="1" applyBorder="1" applyAlignment="1">
      <alignment horizontal="left" vertical="center"/>
    </xf>
    <xf numFmtId="170" fontId="117" fillId="0" borderId="38" xfId="0" applyNumberFormat="1" applyFont="1" applyBorder="1" applyAlignment="1">
      <alignment horizontal="left" vertical="center"/>
    </xf>
    <xf numFmtId="170" fontId="104" fillId="0" borderId="0" xfId="0" applyNumberFormat="1" applyFont="1" applyAlignment="1">
      <alignment horizontal="left" vertical="center"/>
    </xf>
    <xf numFmtId="165" fontId="104" fillId="0" borderId="1" xfId="0" applyNumberFormat="1" applyFont="1" applyBorder="1" applyAlignment="1">
      <alignment horizontal="left" vertical="center"/>
    </xf>
    <xf numFmtId="165" fontId="104" fillId="0" borderId="0" xfId="0" applyNumberFormat="1" applyFont="1" applyAlignment="1">
      <alignment horizontal="left" vertical="center"/>
    </xf>
    <xf numFmtId="1" fontId="104" fillId="0" borderId="1" xfId="0" applyNumberFormat="1" applyFont="1" applyBorder="1" applyAlignment="1">
      <alignment horizontal="left" vertical="center"/>
    </xf>
    <xf numFmtId="1" fontId="104" fillId="0" borderId="26" xfId="0" applyNumberFormat="1" applyFont="1" applyBorder="1" applyAlignment="1">
      <alignment horizontal="left" vertical="center"/>
    </xf>
    <xf numFmtId="1" fontId="104" fillId="0" borderId="0" xfId="0" applyNumberFormat="1" applyFont="1" applyAlignment="1">
      <alignment horizontal="left" vertical="center"/>
    </xf>
    <xf numFmtId="0" fontId="109" fillId="13" borderId="23" xfId="0" applyFont="1" applyFill="1" applyBorder="1" applyAlignment="1">
      <alignment horizontal="left" vertical="center"/>
    </xf>
    <xf numFmtId="0" fontId="109" fillId="13" borderId="23" xfId="0" applyFont="1" applyFill="1" applyBorder="1" applyAlignment="1">
      <alignment horizontal="right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2">
    <dxf>
      <font>
        <sz val="9"/>
        <color rgb="FF9C0006"/>
        <name val="SF Mono"/>
      </font>
      <fill>
        <patternFill patternType="solid">
          <fgColor rgb="FFFFC7CE"/>
          <bgColor rgb="FFFFC7CE"/>
        </patternFill>
      </fill>
    </dxf>
    <dxf>
      <font>
        <sz val="9"/>
        <color rgb="FF006100"/>
        <name val="SF Mono"/>
      </font>
      <fill>
        <patternFill patternType="solid">
          <fgColor rgb="FFC6EFCE"/>
          <bgColor rgb="FFC6EFCE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 i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 i="0">
                <a:solidFill>
                  <a:srgbClr val="0F172A"/>
                </a:solidFill>
                <a:latin typeface="SF Pro Text Semibold"/>
              </a:rPr>
              <a:t>Valuation – Individual Methodology Bands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Summary!$C$22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6D7E96"/>
            </a:solidFill>
            <a:ln>
              <a:noFill/>
              <a:prstDash val="solid"/>
            </a:ln>
          </c:spPr>
          <c:invertIfNegative val="0"/>
          <c:cat>
            <c:strRef>
              <c:f>Summary!$B$23:$B$27</c:f>
              <c:strCache>
                <c:ptCount val="5"/>
                <c:pt idx="0">
                  <c:v>DCF (Base)</c:v>
                </c:pt>
                <c:pt idx="1">
                  <c:v>Trading Comps (Median)</c:v>
                </c:pt>
                <c:pt idx="2">
                  <c:v>Precedent Txns (EV/Sales)</c:v>
                </c:pt>
                <c:pt idx="3">
                  <c:v>Monte Carlo (10K sims)</c:v>
                </c:pt>
                <c:pt idx="4">
                  <c:v>Analyst Consensus</c:v>
                </c:pt>
              </c:strCache>
            </c:strRef>
          </c:cat>
          <c:val>
            <c:numRef>
              <c:f>Summary!$C$23:$C$27</c:f>
              <c:numCache>
                <c:formatCode>\$#,##0.00</c:formatCode>
                <c:ptCount val="5"/>
                <c:pt idx="0">
                  <c:v>38.952009025643626</c:v>
                </c:pt>
                <c:pt idx="1">
                  <c:v>34.665447450277441</c:v>
                </c:pt>
                <c:pt idx="2">
                  <c:v>18.68786560757264</c:v>
                </c:pt>
                <c:pt idx="3">
                  <c:v>31.947892196030558</c:v>
                </c:pt>
                <c:pt idx="4">
                  <c:v>30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78C-354C-AA7B-C0E1909642AE}"/>
            </c:ext>
          </c:extLst>
        </c:ser>
        <c:ser>
          <c:idx val="1"/>
          <c:order val="1"/>
          <c:tx>
            <c:strRef>
              <c:f>Summary!$D$22</c:f>
              <c:strCache>
                <c:ptCount val="1"/>
                <c:pt idx="0">
                  <c:v>Mid</c:v>
                </c:pt>
              </c:strCache>
            </c:strRef>
          </c:tx>
          <c:spPr>
            <a:solidFill>
              <a:srgbClr val="1E3A8A"/>
            </a:solidFill>
            <a:ln>
              <a:noFill/>
              <a:prstDash val="solid"/>
            </a:ln>
          </c:spPr>
          <c:invertIfNegative val="0"/>
          <c:cat>
            <c:strRef>
              <c:f>Summary!$B$23:$B$27</c:f>
              <c:strCache>
                <c:ptCount val="5"/>
                <c:pt idx="0">
                  <c:v>DCF (Base)</c:v>
                </c:pt>
                <c:pt idx="1">
                  <c:v>Trading Comps (Median)</c:v>
                </c:pt>
                <c:pt idx="2">
                  <c:v>Precedent Txns (EV/Sales)</c:v>
                </c:pt>
                <c:pt idx="3">
                  <c:v>Monte Carlo (10K sims)</c:v>
                </c:pt>
                <c:pt idx="4">
                  <c:v>Analyst Consensus</c:v>
                </c:pt>
              </c:strCache>
            </c:strRef>
          </c:cat>
          <c:val>
            <c:numRef>
              <c:f>Summary!$D$23:$D$27</c:f>
              <c:numCache>
                <c:formatCode>\$#,##0.00</c:formatCode>
                <c:ptCount val="5"/>
                <c:pt idx="0">
                  <c:v>45.825892971345446</c:v>
                </c:pt>
                <c:pt idx="1">
                  <c:v>40.782879353267582</c:v>
                </c:pt>
                <c:pt idx="2">
                  <c:v>21.985724244203109</c:v>
                </c:pt>
                <c:pt idx="3">
                  <c:v>39.064949648426023</c:v>
                </c:pt>
                <c:pt idx="4">
                  <c:v>33.83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78C-354C-AA7B-C0E1909642AE}"/>
            </c:ext>
          </c:extLst>
        </c:ser>
        <c:ser>
          <c:idx val="2"/>
          <c:order val="2"/>
          <c:tx>
            <c:strRef>
              <c:f>Summary!$E$22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rgbClr val="205867"/>
            </a:solidFill>
            <a:ln>
              <a:noFill/>
              <a:prstDash val="solid"/>
            </a:ln>
          </c:spPr>
          <c:invertIfNegative val="0"/>
          <c:cat>
            <c:strRef>
              <c:f>Summary!$B$23:$B$27</c:f>
              <c:strCache>
                <c:ptCount val="5"/>
                <c:pt idx="0">
                  <c:v>DCF (Base)</c:v>
                </c:pt>
                <c:pt idx="1">
                  <c:v>Trading Comps (Median)</c:v>
                </c:pt>
                <c:pt idx="2">
                  <c:v>Precedent Txns (EV/Sales)</c:v>
                </c:pt>
                <c:pt idx="3">
                  <c:v>Monte Carlo (10K sims)</c:v>
                </c:pt>
                <c:pt idx="4">
                  <c:v>Analyst Consensus</c:v>
                </c:pt>
              </c:strCache>
            </c:strRef>
          </c:cat>
          <c:val>
            <c:numRef>
              <c:f>Summary!$E$23:$E$27</c:f>
              <c:numCache>
                <c:formatCode>\$#,##0.00</c:formatCode>
                <c:ptCount val="5"/>
                <c:pt idx="0">
                  <c:v>52.699776917047259</c:v>
                </c:pt>
                <c:pt idx="1">
                  <c:v>46.900311256257716</c:v>
                </c:pt>
                <c:pt idx="2">
                  <c:v>25.283582880833571</c:v>
                </c:pt>
                <c:pt idx="3">
                  <c:v>48.408205090052753</c:v>
                </c:pt>
                <c:pt idx="4">
                  <c:v>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78C-354C-AA7B-C0E190964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b"/>
        <c:majorGridlines>
          <c:spPr>
            <a:ln w="9525"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>
                    <a:solidFill>
                      <a:srgbClr val="475569"/>
                    </a:solidFill>
                    <a:latin typeface="SF Pro Text"/>
                  </a:defRPr>
                </a:pPr>
                <a:r>
                  <a:rPr lang="en-US" sz="900" b="0" i="0">
                    <a:solidFill>
                      <a:srgbClr val="475569"/>
                    </a:solidFill>
                    <a:latin typeface="SF Pro Text"/>
                  </a:rPr>
                  <a:t>Value per Share ($)</a:t>
                </a:r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Mono"/>
              </a:defRPr>
            </a:pPr>
            <a:endParaRPr lang="en-US"/>
          </a:p>
        </c:txPr>
        <c:crossAx val="1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 i="0">
              <a:solidFill>
                <a:srgbClr val="0F172A"/>
              </a:solidFill>
              <a:latin typeface="SF Pro Text"/>
            </a:defRPr>
          </a:pPr>
          <a:endParaRPr lang="en-US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 i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 i="0">
                <a:solidFill>
                  <a:srgbClr val="0F172A"/>
                </a:solidFill>
                <a:latin typeface="SF Pro Text Semibold"/>
              </a:rPr>
              <a:t>TV as % of Enterprise Value</a:t>
            </a:r>
          </a:p>
        </c:rich>
      </c:tx>
      <c:overlay val="0"/>
    </c:title>
    <c:autoTitleDeleted val="0"/>
    <c:plotArea>
      <c:layout/>
      <c:pieChart>
        <c:varyColors val="0"/>
        <c:ser>
          <c:idx val="0"/>
          <c:order val="0"/>
          <c:tx>
            <c:strRef>
              <c:f>Summary!$C$63</c:f>
              <c:strCache>
                <c:ptCount val="1"/>
                <c:pt idx="0">
                  <c:v>Amount ($M)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6D7E96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7B-3844-9336-1184794F43C3}"/>
              </c:ext>
            </c:extLst>
          </c:dPt>
          <c:dPt>
            <c:idx val="1"/>
            <c:bubble3D val="0"/>
            <c:spPr>
              <a:solidFill>
                <a:srgbClr val="1E3A8A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7B-3844-9336-1184794F43C3}"/>
              </c:ext>
            </c:extLst>
          </c:dPt>
          <c:cat>
            <c:strRef>
              <c:f>Summary!$B$64:$B$65</c:f>
              <c:strCache>
                <c:ptCount val="2"/>
                <c:pt idx="0">
                  <c:v>PV of FCFs</c:v>
                </c:pt>
                <c:pt idx="1">
                  <c:v>PV of Terminal Value</c:v>
                </c:pt>
              </c:strCache>
            </c:strRef>
          </c:cat>
          <c:val>
            <c:numRef>
              <c:f>Summary!$C$64:$C$65</c:f>
              <c:numCache>
                <c:formatCode>#,##0</c:formatCode>
                <c:ptCount val="2"/>
                <c:pt idx="0">
                  <c:v>13988.828822273095</c:v>
                </c:pt>
                <c:pt idx="1">
                  <c:v>63577.698119076478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7B-3844-9336-1184794F4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>
            <a:defRPr sz="900" b="0" i="0">
              <a:solidFill>
                <a:srgbClr val="0F172A"/>
              </a:solidFill>
              <a:latin typeface="SF Pro Text"/>
            </a:defRPr>
          </a:pPr>
          <a:endParaRPr lang="en-US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 i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 i="0">
                <a:solidFill>
                  <a:srgbClr val="0F172A"/>
                </a:solidFill>
                <a:latin typeface="SF Pro Text Semibold"/>
              </a:rPr>
              <a:t>EV-to-Equity Bridge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Summary!$C$45</c:f>
              <c:strCache>
                <c:ptCount val="1"/>
                <c:pt idx="0">
                  <c:v>Amount ($M)</c:v>
                </c:pt>
              </c:strCache>
            </c:strRef>
          </c:tx>
          <c:spPr>
            <a:solidFill>
              <a:srgbClr val="1E3A8A"/>
            </a:solidFill>
            <a:ln>
              <a:noFill/>
              <a:prstDash val="solid"/>
            </a:ln>
          </c:spPr>
          <c:invertIfNegative val="0"/>
          <c:cat>
            <c:strRef>
              <c:f>Summary!$B$46:$B$49</c:f>
              <c:strCache>
                <c:ptCount val="4"/>
                <c:pt idx="0">
                  <c:v>PV of FCFs</c:v>
                </c:pt>
                <c:pt idx="1">
                  <c:v>PV of Terminal Value</c:v>
                </c:pt>
                <c:pt idx="2">
                  <c:v>Less: Debt</c:v>
                </c:pt>
                <c:pt idx="3">
                  <c:v>Plus: Cash</c:v>
                </c:pt>
              </c:strCache>
            </c:strRef>
          </c:cat>
          <c:val>
            <c:numRef>
              <c:f>Summary!$C$46:$C$49</c:f>
              <c:numCache>
                <c:formatCode>#,##0</c:formatCode>
                <c:ptCount val="4"/>
                <c:pt idx="0">
                  <c:v>13988.828822273095</c:v>
                </c:pt>
                <c:pt idx="1">
                  <c:v>63577.698119076478</c:v>
                </c:pt>
                <c:pt idx="2">
                  <c:v>-16141</c:v>
                </c:pt>
                <c:pt idx="3">
                  <c:v>1026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19F-7541-A2F1-927932AB7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9525"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>
                    <a:solidFill>
                      <a:srgbClr val="475569"/>
                    </a:solidFill>
                    <a:latin typeface="SF Pro Text"/>
                  </a:defRPr>
                </a:pPr>
                <a:r>
                  <a:rPr lang="en-US" sz="900" b="0" i="0">
                    <a:solidFill>
                      <a:srgbClr val="475569"/>
                    </a:solidFill>
                    <a:latin typeface="SF Pro Text"/>
                  </a:rPr>
                  <a:t>$ Millions</a:t>
                </a:r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Mono"/>
              </a:defRPr>
            </a:pPr>
            <a:endParaRPr lang="en-US"/>
          </a:p>
        </c:txPr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 i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 i="0">
                <a:solidFill>
                  <a:srgbClr val="0F172A"/>
                </a:solidFill>
                <a:latin typeface="SF Pro Text Semibold"/>
              </a:rPr>
              <a:t>Revenue Growth Trajectory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E3A8A"/>
            </a:solidFill>
            <a:ln>
              <a:noFill/>
              <a:prstDash val="solid"/>
            </a:ln>
          </c:spPr>
          <c:invertIfNegative val="0"/>
          <c:cat>
            <c:strRef>
              <c:f>Assumptions!$C$22:$G$22</c:f>
              <c:strCache>
                <c:ptCount val="5"/>
                <c:pt idx="0">
                  <c:v>FY2026</c:v>
                </c:pt>
                <c:pt idx="1">
                  <c:v>FY2027</c:v>
                </c:pt>
                <c:pt idx="2">
                  <c:v>FY2028</c:v>
                </c:pt>
                <c:pt idx="3">
                  <c:v>FY2029</c:v>
                </c:pt>
                <c:pt idx="4">
                  <c:v>FY2030</c:v>
                </c:pt>
              </c:strCache>
            </c:strRef>
          </c:cat>
          <c:val>
            <c:numRef>
              <c:f>Assumptions!$C$23:$G$23</c:f>
              <c:numCache>
                <c:formatCode>0.0%</c:formatCode>
                <c:ptCount val="5"/>
                <c:pt idx="0">
                  <c:v>0.04</c:v>
                </c:pt>
                <c:pt idx="1">
                  <c:v>3.7999999999999999E-2</c:v>
                </c:pt>
                <c:pt idx="2">
                  <c:v>3.6999999999999998E-2</c:v>
                </c:pt>
                <c:pt idx="3">
                  <c:v>3.5000000000000003E-2</c:v>
                </c:pt>
                <c:pt idx="4">
                  <c:v>3.5000000000000003E-2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EDE-EE41-91F5-2A6882E73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Mono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9525"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>
                    <a:solidFill>
                      <a:srgbClr val="475569"/>
                    </a:solidFill>
                    <a:latin typeface="SF Pro Text"/>
                  </a:defRPr>
                </a:pPr>
                <a:r>
                  <a:rPr lang="en-US" sz="900" b="0" i="0">
                    <a:solidFill>
                      <a:srgbClr val="475569"/>
                    </a:solidFill>
                    <a:latin typeface="SF Pro Text"/>
                  </a:rPr>
                  <a:t>Growth Rate</a:t>
                </a:r>
              </a:p>
            </c:rich>
          </c:tx>
          <c:overlay val="0"/>
        </c:title>
        <c:numFmt formatCode="0.0%" sourceLinked="0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Mono"/>
              </a:defRPr>
            </a:pPr>
            <a:endParaRPr lang="en-US"/>
          </a:p>
        </c:txPr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 i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 i="0">
                <a:solidFill>
                  <a:srgbClr val="0F172A"/>
                </a:solidFill>
                <a:latin typeface="SF Pro Text Semibold"/>
              </a:rPr>
              <a:t>FCF Build-Up by Year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DCF!$B$30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1E3A8A"/>
            </a:solidFill>
            <a:ln>
              <a:noFill/>
              <a:prstDash val="solid"/>
            </a:ln>
          </c:spPr>
          <c:invertIfNegative val="0"/>
          <c:cat>
            <c:strRef>
              <c:f>DCF!$C$29:$G$29</c:f>
              <c:strCache>
                <c:ptCount val="5"/>
                <c:pt idx="0">
                  <c:v>FY2026</c:v>
                </c:pt>
                <c:pt idx="1">
                  <c:v>FY2027</c:v>
                </c:pt>
                <c:pt idx="2">
                  <c:v>FY2028</c:v>
                </c:pt>
                <c:pt idx="3">
                  <c:v>FY2029</c:v>
                </c:pt>
                <c:pt idx="4">
                  <c:v>FY2030</c:v>
                </c:pt>
              </c:strCache>
            </c:strRef>
          </c:cat>
          <c:val>
            <c:numRef>
              <c:f>DCF!$C$30:$G$30</c:f>
              <c:numCache>
                <c:formatCode>#,##0</c:formatCode>
                <c:ptCount val="5"/>
                <c:pt idx="0">
                  <c:v>17267.12</c:v>
                </c:pt>
                <c:pt idx="1">
                  <c:v>17923.270560000001</c:v>
                </c:pt>
                <c:pt idx="2">
                  <c:v>18586.43157072</c:v>
                </c:pt>
                <c:pt idx="3">
                  <c:v>19236.956675695197</c:v>
                </c:pt>
                <c:pt idx="4">
                  <c:v>19910.250159344527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855-0C4D-8097-897A94A03D76}"/>
            </c:ext>
          </c:extLst>
        </c:ser>
        <c:ser>
          <c:idx val="1"/>
          <c:order val="1"/>
          <c:tx>
            <c:strRef>
              <c:f>DCF!$B$31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rgbClr val="6D7E96"/>
            </a:solidFill>
            <a:ln>
              <a:noFill/>
              <a:prstDash val="solid"/>
            </a:ln>
          </c:spPr>
          <c:invertIfNegative val="0"/>
          <c:cat>
            <c:strRef>
              <c:f>DCF!$C$29:$G$29</c:f>
              <c:strCache>
                <c:ptCount val="5"/>
                <c:pt idx="0">
                  <c:v>FY2026</c:v>
                </c:pt>
                <c:pt idx="1">
                  <c:v>FY2027</c:v>
                </c:pt>
                <c:pt idx="2">
                  <c:v>FY2028</c:v>
                </c:pt>
                <c:pt idx="3">
                  <c:v>FY2029</c:v>
                </c:pt>
                <c:pt idx="4">
                  <c:v>FY2030</c:v>
                </c:pt>
              </c:strCache>
            </c:strRef>
          </c:cat>
          <c:val>
            <c:numRef>
              <c:f>DCF!$C$31:$G$31</c:f>
              <c:numCache>
                <c:formatCode>#,##0</c:formatCode>
                <c:ptCount val="5"/>
                <c:pt idx="0">
                  <c:v>4403.1156000000001</c:v>
                </c:pt>
                <c:pt idx="1">
                  <c:v>4570.4339927999999</c:v>
                </c:pt>
                <c:pt idx="2">
                  <c:v>4739.5400505336002</c:v>
                </c:pt>
                <c:pt idx="3">
                  <c:v>4905.4239523022752</c:v>
                </c:pt>
                <c:pt idx="4">
                  <c:v>5077.113790632854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855-0C4D-8097-897A94A03D76}"/>
            </c:ext>
          </c:extLst>
        </c:ser>
        <c:ser>
          <c:idx val="2"/>
          <c:order val="2"/>
          <c:tx>
            <c:strRef>
              <c:f>DCF!$B$32</c:f>
              <c:strCache>
                <c:ptCount val="1"/>
                <c:pt idx="0">
                  <c:v>NOPAT</c:v>
                </c:pt>
              </c:strCache>
            </c:strRef>
          </c:tx>
          <c:spPr>
            <a:solidFill>
              <a:srgbClr val="205867"/>
            </a:solidFill>
            <a:ln>
              <a:noFill/>
              <a:prstDash val="solid"/>
            </a:ln>
          </c:spPr>
          <c:invertIfNegative val="0"/>
          <c:cat>
            <c:strRef>
              <c:f>DCF!$C$29:$G$29</c:f>
              <c:strCache>
                <c:ptCount val="5"/>
                <c:pt idx="0">
                  <c:v>FY2026</c:v>
                </c:pt>
                <c:pt idx="1">
                  <c:v>FY2027</c:v>
                </c:pt>
                <c:pt idx="2">
                  <c:v>FY2028</c:v>
                </c:pt>
                <c:pt idx="3">
                  <c:v>FY2029</c:v>
                </c:pt>
                <c:pt idx="4">
                  <c:v>FY2030</c:v>
                </c:pt>
              </c:strCache>
            </c:strRef>
          </c:cat>
          <c:val>
            <c:numRef>
              <c:f>DCF!$C$32:$G$32</c:f>
              <c:numCache>
                <c:formatCode>#,##0</c:formatCode>
                <c:ptCount val="5"/>
                <c:pt idx="0">
                  <c:v>2810.2237800000003</c:v>
                </c:pt>
                <c:pt idx="1">
                  <c:v>2917.0122836400001</c:v>
                </c:pt>
                <c:pt idx="2">
                  <c:v>3024.9417381346802</c:v>
                </c:pt>
                <c:pt idx="3">
                  <c:v>3130.8146989693932</c:v>
                </c:pt>
                <c:pt idx="4">
                  <c:v>3240.3932134333213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855-0C4D-8097-897A94A03D76}"/>
            </c:ext>
          </c:extLst>
        </c:ser>
        <c:ser>
          <c:idx val="3"/>
          <c:order val="3"/>
          <c:tx>
            <c:strRef>
              <c:f>DCF!$B$33</c:f>
              <c:strCache>
                <c:ptCount val="1"/>
                <c:pt idx="0">
                  <c:v>UFCF</c:v>
                </c:pt>
              </c:strCache>
            </c:strRef>
          </c:tx>
          <c:spPr>
            <a:solidFill>
              <a:srgbClr val="B65608"/>
            </a:solidFill>
            <a:ln>
              <a:noFill/>
              <a:prstDash val="solid"/>
            </a:ln>
          </c:spPr>
          <c:invertIfNegative val="0"/>
          <c:cat>
            <c:strRef>
              <c:f>DCF!$C$29:$G$29</c:f>
              <c:strCache>
                <c:ptCount val="5"/>
                <c:pt idx="0">
                  <c:v>FY2026</c:v>
                </c:pt>
                <c:pt idx="1">
                  <c:v>FY2027</c:v>
                </c:pt>
                <c:pt idx="2">
                  <c:v>FY2028</c:v>
                </c:pt>
                <c:pt idx="3">
                  <c:v>FY2029</c:v>
                </c:pt>
                <c:pt idx="4">
                  <c:v>FY2030</c:v>
                </c:pt>
              </c:strCache>
            </c:strRef>
          </c:cat>
          <c:val>
            <c:numRef>
              <c:f>DCF!$C$33:$G$33</c:f>
              <c:numCache>
                <c:formatCode>#,##0</c:formatCode>
                <c:ptCount val="5"/>
                <c:pt idx="0">
                  <c:v>3052.6275800000003</c:v>
                </c:pt>
                <c:pt idx="1">
                  <c:v>3169.4575780399996</c:v>
                </c:pt>
                <c:pt idx="2">
                  <c:v>3287.1591864274801</c:v>
                </c:pt>
                <c:pt idx="3">
                  <c:v>3403.1059214804409</c:v>
                </c:pt>
                <c:pt idx="4">
                  <c:v>3522.2146287322557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855-0C4D-8097-897A94A03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Mono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9525"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>
                    <a:solidFill>
                      <a:srgbClr val="475569"/>
                    </a:solidFill>
                    <a:latin typeface="SF Pro Text"/>
                  </a:defRPr>
                </a:pPr>
                <a:r>
                  <a:rPr lang="en-US" sz="900" b="0" i="0">
                    <a:solidFill>
                      <a:srgbClr val="475569"/>
                    </a:solidFill>
                    <a:latin typeface="SF Pro Text"/>
                  </a:rPr>
                  <a:t>$ Millions</a:t>
                </a:r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Mono"/>
              </a:defRPr>
            </a:pPr>
            <a:endParaRPr lang="en-US"/>
          </a:p>
        </c:txPr>
        <c:crossAx val="1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 i="0">
              <a:solidFill>
                <a:srgbClr val="0F172A"/>
              </a:solidFill>
              <a:latin typeface="SF Pro Text"/>
            </a:defRPr>
          </a:pPr>
          <a:endParaRPr lang="en-US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 i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 i="0">
                <a:solidFill>
                  <a:srgbClr val="0F172A"/>
                </a:solidFill>
                <a:latin typeface="SF Pro Text Semibold"/>
              </a:rPr>
              <a:t>Enterprise Value Bridge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DCF!$C$78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1E3A8A"/>
            </a:solidFill>
            <a:ln>
              <a:noFill/>
              <a:prstDash val="solid"/>
            </a:ln>
          </c:spPr>
          <c:invertIfNegative val="0"/>
          <c:cat>
            <c:strRef>
              <c:f>DCF!$B$79:$B$80</c:f>
              <c:strCache>
                <c:ptCount val="2"/>
                <c:pt idx="0">
                  <c:v>Sum PV(FCFs)</c:v>
                </c:pt>
                <c:pt idx="1">
                  <c:v>PV(Terminal Value)</c:v>
                </c:pt>
              </c:strCache>
            </c:strRef>
          </c:cat>
          <c:val>
            <c:numRef>
              <c:f>DCF!$C$79:$C$80</c:f>
              <c:numCache>
                <c:formatCode>#,##0</c:formatCode>
                <c:ptCount val="2"/>
                <c:pt idx="0">
                  <c:v>13988.828822273095</c:v>
                </c:pt>
                <c:pt idx="1">
                  <c:v>63577.698119076478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D1F-5241-BEDF-7F07F5C06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9525"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>
                    <a:solidFill>
                      <a:srgbClr val="475569"/>
                    </a:solidFill>
                    <a:latin typeface="SF Pro Text"/>
                  </a:defRPr>
                </a:pPr>
                <a:r>
                  <a:rPr lang="en-US" sz="900" b="0" i="0">
                    <a:solidFill>
                      <a:srgbClr val="475569"/>
                    </a:solidFill>
                    <a:latin typeface="SF Pro Text"/>
                  </a:rPr>
                  <a:t>$ Millions</a:t>
                </a:r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Mono"/>
              </a:defRPr>
            </a:pPr>
            <a:endParaRPr lang="en-US"/>
          </a:p>
        </c:txPr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200" b="0" i="0">
                <a:solidFill>
                  <a:srgbClr val="0F172A"/>
                </a:solidFill>
                <a:latin typeface="SF Pro Text Semibold"/>
              </a:defRPr>
            </a:pPr>
            <a:r>
              <a:rPr lang="en-US" sz="1200" b="0" i="0">
                <a:solidFill>
                  <a:srgbClr val="0F172A"/>
                </a:solidFill>
                <a:latin typeface="SF Pro Text Semibold"/>
              </a:rPr>
              <a:t>Peer Valuation Multiples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'Trading Comps'!$C$25</c:f>
              <c:strCache>
                <c:ptCount val="1"/>
                <c:pt idx="0">
                  <c:v>EV/Revenue</c:v>
                </c:pt>
              </c:strCache>
            </c:strRef>
          </c:tx>
          <c:spPr>
            <a:solidFill>
              <a:srgbClr val="6D7E96"/>
            </a:solidFill>
            <a:ln>
              <a:noFill/>
              <a:prstDash val="solid"/>
            </a:ln>
          </c:spPr>
          <c:invertIfNegative val="0"/>
          <c:cat>
            <c:strRef>
              <c:f>'Trading Comps'!$B$26:$B$35</c:f>
              <c:strCache>
                <c:ptCount val="10"/>
                <c:pt idx="0">
                  <c:v>KDP</c:v>
                </c:pt>
                <c:pt idx="1">
                  <c:v>KO</c:v>
                </c:pt>
                <c:pt idx="2">
                  <c:v>PEP</c:v>
                </c:pt>
                <c:pt idx="3">
                  <c:v>MNST</c:v>
                </c:pt>
                <c:pt idx="4">
                  <c:v>CELH</c:v>
                </c:pt>
                <c:pt idx="5">
                  <c:v>COKE</c:v>
                </c:pt>
                <c:pt idx="6">
                  <c:v>FIZZ</c:v>
                </c:pt>
                <c:pt idx="7">
                  <c:v>TAP</c:v>
                </c:pt>
                <c:pt idx="8">
                  <c:v>COCO</c:v>
                </c:pt>
                <c:pt idx="9">
                  <c:v>BUD</c:v>
                </c:pt>
              </c:strCache>
            </c:strRef>
          </c:cat>
          <c:val>
            <c:numRef>
              <c:f>'Trading Comps'!$C$26:$C$35</c:f>
              <c:numCache>
                <c:formatCode>0.0\x</c:formatCode>
                <c:ptCount val="10"/>
                <c:pt idx="0">
                  <c:v>3.2015527916641568</c:v>
                </c:pt>
                <c:pt idx="1">
                  <c:v>7.0095477774764809</c:v>
                </c:pt>
                <c:pt idx="2">
                  <c:v>2.526890020761245</c:v>
                </c:pt>
                <c:pt idx="3">
                  <c:v>8.7690054884395305</c:v>
                </c:pt>
                <c:pt idx="4">
                  <c:v>4.3846985511291239</c:v>
                </c:pt>
                <c:pt idx="5">
                  <c:v>1.938581042894665</c:v>
                </c:pt>
                <c:pt idx="6">
                  <c:v>3.3582439480785848</c:v>
                </c:pt>
                <c:pt idx="7">
                  <c:v>1.30244398965963</c:v>
                </c:pt>
                <c:pt idx="8">
                  <c:v>4.6462954967365286</c:v>
                </c:pt>
                <c:pt idx="9">
                  <c:v>3.1669432552156378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37B-014C-8F62-4AB56DAEF764}"/>
            </c:ext>
          </c:extLst>
        </c:ser>
        <c:ser>
          <c:idx val="1"/>
          <c:order val="1"/>
          <c:tx>
            <c:strRef>
              <c:f>'Trading Comps'!$D$25</c:f>
              <c:strCache>
                <c:ptCount val="1"/>
                <c:pt idx="0">
                  <c:v>EV/EBITDA</c:v>
                </c:pt>
              </c:strCache>
            </c:strRef>
          </c:tx>
          <c:spPr>
            <a:solidFill>
              <a:srgbClr val="1E3A8A"/>
            </a:solidFill>
            <a:ln>
              <a:noFill/>
              <a:prstDash val="solid"/>
            </a:ln>
          </c:spPr>
          <c:invertIfNegative val="0"/>
          <c:cat>
            <c:strRef>
              <c:f>'Trading Comps'!$B$26:$B$35</c:f>
              <c:strCache>
                <c:ptCount val="10"/>
                <c:pt idx="0">
                  <c:v>KDP</c:v>
                </c:pt>
                <c:pt idx="1">
                  <c:v>KO</c:v>
                </c:pt>
                <c:pt idx="2">
                  <c:v>PEP</c:v>
                </c:pt>
                <c:pt idx="3">
                  <c:v>MNST</c:v>
                </c:pt>
                <c:pt idx="4">
                  <c:v>CELH</c:v>
                </c:pt>
                <c:pt idx="5">
                  <c:v>COKE</c:v>
                </c:pt>
                <c:pt idx="6">
                  <c:v>FIZZ</c:v>
                </c:pt>
                <c:pt idx="7">
                  <c:v>TAP</c:v>
                </c:pt>
                <c:pt idx="8">
                  <c:v>COCO</c:v>
                </c:pt>
                <c:pt idx="9">
                  <c:v>BUD</c:v>
                </c:pt>
              </c:strCache>
            </c:strRef>
          </c:cat>
          <c:val>
            <c:numRef>
              <c:f>'Trading Comps'!$D$26:$D$35</c:f>
              <c:numCache>
                <c:formatCode>0.0\x</c:formatCode>
                <c:ptCount val="10"/>
                <c:pt idx="0">
                  <c:v>12.674149022412969</c:v>
                </c:pt>
                <c:pt idx="1">
                  <c:v>17.968384664741741</c:v>
                </c:pt>
                <c:pt idx="2">
                  <c:v>15.26977708293122</c:v>
                </c:pt>
                <c:pt idx="3">
                  <c:v>27.935926166763331</c:v>
                </c:pt>
                <c:pt idx="4">
                  <c:v>54.205456279090328</c:v>
                </c:pt>
                <c:pt idx="5">
                  <c:v>11.966865542644459</c:v>
                </c:pt>
                <c:pt idx="6">
                  <c:v>15.7435409349879</c:v>
                </c:pt>
                <c:pt idx="7">
                  <c:v>-9.008112739011672</c:v>
                </c:pt>
                <c:pt idx="8">
                  <c:v>33.831893246083297</c:v>
                </c:pt>
                <c:pt idx="9">
                  <c:v>9.0763876620240271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37B-014C-8F62-4AB56DAE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Pro Text"/>
              </a:defRPr>
            </a:pPr>
            <a:endParaRPr lang="en-US"/>
          </a:p>
        </c:txPr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>
          <c:spPr>
            <a:ln w="9525">
              <a:solidFill>
                <a:srgbClr val="E2E8F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>
                    <a:solidFill>
                      <a:srgbClr val="475569"/>
                    </a:solidFill>
                    <a:latin typeface="SF Pro Text"/>
                  </a:defRPr>
                </a:pPr>
                <a:r>
                  <a:rPr lang="en-US" sz="900" b="0" i="0">
                    <a:solidFill>
                      <a:srgbClr val="475569"/>
                    </a:solidFill>
                    <a:latin typeface="SF Pro Text"/>
                  </a:rPr>
                  <a:t>Multiple (x)</a:t>
                </a:r>
              </a:p>
            </c:rich>
          </c:tx>
          <c:overlay val="0"/>
        </c:title>
        <c:numFmt formatCode="0.0&quot;x&quot;" sourceLinked="0"/>
        <c:majorTickMark val="out"/>
        <c:minorTickMark val="none"/>
        <c:tickLblPos val="nextTo"/>
        <c:spPr>
          <a:ln w="9525">
            <a:solidFill>
              <a:srgbClr val="94A3B8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0F172A"/>
                </a:solidFill>
                <a:latin typeface="SF Mono"/>
              </a:defRPr>
            </a:pPr>
            <a:endParaRPr lang="en-US"/>
          </a:p>
        </c:txPr>
        <c:crossAx val="1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 i="0">
              <a:solidFill>
                <a:srgbClr val="0F172A"/>
              </a:solidFill>
              <a:latin typeface="SF Pro Text"/>
            </a:defRPr>
          </a:pPr>
          <a:endParaRPr lang="en-US"/>
        </a:p>
      </c:txPr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167666</xdr:colOff>
      <xdr:row>5</xdr:row>
      <xdr:rowOff>63506</xdr:rowOff>
    </xdr:from>
    <xdr:ext cx="7172933" cy="27685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977900</xdr:colOff>
      <xdr:row>21</xdr:row>
      <xdr:rowOff>12700</xdr:rowOff>
    </xdr:from>
    <xdr:ext cx="3968490" cy="283464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5</xdr:col>
      <xdr:colOff>901700</xdr:colOff>
      <xdr:row>36</xdr:row>
      <xdr:rowOff>120650</xdr:rowOff>
    </xdr:from>
    <xdr:ext cx="5266944" cy="292608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1917700</xdr:colOff>
      <xdr:row>19</xdr:row>
      <xdr:rowOff>50800</xdr:rowOff>
    </xdr:from>
    <xdr:ext cx="4608576" cy="2560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27</xdr:row>
      <xdr:rowOff>12700</xdr:rowOff>
    </xdr:from>
    <xdr:ext cx="8305800" cy="4114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101600</xdr:colOff>
      <xdr:row>54</xdr:row>
      <xdr:rowOff>152400</xdr:rowOff>
    </xdr:from>
    <xdr:ext cx="5760000" cy="36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22</xdr:row>
      <xdr:rowOff>139700</xdr:rowOff>
    </xdr:from>
    <xdr:ext cx="4506686" cy="2743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Darrell Day SF Colors">
      <a:dk1>
        <a:sysClr val="windowText" lastClr="000000"/>
      </a:dk1>
      <a:lt1>
        <a:sysClr val="window" lastClr="FFFFFF"/>
      </a:lt1>
      <a:dk2>
        <a:srgbClr val="334155"/>
      </a:dk2>
      <a:lt2>
        <a:srgbClr val="F1F5F9"/>
      </a:lt2>
      <a:accent1>
        <a:srgbClr val="1E3A8A"/>
      </a:accent1>
      <a:accent2>
        <a:srgbClr val="E3120B"/>
      </a:accent2>
      <a:accent3>
        <a:srgbClr val="6D7E96"/>
      </a:accent3>
      <a:accent4>
        <a:srgbClr val="205867"/>
      </a:accent4>
      <a:accent5>
        <a:srgbClr val="B65608"/>
      </a:accent5>
      <a:accent6>
        <a:srgbClr val="8064A2"/>
      </a:accent6>
      <a:hlink>
        <a:srgbClr val="1F497D"/>
      </a:hlink>
      <a:folHlink>
        <a:srgbClr val="800080"/>
      </a:folHlink>
    </a:clrScheme>
    <a:fontScheme name="Office">
      <a:majorFont>
        <a:latin typeface="SF Pro Display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SF Pro Tex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/:u:/r/sites/FINAN6590/Shared%20Documents/General/Final%20Group%20Project/dday_analysis-prep/monte-carlo/mc_prices.npy?csf=1&amp;web=1&amp;e=Ytuyf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E293B"/>
  </sheetPr>
  <dimension ref="B1:G16"/>
  <sheetViews>
    <sheetView showGridLines="0" zoomScale="168" workbookViewId="0"/>
  </sheetViews>
  <sheetFormatPr baseColWidth="10" defaultColWidth="8.85546875" defaultRowHeight="21"/>
  <cols>
    <col min="1" max="1" width="2.42578125" style="290" customWidth="1"/>
    <col min="2" max="2" width="15.140625" style="290" customWidth="1"/>
    <col min="3" max="3" width="16" style="290" customWidth="1"/>
    <col min="4" max="4" width="8.85546875" style="290" customWidth="1"/>
    <col min="5" max="16384" width="8.85546875" style="290"/>
  </cols>
  <sheetData>
    <row r="1" spans="2:7" ht="9" customHeight="1"/>
    <row r="2" spans="2:7" ht="17" customHeight="1"/>
    <row r="3" spans="2:7" ht="34" customHeight="1">
      <c r="B3" s="297" t="s">
        <v>0</v>
      </c>
      <c r="C3" s="294"/>
      <c r="D3" s="294"/>
    </row>
    <row r="4" spans="2:7" s="293" customFormat="1">
      <c r="B4" s="295" t="s">
        <v>1</v>
      </c>
    </row>
    <row r="5" spans="2:7" s="293" customFormat="1">
      <c r="B5" s="295"/>
    </row>
    <row r="6" spans="2:7" ht="9" customHeight="1"/>
    <row r="7" spans="2:7" ht="21" customHeight="1">
      <c r="B7" s="299" t="s">
        <v>2</v>
      </c>
    </row>
    <row r="8" spans="2:7" s="292" customFormat="1" ht="14" customHeight="1">
      <c r="B8" s="300" t="s">
        <v>3</v>
      </c>
    </row>
    <row r="9" spans="2:7" ht="17" customHeight="1">
      <c r="B9" s="298"/>
    </row>
    <row r="10" spans="2:7" ht="15" customHeight="1">
      <c r="B10" s="296"/>
      <c r="C10" s="291"/>
      <c r="D10" s="291"/>
      <c r="E10" s="291"/>
      <c r="F10" s="291"/>
      <c r="G10" s="291"/>
    </row>
    <row r="12" spans="2:7" ht="17.5" customHeight="1">
      <c r="B12" s="301" t="s">
        <v>4</v>
      </c>
      <c r="C12" s="302" t="s">
        <v>5</v>
      </c>
    </row>
    <row r="13" spans="2:7" ht="17.5" customHeight="1">
      <c r="B13" s="301" t="s">
        <v>6</v>
      </c>
      <c r="C13" s="302" t="s">
        <v>7</v>
      </c>
    </row>
    <row r="14" spans="2:7" ht="17.5" customHeight="1">
      <c r="B14" s="301" t="s">
        <v>8</v>
      </c>
      <c r="C14" s="303" t="s">
        <v>9</v>
      </c>
    </row>
    <row r="15" spans="2:7" ht="17.5" customHeight="1">
      <c r="B15" s="301" t="s">
        <v>10</v>
      </c>
      <c r="C15" s="303" t="s">
        <v>11</v>
      </c>
    </row>
    <row r="16" spans="2:7" ht="17.5" customHeight="1">
      <c r="B16" s="301" t="s">
        <v>12</v>
      </c>
      <c r="C16" s="303" t="s">
        <v>13</v>
      </c>
    </row>
  </sheetData>
  <pageMargins left="0.75" right="0.75" top="1" bottom="1" header="0.5" footer="0.5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H52"/>
  <sheetViews>
    <sheetView showGridLines="0" workbookViewId="0">
      <pane ySplit="4" topLeftCell="A5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0" customWidth="1"/>
    <col min="3" max="8" width="15.140625" bestFit="1" customWidth="1"/>
  </cols>
  <sheetData>
    <row r="1" spans="1:8" ht="9" customHeight="1">
      <c r="A1" s="112"/>
      <c r="B1" s="24"/>
      <c r="C1" s="24"/>
      <c r="D1" s="24"/>
      <c r="E1" s="24"/>
      <c r="F1" s="24"/>
      <c r="G1" s="24"/>
      <c r="H1" s="24"/>
    </row>
    <row r="2" spans="1:8" ht="22" customHeight="1">
      <c r="A2" s="24"/>
      <c r="B2" s="304" t="s">
        <v>400</v>
      </c>
      <c r="C2" s="86"/>
      <c r="D2" s="86"/>
      <c r="E2" s="86"/>
      <c r="F2" s="24"/>
      <c r="G2" s="24"/>
      <c r="H2" s="24"/>
    </row>
    <row r="3" spans="1:8" ht="15" customHeight="1">
      <c r="A3" s="24"/>
      <c r="B3" s="305" t="s">
        <v>361</v>
      </c>
      <c r="C3" s="24"/>
      <c r="D3" s="24"/>
      <c r="E3" s="24"/>
      <c r="F3" s="24"/>
      <c r="G3" s="24"/>
      <c r="H3" s="24"/>
    </row>
    <row r="4" spans="1:8" ht="15" customHeight="1">
      <c r="A4" s="24"/>
      <c r="B4" s="24"/>
      <c r="C4" s="351" t="s">
        <v>334</v>
      </c>
      <c r="D4" s="351" t="s">
        <v>335</v>
      </c>
      <c r="E4" s="351" t="s">
        <v>336</v>
      </c>
      <c r="F4" s="351" t="s">
        <v>337</v>
      </c>
      <c r="G4" s="351" t="s">
        <v>338</v>
      </c>
      <c r="H4" s="351" t="s">
        <v>122</v>
      </c>
    </row>
    <row r="5" spans="1:8" ht="18" customHeight="1" thickBot="1">
      <c r="A5" s="24"/>
      <c r="B5" s="352" t="s">
        <v>376</v>
      </c>
      <c r="C5" s="352"/>
      <c r="D5" s="352"/>
      <c r="E5" s="352"/>
      <c r="F5" s="352"/>
      <c r="G5" s="352"/>
      <c r="H5" s="352"/>
    </row>
    <row r="6" spans="1:8" ht="15" customHeight="1" thickTop="1">
      <c r="A6" s="24"/>
      <c r="B6" s="4" t="s">
        <v>138</v>
      </c>
      <c r="C6" s="280">
        <v>11618000000</v>
      </c>
      <c r="D6" s="280">
        <v>12683000000</v>
      </c>
      <c r="E6" s="280">
        <v>14057000000</v>
      </c>
      <c r="F6" s="280">
        <v>14814000000</v>
      </c>
      <c r="G6" s="280">
        <v>15351000000</v>
      </c>
      <c r="H6" s="280">
        <v>16603000000</v>
      </c>
    </row>
    <row r="7" spans="1:8" ht="15" customHeight="1">
      <c r="A7" s="24"/>
      <c r="B7" s="4" t="s">
        <v>363</v>
      </c>
      <c r="C7" s="280">
        <v>5132000000</v>
      </c>
      <c r="D7" s="280">
        <v>5706000000</v>
      </c>
      <c r="E7" s="280">
        <v>6734000000</v>
      </c>
      <c r="F7" s="280">
        <v>6734000000</v>
      </c>
      <c r="G7" s="280">
        <v>6822000000</v>
      </c>
      <c r="H7" s="280">
        <v>7902000000</v>
      </c>
    </row>
    <row r="8" spans="1:8" ht="15" customHeight="1">
      <c r="A8" s="24"/>
      <c r="B8" s="15" t="s">
        <v>364</v>
      </c>
      <c r="C8" s="289">
        <v>6486000000</v>
      </c>
      <c r="D8" s="289">
        <v>6977000000</v>
      </c>
      <c r="E8" s="289">
        <v>7323000000</v>
      </c>
      <c r="F8" s="289">
        <v>8080000000</v>
      </c>
      <c r="G8" s="289">
        <v>8529000000</v>
      </c>
      <c r="H8" s="289">
        <v>8701000000</v>
      </c>
    </row>
    <row r="9" spans="1:8" ht="15" customHeight="1">
      <c r="A9" s="24"/>
      <c r="B9" s="4" t="s">
        <v>365</v>
      </c>
      <c r="C9" s="280">
        <v>3978000000</v>
      </c>
      <c r="D9" s="280">
        <v>4153000000</v>
      </c>
      <c r="E9" s="280">
        <v>4645000000</v>
      </c>
      <c r="F9" s="280">
        <v>4912000000</v>
      </c>
      <c r="G9" s="280">
        <v>5013000000</v>
      </c>
      <c r="H9" s="280">
        <v>5053000000</v>
      </c>
    </row>
    <row r="10" spans="1:8" ht="15" customHeight="1">
      <c r="A10" s="24"/>
      <c r="B10" s="4" t="s">
        <v>366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</row>
    <row r="11" spans="1:8" ht="15" customHeight="1">
      <c r="A11" s="24"/>
      <c r="B11" s="4" t="s">
        <v>367</v>
      </c>
      <c r="C11" s="280">
        <v>4006000000</v>
      </c>
      <c r="D11" s="280">
        <v>4083000000</v>
      </c>
      <c r="E11" s="280">
        <v>4718000000</v>
      </c>
      <c r="F11" s="280">
        <v>4888000000</v>
      </c>
      <c r="G11" s="280">
        <v>5938000000</v>
      </c>
      <c r="H11" s="280">
        <v>5053000000</v>
      </c>
    </row>
    <row r="12" spans="1:8" ht="15" customHeight="1">
      <c r="A12" s="24"/>
      <c r="B12" s="15" t="s">
        <v>368</v>
      </c>
      <c r="C12" s="289">
        <v>2480000000</v>
      </c>
      <c r="D12" s="289">
        <v>2894000000</v>
      </c>
      <c r="E12" s="289">
        <v>2605000000</v>
      </c>
      <c r="F12" s="289">
        <v>3192000000</v>
      </c>
      <c r="G12" s="289">
        <v>2591000000</v>
      </c>
      <c r="H12" s="289">
        <v>3648000000</v>
      </c>
    </row>
    <row r="13" spans="1:8" ht="15" customHeight="1">
      <c r="A13" s="24"/>
      <c r="B13" s="4" t="s">
        <v>369</v>
      </c>
      <c r="C13" s="280">
        <v>653000000</v>
      </c>
      <c r="D13" s="280">
        <v>708000000</v>
      </c>
      <c r="E13" s="280">
        <v>709000000</v>
      </c>
      <c r="F13" s="280">
        <v>720000000</v>
      </c>
      <c r="G13" s="280">
        <v>733000000</v>
      </c>
      <c r="H13" s="280">
        <v>753000000</v>
      </c>
    </row>
    <row r="14" spans="1:8" ht="15" customHeight="1">
      <c r="A14" s="24"/>
      <c r="B14" s="15" t="s">
        <v>139</v>
      </c>
      <c r="C14" s="289">
        <v>3010000000</v>
      </c>
      <c r="D14" s="289">
        <v>4006000000</v>
      </c>
      <c r="E14" s="289">
        <v>3121000000</v>
      </c>
      <c r="F14" s="289">
        <v>3973000000</v>
      </c>
      <c r="G14" s="289">
        <v>3382000000</v>
      </c>
      <c r="H14" s="289">
        <v>4194000000</v>
      </c>
    </row>
    <row r="15" spans="1:8" ht="15" customHeight="1">
      <c r="A15" s="24"/>
      <c r="B15" s="4" t="s">
        <v>370</v>
      </c>
      <c r="C15" s="280">
        <v>597000000</v>
      </c>
      <c r="D15" s="280">
        <v>525000000</v>
      </c>
      <c r="E15" s="280">
        <v>468000000</v>
      </c>
      <c r="F15" s="280">
        <v>596000000</v>
      </c>
      <c r="G15" s="280">
        <v>684000000</v>
      </c>
      <c r="H15" s="280">
        <v>754000000</v>
      </c>
    </row>
    <row r="16" spans="1:8" ht="15" customHeight="1">
      <c r="A16" s="24"/>
      <c r="B16" s="4" t="s">
        <v>371</v>
      </c>
      <c r="C16" s="280">
        <v>1753000000</v>
      </c>
      <c r="D16" s="280">
        <v>2798000000</v>
      </c>
      <c r="E16" s="280">
        <v>1719000000</v>
      </c>
      <c r="F16" s="280">
        <v>2757000000</v>
      </c>
      <c r="G16" s="280">
        <v>1914000000</v>
      </c>
      <c r="H16" s="280">
        <v>2687000000</v>
      </c>
    </row>
    <row r="17" spans="1:8" ht="15" customHeight="1">
      <c r="A17" s="24"/>
      <c r="B17" s="4" t="s">
        <v>372</v>
      </c>
      <c r="C17" s="280">
        <v>428000000</v>
      </c>
      <c r="D17" s="280">
        <v>653000000</v>
      </c>
      <c r="E17" s="280">
        <v>284000000</v>
      </c>
      <c r="F17" s="280">
        <v>576000000</v>
      </c>
      <c r="G17" s="280">
        <v>473000000</v>
      </c>
      <c r="H17" s="280">
        <v>608000000</v>
      </c>
    </row>
    <row r="18" spans="1:8" ht="15" customHeight="1">
      <c r="A18" s="24"/>
      <c r="B18" s="16" t="s">
        <v>373</v>
      </c>
      <c r="C18" s="284">
        <v>1325000000</v>
      </c>
      <c r="D18" s="284">
        <v>2146000000</v>
      </c>
      <c r="E18" s="284">
        <v>1436000000</v>
      </c>
      <c r="F18" s="284">
        <v>2181000000</v>
      </c>
      <c r="G18" s="284">
        <v>1441000000</v>
      </c>
      <c r="H18" s="284">
        <v>2079000000</v>
      </c>
    </row>
    <row r="19" spans="1:8" ht="15" customHeight="1">
      <c r="A19" s="24"/>
      <c r="B19" s="24"/>
      <c r="C19" s="24"/>
      <c r="D19" s="24"/>
      <c r="E19" s="24"/>
      <c r="F19" s="24"/>
      <c r="G19" s="24"/>
      <c r="H19" s="24"/>
    </row>
    <row r="20" spans="1:8" ht="15" customHeight="1">
      <c r="A20" s="24"/>
      <c r="B20" s="4" t="s">
        <v>374</v>
      </c>
      <c r="C20" s="17">
        <v>0.93</v>
      </c>
      <c r="D20" s="17">
        <v>1.5</v>
      </c>
      <c r="E20" s="17">
        <v>1.01</v>
      </c>
      <c r="F20" s="17">
        <v>1.55</v>
      </c>
      <c r="G20" s="17">
        <v>1.05</v>
      </c>
      <c r="H20" s="17">
        <v>1.53</v>
      </c>
    </row>
    <row r="21" spans="1:8" ht="15" customHeight="1">
      <c r="A21" s="24"/>
      <c r="B21" s="194" t="s">
        <v>375</v>
      </c>
      <c r="C21" s="283">
        <v>1422100000</v>
      </c>
      <c r="D21" s="283">
        <v>1427900000</v>
      </c>
      <c r="E21" s="283">
        <v>1428500000</v>
      </c>
      <c r="F21" s="283">
        <v>1408400000</v>
      </c>
      <c r="G21" s="283">
        <v>1368300000</v>
      </c>
      <c r="H21" s="283">
        <v>1362800000</v>
      </c>
    </row>
    <row r="22" spans="1:8" ht="6" customHeight="1">
      <c r="A22" s="24"/>
      <c r="B22" s="24"/>
      <c r="C22" s="24"/>
      <c r="D22" s="24"/>
      <c r="E22" s="24"/>
      <c r="F22" s="24"/>
      <c r="G22" s="24"/>
      <c r="H22" s="24"/>
    </row>
    <row r="23" spans="1:8" ht="18" customHeight="1" thickBot="1">
      <c r="A23" s="24"/>
      <c r="B23" s="352" t="s">
        <v>376</v>
      </c>
      <c r="C23" s="352"/>
      <c r="D23" s="352"/>
      <c r="E23" s="352"/>
      <c r="F23" s="352"/>
      <c r="G23" s="352"/>
      <c r="H23" s="352"/>
    </row>
    <row r="24" spans="1:8" ht="15" customHeight="1" thickTop="1">
      <c r="A24" s="24"/>
      <c r="B24" s="4" t="s">
        <v>377</v>
      </c>
      <c r="C24" s="280">
        <v>240000000</v>
      </c>
      <c r="D24" s="280">
        <v>567000000</v>
      </c>
      <c r="E24" s="280">
        <v>535000000</v>
      </c>
      <c r="F24" s="280">
        <v>267000000</v>
      </c>
      <c r="G24" s="280">
        <v>510000000</v>
      </c>
      <c r="H24" s="280">
        <v>1026000000</v>
      </c>
    </row>
    <row r="25" spans="1:8" ht="15" customHeight="1">
      <c r="A25" s="24"/>
      <c r="B25" s="4" t="s">
        <v>378</v>
      </c>
      <c r="C25" s="280">
        <v>1144000000</v>
      </c>
      <c r="D25" s="280">
        <v>1274000000</v>
      </c>
      <c r="E25" s="280">
        <v>1668000000</v>
      </c>
      <c r="F25" s="280">
        <v>1519000000</v>
      </c>
      <c r="G25" s="280">
        <v>1723000000</v>
      </c>
      <c r="H25" s="280">
        <v>1671000000</v>
      </c>
    </row>
    <row r="26" spans="1:8" ht="15" customHeight="1">
      <c r="A26" s="24"/>
      <c r="B26" s="4" t="s">
        <v>379</v>
      </c>
      <c r="C26" s="280">
        <v>762000000</v>
      </c>
      <c r="D26" s="280">
        <v>894000000</v>
      </c>
      <c r="E26" s="280">
        <v>1314000000</v>
      </c>
      <c r="F26" s="280">
        <v>1142000000</v>
      </c>
      <c r="G26" s="280">
        <v>1299000000</v>
      </c>
      <c r="H26" s="280">
        <v>1733000000</v>
      </c>
    </row>
    <row r="27" spans="1:8" ht="15" customHeight="1">
      <c r="A27" s="24"/>
      <c r="B27" s="15" t="s">
        <v>380</v>
      </c>
      <c r="C27" s="289">
        <v>2388000000</v>
      </c>
      <c r="D27" s="289">
        <v>3057000000</v>
      </c>
      <c r="E27" s="289">
        <v>3804000000</v>
      </c>
      <c r="F27" s="289">
        <v>3375000000</v>
      </c>
      <c r="G27" s="289">
        <v>3997000000</v>
      </c>
      <c r="H27" s="289">
        <v>5266000000</v>
      </c>
    </row>
    <row r="28" spans="1:8" ht="15" customHeight="1">
      <c r="A28" s="24"/>
      <c r="B28" s="4" t="s">
        <v>381</v>
      </c>
      <c r="C28" s="280">
        <v>2857000000</v>
      </c>
      <c r="D28" s="280">
        <v>3167000000</v>
      </c>
      <c r="E28" s="280">
        <v>3372000000</v>
      </c>
      <c r="F28" s="280">
        <v>3575000000</v>
      </c>
      <c r="G28" s="280">
        <v>3844000000</v>
      </c>
      <c r="H28" s="280">
        <v>3230000000</v>
      </c>
    </row>
    <row r="29" spans="1:8" ht="15" customHeight="1">
      <c r="A29" s="24"/>
      <c r="B29" s="4" t="s">
        <v>382</v>
      </c>
      <c r="C29" s="280">
        <v>20184000000</v>
      </c>
      <c r="D29" s="280">
        <v>20182000000</v>
      </c>
      <c r="E29" s="280">
        <v>20072000000</v>
      </c>
      <c r="F29" s="280">
        <v>20202000000</v>
      </c>
      <c r="G29" s="280">
        <v>20053000000</v>
      </c>
      <c r="H29" s="280">
        <v>20247000000</v>
      </c>
    </row>
    <row r="30" spans="1:8" ht="15" customHeight="1">
      <c r="A30" s="24"/>
      <c r="B30" s="16" t="s">
        <v>383</v>
      </c>
      <c r="C30" s="284">
        <v>49779000000</v>
      </c>
      <c r="D30" s="284">
        <v>50598000000</v>
      </c>
      <c r="E30" s="284">
        <v>51837000000</v>
      </c>
      <c r="F30" s="284">
        <v>52130000000</v>
      </c>
      <c r="G30" s="284">
        <v>53430000000</v>
      </c>
      <c r="H30" s="284">
        <v>55459000000</v>
      </c>
    </row>
    <row r="31" spans="1:8" ht="15" customHeight="1">
      <c r="A31" s="24"/>
      <c r="B31" s="24"/>
      <c r="C31" s="285"/>
      <c r="D31" s="285"/>
      <c r="E31" s="285"/>
      <c r="F31" s="285"/>
      <c r="G31" s="285"/>
      <c r="H31" s="285"/>
    </row>
    <row r="32" spans="1:8" ht="15" customHeight="1">
      <c r="A32" s="24"/>
      <c r="B32" s="4" t="s">
        <v>384</v>
      </c>
      <c r="C32" s="280">
        <v>3740000000</v>
      </c>
      <c r="D32" s="280">
        <v>4316000000</v>
      </c>
      <c r="E32" s="280">
        <v>5206000000</v>
      </c>
      <c r="F32" s="280">
        <v>3597000000</v>
      </c>
      <c r="G32" s="280">
        <v>2985000000</v>
      </c>
      <c r="H32" s="280">
        <v>2996000000</v>
      </c>
    </row>
    <row r="33" spans="1:8" ht="15" customHeight="1">
      <c r="A33" s="24"/>
      <c r="B33" s="4" t="s">
        <v>385</v>
      </c>
      <c r="C33" s="280">
        <v>2345000000</v>
      </c>
      <c r="D33" s="280">
        <v>304000000</v>
      </c>
      <c r="E33" s="280">
        <v>895000000</v>
      </c>
      <c r="F33" s="280">
        <v>3246000000</v>
      </c>
      <c r="G33" s="280">
        <v>2642000000</v>
      </c>
      <c r="H33" s="280">
        <v>3105000000</v>
      </c>
    </row>
    <row r="34" spans="1:8" ht="15" customHeight="1">
      <c r="A34" s="24"/>
      <c r="B34" s="15" t="s">
        <v>386</v>
      </c>
      <c r="C34" s="289">
        <v>7694000000</v>
      </c>
      <c r="D34" s="289">
        <v>6485000000</v>
      </c>
      <c r="E34" s="289">
        <v>8076000000</v>
      </c>
      <c r="F34" s="289">
        <v>8916000000</v>
      </c>
      <c r="G34" s="289">
        <v>8087000000</v>
      </c>
      <c r="H34" s="289">
        <v>8290000000</v>
      </c>
    </row>
    <row r="35" spans="1:8" ht="15" customHeight="1">
      <c r="A35" s="24"/>
      <c r="B35" s="4" t="s">
        <v>387</v>
      </c>
      <c r="C35" s="280">
        <v>11143000000</v>
      </c>
      <c r="D35" s="280">
        <v>11578000000</v>
      </c>
      <c r="E35" s="280">
        <v>11072000000</v>
      </c>
      <c r="F35" s="280">
        <v>9945000000</v>
      </c>
      <c r="G35" s="280">
        <v>12912000000</v>
      </c>
      <c r="H35" s="280">
        <v>13036000000</v>
      </c>
    </row>
    <row r="36" spans="1:8" ht="15" customHeight="1">
      <c r="A36" s="24"/>
      <c r="B36" s="15" t="s">
        <v>388</v>
      </c>
      <c r="C36" s="289">
        <v>25949000000</v>
      </c>
      <c r="D36" s="289">
        <v>25626000000</v>
      </c>
      <c r="E36" s="289">
        <v>26712000000</v>
      </c>
      <c r="F36" s="289">
        <v>26454000000</v>
      </c>
      <c r="G36" s="289">
        <v>29187000000</v>
      </c>
      <c r="H36" s="289">
        <v>29943000000</v>
      </c>
    </row>
    <row r="37" spans="1:8" ht="15" customHeight="1">
      <c r="A37" s="24"/>
      <c r="B37" s="16" t="s">
        <v>389</v>
      </c>
      <c r="C37" s="284">
        <v>23829000000</v>
      </c>
      <c r="D37" s="284">
        <v>24972000000</v>
      </c>
      <c r="E37" s="284">
        <v>25126000000</v>
      </c>
      <c r="F37" s="284">
        <v>25676000000</v>
      </c>
      <c r="G37" s="284">
        <v>24243000000</v>
      </c>
      <c r="H37" s="284">
        <v>25516000000</v>
      </c>
    </row>
    <row r="38" spans="1:8" ht="15" customHeight="1">
      <c r="A38" s="24"/>
      <c r="B38" s="4" t="s">
        <v>390</v>
      </c>
      <c r="C38" s="280">
        <v>14482000000</v>
      </c>
      <c r="D38" s="280">
        <v>13266000000</v>
      </c>
      <c r="E38" s="280">
        <v>13583000000</v>
      </c>
      <c r="F38" s="280">
        <v>14824000000</v>
      </c>
      <c r="G38" s="280">
        <v>17274000000</v>
      </c>
      <c r="H38" s="280">
        <v>16141000000</v>
      </c>
    </row>
    <row r="39" spans="1:8" ht="15" customHeight="1">
      <c r="A39" s="24"/>
      <c r="B39" s="194" t="s">
        <v>391</v>
      </c>
      <c r="C39" s="283">
        <v>14242000000</v>
      </c>
      <c r="D39" s="283">
        <v>12699000000</v>
      </c>
      <c r="E39" s="283">
        <v>13048000000</v>
      </c>
      <c r="F39" s="283">
        <v>14557000000</v>
      </c>
      <c r="G39" s="283">
        <v>16764000000</v>
      </c>
      <c r="H39" s="283">
        <v>15115000000</v>
      </c>
    </row>
    <row r="40" spans="1:8" ht="6" customHeight="1">
      <c r="A40" s="24"/>
      <c r="B40" s="24"/>
      <c r="C40" s="24"/>
      <c r="D40" s="24"/>
      <c r="E40" s="24"/>
      <c r="F40" s="24"/>
      <c r="G40" s="24"/>
      <c r="H40" s="24"/>
    </row>
    <row r="41" spans="1:8" ht="18" customHeight="1" thickBot="1">
      <c r="A41" s="24"/>
      <c r="B41" s="352" t="s">
        <v>392</v>
      </c>
      <c r="C41" s="352"/>
      <c r="D41" s="352"/>
      <c r="E41" s="352"/>
      <c r="F41" s="352"/>
      <c r="G41" s="352"/>
      <c r="H41" s="352"/>
    </row>
    <row r="42" spans="1:8" ht="15" customHeight="1" thickTop="1">
      <c r="A42" s="24"/>
      <c r="B42" s="4" t="s">
        <v>373</v>
      </c>
      <c r="C42" s="280">
        <v>1325000000</v>
      </c>
      <c r="D42" s="280">
        <v>2146000000</v>
      </c>
      <c r="E42" s="280">
        <v>1436000000</v>
      </c>
      <c r="F42" s="280">
        <v>2181000000</v>
      </c>
      <c r="G42" s="280">
        <v>1441000000</v>
      </c>
      <c r="H42" s="280">
        <v>2079000000</v>
      </c>
    </row>
    <row r="43" spans="1:8" ht="15" customHeight="1">
      <c r="A43" s="24"/>
      <c r="B43" s="4" t="s">
        <v>369</v>
      </c>
      <c r="C43" s="280">
        <v>653000000</v>
      </c>
      <c r="D43" s="280">
        <v>708000000</v>
      </c>
      <c r="E43" s="280">
        <v>709000000</v>
      </c>
      <c r="F43" s="280">
        <v>720000000</v>
      </c>
      <c r="G43" s="280">
        <v>733000000</v>
      </c>
      <c r="H43" s="280">
        <v>753000000</v>
      </c>
    </row>
    <row r="44" spans="1:8" ht="15" customHeight="1">
      <c r="A44" s="24"/>
      <c r="B44" s="4" t="s">
        <v>393</v>
      </c>
      <c r="C44" s="280">
        <v>85000000</v>
      </c>
      <c r="D44" s="280">
        <v>88000000</v>
      </c>
      <c r="E44" s="280">
        <v>52000000</v>
      </c>
      <c r="F44" s="280">
        <v>116000000</v>
      </c>
      <c r="G44" s="280">
        <v>98000000</v>
      </c>
      <c r="H44" s="280">
        <v>97000000</v>
      </c>
    </row>
    <row r="45" spans="1:8" ht="15" customHeight="1">
      <c r="A45" s="24"/>
      <c r="B45" s="4" t="s">
        <v>394</v>
      </c>
      <c r="C45" s="280">
        <v>166000000</v>
      </c>
      <c r="D45" s="280">
        <v>351000000</v>
      </c>
      <c r="E45" s="280">
        <v>-275000000</v>
      </c>
      <c r="F45" s="280">
        <v>-1747000000</v>
      </c>
      <c r="G45" s="280">
        <v>-591000000</v>
      </c>
      <c r="H45" s="280">
        <v>-1003000000</v>
      </c>
    </row>
    <row r="46" spans="1:8" ht="15" customHeight="1">
      <c r="A46" s="24"/>
      <c r="B46" s="15" t="s">
        <v>395</v>
      </c>
      <c r="C46" s="289">
        <v>2456000000</v>
      </c>
      <c r="D46" s="289">
        <v>2874000000</v>
      </c>
      <c r="E46" s="289">
        <v>2837000000</v>
      </c>
      <c r="F46" s="289">
        <v>1329000000</v>
      </c>
      <c r="G46" s="289">
        <v>2219000000</v>
      </c>
      <c r="H46" s="289">
        <v>1991000000</v>
      </c>
    </row>
    <row r="47" spans="1:8" ht="15" customHeight="1">
      <c r="A47" s="24"/>
      <c r="B47" s="4" t="s">
        <v>396</v>
      </c>
      <c r="C47" s="280">
        <v>-517000000</v>
      </c>
      <c r="D47" s="280">
        <v>-455000000</v>
      </c>
      <c r="E47" s="280">
        <v>-379000000</v>
      </c>
      <c r="F47" s="280">
        <v>-481000000</v>
      </c>
      <c r="G47" s="280">
        <v>-563000000</v>
      </c>
      <c r="H47" s="280">
        <v>-486000000</v>
      </c>
    </row>
    <row r="48" spans="1:8" ht="15" customHeight="1">
      <c r="A48" s="24"/>
      <c r="B48" s="16" t="s">
        <v>397</v>
      </c>
      <c r="C48" s="284">
        <v>1939000000</v>
      </c>
      <c r="D48" s="284">
        <v>2419000000</v>
      </c>
      <c r="E48" s="284">
        <v>2458000000</v>
      </c>
      <c r="F48" s="284">
        <v>848000000</v>
      </c>
      <c r="G48" s="284">
        <v>1656000000</v>
      </c>
      <c r="H48" s="284">
        <v>1505000000</v>
      </c>
    </row>
    <row r="49" spans="1:8" ht="15" customHeight="1">
      <c r="A49" s="24"/>
      <c r="B49" s="4" t="s">
        <v>398</v>
      </c>
      <c r="C49" s="280">
        <v>-846000000</v>
      </c>
      <c r="D49" s="280">
        <v>-955000000</v>
      </c>
      <c r="E49" s="280">
        <v>-1080000000</v>
      </c>
      <c r="F49" s="280">
        <v>-1142000000</v>
      </c>
      <c r="G49" s="280">
        <v>-1194000000</v>
      </c>
      <c r="H49" s="280">
        <v>-1250000000</v>
      </c>
    </row>
    <row r="50" spans="1:8" ht="15" customHeight="1">
      <c r="A50" s="24"/>
      <c r="B50" s="194" t="s">
        <v>399</v>
      </c>
      <c r="C50" s="283">
        <v>0</v>
      </c>
      <c r="D50" s="283">
        <v>0</v>
      </c>
      <c r="E50" s="283">
        <v>-379000000</v>
      </c>
      <c r="F50" s="283">
        <v>-706000000</v>
      </c>
      <c r="G50" s="283">
        <v>-1110000000</v>
      </c>
      <c r="H50" s="283">
        <v>-9000000</v>
      </c>
    </row>
    <row r="51" spans="1:8">
      <c r="A51" s="24"/>
      <c r="B51" s="24"/>
      <c r="C51" s="24"/>
      <c r="D51" s="24"/>
      <c r="E51" s="24"/>
      <c r="F51" s="24"/>
      <c r="G51" s="24"/>
      <c r="H51" s="24"/>
    </row>
    <row r="52" spans="1:8">
      <c r="A52" s="24"/>
      <c r="B52" s="115" t="s">
        <v>359</v>
      </c>
      <c r="C52" s="24"/>
      <c r="D52" s="24"/>
      <c r="E52" s="24"/>
      <c r="F52" s="24"/>
      <c r="G52" s="24"/>
      <c r="H52" s="24"/>
    </row>
  </sheetData>
  <pageMargins left="0.75" right="0.75" top="1" bottom="1" header="0.5" footer="0.5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79998168889431442"/>
  </sheetPr>
  <dimension ref="B1:W15"/>
  <sheetViews>
    <sheetView showGridLines="0" workbookViewId="0">
      <selection activeCell="AB27" sqref="AB27"/>
    </sheetView>
  </sheetViews>
  <sheetFormatPr baseColWidth="10" defaultColWidth="8.85546875" defaultRowHeight="15"/>
  <cols>
    <col min="1" max="1" width="3.28515625" style="38" customWidth="1"/>
    <col min="2" max="2" width="17.7109375" style="38" customWidth="1"/>
    <col min="3" max="3" width="34" style="38" bestFit="1" customWidth="1"/>
    <col min="4" max="8" width="8.85546875" style="38" customWidth="1"/>
    <col min="9" max="16384" width="8.85546875" style="38"/>
  </cols>
  <sheetData>
    <row r="1" spans="2:23" ht="10" customHeight="1"/>
    <row r="2" spans="2:23" ht="20" customHeight="1">
      <c r="B2" s="353" t="s">
        <v>401</v>
      </c>
      <c r="C2" s="31"/>
      <c r="D2" s="31"/>
      <c r="E2" s="31"/>
      <c r="F2" s="31"/>
      <c r="G2" s="31"/>
      <c r="H2" s="31"/>
      <c r="I2" s="31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4" spans="2:23">
      <c r="B4" s="354" t="s">
        <v>402</v>
      </c>
      <c r="C4" s="355" t="s">
        <v>20</v>
      </c>
    </row>
    <row r="5" spans="2:23">
      <c r="B5" s="356" t="s">
        <v>403</v>
      </c>
      <c r="C5" s="357">
        <v>41.178730087947713</v>
      </c>
    </row>
    <row r="6" spans="2:23">
      <c r="B6" s="358" t="s">
        <v>404</v>
      </c>
      <c r="C6" s="359">
        <v>39.064949648426023</v>
      </c>
    </row>
    <row r="7" spans="2:23">
      <c r="B7" s="358" t="s">
        <v>405</v>
      </c>
      <c r="C7" s="359">
        <v>23.83834061275881</v>
      </c>
    </row>
    <row r="8" spans="2:23">
      <c r="B8" s="358" t="s">
        <v>406</v>
      </c>
      <c r="C8" s="359">
        <v>31.947892196030558</v>
      </c>
    </row>
    <row r="9" spans="2:23">
      <c r="B9" s="358" t="s">
        <v>407</v>
      </c>
      <c r="C9" s="359">
        <v>39.064949648426023</v>
      </c>
    </row>
    <row r="10" spans="2:23">
      <c r="B10" s="358" t="s">
        <v>408</v>
      </c>
      <c r="C10" s="359">
        <v>48.408205090052753</v>
      </c>
    </row>
    <row r="11" spans="2:23">
      <c r="B11" s="358" t="s">
        <v>409</v>
      </c>
      <c r="C11" s="359">
        <v>65.946367576685475</v>
      </c>
    </row>
    <row r="12" spans="2:23">
      <c r="B12" s="358" t="s">
        <v>410</v>
      </c>
      <c r="C12" s="359">
        <v>0.86814078506947967</v>
      </c>
    </row>
    <row r="13" spans="2:23">
      <c r="B13" s="358" t="s">
        <v>411</v>
      </c>
      <c r="C13" s="359">
        <v>10000</v>
      </c>
    </row>
    <row r="14" spans="2:23">
      <c r="B14" s="360" t="s">
        <v>412</v>
      </c>
      <c r="C14" s="361">
        <v>9859</v>
      </c>
    </row>
    <row r="15" spans="2:23" ht="14.5" customHeight="1">
      <c r="B15" s="362" t="s">
        <v>413</v>
      </c>
      <c r="C15" s="363" t="s">
        <v>414</v>
      </c>
    </row>
  </sheetData>
  <hyperlinks>
    <hyperlink ref="C15" r:id="rId1" xr:uid="{00000000-0004-0000-0A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D7E96"/>
  </sheetPr>
  <dimension ref="A1:H52"/>
  <sheetViews>
    <sheetView showGridLines="0" workbookViewId="0">
      <pane ySplit="4" topLeftCell="A5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6" customWidth="1"/>
    <col min="3" max="3" width="4" customWidth="1"/>
    <col min="6" max="6" width="16" customWidth="1"/>
    <col min="7" max="7" width="13.7109375" customWidth="1"/>
    <col min="8" max="8" width="4" customWidth="1"/>
  </cols>
  <sheetData>
    <row r="1" spans="1:8" ht="9" customHeight="1">
      <c r="A1" s="112"/>
      <c r="B1" s="24"/>
      <c r="C1" s="24"/>
      <c r="D1" s="24"/>
      <c r="E1" s="24"/>
      <c r="F1" s="24"/>
      <c r="G1" s="24"/>
    </row>
    <row r="2" spans="1:8" ht="22" customHeight="1">
      <c r="A2" s="24"/>
      <c r="B2" s="304" t="s">
        <v>415</v>
      </c>
      <c r="C2" s="86"/>
      <c r="D2" s="86"/>
      <c r="E2" s="86"/>
      <c r="F2" s="24"/>
      <c r="G2" s="24"/>
    </row>
    <row r="3" spans="1:8" ht="15" customHeight="1">
      <c r="A3" s="24"/>
      <c r="B3" s="305" t="s">
        <v>416</v>
      </c>
      <c r="C3" s="24"/>
      <c r="D3" s="24"/>
      <c r="E3" s="24"/>
      <c r="F3" s="24"/>
      <c r="G3" s="24"/>
    </row>
    <row r="4" spans="1:8" ht="9" customHeight="1">
      <c r="A4" s="24"/>
      <c r="B4" s="24"/>
      <c r="C4" s="24"/>
      <c r="D4" s="24"/>
      <c r="E4" s="24"/>
      <c r="F4" s="24"/>
      <c r="G4" s="24"/>
    </row>
    <row r="5" spans="1:8" ht="18" customHeight="1">
      <c r="A5" s="24"/>
      <c r="B5" s="364" t="s">
        <v>417</v>
      </c>
      <c r="C5" s="364"/>
      <c r="D5" s="364"/>
      <c r="E5" s="364"/>
      <c r="F5" s="364"/>
      <c r="G5" s="364"/>
      <c r="H5" s="80"/>
    </row>
    <row r="6" spans="1:8" ht="15" customHeight="1">
      <c r="A6" s="24"/>
      <c r="B6" s="4" t="s">
        <v>418</v>
      </c>
      <c r="C6" s="25"/>
      <c r="D6" s="25"/>
      <c r="E6" s="25"/>
      <c r="F6" s="196"/>
      <c r="G6" s="365">
        <f>Assumptions!C15</f>
        <v>0.7</v>
      </c>
    </row>
    <row r="7" spans="1:8" ht="15" customHeight="1">
      <c r="A7" s="24"/>
      <c r="B7" s="192" t="s">
        <v>419</v>
      </c>
      <c r="C7" s="151"/>
      <c r="D7" s="151"/>
      <c r="E7" s="151"/>
      <c r="F7" s="197"/>
      <c r="G7" s="153">
        <f>1-G6</f>
        <v>0.30000000000000004</v>
      </c>
    </row>
    <row r="8" spans="1:8" ht="15" customHeight="1">
      <c r="A8" s="24"/>
      <c r="B8" s="192" t="s">
        <v>420</v>
      </c>
      <c r="C8" s="151"/>
      <c r="D8" s="151"/>
      <c r="E8" s="151"/>
      <c r="F8" s="197"/>
      <c r="G8" s="325">
        <f>Assumptions!C14</f>
        <v>0.3</v>
      </c>
    </row>
    <row r="9" spans="1:8" ht="15" customHeight="1">
      <c r="A9" s="24"/>
      <c r="B9" s="192" t="s">
        <v>421</v>
      </c>
      <c r="C9" s="151"/>
      <c r="D9" s="151"/>
      <c r="E9" s="151"/>
      <c r="F9" s="197"/>
      <c r="G9" s="325">
        <v>0.19</v>
      </c>
    </row>
    <row r="10" spans="1:8" ht="15" customHeight="1">
      <c r="A10" s="24"/>
      <c r="B10" s="192" t="s">
        <v>422</v>
      </c>
      <c r="C10" s="151"/>
      <c r="D10" s="151"/>
      <c r="E10" s="151"/>
      <c r="F10" s="197"/>
      <c r="G10" s="335">
        <v>2.5000000000000001E-3</v>
      </c>
    </row>
    <row r="11" spans="1:8" ht="15" customHeight="1">
      <c r="A11" s="24"/>
      <c r="B11" s="192" t="s">
        <v>423</v>
      </c>
      <c r="C11" s="151"/>
      <c r="D11" s="151"/>
      <c r="E11" s="151"/>
      <c r="F11" s="197"/>
      <c r="G11" s="366">
        <v>46022</v>
      </c>
    </row>
    <row r="12" spans="1:8" ht="15" customHeight="1">
      <c r="A12" s="24"/>
      <c r="B12" s="192" t="s">
        <v>424</v>
      </c>
      <c r="C12" s="151"/>
      <c r="D12" s="151"/>
      <c r="E12" s="151"/>
      <c r="F12" s="197"/>
      <c r="G12" s="325">
        <v>4.4999999999999998E-2</v>
      </c>
    </row>
    <row r="13" spans="1:8" ht="15" customHeight="1">
      <c r="A13" s="24"/>
      <c r="B13" s="192" t="s">
        <v>425</v>
      </c>
      <c r="C13" s="151"/>
      <c r="D13" s="151"/>
      <c r="E13" s="151"/>
      <c r="F13" s="197"/>
      <c r="G13" s="325">
        <v>0.03</v>
      </c>
    </row>
    <row r="14" spans="1:8" ht="15" customHeight="1">
      <c r="A14" s="24"/>
      <c r="B14" s="192" t="s">
        <v>426</v>
      </c>
      <c r="C14" s="151"/>
      <c r="D14" s="151"/>
      <c r="E14" s="151"/>
      <c r="F14" s="197"/>
      <c r="G14" s="367">
        <v>15</v>
      </c>
    </row>
    <row r="15" spans="1:8" ht="15" customHeight="1">
      <c r="A15" s="24"/>
      <c r="B15" s="192" t="s">
        <v>427</v>
      </c>
      <c r="C15" s="151"/>
      <c r="D15" s="151"/>
      <c r="E15" s="151"/>
      <c r="F15" s="197"/>
      <c r="G15" s="326">
        <v>0</v>
      </c>
    </row>
    <row r="16" spans="1:8" ht="15" customHeight="1">
      <c r="A16" s="24"/>
      <c r="B16" s="194" t="s">
        <v>428</v>
      </c>
      <c r="C16" s="156"/>
      <c r="D16" s="156"/>
      <c r="E16" s="156"/>
      <c r="F16" s="198"/>
      <c r="G16" s="368">
        <f>Assumptions!C16</f>
        <v>300</v>
      </c>
    </row>
    <row r="17" spans="1:7" ht="9" customHeight="1">
      <c r="A17" s="24"/>
      <c r="B17" s="24"/>
      <c r="C17" s="24"/>
      <c r="D17" s="24"/>
      <c r="E17" s="24"/>
      <c r="F17" s="24"/>
      <c r="G17" s="24"/>
    </row>
    <row r="18" spans="1:7" ht="18" customHeight="1">
      <c r="A18" s="24"/>
      <c r="B18" s="364" t="s">
        <v>429</v>
      </c>
      <c r="C18" s="364"/>
      <c r="D18" s="364"/>
      <c r="E18" s="364"/>
      <c r="F18" s="322" t="s">
        <v>430</v>
      </c>
      <c r="G18" s="322" t="s">
        <v>431</v>
      </c>
    </row>
    <row r="19" spans="1:7" ht="15" customHeight="1">
      <c r="A19" s="24"/>
      <c r="B19" s="56" t="s">
        <v>432</v>
      </c>
      <c r="C19" s="25"/>
      <c r="D19" s="25"/>
      <c r="E19" s="25"/>
      <c r="F19" s="25"/>
      <c r="G19" s="25"/>
    </row>
    <row r="20" spans="1:7" ht="15" customHeight="1">
      <c r="A20" s="24"/>
      <c r="B20" s="192" t="s">
        <v>433</v>
      </c>
      <c r="C20" s="151"/>
      <c r="D20" s="151"/>
      <c r="E20" s="151"/>
      <c r="F20" s="340">
        <v>143.78</v>
      </c>
      <c r="G20" s="340">
        <f>Assumptions!C40</f>
        <v>28.01</v>
      </c>
    </row>
    <row r="21" spans="1:7" ht="15" customHeight="1">
      <c r="A21" s="24"/>
      <c r="B21" s="192" t="s">
        <v>434</v>
      </c>
      <c r="C21" s="151"/>
      <c r="D21" s="151"/>
      <c r="E21" s="151"/>
      <c r="F21" s="166"/>
      <c r="G21" s="166">
        <f>G20*(1+G8)</f>
        <v>36.413000000000004</v>
      </c>
    </row>
    <row r="22" spans="1:7" ht="15" customHeight="1">
      <c r="A22" s="24"/>
      <c r="B22" s="192" t="s">
        <v>435</v>
      </c>
      <c r="C22" s="151"/>
      <c r="D22" s="151"/>
      <c r="E22" s="151"/>
      <c r="F22" s="199"/>
      <c r="G22" s="199">
        <f>G21/F20</f>
        <v>0.25325497287522608</v>
      </c>
    </row>
    <row r="23" spans="1:7" ht="15" customHeight="1">
      <c r="A23" s="24"/>
      <c r="B23" s="192" t="s">
        <v>436</v>
      </c>
      <c r="C23" s="151"/>
      <c r="D23" s="151"/>
      <c r="E23" s="151"/>
      <c r="F23" s="323">
        <v>1373</v>
      </c>
      <c r="G23" s="323">
        <v>1362.8</v>
      </c>
    </row>
    <row r="24" spans="1:7" ht="15" customHeight="1">
      <c r="A24" s="24"/>
      <c r="B24" s="192" t="s">
        <v>437</v>
      </c>
      <c r="C24" s="151"/>
      <c r="D24" s="151"/>
      <c r="E24" s="151"/>
      <c r="F24" s="158">
        <f>F20*F23</f>
        <v>197409.94</v>
      </c>
      <c r="G24" s="158">
        <f>G21*G23</f>
        <v>49623.636400000003</v>
      </c>
    </row>
    <row r="25" spans="1:7" ht="15" customHeight="1">
      <c r="A25" s="24"/>
      <c r="B25" s="192" t="s">
        <v>438</v>
      </c>
      <c r="C25" s="151"/>
      <c r="D25" s="151"/>
      <c r="E25" s="151"/>
      <c r="F25" s="326">
        <f>'PEP Historical'!H24/1000000</f>
        <v>9159</v>
      </c>
      <c r="G25" s="326">
        <f>'KDP Historical'!H24/1000000</f>
        <v>1026</v>
      </c>
    </row>
    <row r="26" spans="1:7" ht="15" customHeight="1">
      <c r="A26" s="24"/>
      <c r="B26" s="192" t="s">
        <v>439</v>
      </c>
      <c r="C26" s="151"/>
      <c r="D26" s="151"/>
      <c r="E26" s="151"/>
      <c r="F26" s="326">
        <f>'PEP Historical'!H38/1000000</f>
        <v>49901</v>
      </c>
      <c r="G26" s="326">
        <f>'KDP Historical'!H38/1000000</f>
        <v>16141</v>
      </c>
    </row>
    <row r="27" spans="1:7" ht="15" customHeight="1">
      <c r="A27" s="24"/>
      <c r="B27" s="192" t="s">
        <v>440</v>
      </c>
      <c r="C27" s="151"/>
      <c r="D27" s="151"/>
      <c r="E27" s="151"/>
      <c r="F27" s="193">
        <f>F24-F25+F26</f>
        <v>238151.94</v>
      </c>
      <c r="G27" s="193">
        <f>G24-G25+G26</f>
        <v>64738.636400000003</v>
      </c>
    </row>
    <row r="28" spans="1:7" ht="15" customHeight="1">
      <c r="A28" s="24"/>
      <c r="B28" s="192" t="s">
        <v>441</v>
      </c>
      <c r="C28" s="151"/>
      <c r="D28" s="151"/>
      <c r="E28" s="151"/>
      <c r="F28" s="326">
        <f>'PEP Historical'!H18/1000000</f>
        <v>8240</v>
      </c>
      <c r="G28" s="326">
        <f>'KDP Historical'!H18/1000000</f>
        <v>2079</v>
      </c>
    </row>
    <row r="29" spans="1:7" ht="15" customHeight="1">
      <c r="A29" s="24"/>
      <c r="B29" s="194" t="s">
        <v>442</v>
      </c>
      <c r="C29" s="156"/>
      <c r="D29" s="156"/>
      <c r="E29" s="156"/>
      <c r="F29" s="200">
        <f>F28/F23</f>
        <v>6.0014566642388933</v>
      </c>
      <c r="G29" s="200">
        <f>G28/G23</f>
        <v>1.5255356618726152</v>
      </c>
    </row>
    <row r="30" spans="1:7" ht="15" customHeight="1">
      <c r="A30" s="24"/>
      <c r="B30" s="24"/>
      <c r="C30" s="24"/>
      <c r="D30" s="24"/>
      <c r="E30" s="24"/>
      <c r="F30" s="24"/>
      <c r="G30" s="24"/>
    </row>
    <row r="31" spans="1:7" ht="15" customHeight="1">
      <c r="A31" s="24"/>
      <c r="B31" s="25"/>
      <c r="C31" s="25"/>
      <c r="D31" s="25"/>
      <c r="E31" s="25"/>
      <c r="F31" s="25"/>
      <c r="G31" s="25"/>
    </row>
    <row r="32" spans="1:7" ht="15" customHeight="1">
      <c r="A32" s="24"/>
      <c r="B32" s="194" t="s">
        <v>443</v>
      </c>
      <c r="C32" s="156"/>
      <c r="D32" s="156"/>
      <c r="E32" s="156"/>
      <c r="F32" s="214">
        <f>F20/F29</f>
        <v>23.957516990291261</v>
      </c>
      <c r="G32" s="214">
        <f>G21/G29</f>
        <v>23.868992977392978</v>
      </c>
    </row>
    <row r="33" spans="1:7" ht="9" customHeight="1">
      <c r="A33" s="24"/>
      <c r="B33" s="24"/>
      <c r="C33" s="24"/>
      <c r="D33" s="24"/>
      <c r="E33" s="24"/>
      <c r="F33" s="24"/>
      <c r="G33" s="24"/>
    </row>
    <row r="34" spans="1:7" ht="9" customHeight="1">
      <c r="A34" s="24"/>
      <c r="B34" s="24"/>
      <c r="C34" s="24"/>
      <c r="D34" s="24"/>
      <c r="E34" s="24"/>
      <c r="F34" s="24"/>
      <c r="G34" s="24"/>
    </row>
    <row r="35" spans="1:7" ht="18" customHeight="1">
      <c r="A35" s="24"/>
      <c r="B35" s="364" t="s">
        <v>444</v>
      </c>
      <c r="C35" s="364"/>
      <c r="D35" s="364"/>
      <c r="E35" s="364"/>
      <c r="F35" s="322" t="s">
        <v>68</v>
      </c>
      <c r="G35" s="322" t="s">
        <v>445</v>
      </c>
    </row>
    <row r="36" spans="1:7" ht="15" customHeight="1">
      <c r="A36" s="24"/>
      <c r="B36" s="4" t="s">
        <v>446</v>
      </c>
      <c r="C36" s="25"/>
      <c r="D36" s="25"/>
      <c r="E36" s="25"/>
      <c r="F36" s="14">
        <f>G6*G24</f>
        <v>34736.545480000001</v>
      </c>
      <c r="G36" s="13">
        <f>F36/F39</f>
        <v>0.69825436408977548</v>
      </c>
    </row>
    <row r="37" spans="1:7" ht="15" customHeight="1">
      <c r="A37" s="24"/>
      <c r="B37" s="192" t="s">
        <v>447</v>
      </c>
      <c r="C37" s="151"/>
      <c r="D37" s="151"/>
      <c r="E37" s="151"/>
      <c r="F37" s="158">
        <f>G7*G24</f>
        <v>14887.090920000002</v>
      </c>
      <c r="G37" s="153">
        <f>F37/F39</f>
        <v>0.29925187032418954</v>
      </c>
    </row>
    <row r="38" spans="1:7" ht="15" customHeight="1">
      <c r="A38" s="24"/>
      <c r="B38" s="192" t="s">
        <v>448</v>
      </c>
      <c r="C38" s="151"/>
      <c r="D38" s="151"/>
      <c r="E38" s="151"/>
      <c r="F38" s="201">
        <f>G10*G24</f>
        <v>124.05909100000001</v>
      </c>
      <c r="G38" s="153">
        <f>F38/F39</f>
        <v>2.4937655860349127E-3</v>
      </c>
    </row>
    <row r="39" spans="1:7" ht="15" customHeight="1">
      <c r="A39" s="24"/>
      <c r="B39" s="194" t="s">
        <v>449</v>
      </c>
      <c r="C39" s="156"/>
      <c r="D39" s="156"/>
      <c r="E39" s="156"/>
      <c r="F39" s="195">
        <f>SUM(F36:F38)</f>
        <v>49747.695491000006</v>
      </c>
      <c r="G39" s="202">
        <f>SUM(G36:G38)</f>
        <v>0.99999999999999989</v>
      </c>
    </row>
    <row r="40" spans="1:7" ht="9" customHeight="1">
      <c r="A40" s="24"/>
      <c r="B40" s="24"/>
      <c r="C40" s="24"/>
      <c r="D40" s="24"/>
      <c r="E40" s="24"/>
      <c r="F40" s="24"/>
      <c r="G40" s="24"/>
    </row>
    <row r="41" spans="1:7" ht="18" customHeight="1">
      <c r="A41" s="24"/>
      <c r="B41" s="364" t="s">
        <v>450</v>
      </c>
      <c r="C41" s="364"/>
      <c r="D41" s="364"/>
      <c r="E41" s="364"/>
      <c r="F41" s="364"/>
      <c r="G41" s="322" t="s">
        <v>68</v>
      </c>
    </row>
    <row r="42" spans="1:7" ht="15" customHeight="1">
      <c r="A42" s="24"/>
      <c r="B42" s="4" t="s">
        <v>451</v>
      </c>
      <c r="C42" s="25"/>
      <c r="D42" s="25"/>
      <c r="E42" s="25"/>
      <c r="F42" s="196"/>
      <c r="G42" s="14">
        <f>G24</f>
        <v>49623.636400000003</v>
      </c>
    </row>
    <row r="43" spans="1:7" ht="15" customHeight="1">
      <c r="A43" s="24"/>
      <c r="B43" s="192" t="s">
        <v>452</v>
      </c>
      <c r="C43" s="151"/>
      <c r="D43" s="151"/>
      <c r="E43" s="151"/>
      <c r="F43" s="197"/>
      <c r="G43" s="158">
        <v>0</v>
      </c>
    </row>
    <row r="44" spans="1:7" ht="15" customHeight="1">
      <c r="A44" s="24"/>
      <c r="B44" s="192" t="s">
        <v>453</v>
      </c>
      <c r="C44" s="151"/>
      <c r="D44" s="151"/>
      <c r="E44" s="151"/>
      <c r="F44" s="197"/>
      <c r="G44" s="201">
        <f>F38</f>
        <v>124.05909100000001</v>
      </c>
    </row>
    <row r="45" spans="1:7" ht="15" customHeight="1">
      <c r="A45" s="24"/>
      <c r="B45" s="194" t="s">
        <v>454</v>
      </c>
      <c r="C45" s="156"/>
      <c r="D45" s="156"/>
      <c r="E45" s="156"/>
      <c r="F45" s="198"/>
      <c r="G45" s="195">
        <f>SUM(G42:G44)</f>
        <v>49747.695491000006</v>
      </c>
    </row>
    <row r="46" spans="1:7" ht="9" customHeight="1">
      <c r="A46" s="24"/>
      <c r="B46" s="24"/>
      <c r="C46" s="24"/>
      <c r="D46" s="24"/>
      <c r="E46" s="24"/>
      <c r="F46" s="24"/>
      <c r="G46" s="24"/>
    </row>
    <row r="47" spans="1:7" ht="18" customHeight="1">
      <c r="A47" s="24"/>
      <c r="B47" s="364" t="s">
        <v>455</v>
      </c>
      <c r="C47" s="364"/>
      <c r="D47" s="364"/>
      <c r="E47" s="364"/>
      <c r="F47" s="322" t="s">
        <v>456</v>
      </c>
      <c r="G47" s="322" t="s">
        <v>457</v>
      </c>
    </row>
    <row r="48" spans="1:7" ht="15" customHeight="1">
      <c r="A48" s="24"/>
      <c r="B48" s="4" t="s">
        <v>458</v>
      </c>
      <c r="C48" s="25"/>
      <c r="D48" s="25"/>
      <c r="E48" s="25"/>
      <c r="F48" s="57">
        <f>F23</f>
        <v>1373</v>
      </c>
      <c r="G48" s="13">
        <f>F48/F50</f>
        <v>0.85036798895242105</v>
      </c>
    </row>
    <row r="49" spans="1:7" ht="15" customHeight="1">
      <c r="A49" s="24"/>
      <c r="B49" s="192" t="s">
        <v>459</v>
      </c>
      <c r="C49" s="151"/>
      <c r="D49" s="151"/>
      <c r="E49" s="151"/>
      <c r="F49" s="201">
        <f>F36/F20</f>
        <v>241.59511392405062</v>
      </c>
      <c r="G49" s="153">
        <f>F49/F50</f>
        <v>0.14963201104757901</v>
      </c>
    </row>
    <row r="50" spans="1:7" ht="15" customHeight="1">
      <c r="A50" s="24"/>
      <c r="B50" s="194" t="s">
        <v>460</v>
      </c>
      <c r="C50" s="156"/>
      <c r="D50" s="156"/>
      <c r="E50" s="156"/>
      <c r="F50" s="203">
        <f>F48+F49</f>
        <v>1614.5951139240506</v>
      </c>
      <c r="G50" s="202">
        <f>G48+G49</f>
        <v>1</v>
      </c>
    </row>
    <row r="51" spans="1:7" ht="9" customHeight="1">
      <c r="A51" s="24"/>
      <c r="B51" s="24"/>
      <c r="C51" s="24"/>
      <c r="D51" s="24"/>
      <c r="E51" s="24"/>
      <c r="F51" s="24"/>
      <c r="G51" s="24"/>
    </row>
    <row r="52" spans="1:7" ht="15" customHeight="1">
      <c r="A52" s="24"/>
      <c r="B52" s="115" t="s">
        <v>461</v>
      </c>
      <c r="C52" s="24"/>
      <c r="D52" s="24"/>
      <c r="E52" s="24"/>
      <c r="F52" s="24"/>
      <c r="G52" s="24"/>
    </row>
  </sheetData>
  <pageMargins left="0.75" right="0.75" top="1" bottom="1" header="0.5" footer="0.5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D7E96"/>
  </sheetPr>
  <dimension ref="A1:V45"/>
  <sheetViews>
    <sheetView showGridLines="0" workbookViewId="0">
      <pane ySplit="5" topLeftCell="A6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40" customWidth="1"/>
    <col min="3" max="3" width="4" customWidth="1"/>
    <col min="4" max="4" width="16" customWidth="1"/>
    <col min="5" max="5" width="15.28515625" customWidth="1"/>
  </cols>
  <sheetData>
    <row r="1" spans="1:5" ht="9" customHeight="1">
      <c r="A1" s="112"/>
      <c r="B1" s="24"/>
      <c r="C1" s="24"/>
      <c r="D1" s="24"/>
      <c r="E1" s="24"/>
    </row>
    <row r="2" spans="1:5" ht="22" customHeight="1">
      <c r="A2" s="24"/>
      <c r="B2" s="304" t="s">
        <v>462</v>
      </c>
      <c r="C2" s="86"/>
      <c r="D2" s="86"/>
      <c r="E2" s="24"/>
    </row>
    <row r="3" spans="1:5" ht="15" customHeight="1">
      <c r="A3" s="24"/>
      <c r="B3" s="305" t="s">
        <v>432</v>
      </c>
      <c r="C3" s="24"/>
      <c r="D3" s="24"/>
      <c r="E3" s="24"/>
    </row>
    <row r="4" spans="1:5" ht="9" customHeight="1">
      <c r="A4" s="24"/>
      <c r="B4" s="24"/>
      <c r="C4" s="24"/>
      <c r="D4" s="24"/>
      <c r="E4" s="24"/>
    </row>
    <row r="5" spans="1:5" ht="15" customHeight="1">
      <c r="A5" s="24"/>
      <c r="B5" s="74"/>
      <c r="C5" s="74"/>
      <c r="D5" s="351" t="s">
        <v>91</v>
      </c>
      <c r="E5" s="351" t="s">
        <v>92</v>
      </c>
    </row>
    <row r="6" spans="1:5" ht="18" customHeight="1">
      <c r="A6" s="24"/>
      <c r="B6" s="85" t="s">
        <v>463</v>
      </c>
      <c r="C6" s="85"/>
      <c r="D6" s="85"/>
      <c r="E6" s="85"/>
    </row>
    <row r="7" spans="1:5" ht="15" customHeight="1">
      <c r="A7" s="24"/>
      <c r="B7" s="4" t="s">
        <v>464</v>
      </c>
      <c r="C7" s="25"/>
      <c r="D7" s="365">
        <v>0.05</v>
      </c>
      <c r="E7" s="365">
        <v>0.05</v>
      </c>
    </row>
    <row r="8" spans="1:5" ht="15" customHeight="1">
      <c r="A8" s="24"/>
      <c r="B8" s="192" t="s">
        <v>465</v>
      </c>
      <c r="C8" s="151"/>
      <c r="D8" s="149">
        <f>'EPS Assumptions'!F28*(1+D7)</f>
        <v>8652</v>
      </c>
      <c r="E8" s="158">
        <f>D8*(1+E7)</f>
        <v>9084.6</v>
      </c>
    </row>
    <row r="9" spans="1:5" ht="15" customHeight="1">
      <c r="A9" s="24"/>
      <c r="B9" s="192" t="s">
        <v>466</v>
      </c>
      <c r="C9" s="151"/>
      <c r="D9" s="204">
        <f>'EPS Assumptions'!F23</f>
        <v>1373</v>
      </c>
      <c r="E9" s="201">
        <f>D9</f>
        <v>1373</v>
      </c>
    </row>
    <row r="10" spans="1:5" ht="15" customHeight="1">
      <c r="A10" s="24"/>
      <c r="B10" s="194" t="s">
        <v>467</v>
      </c>
      <c r="C10" s="156"/>
      <c r="D10" s="205">
        <f>D8/D9</f>
        <v>6.3015294974508373</v>
      </c>
      <c r="E10" s="205">
        <f>E8/E9</f>
        <v>6.6166059723233799</v>
      </c>
    </row>
    <row r="11" spans="1:5" ht="9" customHeight="1">
      <c r="A11" s="24"/>
      <c r="B11" s="24"/>
      <c r="C11" s="24"/>
      <c r="D11" s="24"/>
      <c r="E11" s="24"/>
    </row>
    <row r="12" spans="1:5" ht="18" customHeight="1">
      <c r="A12" s="24"/>
      <c r="B12" s="85" t="s">
        <v>468</v>
      </c>
      <c r="C12" s="85"/>
      <c r="D12" s="85"/>
      <c r="E12" s="85"/>
    </row>
    <row r="13" spans="1:5" ht="15" customHeight="1">
      <c r="A13" s="24"/>
      <c r="B13" s="4" t="s">
        <v>464</v>
      </c>
      <c r="C13" s="25"/>
      <c r="D13" s="365">
        <v>0.06</v>
      </c>
      <c r="E13" s="365">
        <v>0.05</v>
      </c>
    </row>
    <row r="14" spans="1:5" ht="15" customHeight="1">
      <c r="A14" s="24"/>
      <c r="B14" s="192" t="s">
        <v>465</v>
      </c>
      <c r="C14" s="151"/>
      <c r="D14" s="149">
        <f>'EPS Assumptions'!G28*(1+D13)</f>
        <v>2203.7400000000002</v>
      </c>
      <c r="E14" s="158">
        <f>D14*(1+E13)</f>
        <v>2313.9270000000001</v>
      </c>
    </row>
    <row r="15" spans="1:5" ht="15" customHeight="1">
      <c r="A15" s="24"/>
      <c r="B15" s="194" t="s">
        <v>466</v>
      </c>
      <c r="C15" s="156"/>
      <c r="D15" s="206">
        <f>'EPS Assumptions'!G23</f>
        <v>1362.8</v>
      </c>
      <c r="E15" s="207">
        <f>D15</f>
        <v>1362.8</v>
      </c>
    </row>
    <row r="16" spans="1:5" ht="9" customHeight="1">
      <c r="A16" s="24"/>
      <c r="B16" s="24"/>
      <c r="C16" s="24"/>
      <c r="D16" s="24"/>
      <c r="E16" s="24"/>
    </row>
    <row r="17" spans="1:5" s="32" customFormat="1" ht="18" customHeight="1">
      <c r="B17" s="369" t="s">
        <v>469</v>
      </c>
      <c r="C17" s="370"/>
      <c r="D17" s="370"/>
      <c r="E17" s="370"/>
    </row>
    <row r="18" spans="1:5" ht="15" customHeight="1">
      <c r="A18" s="24"/>
      <c r="B18" s="4" t="s">
        <v>470</v>
      </c>
      <c r="C18" s="25"/>
      <c r="D18" s="14">
        <f>D8+D14</f>
        <v>10855.74</v>
      </c>
      <c r="E18" s="14">
        <f>E8+E14</f>
        <v>11398.527</v>
      </c>
    </row>
    <row r="19" spans="1:5" ht="15" customHeight="1">
      <c r="A19" s="24"/>
      <c r="B19" s="194" t="s">
        <v>471</v>
      </c>
      <c r="C19" s="156"/>
      <c r="D19" s="206">
        <f>'EPS Assumptions'!F50</f>
        <v>1614.5951139240506</v>
      </c>
      <c r="E19" s="207">
        <f>D19</f>
        <v>1614.5951139240506</v>
      </c>
    </row>
    <row r="20" spans="1:5" ht="9" customHeight="1">
      <c r="A20" s="24"/>
      <c r="B20" s="24"/>
      <c r="C20" s="24"/>
      <c r="D20" s="24"/>
      <c r="E20" s="24"/>
    </row>
    <row r="21" spans="1:5" ht="18" customHeight="1">
      <c r="A21" s="24"/>
      <c r="B21" s="85" t="s">
        <v>472</v>
      </c>
      <c r="C21" s="85"/>
      <c r="D21" s="85"/>
      <c r="E21" s="85"/>
    </row>
    <row r="22" spans="1:5" ht="15" customHeight="1">
      <c r="A22" s="24"/>
      <c r="B22" s="4" t="s">
        <v>473</v>
      </c>
      <c r="C22" s="25"/>
      <c r="D22" s="58">
        <f>'EPS Assumptions'!G15</f>
        <v>0</v>
      </c>
      <c r="E22" s="58">
        <f>'EPS Assumptions'!G16</f>
        <v>300</v>
      </c>
    </row>
    <row r="23" spans="1:5" ht="15" customHeight="1">
      <c r="A23" s="24"/>
      <c r="B23" s="192" t="s">
        <v>474</v>
      </c>
      <c r="C23" s="151"/>
      <c r="D23" s="201">
        <f>-'EPS Assumptions'!G13*('EPS Assumptions'!G21-'EPS Assumptions'!G20)*'EPS Assumptions'!G23/'EPS Assumptions'!G14</f>
        <v>-22.903216800000003</v>
      </c>
      <c r="E23" s="201">
        <f>D23</f>
        <v>-22.903216800000003</v>
      </c>
    </row>
    <row r="24" spans="1:5" ht="15" customHeight="1">
      <c r="A24" s="24"/>
      <c r="B24" s="192" t="s">
        <v>475</v>
      </c>
      <c r="C24" s="151"/>
      <c r="D24" s="201">
        <f>-'EPS Assumptions'!F37*'EPS Assumptions'!G12</f>
        <v>-669.91909140000007</v>
      </c>
      <c r="E24" s="201">
        <f>D24</f>
        <v>-669.91909140000007</v>
      </c>
    </row>
    <row r="25" spans="1:5" ht="15" customHeight="1">
      <c r="A25" s="24"/>
      <c r="B25" s="192" t="s">
        <v>476</v>
      </c>
      <c r="C25" s="151"/>
      <c r="D25" s="201">
        <f>-'EPS Assumptions'!G44</f>
        <v>-124.05909100000001</v>
      </c>
      <c r="E25" s="201">
        <v>0</v>
      </c>
    </row>
    <row r="26" spans="1:5" ht="15" customHeight="1">
      <c r="A26" s="24"/>
      <c r="B26" s="192" t="s">
        <v>477</v>
      </c>
      <c r="C26" s="151"/>
      <c r="D26" s="201">
        <f>SUM(D22:D25)</f>
        <v>-816.88139920000003</v>
      </c>
      <c r="E26" s="201">
        <f>SUM(E22:E25)</f>
        <v>-392.82230820000007</v>
      </c>
    </row>
    <row r="27" spans="1:5" ht="15" customHeight="1">
      <c r="A27" s="24"/>
      <c r="B27" s="192" t="s">
        <v>478</v>
      </c>
      <c r="C27" s="151"/>
      <c r="D27" s="201">
        <f>-(D22+D23+D24)*'EPS Assumptions'!G9</f>
        <v>131.636238558</v>
      </c>
      <c r="E27" s="201">
        <f>-(E22+E23+E24)*'EPS Assumptions'!G9</f>
        <v>74.636238558000016</v>
      </c>
    </row>
    <row r="28" spans="1:5" ht="15" customHeight="1">
      <c r="A28" s="24"/>
      <c r="B28" s="194" t="s">
        <v>479</v>
      </c>
      <c r="C28" s="156"/>
      <c r="D28" s="203">
        <f>D26+D27</f>
        <v>-685.24516064199997</v>
      </c>
      <c r="E28" s="203">
        <f>E26+E27</f>
        <v>-318.18606964200006</v>
      </c>
    </row>
    <row r="29" spans="1:5" ht="9" customHeight="1">
      <c r="A29" s="24"/>
      <c r="B29" s="24"/>
      <c r="C29" s="24"/>
      <c r="D29" s="24"/>
      <c r="E29" s="24"/>
    </row>
    <row r="30" spans="1:5" ht="18" customHeight="1">
      <c r="A30" s="24"/>
      <c r="B30" s="85" t="s">
        <v>480</v>
      </c>
      <c r="C30" s="85"/>
      <c r="D30" s="85"/>
      <c r="E30" s="85"/>
    </row>
    <row r="31" spans="1:5" ht="15" customHeight="1">
      <c r="A31" s="24"/>
      <c r="B31" s="275" t="s">
        <v>481</v>
      </c>
      <c r="C31" s="25"/>
      <c r="D31" s="14">
        <f>D18+D28</f>
        <v>10170.494839358</v>
      </c>
      <c r="E31" s="14">
        <f>E18+E28</f>
        <v>11080.340930357999</v>
      </c>
    </row>
    <row r="32" spans="1:5" ht="15" customHeight="1">
      <c r="A32" s="24"/>
      <c r="B32" s="371" t="s">
        <v>482</v>
      </c>
      <c r="C32" s="151"/>
      <c r="D32" s="201">
        <f>D19</f>
        <v>1614.5951139240506</v>
      </c>
      <c r="E32" s="201">
        <f>E19</f>
        <v>1614.5951139240506</v>
      </c>
    </row>
    <row r="33" spans="1:22" ht="15" customHeight="1">
      <c r="A33" s="24"/>
      <c r="B33" s="371" t="s">
        <v>483</v>
      </c>
      <c r="C33" s="151"/>
      <c r="D33" s="208">
        <f>D31/D32</f>
        <v>6.2990992302955853</v>
      </c>
      <c r="E33" s="208">
        <f>E31/E32</f>
        <v>6.8626126976370934</v>
      </c>
    </row>
    <row r="34" spans="1:22" ht="15" customHeight="1">
      <c r="A34" s="24"/>
      <c r="B34" s="372" t="s">
        <v>484</v>
      </c>
      <c r="C34" s="156"/>
      <c r="D34" s="200">
        <f>D10</f>
        <v>6.3015294974508373</v>
      </c>
      <c r="E34" s="200">
        <f>E10</f>
        <v>6.6166059723233799</v>
      </c>
    </row>
    <row r="35" spans="1:22" ht="15" customHeight="1">
      <c r="A35" s="24"/>
      <c r="B35" s="79"/>
      <c r="C35" s="24"/>
      <c r="D35" s="24"/>
      <c r="E35" s="24"/>
    </row>
    <row r="36" spans="1:22" ht="15" customHeight="1">
      <c r="A36" s="24"/>
      <c r="B36" s="275" t="s">
        <v>485</v>
      </c>
      <c r="C36" s="25"/>
      <c r="D36" s="59">
        <f>D33-D34</f>
        <v>-2.4302671552520749E-3</v>
      </c>
      <c r="E36" s="59">
        <f>E33-E34</f>
        <v>0.24600672531371348</v>
      </c>
    </row>
    <row r="37" spans="1:22" ht="15" customHeight="1">
      <c r="A37" s="24"/>
      <c r="B37" s="372" t="s">
        <v>486</v>
      </c>
      <c r="C37" s="156"/>
      <c r="D37" s="209">
        <f>(D33/D34)-1</f>
        <v>-3.8566306104492742E-4</v>
      </c>
      <c r="E37" s="209">
        <f>(E33/E34)-1</f>
        <v>3.7180198782085006E-2</v>
      </c>
    </row>
    <row r="38" spans="1:22" ht="15" customHeight="1">
      <c r="A38" s="24"/>
      <c r="B38" s="79"/>
      <c r="C38" s="24"/>
      <c r="D38" s="24"/>
      <c r="E38" s="24"/>
    </row>
    <row r="39" spans="1:22" ht="18" customHeight="1">
      <c r="A39" s="24"/>
      <c r="B39" s="85" t="s">
        <v>487</v>
      </c>
      <c r="C39" s="85"/>
      <c r="D39" s="85"/>
      <c r="E39" s="85"/>
    </row>
    <row r="40" spans="1:22" ht="15" customHeight="1">
      <c r="A40" s="24"/>
      <c r="B40" s="373" t="s">
        <v>488</v>
      </c>
      <c r="C40" s="24"/>
      <c r="D40" s="213">
        <f>(D10*D32-D18-D25)/(1-'EPS Assumptions'!G9)-D23-D24</f>
        <v>4.8443178696301175</v>
      </c>
      <c r="E40" s="213">
        <f>(E10*E32-E18-E25)/(1-'EPS Assumptions'!G9)-E23-E24</f>
        <v>-190.3719218320731</v>
      </c>
    </row>
    <row r="41" spans="1:22">
      <c r="A41" s="24"/>
      <c r="B41" s="24"/>
      <c r="C41" s="24"/>
      <c r="D41" s="24"/>
      <c r="E41" s="24"/>
    </row>
    <row r="42" spans="1:22" ht="15" customHeight="1">
      <c r="A42" s="24"/>
      <c r="B42" s="6" t="s">
        <v>489</v>
      </c>
      <c r="C42" s="24"/>
      <c r="D42" s="24"/>
      <c r="E42" s="24"/>
    </row>
    <row r="45" spans="1:22">
      <c r="V45" s="374"/>
    </row>
  </sheetData>
  <pageMargins left="0.75" right="0.75" top="1" bottom="1" header="0.5" footer="0.5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D7E96"/>
  </sheetPr>
  <dimension ref="A1:H56"/>
  <sheetViews>
    <sheetView showGridLines="0" workbookViewId="0">
      <pane ySplit="3" topLeftCell="A4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19.140625" customWidth="1"/>
    <col min="3" max="3" width="13" customWidth="1"/>
    <col min="10" max="10" width="4" customWidth="1"/>
    <col min="11" max="11" width="12" customWidth="1"/>
    <col min="12" max="12" width="13" customWidth="1"/>
  </cols>
  <sheetData>
    <row r="1" spans="1:8" ht="9" customHeight="1">
      <c r="A1" s="112"/>
      <c r="B1" s="24"/>
      <c r="C1" s="24"/>
      <c r="D1" s="24"/>
      <c r="E1" s="24"/>
      <c r="F1" s="24"/>
      <c r="G1" s="24"/>
      <c r="H1" s="24"/>
    </row>
    <row r="2" spans="1:8" ht="22" customHeight="1">
      <c r="A2" s="24"/>
      <c r="B2" s="304" t="s">
        <v>490</v>
      </c>
      <c r="C2" s="86"/>
      <c r="D2" s="86"/>
      <c r="E2" s="24"/>
      <c r="F2" s="24"/>
      <c r="G2" s="24"/>
      <c r="H2" s="24"/>
    </row>
    <row r="3" spans="1:8" ht="15" customHeight="1">
      <c r="A3" s="24"/>
      <c r="B3" s="305" t="s">
        <v>491</v>
      </c>
      <c r="C3" s="24"/>
      <c r="D3" s="24"/>
      <c r="E3" s="24"/>
      <c r="F3" s="24"/>
      <c r="G3" s="24"/>
      <c r="H3" s="24"/>
    </row>
    <row r="4" spans="1:8" ht="9" customHeight="1">
      <c r="A4" s="24"/>
      <c r="B4" s="24"/>
      <c r="C4" s="24"/>
      <c r="D4" s="24"/>
      <c r="E4" s="24"/>
      <c r="F4" s="24"/>
      <c r="G4" s="24"/>
      <c r="H4" s="24"/>
    </row>
    <row r="5" spans="1:8" s="78" customFormat="1" ht="18" customHeight="1">
      <c r="B5" s="375" t="s">
        <v>492</v>
      </c>
      <c r="C5" s="364"/>
      <c r="D5" s="364"/>
      <c r="E5" s="364"/>
      <c r="F5" s="364"/>
      <c r="G5" s="364"/>
      <c r="H5" s="364"/>
    </row>
    <row r="6" spans="1:8" ht="15" customHeight="1">
      <c r="A6" s="24"/>
      <c r="B6" s="376">
        <v>-3.8566306104492742E-4</v>
      </c>
      <c r="C6" s="377">
        <v>0.5</v>
      </c>
      <c r="D6" s="377">
        <v>0.6</v>
      </c>
      <c r="E6" s="377">
        <v>0.7</v>
      </c>
      <c r="F6" s="377">
        <v>0.8</v>
      </c>
      <c r="G6" s="377">
        <v>0.9</v>
      </c>
      <c r="H6" s="377">
        <v>1</v>
      </c>
    </row>
    <row r="7" spans="1:8" ht="15" customHeight="1">
      <c r="A7" s="24"/>
      <c r="B7" s="378">
        <v>0.1</v>
      </c>
      <c r="C7" s="60">
        <v>4.2538658516742427E-2</v>
      </c>
      <c r="D7" s="60">
        <v>3.8561050871529501E-2</v>
      </c>
      <c r="E7" s="60">
        <v>3.4730722694521488E-2</v>
      </c>
      <c r="F7" s="60">
        <v>3.1039642666081502E-2</v>
      </c>
      <c r="G7" s="60">
        <v>2.7480352984563309E-2</v>
      </c>
      <c r="H7" s="60">
        <v>2.4045919070440961E-2</v>
      </c>
    </row>
    <row r="8" spans="1:8" ht="15" customHeight="1">
      <c r="A8" s="24"/>
      <c r="B8" s="378">
        <v>0.15</v>
      </c>
      <c r="C8" s="60">
        <v>3.3567174928140757E-2</v>
      </c>
      <c r="D8" s="60">
        <v>2.9606063840730949E-2</v>
      </c>
      <c r="E8" s="60">
        <v>2.579739019713689E-2</v>
      </c>
      <c r="F8" s="60">
        <v>2.2132520627517142E-2</v>
      </c>
      <c r="G8" s="60">
        <v>1.8603461622637148E-2</v>
      </c>
      <c r="H8" s="60">
        <v>1.5202801333312751E-2</v>
      </c>
    </row>
    <row r="9" spans="1:8" ht="15" customHeight="1">
      <c r="A9" s="24"/>
      <c r="B9" s="378">
        <v>0.2</v>
      </c>
      <c r="C9" s="60">
        <v>2.4673412463352081E-2</v>
      </c>
      <c r="D9" s="60">
        <v>2.0742274526037271E-2</v>
      </c>
      <c r="E9" s="60">
        <v>1.6968079040470929E-2</v>
      </c>
      <c r="F9" s="60">
        <v>1.334161154253977E-2</v>
      </c>
      <c r="G9" s="60">
        <v>9.8543650593994059E-3</v>
      </c>
      <c r="H9" s="60">
        <v>6.4984734863846594E-3</v>
      </c>
    </row>
    <row r="10" spans="1:8" ht="15" customHeight="1">
      <c r="A10" s="24"/>
      <c r="B10" s="378">
        <v>0.25</v>
      </c>
      <c r="C10" s="60">
        <v>1.585636551598912E-2</v>
      </c>
      <c r="D10" s="60">
        <v>1.196829684711043E-2</v>
      </c>
      <c r="E10" s="60">
        <v>8.2409828762646242E-3</v>
      </c>
      <c r="F10" s="60">
        <v>4.6646557726097706E-3</v>
      </c>
      <c r="G10" s="60">
        <v>1.2303233502530819E-3</v>
      </c>
      <c r="H10" s="61">
        <v>-2.0703064237024278E-3</v>
      </c>
    </row>
    <row r="11" spans="1:8" ht="15" customHeight="1">
      <c r="A11" s="24"/>
      <c r="B11" s="378">
        <v>0.3</v>
      </c>
      <c r="C11" s="60">
        <v>7.1150457534161493E-3</v>
      </c>
      <c r="D11" s="60">
        <v>3.2827726707216338E-3</v>
      </c>
      <c r="E11" s="61">
        <v>-3.8566306104492742E-4</v>
      </c>
      <c r="F11" s="61">
        <v>-3.900548116330893E-3</v>
      </c>
      <c r="G11" s="61">
        <v>-7.2713256786333114E-3</v>
      </c>
      <c r="H11" s="61">
        <v>-1.0506680159932389E-2</v>
      </c>
    </row>
    <row r="12" spans="1:8" ht="15" customHeight="1">
      <c r="A12" s="24"/>
      <c r="B12" s="378">
        <v>0.35</v>
      </c>
      <c r="C12" s="61">
        <v>-1.5515182525628331E-3</v>
      </c>
      <c r="D12" s="61">
        <v>-5.3156288900748638E-3</v>
      </c>
      <c r="E12" s="61">
        <v>-8.9135831440366742E-3</v>
      </c>
      <c r="F12" s="61">
        <v>-1.2356145215929201E-2</v>
      </c>
      <c r="G12" s="61">
        <v>-1.5653169170195991E-2</v>
      </c>
      <c r="H12" s="61">
        <v>-1.881369313563408E-2</v>
      </c>
    </row>
    <row r="13" spans="1:8" ht="15" customHeight="1">
      <c r="A13" s="24"/>
      <c r="B13" s="378">
        <v>0.4</v>
      </c>
      <c r="C13" s="61">
        <v>-1.014428138558343E-2</v>
      </c>
      <c r="D13" s="61">
        <v>-1.3828212155788109E-2</v>
      </c>
      <c r="E13" s="61">
        <v>-1.7344462501402091E-2</v>
      </c>
      <c r="F13" s="61">
        <v>-2.070422606646127E-2</v>
      </c>
      <c r="G13" s="61">
        <v>-2.391772186132712E-2</v>
      </c>
      <c r="H13" s="61">
        <v>-2.6994298079869309E-2</v>
      </c>
    </row>
    <row r="14" spans="1:8" ht="15" customHeight="1">
      <c r="A14" s="24"/>
      <c r="B14" s="378">
        <v>0.45</v>
      </c>
      <c r="C14" s="61">
        <v>-1.8664182335442651E-2</v>
      </c>
      <c r="D14" s="61">
        <v>-2.2256255540078821E-2</v>
      </c>
      <c r="E14" s="61">
        <v>-2.5679948128037759E-2</v>
      </c>
      <c r="F14" s="61">
        <v>-2.8946828379981859E-2</v>
      </c>
      <c r="G14" s="61">
        <v>-3.206742859829903E-2</v>
      </c>
      <c r="H14" s="61">
        <v>-3.5051358536755783E-2</v>
      </c>
    </row>
    <row r="15" spans="1:8" ht="15" customHeight="1">
      <c r="A15" s="24"/>
      <c r="B15" s="378">
        <v>0.5</v>
      </c>
      <c r="C15" s="61">
        <v>-2.7112143939939441E-2</v>
      </c>
      <c r="D15" s="61">
        <v>-3.0601012189795159E-2</v>
      </c>
      <c r="E15" s="61">
        <v>-3.3921649957667888E-2</v>
      </c>
      <c r="F15" s="61">
        <v>-3.708593869856891E-2</v>
      </c>
      <c r="G15" s="61">
        <v>-4.0104666748045581E-2</v>
      </c>
      <c r="H15" s="61">
        <v>-4.2987652207435723E-2</v>
      </c>
    </row>
    <row r="16" spans="1:8" ht="9" customHeight="1">
      <c r="A16" s="24"/>
      <c r="B16" s="24"/>
      <c r="C16" s="24"/>
      <c r="D16" s="24"/>
      <c r="E16" s="24"/>
      <c r="F16" s="24"/>
      <c r="G16" s="24"/>
      <c r="H16" s="24"/>
    </row>
    <row r="17" spans="1:8" ht="9" customHeight="1">
      <c r="A17" s="24"/>
      <c r="B17" s="24"/>
      <c r="C17" s="24"/>
      <c r="D17" s="24"/>
      <c r="E17" s="24"/>
      <c r="F17" s="24"/>
      <c r="G17" s="24"/>
      <c r="H17" s="24"/>
    </row>
    <row r="18" spans="1:8" s="78" customFormat="1" ht="18" customHeight="1">
      <c r="B18" s="375" t="s">
        <v>493</v>
      </c>
      <c r="C18" s="364"/>
      <c r="D18" s="364"/>
      <c r="E18" s="364"/>
      <c r="F18" s="364"/>
      <c r="G18" s="364"/>
      <c r="H18" s="364"/>
    </row>
    <row r="19" spans="1:8" ht="15" customHeight="1">
      <c r="A19" s="24"/>
      <c r="B19" s="376">
        <v>3.7180198782085012E-2</v>
      </c>
      <c r="C19" s="377">
        <v>0.5</v>
      </c>
      <c r="D19" s="377">
        <v>0.6</v>
      </c>
      <c r="E19" s="377">
        <v>0.7</v>
      </c>
      <c r="F19" s="377">
        <v>0.8</v>
      </c>
      <c r="G19" s="377">
        <v>0.9</v>
      </c>
      <c r="H19" s="377">
        <v>1</v>
      </c>
    </row>
    <row r="20" spans="1:8" ht="15" customHeight="1">
      <c r="A20" s="24"/>
      <c r="B20" s="379">
        <v>0.1</v>
      </c>
      <c r="C20" s="60">
        <v>8.1520186971156594E-2</v>
      </c>
      <c r="D20" s="60">
        <v>7.6060251151148561E-2</v>
      </c>
      <c r="E20" s="60">
        <v>7.0802481184520261E-2</v>
      </c>
      <c r="F20" s="60">
        <v>6.5735852733609379E-2</v>
      </c>
      <c r="G20" s="60">
        <v>6.0850128710704172E-2</v>
      </c>
      <c r="H20" s="60">
        <v>5.6135790238498677E-2</v>
      </c>
    </row>
    <row r="21" spans="1:8" ht="15" customHeight="1">
      <c r="A21" s="24"/>
      <c r="B21" s="379">
        <v>0.15</v>
      </c>
      <c r="C21" s="60">
        <v>7.3063032275416884E-2</v>
      </c>
      <c r="D21" s="60">
        <v>6.755005521144164E-2</v>
      </c>
      <c r="E21" s="60">
        <v>6.224923683549699E-2</v>
      </c>
      <c r="F21" s="60">
        <v>5.7148561435609091E-2</v>
      </c>
      <c r="G21" s="60">
        <v>5.2236903842072469E-2</v>
      </c>
      <c r="H21" s="60">
        <v>4.7503948425344562E-2</v>
      </c>
    </row>
    <row r="22" spans="1:8" ht="15" customHeight="1">
      <c r="A22" s="24"/>
      <c r="B22" s="379">
        <v>0.2</v>
      </c>
      <c r="C22" s="60">
        <v>6.467914300570432E-2</v>
      </c>
      <c r="D22" s="60">
        <v>5.912652722900158E-2</v>
      </c>
      <c r="E22" s="60">
        <v>5.3795588011988922E-2</v>
      </c>
      <c r="F22" s="60">
        <v>4.8673310197319797E-2</v>
      </c>
      <c r="G22" s="60">
        <v>4.3747677938085427E-2</v>
      </c>
      <c r="H22" s="60">
        <v>3.9007580594680347E-2</v>
      </c>
    </row>
    <row r="23" spans="1:8" ht="15" customHeight="1">
      <c r="A23" s="24"/>
      <c r="B23" s="379">
        <v>0.25</v>
      </c>
      <c r="C23" s="60">
        <v>5.6367571206343392E-2</v>
      </c>
      <c r="D23" s="60">
        <v>5.0788349969617341E-2</v>
      </c>
      <c r="E23" s="60">
        <v>4.5439805220770728E-2</v>
      </c>
      <c r="F23" s="60">
        <v>4.0307920517730127E-2</v>
      </c>
      <c r="G23" s="60">
        <v>3.5379792437544737E-2</v>
      </c>
      <c r="H23" s="60">
        <v>3.0643522248486429E-2</v>
      </c>
    </row>
    <row r="24" spans="1:8" ht="15" customHeight="1">
      <c r="A24" s="24"/>
      <c r="B24" s="379">
        <v>0.3</v>
      </c>
      <c r="C24" s="60">
        <v>4.812738520511961E-2</v>
      </c>
      <c r="D24" s="60">
        <v>4.2534232758066892E-2</v>
      </c>
      <c r="E24" s="60">
        <v>3.7180198782085012E-2</v>
      </c>
      <c r="F24" s="60">
        <v>3.2050270010344439E-2</v>
      </c>
      <c r="G24" s="60">
        <v>2.7130664240025078E-2</v>
      </c>
      <c r="H24" s="60">
        <v>2.240870668541417E-2</v>
      </c>
    </row>
    <row r="25" spans="1:8" ht="15" customHeight="1">
      <c r="A25" s="24"/>
      <c r="B25" s="379">
        <v>0.35</v>
      </c>
      <c r="C25" s="60">
        <v>3.9957669265136657E-2</v>
      </c>
      <c r="D25" s="60">
        <v>3.4362910812095082E-2</v>
      </c>
      <c r="E25" s="60">
        <v>2.9015117690552209E-2</v>
      </c>
      <c r="F25" s="60">
        <v>2.3898290607974101E-2</v>
      </c>
      <c r="G25" s="60">
        <v>1.89977830473862E-2</v>
      </c>
      <c r="H25" s="60">
        <v>1.430016125182609E-2</v>
      </c>
    </row>
    <row r="26" spans="1:8" ht="15" customHeight="1">
      <c r="A26" s="24"/>
      <c r="B26" s="379">
        <v>0.4</v>
      </c>
      <c r="C26" s="60">
        <v>3.1857523245571777E-2</v>
      </c>
      <c r="D26" s="60">
        <v>2.6273144596338671E-2</v>
      </c>
      <c r="E26" s="60">
        <v>2.0942948514962371E-2</v>
      </c>
      <c r="F26" s="60">
        <v>1.584996683600837E-2</v>
      </c>
      <c r="G26" s="60">
        <v>1.0978708816886231E-2</v>
      </c>
      <c r="H26" s="60">
        <v>6.3150037639789769E-3</v>
      </c>
    </row>
    <row r="27" spans="1:8" ht="15" customHeight="1">
      <c r="A27" s="24"/>
      <c r="B27" s="379">
        <v>0.45</v>
      </c>
      <c r="C27" s="60">
        <v>2.3826062271058879E-2</v>
      </c>
      <c r="D27" s="60">
        <v>1.8263719195499298E-2</v>
      </c>
      <c r="E27" s="60">
        <v>1.2962114335415499E-2</v>
      </c>
      <c r="F27" s="60">
        <v>7.9033341511396404E-3</v>
      </c>
      <c r="G27" s="60">
        <v>3.0710693204722972E-3</v>
      </c>
      <c r="H27" s="61">
        <v>-1.5495609076939809E-3</v>
      </c>
    </row>
    <row r="28" spans="1:8" ht="15" customHeight="1">
      <c r="A28" s="24"/>
      <c r="B28" s="379">
        <v>0.5</v>
      </c>
      <c r="C28" s="60">
        <v>1.5862416409445409E-2</v>
      </c>
      <c r="D28" s="60">
        <v>1.0333443706097119E-2</v>
      </c>
      <c r="E28" s="60">
        <v>5.0710737163346398E-3</v>
      </c>
      <c r="F28" s="60">
        <v>5.6477342660121721E-5</v>
      </c>
      <c r="G28" s="61">
        <v>-4.7274421948800827E-3</v>
      </c>
      <c r="H28" s="61">
        <v>-9.2962441007066188E-3</v>
      </c>
    </row>
    <row r="29" spans="1:8">
      <c r="A29" s="24"/>
      <c r="B29" s="24"/>
      <c r="C29" s="24"/>
      <c r="D29" s="24"/>
      <c r="E29" s="24"/>
      <c r="F29" s="24"/>
      <c r="G29" s="24"/>
      <c r="H29" s="24"/>
    </row>
    <row r="30" spans="1:8" ht="9" customHeight="1">
      <c r="A30" s="24"/>
      <c r="B30" s="24"/>
      <c r="C30" s="24"/>
      <c r="D30" s="24"/>
      <c r="E30" s="24"/>
      <c r="F30" s="24"/>
      <c r="G30" s="24"/>
      <c r="H30" s="24"/>
    </row>
    <row r="31" spans="1:8" ht="9" customHeight="1">
      <c r="A31" s="24"/>
      <c r="B31" s="24"/>
      <c r="C31" s="24"/>
      <c r="D31" s="24"/>
      <c r="E31" s="24"/>
      <c r="F31" s="24"/>
      <c r="G31" s="24"/>
      <c r="H31" s="24"/>
    </row>
    <row r="32" spans="1:8" s="78" customFormat="1" ht="18" customHeight="1">
      <c r="B32" s="375" t="s">
        <v>494</v>
      </c>
      <c r="C32" s="364"/>
      <c r="D32" s="364"/>
      <c r="E32" s="364"/>
    </row>
    <row r="33" spans="1:8" ht="15" customHeight="1">
      <c r="A33" s="24"/>
      <c r="B33" s="210" t="s">
        <v>43</v>
      </c>
      <c r="C33" s="211" t="s">
        <v>91</v>
      </c>
      <c r="D33" s="211" t="s">
        <v>92</v>
      </c>
      <c r="E33" s="211" t="str">
        <f>"+1 PF EPS"</f>
        <v>+1 PF EPS</v>
      </c>
      <c r="F33" s="24"/>
      <c r="G33" s="24"/>
      <c r="H33" s="24"/>
    </row>
    <row r="34" spans="1:8" ht="15" customHeight="1">
      <c r="A34" s="24"/>
      <c r="B34" s="380">
        <v>0</v>
      </c>
      <c r="C34" s="61">
        <v>-3.8566306104492742E-4</v>
      </c>
      <c r="D34" s="60">
        <v>3.7180198782085012E-2</v>
      </c>
      <c r="E34" s="17">
        <v>6.2990992302955853</v>
      </c>
      <c r="F34" s="24"/>
      <c r="G34" s="24"/>
      <c r="H34" s="24"/>
    </row>
    <row r="35" spans="1:8" ht="15" customHeight="1">
      <c r="A35" s="24"/>
      <c r="B35" s="381">
        <v>200</v>
      </c>
      <c r="C35" s="60">
        <v>1.553662244638598E-2</v>
      </c>
      <c r="D35" s="60">
        <v>5.2344280217733408E-2</v>
      </c>
      <c r="E35" s="17">
        <v>6.399433982087495</v>
      </c>
      <c r="F35" s="24"/>
      <c r="G35" s="24"/>
      <c r="H35" s="24"/>
    </row>
    <row r="36" spans="1:8" ht="15" customHeight="1">
      <c r="A36" s="24"/>
      <c r="B36" s="381">
        <v>400</v>
      </c>
      <c r="C36" s="60">
        <v>3.1458907953816777E-2</v>
      </c>
      <c r="D36" s="60">
        <v>6.7508361653382032E-2</v>
      </c>
      <c r="E36" s="17">
        <v>6.4997687338794048</v>
      </c>
      <c r="F36" s="24"/>
      <c r="G36" s="24"/>
      <c r="H36" s="24"/>
    </row>
    <row r="37" spans="1:8" ht="15" customHeight="1">
      <c r="A37" s="24"/>
      <c r="B37" s="381">
        <v>600</v>
      </c>
      <c r="C37" s="60">
        <v>4.7381193461247813E-2</v>
      </c>
      <c r="D37" s="60">
        <v>8.2672443089030434E-2</v>
      </c>
      <c r="E37" s="17">
        <v>6.6001034856713154</v>
      </c>
      <c r="F37" s="24"/>
      <c r="G37" s="24"/>
      <c r="H37" s="24"/>
    </row>
    <row r="38" spans="1:8" ht="15" customHeight="1">
      <c r="A38" s="24"/>
      <c r="B38" s="381">
        <v>800</v>
      </c>
      <c r="C38" s="60">
        <v>6.3303478968678606E-2</v>
      </c>
      <c r="D38" s="60">
        <v>9.7836524524678836E-2</v>
      </c>
      <c r="E38" s="17">
        <v>6.7004382374632243</v>
      </c>
      <c r="F38" s="24"/>
      <c r="G38" s="24"/>
      <c r="H38" s="24"/>
    </row>
    <row r="39" spans="1:8" ht="15" customHeight="1">
      <c r="A39" s="24"/>
      <c r="B39" s="381">
        <v>1000</v>
      </c>
      <c r="C39" s="60">
        <v>7.9225764476109406E-2</v>
      </c>
      <c r="D39" s="60">
        <v>0.1130006059603275</v>
      </c>
      <c r="E39" s="17">
        <v>6.8007729892551341</v>
      </c>
      <c r="F39" s="24"/>
      <c r="G39" s="24"/>
      <c r="H39" s="24"/>
    </row>
    <row r="40" spans="1:8">
      <c r="A40" s="24"/>
      <c r="B40" s="24"/>
      <c r="C40" s="24"/>
      <c r="D40" s="24"/>
      <c r="E40" s="24"/>
      <c r="F40" s="24"/>
      <c r="G40" s="24"/>
      <c r="H40" s="24"/>
    </row>
    <row r="41" spans="1:8" ht="9" customHeight="1">
      <c r="A41" s="24"/>
      <c r="B41" s="24"/>
      <c r="C41" s="24"/>
      <c r="D41" s="24"/>
      <c r="E41" s="24"/>
      <c r="F41" s="24"/>
      <c r="G41" s="24"/>
      <c r="H41" s="24"/>
    </row>
    <row r="42" spans="1:8" ht="9" customHeight="1">
      <c r="A42" s="24"/>
      <c r="B42" s="24"/>
      <c r="C42" s="24"/>
      <c r="D42" s="24"/>
      <c r="E42" s="24"/>
      <c r="F42" s="24"/>
      <c r="G42" s="24"/>
      <c r="H42" s="24"/>
    </row>
    <row r="43" spans="1:8" s="78" customFormat="1" ht="18" customHeight="1">
      <c r="B43" s="375" t="s">
        <v>495</v>
      </c>
      <c r="C43" s="364"/>
      <c r="D43" s="364"/>
      <c r="E43" s="364"/>
      <c r="F43" s="364"/>
      <c r="G43" s="364"/>
      <c r="H43" s="364"/>
    </row>
    <row r="44" spans="1:8" ht="15" customHeight="1">
      <c r="A44" s="24"/>
      <c r="B44" s="382">
        <v>4.8443178696301166</v>
      </c>
      <c r="C44" s="377">
        <v>0.5</v>
      </c>
      <c r="D44" s="377">
        <v>0.6</v>
      </c>
      <c r="E44" s="377">
        <v>0.7</v>
      </c>
      <c r="F44" s="377">
        <v>0.8</v>
      </c>
      <c r="G44" s="377">
        <v>0.9</v>
      </c>
      <c r="H44" s="377">
        <v>1</v>
      </c>
    </row>
    <row r="45" spans="1:8" ht="15" customHeight="1">
      <c r="A45" s="24"/>
      <c r="B45" s="379">
        <v>0.1</v>
      </c>
      <c r="C45" s="62">
        <v>-502.69892659628198</v>
      </c>
      <c r="D45" s="62">
        <v>-464.45461517380988</v>
      </c>
      <c r="E45" s="62">
        <v>-426.21030375133751</v>
      </c>
      <c r="F45" s="62">
        <v>-387.96599232886769</v>
      </c>
      <c r="G45" s="62">
        <v>-349.72168090639548</v>
      </c>
      <c r="H45" s="62">
        <v>-311.47736948392088</v>
      </c>
    </row>
    <row r="46" spans="1:8" ht="15" customHeight="1">
      <c r="A46" s="24"/>
      <c r="B46" s="379">
        <v>0.15</v>
      </c>
      <c r="C46" s="62">
        <v>-398.41202677490111</v>
      </c>
      <c r="D46" s="62">
        <v>-358.42933756049752</v>
      </c>
      <c r="E46" s="62">
        <v>-318.44664834609642</v>
      </c>
      <c r="F46" s="62">
        <v>-278.46395913169317</v>
      </c>
      <c r="G46" s="62">
        <v>-238.48126991729191</v>
      </c>
      <c r="H46" s="62">
        <v>-198.49858070288849</v>
      </c>
    </row>
    <row r="47" spans="1:8" ht="15" customHeight="1">
      <c r="A47" s="24"/>
      <c r="B47" s="379">
        <v>0.2</v>
      </c>
      <c r="C47" s="62">
        <v>-294.12512695351887</v>
      </c>
      <c r="D47" s="62">
        <v>-252.40405994718699</v>
      </c>
      <c r="E47" s="62">
        <v>-210.68299294085489</v>
      </c>
      <c r="F47" s="62">
        <v>-168.96192593452071</v>
      </c>
      <c r="G47" s="62">
        <v>-127.2408589281884</v>
      </c>
      <c r="H47" s="62">
        <v>-85.51979192185614</v>
      </c>
    </row>
    <row r="48" spans="1:8" ht="15" customHeight="1">
      <c r="A48" s="24"/>
      <c r="B48" s="379">
        <v>0.25</v>
      </c>
      <c r="C48" s="62">
        <v>-189.83822713213789</v>
      </c>
      <c r="D48" s="62">
        <v>-146.3787823338769</v>
      </c>
      <c r="E48" s="62">
        <v>-102.91933753561121</v>
      </c>
      <c r="F48" s="62">
        <v>-59.459892737348177</v>
      </c>
      <c r="G48" s="62">
        <v>-16.00044793908484</v>
      </c>
      <c r="H48" s="63">
        <v>27.45899685917847</v>
      </c>
    </row>
    <row r="49" spans="1:8" ht="15" customHeight="1">
      <c r="A49" s="24"/>
      <c r="B49" s="379">
        <v>0.3</v>
      </c>
      <c r="C49" s="62">
        <v>-85.551327310758552</v>
      </c>
      <c r="D49" s="62">
        <v>-40.353504720562</v>
      </c>
      <c r="E49" s="63">
        <v>4.8443178696301166</v>
      </c>
      <c r="F49" s="63">
        <v>50.042140459824402</v>
      </c>
      <c r="G49" s="63">
        <v>95.239963050018702</v>
      </c>
      <c r="H49" s="63">
        <v>140.43778564021309</v>
      </c>
    </row>
    <row r="50" spans="1:8" ht="15" customHeight="1">
      <c r="A50" s="24"/>
      <c r="B50" s="379">
        <v>0.35</v>
      </c>
      <c r="C50" s="63">
        <v>18.735572510622891</v>
      </c>
      <c r="D50" s="63">
        <v>65.671772892748322</v>
      </c>
      <c r="E50" s="63">
        <v>112.6079732748739</v>
      </c>
      <c r="F50" s="63">
        <v>159.5441736569968</v>
      </c>
      <c r="G50" s="63">
        <v>206.48037403912221</v>
      </c>
      <c r="H50" s="63">
        <v>253.4165744212477</v>
      </c>
    </row>
    <row r="51" spans="1:8" ht="15" customHeight="1">
      <c r="A51" s="24"/>
      <c r="B51" s="379">
        <v>0.4</v>
      </c>
      <c r="C51" s="63">
        <v>123.0224723320041</v>
      </c>
      <c r="D51" s="63">
        <v>171.6970505060585</v>
      </c>
      <c r="E51" s="63">
        <v>220.37162868011509</v>
      </c>
      <c r="F51" s="63">
        <v>269.04620685416899</v>
      </c>
      <c r="G51" s="63">
        <v>317.72078502822342</v>
      </c>
      <c r="H51" s="63">
        <v>366.3953632022799</v>
      </c>
    </row>
    <row r="52" spans="1:8" ht="15" customHeight="1">
      <c r="A52" s="24"/>
      <c r="B52" s="379">
        <v>0.45</v>
      </c>
      <c r="C52" s="63">
        <v>227.30937215338341</v>
      </c>
      <c r="D52" s="63">
        <v>277.72232811937101</v>
      </c>
      <c r="E52" s="63">
        <v>328.13528408535649</v>
      </c>
      <c r="F52" s="63">
        <v>378.54824005134151</v>
      </c>
      <c r="G52" s="63">
        <v>428.96119601732909</v>
      </c>
      <c r="H52" s="63">
        <v>479.3741519833145</v>
      </c>
    </row>
    <row r="53" spans="1:8" ht="15" customHeight="1">
      <c r="A53" s="24"/>
      <c r="B53" s="379">
        <v>0.5</v>
      </c>
      <c r="C53" s="63">
        <v>331.59627197476527</v>
      </c>
      <c r="D53" s="63">
        <v>383.74760573268401</v>
      </c>
      <c r="E53" s="63">
        <v>435.89893949060018</v>
      </c>
      <c r="F53" s="63">
        <v>488.05027324851397</v>
      </c>
      <c r="G53" s="63">
        <v>540.20160700643282</v>
      </c>
      <c r="H53" s="63">
        <v>592.35294076434684</v>
      </c>
    </row>
    <row r="54" spans="1:8">
      <c r="A54" s="24"/>
      <c r="B54" s="24"/>
      <c r="C54" s="24"/>
      <c r="D54" s="24"/>
      <c r="E54" s="24"/>
      <c r="F54" s="24"/>
      <c r="G54" s="24"/>
      <c r="H54" s="24"/>
    </row>
    <row r="55" spans="1:8" ht="15" customHeight="1">
      <c r="A55" s="24"/>
      <c r="B55" s="115" t="s">
        <v>496</v>
      </c>
      <c r="C55" s="24"/>
      <c r="D55" s="24"/>
      <c r="E55" s="24"/>
      <c r="F55" s="24"/>
      <c r="G55" s="24"/>
      <c r="H55" s="24"/>
    </row>
    <row r="56" spans="1:8">
      <c r="A56" s="24"/>
      <c r="B56" s="115" t="s">
        <v>497</v>
      </c>
      <c r="C56" s="24"/>
      <c r="D56" s="24"/>
      <c r="E56" s="24"/>
      <c r="F56" s="24"/>
      <c r="G56" s="24"/>
      <c r="H56" s="24"/>
    </row>
  </sheetData>
  <pageMargins left="0.75" right="0.75" top="1" bottom="1" header="0.5" footer="0.5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249977111117893"/>
  </sheetPr>
  <dimension ref="A1:H27"/>
  <sheetViews>
    <sheetView showGridLines="0" workbookViewId="0">
      <pane ySplit="3" topLeftCell="A4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28" customWidth="1"/>
    <col min="3" max="8" width="20.85546875" customWidth="1"/>
  </cols>
  <sheetData>
    <row r="1" spans="1:8" ht="9" customHeight="1">
      <c r="A1" s="24"/>
      <c r="B1" s="24"/>
      <c r="C1" s="24"/>
      <c r="D1" s="24"/>
      <c r="E1" s="24"/>
      <c r="F1" s="24"/>
      <c r="G1" s="24"/>
      <c r="H1" s="24"/>
    </row>
    <row r="2" spans="1:8" ht="22" customHeight="1">
      <c r="A2" s="24"/>
      <c r="B2" s="304" t="s">
        <v>498</v>
      </c>
      <c r="C2" s="86"/>
      <c r="D2" s="24"/>
      <c r="E2" s="24"/>
      <c r="F2" s="24"/>
      <c r="G2" s="24"/>
      <c r="H2" s="24"/>
    </row>
    <row r="3" spans="1:8" ht="15" customHeight="1">
      <c r="A3" s="24"/>
      <c r="B3" s="305" t="str">
        <f>_xlfn.CONCAT("PepsiCo (PEP) + Keurig Dr Pepper (KDP)  ·  FY2025  ·  Base case: ",TEXT('Contribution Inputs'!B3,"0%")," premium, ",TEXT('Contribution Inputs'!B4,"0%"),"/",TEXT('Contribution Inputs'!B5,"0%")," stock/cash")</f>
        <v>PepsiCo (PEP) + Keurig Dr Pepper (KDP)  ·  FY2025  ·  Base case: 30% premium, 70%/30% stock/cash</v>
      </c>
      <c r="C3" s="24"/>
      <c r="D3" s="24"/>
      <c r="E3" s="24"/>
      <c r="F3" s="24"/>
      <c r="G3" s="24"/>
      <c r="H3" s="24"/>
    </row>
    <row r="4" spans="1:8" ht="10" customHeight="1">
      <c r="A4" s="24"/>
      <c r="B4" s="118"/>
      <c r="C4" s="24"/>
      <c r="D4" s="24"/>
      <c r="E4" s="24"/>
      <c r="F4" s="24"/>
      <c r="G4" s="24"/>
      <c r="H4" s="24"/>
    </row>
    <row r="5" spans="1:8" ht="18" customHeight="1">
      <c r="A5" s="24"/>
      <c r="B5" s="383" t="s">
        <v>499</v>
      </c>
      <c r="C5" s="383"/>
      <c r="D5" s="383"/>
      <c r="E5" s="383"/>
      <c r="F5" s="383"/>
      <c r="G5" s="383"/>
      <c r="H5" s="383"/>
    </row>
    <row r="6" spans="1:8" ht="15" customHeight="1">
      <c r="A6" s="24"/>
      <c r="B6" s="384" t="s">
        <v>402</v>
      </c>
      <c r="C6" s="385" t="s">
        <v>241</v>
      </c>
      <c r="D6" s="385" t="s">
        <v>239</v>
      </c>
      <c r="E6" s="385" t="s">
        <v>500</v>
      </c>
      <c r="F6" s="385" t="s">
        <v>501</v>
      </c>
      <c r="G6" s="385" t="s">
        <v>502</v>
      </c>
      <c r="H6" s="385" t="s">
        <v>503</v>
      </c>
    </row>
    <row r="7" spans="1:8" ht="15" customHeight="1">
      <c r="A7" s="24"/>
      <c r="B7" s="88" t="s">
        <v>125</v>
      </c>
      <c r="C7" s="100">
        <f>'Contribution Inputs'!H21</f>
        <v>93925</v>
      </c>
      <c r="D7" s="100">
        <f>'Contribution Inputs'!H22</f>
        <v>16603</v>
      </c>
      <c r="E7" s="100">
        <f t="shared" ref="E7:E12" si="0">C7+D7</f>
        <v>110528</v>
      </c>
      <c r="F7" s="215">
        <f t="shared" ref="F7:F12" si="1">D7/E7</f>
        <v>0.15021533005211349</v>
      </c>
      <c r="G7" s="215">
        <f>'Ownership Bridge'!$F$14</f>
        <v>0.14963201104757901</v>
      </c>
      <c r="H7" s="216">
        <f t="shared" ref="H7:H12" si="2">F7-G7</f>
        <v>5.8331900453448271E-4</v>
      </c>
    </row>
    <row r="8" spans="1:8" ht="15" customHeight="1">
      <c r="A8" s="24"/>
      <c r="B8" s="88" t="s">
        <v>128</v>
      </c>
      <c r="C8" s="100">
        <f>'Contribution Inputs'!H23</f>
        <v>15543</v>
      </c>
      <c r="D8" s="100">
        <f>'Contribution Inputs'!H24</f>
        <v>4194</v>
      </c>
      <c r="E8" s="100">
        <f t="shared" si="0"/>
        <v>19737</v>
      </c>
      <c r="F8" s="215">
        <f t="shared" si="1"/>
        <v>0.21249430004559963</v>
      </c>
      <c r="G8" s="215">
        <f>'Ownership Bridge'!$F$14</f>
        <v>0.14963201104757901</v>
      </c>
      <c r="H8" s="217">
        <f t="shared" si="2"/>
        <v>6.2862288998020627E-2</v>
      </c>
    </row>
    <row r="9" spans="1:8" ht="15" customHeight="1">
      <c r="A9" s="24"/>
      <c r="B9" s="88" t="s">
        <v>504</v>
      </c>
      <c r="C9" s="100">
        <f>'Contribution Inputs'!H25</f>
        <v>8240</v>
      </c>
      <c r="D9" s="100">
        <f>'Contribution Inputs'!H26</f>
        <v>2079</v>
      </c>
      <c r="E9" s="100">
        <f t="shared" si="0"/>
        <v>10319</v>
      </c>
      <c r="F9" s="215">
        <f t="shared" si="1"/>
        <v>0.20147301095067352</v>
      </c>
      <c r="G9" s="215">
        <f>'Ownership Bridge'!$F$14</f>
        <v>0.14963201104757901</v>
      </c>
      <c r="H9" s="217">
        <f t="shared" si="2"/>
        <v>5.1840999903094515E-2</v>
      </c>
    </row>
    <row r="10" spans="1:8" ht="15" customHeight="1">
      <c r="A10" s="24"/>
      <c r="B10" s="88" t="s">
        <v>505</v>
      </c>
      <c r="C10" s="100">
        <f>'Contribution Inputs'!B15</f>
        <v>107399</v>
      </c>
      <c r="D10" s="100">
        <f>'Contribution Inputs'!B16</f>
        <v>55459</v>
      </c>
      <c r="E10" s="100">
        <f t="shared" si="0"/>
        <v>162858</v>
      </c>
      <c r="F10" s="215">
        <f t="shared" si="1"/>
        <v>0.34053592700389296</v>
      </c>
      <c r="G10" s="215">
        <f>'Ownership Bridge'!$F$14</f>
        <v>0.14963201104757901</v>
      </c>
      <c r="H10" s="217">
        <f t="shared" si="2"/>
        <v>0.19090391595631395</v>
      </c>
    </row>
    <row r="11" spans="1:8" ht="15" customHeight="1">
      <c r="A11" s="24"/>
      <c r="B11" s="88" t="s">
        <v>506</v>
      </c>
      <c r="C11" s="100">
        <f>'Contribution Inputs'!B17</f>
        <v>20406</v>
      </c>
      <c r="D11" s="100">
        <f>'Contribution Inputs'!B18</f>
        <v>25516</v>
      </c>
      <c r="E11" s="100">
        <f t="shared" si="0"/>
        <v>45922</v>
      </c>
      <c r="F11" s="215">
        <f t="shared" si="1"/>
        <v>0.55563782065241063</v>
      </c>
      <c r="G11" s="215">
        <f>'Ownership Bridge'!$F$14</f>
        <v>0.14963201104757901</v>
      </c>
      <c r="H11" s="217">
        <f t="shared" si="2"/>
        <v>0.40600580960483162</v>
      </c>
    </row>
    <row r="12" spans="1:8" ht="15" customHeight="1">
      <c r="A12" s="24"/>
      <c r="B12" s="170" t="s">
        <v>507</v>
      </c>
      <c r="C12" s="218">
        <f>'Contribution Inputs'!B10</f>
        <v>197409.94</v>
      </c>
      <c r="D12" s="218">
        <f>'Contribution Inputs'!B13</f>
        <v>38172.027999999998</v>
      </c>
      <c r="E12" s="218">
        <f t="shared" si="0"/>
        <v>235581.96799999999</v>
      </c>
      <c r="F12" s="219">
        <f t="shared" si="1"/>
        <v>0.16203289379092037</v>
      </c>
      <c r="G12" s="219">
        <f>'Ownership Bridge'!$F$14</f>
        <v>0.14963201104757901</v>
      </c>
      <c r="H12" s="220">
        <f t="shared" si="2"/>
        <v>1.2400882743341363E-2</v>
      </c>
    </row>
    <row r="13" spans="1:8">
      <c r="A13" s="24"/>
      <c r="B13" s="24"/>
      <c r="C13" s="24"/>
      <c r="D13" s="24"/>
      <c r="E13" s="24"/>
      <c r="F13" s="24"/>
      <c r="G13" s="24"/>
      <c r="H13" s="24"/>
    </row>
    <row r="14" spans="1:8">
      <c r="A14" s="24"/>
      <c r="B14" s="24"/>
      <c r="C14" s="24"/>
      <c r="D14" s="24"/>
      <c r="E14" s="24"/>
      <c r="F14" s="24"/>
      <c r="G14" s="24"/>
      <c r="H14" s="24"/>
    </row>
    <row r="15" spans="1:8">
      <c r="A15" s="24"/>
      <c r="B15" s="386" t="s">
        <v>508</v>
      </c>
      <c r="C15" s="387"/>
      <c r="D15" s="387"/>
      <c r="E15" s="24"/>
      <c r="F15" s="24"/>
      <c r="G15" s="24"/>
      <c r="H15" s="24"/>
    </row>
    <row r="16" spans="1:8" ht="19" customHeight="1">
      <c r="A16" s="24"/>
      <c r="B16" s="388" t="str">
        <f>"• KDP shareholders receive " &amp; TEXT(G7,"0.0%") &amp; " ownership in the base case."</f>
        <v>• KDP shareholders receive 15.0% ownership in the base case.</v>
      </c>
      <c r="D16" s="254"/>
      <c r="E16" s="24"/>
      <c r="F16" s="24"/>
      <c r="G16" s="24"/>
      <c r="H16" s="24"/>
    </row>
    <row r="17" spans="1:8" ht="15" customHeight="1">
      <c r="A17" s="24"/>
      <c r="B17" s="389" t="str">
        <f>"• KDP contributes " &amp; TEXT(AVERAGE(F7:F9),"0.0%") &amp; " across the operating metrics and " &amp; TEXT(AVERAGE(F10:F12),"0.0%") &amp; " across the support metrics."</f>
        <v>• KDP contributes 18.8% across the operating metrics and 35.3% across the support metrics.</v>
      </c>
      <c r="C17" s="24"/>
      <c r="D17" s="24"/>
      <c r="E17" s="24"/>
      <c r="F17" s="24"/>
      <c r="G17" s="24"/>
      <c r="H17" s="24"/>
    </row>
    <row r="18" spans="1:8" ht="15" customHeight="1">
      <c r="A18" s="24"/>
      <c r="B18" s="390" t="str">
        <f>"• The operating gap of "&amp;TEXT(AVERAGE(H7:H9),"0.0%")&amp;" favors PEP."""</f>
        <v>• The operating gap of 3.8% favors PEP."</v>
      </c>
      <c r="C18" s="24"/>
      <c r="D18" s="24"/>
      <c r="E18" s="24"/>
      <c r="F18" s="24"/>
      <c r="G18" s="24"/>
      <c r="H18" s="24"/>
    </row>
    <row r="19" spans="1:8" ht="15" customHeight="1">
      <c r="A19" s="24"/>
      <c r="C19" s="24"/>
      <c r="D19" s="24"/>
      <c r="E19" s="24"/>
      <c r="F19" s="24"/>
      <c r="G19" s="24"/>
      <c r="H19" s="24"/>
    </row>
    <row r="20" spans="1:8" ht="15" customHeight="1">
      <c r="A20" s="24"/>
      <c r="B20" s="391" t="s">
        <v>509</v>
      </c>
      <c r="C20" s="31"/>
      <c r="D20" s="24"/>
      <c r="E20" s="24"/>
      <c r="F20" s="24"/>
      <c r="G20" s="24"/>
      <c r="H20" s="24"/>
    </row>
    <row r="21" spans="1:8" ht="15" customHeight="1">
      <c r="A21" s="24"/>
      <c r="B21" s="255" t="s">
        <v>510</v>
      </c>
      <c r="C21" s="24"/>
      <c r="D21" s="24"/>
      <c r="E21" s="24"/>
      <c r="F21" s="24"/>
      <c r="G21" s="24"/>
      <c r="H21" s="24"/>
    </row>
    <row r="22" spans="1:8" ht="15" customHeight="1">
      <c r="A22" s="24"/>
      <c r="B22" s="255" t="s">
        <v>511</v>
      </c>
      <c r="C22" s="24"/>
      <c r="D22" s="24"/>
      <c r="E22" s="24"/>
      <c r="F22" s="24"/>
      <c r="G22" s="24"/>
      <c r="H22" s="24"/>
    </row>
    <row r="23" spans="1:8" ht="15" customHeight="1">
      <c r="A23" s="24"/>
      <c r="B23" s="255" t="s">
        <v>512</v>
      </c>
      <c r="C23" s="24"/>
      <c r="D23" s="24"/>
      <c r="E23" s="24"/>
      <c r="F23" s="24"/>
      <c r="G23" s="24"/>
      <c r="H23" s="24"/>
    </row>
    <row r="24" spans="1:8" ht="15" customHeight="1">
      <c r="A24" s="24"/>
      <c r="B24" s="256"/>
      <c r="C24" s="24"/>
      <c r="D24" s="24"/>
      <c r="E24" s="24"/>
      <c r="F24" s="24"/>
      <c r="G24" s="24"/>
      <c r="H24" s="24"/>
    </row>
    <row r="25" spans="1:8">
      <c r="B25" s="256"/>
    </row>
    <row r="26" spans="1:8">
      <c r="B26" s="257" t="s">
        <v>513</v>
      </c>
    </row>
    <row r="27" spans="1:8">
      <c r="B27" s="258"/>
    </row>
  </sheetData>
  <pageMargins left="0.75" right="0.75" top="1" bottom="1" header="0.5" footer="0.5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79998168889431442"/>
  </sheetPr>
  <dimension ref="A1:H34"/>
  <sheetViews>
    <sheetView showGridLines="0" workbookViewId="0">
      <pane ySplit="5" topLeftCell="A6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2" customWidth="1"/>
    <col min="3" max="8" width="20.85546875" customWidth="1"/>
  </cols>
  <sheetData>
    <row r="1" spans="1:8" ht="9" customHeight="1">
      <c r="A1" s="24"/>
      <c r="B1" s="24"/>
      <c r="C1" s="24"/>
      <c r="D1" s="24"/>
      <c r="E1" s="24"/>
      <c r="F1" s="24"/>
      <c r="G1" s="24"/>
      <c r="H1" s="24"/>
    </row>
    <row r="2" spans="1:8" ht="22" customHeight="1">
      <c r="A2" s="24"/>
      <c r="B2" s="304" t="s">
        <v>514</v>
      </c>
      <c r="C2" s="86"/>
      <c r="D2" s="24"/>
      <c r="E2" s="24"/>
      <c r="F2" s="24"/>
      <c r="G2" s="24"/>
      <c r="H2" s="24"/>
    </row>
    <row r="3" spans="1:8" ht="15" customHeight="1">
      <c r="A3" s="24"/>
      <c r="B3" s="305" t="str">
        <f>"PepsiCo (PEP) + Keurig Dr Pepper (KDP)  ·  FY2020-FY2025  ·  USD millions"</f>
        <v>PepsiCo (PEP) + Keurig Dr Pepper (KDP)  ·  FY2020-FY2025  ·  USD millions</v>
      </c>
      <c r="C3" s="24"/>
      <c r="D3" s="24"/>
      <c r="E3" s="24"/>
      <c r="F3" s="24"/>
      <c r="G3" s="24"/>
      <c r="H3" s="24"/>
    </row>
    <row r="4" spans="1:8" ht="9" customHeight="1">
      <c r="A4" s="24"/>
      <c r="B4" s="24"/>
      <c r="C4" s="392"/>
      <c r="D4" s="392"/>
      <c r="E4" s="392"/>
      <c r="F4" s="392"/>
      <c r="G4" s="392"/>
      <c r="H4" s="392"/>
    </row>
    <row r="5" spans="1:8" ht="15" customHeight="1">
      <c r="A5" s="24"/>
      <c r="B5" s="66"/>
      <c r="C5" s="393" t="s">
        <v>334</v>
      </c>
      <c r="D5" s="393" t="s">
        <v>335</v>
      </c>
      <c r="E5" s="393" t="s">
        <v>336</v>
      </c>
      <c r="F5" s="393" t="s">
        <v>337</v>
      </c>
      <c r="G5" s="393" t="s">
        <v>338</v>
      </c>
      <c r="H5" s="393" t="s">
        <v>122</v>
      </c>
    </row>
    <row r="6" spans="1:8" ht="15" customHeight="1">
      <c r="A6" s="24"/>
      <c r="B6" s="88" t="s">
        <v>515</v>
      </c>
      <c r="C6" s="92">
        <f>'Contribution Inputs'!C21</f>
        <v>70372</v>
      </c>
      <c r="D6" s="92">
        <f>'Contribution Inputs'!D21</f>
        <v>79474</v>
      </c>
      <c r="E6" s="92">
        <f>'Contribution Inputs'!E21</f>
        <v>86392</v>
      </c>
      <c r="F6" s="92">
        <f>'Contribution Inputs'!F21</f>
        <v>91471</v>
      </c>
      <c r="G6" s="92">
        <f>'Contribution Inputs'!G21</f>
        <v>91854</v>
      </c>
      <c r="H6" s="92">
        <f>'Contribution Inputs'!H21</f>
        <v>93925</v>
      </c>
    </row>
    <row r="7" spans="1:8" ht="15" customHeight="1">
      <c r="A7" s="24"/>
      <c r="B7" s="88" t="s">
        <v>516</v>
      </c>
      <c r="C7" s="92">
        <f>'Contribution Inputs'!C22</f>
        <v>11618</v>
      </c>
      <c r="D7" s="92">
        <f>'Contribution Inputs'!D22</f>
        <v>12683</v>
      </c>
      <c r="E7" s="92">
        <f>'Contribution Inputs'!E22</f>
        <v>14057</v>
      </c>
      <c r="F7" s="92">
        <f>'Contribution Inputs'!F22</f>
        <v>14814</v>
      </c>
      <c r="G7" s="92">
        <f>'Contribution Inputs'!G22</f>
        <v>15351</v>
      </c>
      <c r="H7" s="92">
        <f>'Contribution Inputs'!H22</f>
        <v>16603</v>
      </c>
    </row>
    <row r="8" spans="1:8" ht="15" customHeight="1">
      <c r="A8" s="24"/>
      <c r="B8" s="89" t="s">
        <v>517</v>
      </c>
      <c r="C8" s="394">
        <f t="shared" ref="C8:H8" si="0">C6+C7</f>
        <v>81990</v>
      </c>
      <c r="D8" s="394">
        <f t="shared" si="0"/>
        <v>92157</v>
      </c>
      <c r="E8" s="394">
        <f t="shared" si="0"/>
        <v>100449</v>
      </c>
      <c r="F8" s="394">
        <f t="shared" si="0"/>
        <v>106285</v>
      </c>
      <c r="G8" s="394">
        <f t="shared" si="0"/>
        <v>107205</v>
      </c>
      <c r="H8" s="394">
        <f t="shared" si="0"/>
        <v>110528</v>
      </c>
    </row>
    <row r="9" spans="1:8">
      <c r="A9" s="24"/>
      <c r="B9" s="24"/>
      <c r="C9" s="24"/>
      <c r="D9" s="24"/>
      <c r="E9" s="24"/>
      <c r="F9" s="24"/>
      <c r="G9" s="24"/>
      <c r="H9" s="24"/>
    </row>
    <row r="10" spans="1:8" ht="15" customHeight="1">
      <c r="A10" s="24"/>
      <c r="B10" s="88" t="s">
        <v>518</v>
      </c>
      <c r="C10" s="99">
        <f t="shared" ref="C10:H10" si="1">C6/C8</f>
        <v>0.85829979265764123</v>
      </c>
      <c r="D10" s="99">
        <f t="shared" si="1"/>
        <v>0.86237616241848147</v>
      </c>
      <c r="E10" s="99">
        <f t="shared" si="1"/>
        <v>0.86005833806210119</v>
      </c>
      <c r="F10" s="99">
        <f t="shared" si="1"/>
        <v>0.86062003104859575</v>
      </c>
      <c r="G10" s="99">
        <f t="shared" si="1"/>
        <v>0.85680705190989226</v>
      </c>
      <c r="H10" s="99">
        <f t="shared" si="1"/>
        <v>0.84978466994788648</v>
      </c>
    </row>
    <row r="11" spans="1:8" ht="15" customHeight="1">
      <c r="A11" s="24"/>
      <c r="B11" s="88" t="s">
        <v>519</v>
      </c>
      <c r="C11" s="99">
        <f t="shared" ref="C11:H11" si="2">C7/C8</f>
        <v>0.14170020734235883</v>
      </c>
      <c r="D11" s="99">
        <f t="shared" si="2"/>
        <v>0.1376238375815185</v>
      </c>
      <c r="E11" s="99">
        <f t="shared" si="2"/>
        <v>0.13994166193789884</v>
      </c>
      <c r="F11" s="99">
        <f t="shared" si="2"/>
        <v>0.13937996895140425</v>
      </c>
      <c r="G11" s="99">
        <f t="shared" si="2"/>
        <v>0.14319294809010774</v>
      </c>
      <c r="H11" s="99">
        <f t="shared" si="2"/>
        <v>0.15021533005211349</v>
      </c>
    </row>
    <row r="12" spans="1:8">
      <c r="A12" s="24"/>
      <c r="B12" s="24"/>
      <c r="C12" s="24"/>
      <c r="D12" s="24"/>
      <c r="E12" s="24"/>
      <c r="F12" s="24"/>
      <c r="G12" s="24"/>
      <c r="H12" s="24"/>
    </row>
    <row r="13" spans="1:8">
      <c r="A13" s="24"/>
      <c r="B13" s="24"/>
      <c r="C13" s="24"/>
      <c r="D13" s="24"/>
      <c r="E13" s="24"/>
      <c r="F13" s="24"/>
      <c r="G13" s="24"/>
      <c r="H13" s="24"/>
    </row>
    <row r="14" spans="1:8" ht="18" customHeight="1">
      <c r="A14" s="24"/>
      <c r="B14" s="369" t="s">
        <v>520</v>
      </c>
      <c r="C14" s="370"/>
      <c r="D14" s="370"/>
      <c r="E14" s="24"/>
      <c r="F14" s="24"/>
      <c r="G14" s="24"/>
      <c r="H14" s="24"/>
    </row>
    <row r="15" spans="1:8" ht="15" customHeight="1">
      <c r="A15" s="24"/>
      <c r="B15" s="384" t="s">
        <v>521</v>
      </c>
      <c r="C15" s="395" t="s">
        <v>125</v>
      </c>
      <c r="D15" s="395" t="s">
        <v>522</v>
      </c>
      <c r="E15" s="24"/>
      <c r="F15" s="24"/>
      <c r="G15" s="24"/>
      <c r="H15" s="24"/>
    </row>
    <row r="16" spans="1:8">
      <c r="A16" s="24"/>
      <c r="B16" s="87" t="s">
        <v>523</v>
      </c>
      <c r="C16" s="221"/>
      <c r="D16" s="221"/>
      <c r="E16" s="24"/>
      <c r="F16" s="24"/>
      <c r="G16" s="24"/>
      <c r="H16" s="24"/>
    </row>
    <row r="17" spans="1:8" ht="15" customHeight="1">
      <c r="A17" s="24"/>
      <c r="B17" s="88" t="s">
        <v>524</v>
      </c>
      <c r="C17" s="222">
        <f>'Contribution Inputs'!B31</f>
        <v>28197</v>
      </c>
      <c r="D17" s="223">
        <f t="shared" ref="D17:D23" si="3">C17/$C$32</f>
        <v>0.25511182686740014</v>
      </c>
      <c r="E17" s="24"/>
      <c r="F17" s="24"/>
      <c r="G17" s="24"/>
      <c r="H17" s="24"/>
    </row>
    <row r="18" spans="1:8" ht="15" customHeight="1">
      <c r="A18" s="24"/>
      <c r="B18" s="88" t="s">
        <v>525</v>
      </c>
      <c r="C18" s="222">
        <f>'Contribution Inputs'!B32</f>
        <v>27528</v>
      </c>
      <c r="D18" s="223">
        <f t="shared" si="3"/>
        <v>0.24905906195715113</v>
      </c>
      <c r="E18" s="24"/>
      <c r="F18" s="24"/>
      <c r="G18" s="24"/>
      <c r="H18" s="24"/>
    </row>
    <row r="19" spans="1:8" ht="15" customHeight="1">
      <c r="A19" s="24"/>
      <c r="B19" s="88" t="s">
        <v>526</v>
      </c>
      <c r="C19" s="222">
        <f>'Contribution Inputs'!B33</f>
        <v>18025</v>
      </c>
      <c r="D19" s="223">
        <f t="shared" si="3"/>
        <v>0.16308084829183556</v>
      </c>
      <c r="E19" s="24"/>
      <c r="F19" s="24"/>
      <c r="G19" s="24"/>
      <c r="H19" s="24"/>
    </row>
    <row r="20" spans="1:8" ht="15" customHeight="1">
      <c r="A20" s="24"/>
      <c r="B20" s="88" t="s">
        <v>527</v>
      </c>
      <c r="C20" s="222">
        <f>'Contribution Inputs'!B34</f>
        <v>10549</v>
      </c>
      <c r="D20" s="223">
        <f t="shared" si="3"/>
        <v>9.5441878980891723E-2</v>
      </c>
      <c r="E20" s="24"/>
      <c r="F20" s="24"/>
      <c r="G20" s="24"/>
      <c r="H20" s="24"/>
    </row>
    <row r="21" spans="1:8" ht="15" customHeight="1">
      <c r="A21" s="24"/>
      <c r="B21" s="88" t="s">
        <v>528</v>
      </c>
      <c r="C21" s="222">
        <f>'Contribution Inputs'!B35</f>
        <v>4997</v>
      </c>
      <c r="D21" s="223">
        <f t="shared" si="3"/>
        <v>4.5210263462652001E-2</v>
      </c>
      <c r="E21" s="24"/>
      <c r="F21" s="24"/>
      <c r="G21" s="24"/>
      <c r="H21" s="24"/>
    </row>
    <row r="22" spans="1:8" ht="15" customHeight="1">
      <c r="A22" s="24"/>
      <c r="B22" s="88" t="s">
        <v>529</v>
      </c>
      <c r="C22" s="222">
        <f>'Contribution Inputs'!B36</f>
        <v>4629</v>
      </c>
      <c r="D22" s="223">
        <f t="shared" si="3"/>
        <v>4.1880790387955995E-2</v>
      </c>
      <c r="E22" s="24"/>
      <c r="F22" s="24"/>
      <c r="G22" s="24"/>
      <c r="H22" s="24"/>
    </row>
    <row r="23" spans="1:8" ht="15" customHeight="1">
      <c r="A23" s="24"/>
      <c r="B23" s="89" t="s">
        <v>530</v>
      </c>
      <c r="C23" s="224">
        <f>SUM(C17:C22)</f>
        <v>93925</v>
      </c>
      <c r="D23" s="225">
        <f t="shared" si="3"/>
        <v>0.84978466994788648</v>
      </c>
      <c r="E23" s="24"/>
      <c r="F23" s="24"/>
      <c r="G23" s="24"/>
      <c r="H23" s="24"/>
    </row>
    <row r="24" spans="1:8">
      <c r="A24" s="24"/>
      <c r="B24" s="24"/>
      <c r="C24" s="226"/>
      <c r="D24" s="226"/>
      <c r="E24" s="24"/>
      <c r="F24" s="24"/>
      <c r="G24" s="24"/>
      <c r="H24" s="24"/>
    </row>
    <row r="25" spans="1:8">
      <c r="A25" s="24"/>
      <c r="B25" s="87" t="s">
        <v>531</v>
      </c>
      <c r="C25" s="226"/>
      <c r="D25" s="226"/>
      <c r="E25" s="24"/>
      <c r="F25" s="24"/>
      <c r="G25" s="24"/>
      <c r="H25" s="24"/>
    </row>
    <row r="26" spans="1:8" ht="15" customHeight="1">
      <c r="A26" s="24"/>
      <c r="B26" s="88" t="s">
        <v>532</v>
      </c>
      <c r="C26" s="222">
        <f>'Contribution Inputs'!B40</f>
        <v>11602</v>
      </c>
      <c r="D26" s="223">
        <f>C26/$C$32</f>
        <v>0.10496887666473653</v>
      </c>
      <c r="E26" s="24"/>
      <c r="F26" s="24"/>
      <c r="G26" s="24"/>
      <c r="H26" s="24"/>
    </row>
    <row r="27" spans="1:8" ht="15" customHeight="1">
      <c r="A27" s="24"/>
      <c r="B27" s="88" t="s">
        <v>533</v>
      </c>
      <c r="C27" s="222">
        <f>'Contribution Inputs'!B41</f>
        <v>3777</v>
      </c>
      <c r="D27" s="223">
        <f>C27/$C$32</f>
        <v>3.4172336421540245E-2</v>
      </c>
      <c r="E27" s="24"/>
      <c r="F27" s="24"/>
      <c r="G27" s="24"/>
      <c r="H27" s="24"/>
    </row>
    <row r="28" spans="1:8" ht="15" customHeight="1">
      <c r="A28" s="24"/>
      <c r="B28" s="88" t="s">
        <v>534</v>
      </c>
      <c r="C28" s="222">
        <f>'Contribution Inputs'!B42</f>
        <v>646</v>
      </c>
      <c r="D28" s="223">
        <f>C28/$C$32</f>
        <v>5.844672843080486E-3</v>
      </c>
      <c r="E28" s="24"/>
      <c r="F28" s="24"/>
      <c r="G28" s="24"/>
      <c r="H28" s="24"/>
    </row>
    <row r="29" spans="1:8" ht="15" customHeight="1">
      <c r="A29" s="24"/>
      <c r="B29" s="88" t="s">
        <v>535</v>
      </c>
      <c r="C29" s="222">
        <f>'Contribution Inputs'!B43</f>
        <v>578</v>
      </c>
      <c r="D29" s="223">
        <f>C29/$C$32</f>
        <v>5.2294441227562251E-3</v>
      </c>
      <c r="E29" s="24"/>
      <c r="F29" s="24"/>
      <c r="G29" s="24"/>
      <c r="H29" s="24"/>
    </row>
    <row r="30" spans="1:8" ht="15" customHeight="1">
      <c r="A30" s="24"/>
      <c r="B30" s="89" t="s">
        <v>536</v>
      </c>
      <c r="C30" s="224">
        <f>SUM(C26:C29)</f>
        <v>16603</v>
      </c>
      <c r="D30" s="225">
        <f>C30/$C$32</f>
        <v>0.15021533005211349</v>
      </c>
      <c r="E30" s="24"/>
      <c r="F30" s="24"/>
      <c r="G30" s="24"/>
      <c r="H30" s="24"/>
    </row>
    <row r="31" spans="1:8">
      <c r="A31" s="24"/>
      <c r="B31" s="24"/>
      <c r="C31" s="227"/>
      <c r="D31" s="226"/>
      <c r="E31" s="24"/>
      <c r="F31" s="24"/>
      <c r="G31" s="24"/>
      <c r="H31" s="24"/>
    </row>
    <row r="32" spans="1:8" ht="15" customHeight="1">
      <c r="A32" s="24"/>
      <c r="B32" s="212" t="s">
        <v>537</v>
      </c>
      <c r="C32" s="228">
        <f>C23+C30</f>
        <v>110528</v>
      </c>
      <c r="D32" s="229">
        <f>1</f>
        <v>1</v>
      </c>
      <c r="E32" s="24"/>
      <c r="F32" s="24"/>
      <c r="G32" s="24"/>
      <c r="H32" s="24"/>
    </row>
    <row r="33" spans="1:8">
      <c r="A33" s="24"/>
      <c r="B33" s="24"/>
      <c r="C33" s="24"/>
      <c r="D33" s="24"/>
      <c r="E33" s="24"/>
      <c r="F33" s="24"/>
      <c r="G33" s="24"/>
      <c r="H33" s="24"/>
    </row>
    <row r="34" spans="1:8">
      <c r="A34" s="24"/>
      <c r="B34" s="115" t="s">
        <v>513</v>
      </c>
      <c r="C34" s="24"/>
      <c r="D34" s="24"/>
      <c r="E34" s="24"/>
      <c r="F34" s="24"/>
      <c r="G34" s="24"/>
      <c r="H34" s="24"/>
    </row>
  </sheetData>
  <pageMargins left="0.75" right="0.75" top="1" bottom="1" header="0.5" footer="0.5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79998168889431442"/>
  </sheetPr>
  <dimension ref="A1:H19"/>
  <sheetViews>
    <sheetView showGridLines="0" workbookViewId="0">
      <pane ySplit="5" topLeftCell="A6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2" customWidth="1"/>
    <col min="3" max="3" width="13.42578125" customWidth="1"/>
  </cols>
  <sheetData>
    <row r="1" spans="1:8" ht="9" customHeight="1">
      <c r="A1" s="24"/>
      <c r="B1" s="24"/>
      <c r="C1" s="24"/>
      <c r="D1" s="24"/>
      <c r="E1" s="24"/>
      <c r="F1" s="24"/>
      <c r="G1" s="24"/>
      <c r="H1" s="24"/>
    </row>
    <row r="2" spans="1:8" ht="22" customHeight="1">
      <c r="A2" s="24"/>
      <c r="B2" s="304" t="s">
        <v>538</v>
      </c>
      <c r="C2" s="86"/>
      <c r="D2" s="24"/>
      <c r="E2" s="24"/>
      <c r="F2" s="24"/>
      <c r="G2" s="24"/>
      <c r="H2" s="24"/>
    </row>
    <row r="3" spans="1:8" ht="15" customHeight="1">
      <c r="A3" s="24"/>
      <c r="B3" s="305" t="str">
        <f>"PepsiCo (PEP) + Keurig Dr Pepper (KDP)  ·  FY2020-FY2025  ·  USD millions"</f>
        <v>PepsiCo (PEP) + Keurig Dr Pepper (KDP)  ·  FY2020-FY2025  ·  USD millions</v>
      </c>
      <c r="C3" s="24"/>
      <c r="D3" s="24"/>
      <c r="E3" s="24"/>
      <c r="F3" s="24"/>
      <c r="G3" s="24"/>
      <c r="H3" s="24"/>
    </row>
    <row r="4" spans="1:8" ht="9" customHeight="1">
      <c r="A4" s="24"/>
      <c r="B4" s="24"/>
      <c r="C4" s="24"/>
      <c r="D4" s="24"/>
      <c r="E4" s="24"/>
      <c r="F4" s="24"/>
      <c r="G4" s="24"/>
      <c r="H4" s="24"/>
    </row>
    <row r="5" spans="1:8" ht="15" customHeight="1">
      <c r="A5" s="24"/>
      <c r="B5" s="66"/>
      <c r="C5" s="351" t="s">
        <v>334</v>
      </c>
      <c r="D5" s="351" t="s">
        <v>335</v>
      </c>
      <c r="E5" s="351" t="s">
        <v>336</v>
      </c>
      <c r="F5" s="351" t="s">
        <v>337</v>
      </c>
      <c r="G5" s="351" t="s">
        <v>338</v>
      </c>
      <c r="H5" s="351" t="s">
        <v>122</v>
      </c>
    </row>
    <row r="6" spans="1:8" ht="15" customHeight="1">
      <c r="A6" s="24"/>
      <c r="B6" s="4" t="s">
        <v>539</v>
      </c>
      <c r="C6" s="14">
        <f>'Contribution Inputs'!C23</f>
        <v>13223</v>
      </c>
      <c r="D6" s="14">
        <f>'Contribution Inputs'!D23</f>
        <v>14899</v>
      </c>
      <c r="E6" s="14">
        <f>'Contribution Inputs'!E23</f>
        <v>14924</v>
      </c>
      <c r="F6" s="14">
        <f>'Contribution Inputs'!F23</f>
        <v>15754</v>
      </c>
      <c r="G6" s="14">
        <f>'Contribution Inputs'!G23</f>
        <v>16680</v>
      </c>
      <c r="H6" s="14">
        <f>'Contribution Inputs'!H23</f>
        <v>15543</v>
      </c>
    </row>
    <row r="7" spans="1:8" ht="15" customHeight="1">
      <c r="A7" s="24"/>
      <c r="B7" s="4" t="s">
        <v>540</v>
      </c>
      <c r="C7" s="14">
        <f>'Contribution Inputs'!C24</f>
        <v>3010</v>
      </c>
      <c r="D7" s="14">
        <f>'Contribution Inputs'!D24</f>
        <v>4006</v>
      </c>
      <c r="E7" s="14">
        <f>'Contribution Inputs'!E24</f>
        <v>3121</v>
      </c>
      <c r="F7" s="14">
        <f>'Contribution Inputs'!F24</f>
        <v>3973</v>
      </c>
      <c r="G7" s="14">
        <f>'Contribution Inputs'!G24</f>
        <v>3382</v>
      </c>
      <c r="H7" s="14">
        <f>'Contribution Inputs'!H24</f>
        <v>4194</v>
      </c>
    </row>
    <row r="8" spans="1:8" ht="15" customHeight="1">
      <c r="A8" s="24"/>
      <c r="B8" s="15" t="s">
        <v>541</v>
      </c>
      <c r="C8" s="396">
        <f t="shared" ref="C8:H8" si="0">C6+C7</f>
        <v>16233</v>
      </c>
      <c r="D8" s="396">
        <f t="shared" si="0"/>
        <v>18905</v>
      </c>
      <c r="E8" s="396">
        <f t="shared" si="0"/>
        <v>18045</v>
      </c>
      <c r="F8" s="396">
        <f t="shared" si="0"/>
        <v>19727</v>
      </c>
      <c r="G8" s="396">
        <f t="shared" si="0"/>
        <v>20062</v>
      </c>
      <c r="H8" s="396">
        <f t="shared" si="0"/>
        <v>19737</v>
      </c>
    </row>
    <row r="9" spans="1:8">
      <c r="A9" s="24"/>
      <c r="B9" s="24"/>
      <c r="C9" s="24"/>
      <c r="D9" s="24"/>
      <c r="E9" s="24"/>
      <c r="F9" s="24"/>
      <c r="G9" s="24"/>
      <c r="H9" s="24"/>
    </row>
    <row r="10" spans="1:8" ht="15" customHeight="1">
      <c r="A10" s="24"/>
      <c r="B10" s="4" t="s">
        <v>518</v>
      </c>
      <c r="C10" s="13">
        <f t="shared" ref="C10:H10" si="1">C6/C8</f>
        <v>0.81457524795170333</v>
      </c>
      <c r="D10" s="13">
        <f t="shared" si="1"/>
        <v>0.78809838667019305</v>
      </c>
      <c r="E10" s="13">
        <f t="shared" si="1"/>
        <v>0.82704350235522306</v>
      </c>
      <c r="F10" s="13">
        <f t="shared" si="1"/>
        <v>0.79860090231662184</v>
      </c>
      <c r="G10" s="13">
        <f t="shared" si="1"/>
        <v>0.83142258997108964</v>
      </c>
      <c r="H10" s="13">
        <f t="shared" si="1"/>
        <v>0.78750569995440034</v>
      </c>
    </row>
    <row r="11" spans="1:8" ht="15" customHeight="1">
      <c r="A11" s="24"/>
      <c r="B11" s="194" t="s">
        <v>519</v>
      </c>
      <c r="C11" s="230">
        <f t="shared" ref="C11:H11" si="2">C7/C8</f>
        <v>0.18542475204829667</v>
      </c>
      <c r="D11" s="230">
        <f t="shared" si="2"/>
        <v>0.21190161332980692</v>
      </c>
      <c r="E11" s="230">
        <f t="shared" si="2"/>
        <v>0.17295649764477694</v>
      </c>
      <c r="F11" s="230">
        <f t="shared" si="2"/>
        <v>0.2013990976833781</v>
      </c>
      <c r="G11" s="230">
        <f t="shared" si="2"/>
        <v>0.16857741002891038</v>
      </c>
      <c r="H11" s="230">
        <f t="shared" si="2"/>
        <v>0.21249430004559963</v>
      </c>
    </row>
    <row r="13" spans="1:8" ht="18" customHeight="1">
      <c r="A13" s="24"/>
      <c r="B13" s="369" t="s">
        <v>542</v>
      </c>
      <c r="C13" s="370"/>
      <c r="D13" s="370"/>
      <c r="E13" s="370"/>
      <c r="F13" s="370"/>
      <c r="G13" s="370"/>
      <c r="H13" s="370"/>
    </row>
    <row r="14" spans="1:8" ht="15" customHeight="1">
      <c r="A14" s="24"/>
      <c r="B14" s="4" t="s">
        <v>543</v>
      </c>
      <c r="C14" s="13">
        <f>C6/'Revenue Contribution'!C6</f>
        <v>0.18790143807196044</v>
      </c>
      <c r="D14" s="13">
        <f>D6/'Revenue Contribution'!D6</f>
        <v>0.18747011601278404</v>
      </c>
      <c r="E14" s="13">
        <f>E6/'Revenue Contribution'!E6</f>
        <v>0.17274747661820539</v>
      </c>
      <c r="F14" s="13">
        <f>F6/'Revenue Contribution'!F6</f>
        <v>0.17222944977096566</v>
      </c>
      <c r="G14" s="13">
        <f>G6/'Revenue Contribution'!G6</f>
        <v>0.18159252727153963</v>
      </c>
      <c r="H14" s="13">
        <f>H6/'Revenue Contribution'!H6</f>
        <v>0.16548309821666224</v>
      </c>
    </row>
    <row r="15" spans="1:8" ht="15" customHeight="1">
      <c r="A15" s="24"/>
      <c r="B15" s="4" t="s">
        <v>544</v>
      </c>
      <c r="C15" s="13">
        <f>C7/'Revenue Contribution'!C7</f>
        <v>0.25908073678774318</v>
      </c>
      <c r="D15" s="13">
        <f>D7/'Revenue Contribution'!D7</f>
        <v>0.3158558700622881</v>
      </c>
      <c r="E15" s="13">
        <f>E7/'Revenue Contribution'!E7</f>
        <v>0.22202461407128121</v>
      </c>
      <c r="F15" s="13">
        <f>F7/'Revenue Contribution'!F7</f>
        <v>0.26819225057378154</v>
      </c>
      <c r="G15" s="13">
        <f>G7/'Revenue Contribution'!G7</f>
        <v>0.22031138036609993</v>
      </c>
      <c r="H15" s="13">
        <f>H7/'Revenue Contribution'!H7</f>
        <v>0.25260495091248569</v>
      </c>
    </row>
    <row r="16" spans="1:8" ht="15" customHeight="1">
      <c r="A16" s="24"/>
      <c r="B16" s="15" t="s">
        <v>545</v>
      </c>
      <c r="C16" s="397">
        <f>C8/'Revenue Contribution'!C8</f>
        <v>0.19798755945847055</v>
      </c>
      <c r="D16" s="397">
        <f>D8/'Revenue Contribution'!D8</f>
        <v>0.20513905617587377</v>
      </c>
      <c r="E16" s="397">
        <f>E8/'Revenue Contribution'!E8</f>
        <v>0.1796434011289311</v>
      </c>
      <c r="F16" s="397">
        <f>F8/'Revenue Contribution'!F8</f>
        <v>0.18560474196735194</v>
      </c>
      <c r="G16" s="397">
        <f>G8/'Revenue Contribution'!G8</f>
        <v>0.18713679399281749</v>
      </c>
      <c r="H16" s="397">
        <f>H8/'Revenue Contribution'!H8</f>
        <v>0.17857013607411695</v>
      </c>
    </row>
    <row r="17" spans="1:8">
      <c r="A17" s="24"/>
      <c r="B17" s="24"/>
      <c r="C17" s="24"/>
      <c r="D17" s="24"/>
      <c r="E17" s="24"/>
      <c r="F17" s="24"/>
      <c r="G17" s="24"/>
      <c r="H17" s="24"/>
    </row>
    <row r="18" spans="1:8">
      <c r="A18" s="24"/>
      <c r="B18" s="115" t="s">
        <v>513</v>
      </c>
      <c r="C18" s="24"/>
      <c r="D18" s="24"/>
      <c r="E18" s="24"/>
      <c r="F18" s="24"/>
      <c r="G18" s="24"/>
      <c r="H18" s="24"/>
    </row>
    <row r="19" spans="1:8">
      <c r="A19" s="24"/>
      <c r="C19" s="24"/>
      <c r="D19" s="24"/>
      <c r="E19" s="24"/>
      <c r="F19" s="24"/>
      <c r="G19" s="24"/>
      <c r="H19" s="24"/>
    </row>
  </sheetData>
  <pageMargins left="0.75" right="0.75" top="1" bottom="1" header="0.5" footer="0.5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79998168889431442"/>
  </sheetPr>
  <dimension ref="A1:H21"/>
  <sheetViews>
    <sheetView showGridLines="0" workbookViewId="0">
      <pane ySplit="5" topLeftCell="A6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2" customWidth="1"/>
    <col min="3" max="3" width="13.42578125" customWidth="1"/>
  </cols>
  <sheetData>
    <row r="1" spans="1:8" ht="9" customHeight="1">
      <c r="A1" s="24"/>
      <c r="B1" s="24"/>
      <c r="C1" s="24"/>
      <c r="D1" s="24"/>
      <c r="E1" s="24"/>
      <c r="F1" s="24"/>
      <c r="G1" s="24"/>
      <c r="H1" s="24"/>
    </row>
    <row r="2" spans="1:8" ht="22" customHeight="1">
      <c r="A2" s="24"/>
      <c r="B2" s="304" t="s">
        <v>546</v>
      </c>
      <c r="C2" s="86"/>
      <c r="D2" s="24"/>
      <c r="E2" s="24"/>
      <c r="F2" s="24"/>
      <c r="G2" s="24"/>
      <c r="H2" s="24"/>
    </row>
    <row r="3" spans="1:8" ht="15" customHeight="1">
      <c r="A3" s="24"/>
      <c r="B3" s="305" t="str">
        <f>"PepsiCo (PEP) + Keurig Dr Pepper (KDP)  ·  FY2020-FY2025  ·  USD millions"</f>
        <v>PepsiCo (PEP) + Keurig Dr Pepper (KDP)  ·  FY2020-FY2025  ·  USD millions</v>
      </c>
      <c r="C3" s="24"/>
      <c r="D3" s="24"/>
      <c r="E3" s="24"/>
      <c r="F3" s="24"/>
      <c r="G3" s="24"/>
      <c r="H3" s="24"/>
    </row>
    <row r="4" spans="1:8" ht="9" customHeight="1">
      <c r="A4" s="24"/>
      <c r="B4" s="24"/>
      <c r="C4" s="24"/>
      <c r="D4" s="24"/>
      <c r="E4" s="24"/>
      <c r="F4" s="24"/>
      <c r="G4" s="24"/>
      <c r="H4" s="24"/>
    </row>
    <row r="5" spans="1:8" ht="15" customHeight="1">
      <c r="A5" s="24"/>
      <c r="B5" s="66"/>
      <c r="C5" s="351" t="s">
        <v>334</v>
      </c>
      <c r="D5" s="351" t="s">
        <v>335</v>
      </c>
      <c r="E5" s="351" t="s">
        <v>336</v>
      </c>
      <c r="F5" s="351" t="s">
        <v>337</v>
      </c>
      <c r="G5" s="351" t="s">
        <v>338</v>
      </c>
      <c r="H5" s="351" t="s">
        <v>122</v>
      </c>
    </row>
    <row r="6" spans="1:8" ht="15" customHeight="1">
      <c r="A6" s="24"/>
      <c r="B6" s="4" t="s">
        <v>539</v>
      </c>
      <c r="C6" s="57">
        <f>'Contribution Inputs'!C25</f>
        <v>7120</v>
      </c>
      <c r="D6" s="57">
        <f>'Contribution Inputs'!D25</f>
        <v>7618</v>
      </c>
      <c r="E6" s="57">
        <f>'Contribution Inputs'!E25</f>
        <v>8910</v>
      </c>
      <c r="F6" s="57">
        <f>'Contribution Inputs'!F25</f>
        <v>9074</v>
      </c>
      <c r="G6" s="57">
        <f>'Contribution Inputs'!G25</f>
        <v>9578</v>
      </c>
      <c r="H6" s="57">
        <f>'Contribution Inputs'!H25</f>
        <v>8240</v>
      </c>
    </row>
    <row r="7" spans="1:8" ht="15" customHeight="1">
      <c r="A7" s="24"/>
      <c r="B7" s="4" t="s">
        <v>540</v>
      </c>
      <c r="C7" s="57">
        <f>'Contribution Inputs'!C26</f>
        <v>1325</v>
      </c>
      <c r="D7" s="57">
        <f>'Contribution Inputs'!D26</f>
        <v>2146</v>
      </c>
      <c r="E7" s="57">
        <f>'Contribution Inputs'!E26</f>
        <v>1436</v>
      </c>
      <c r="F7" s="57">
        <f>'Contribution Inputs'!F26</f>
        <v>2181</v>
      </c>
      <c r="G7" s="57">
        <f>'Contribution Inputs'!G26</f>
        <v>1441</v>
      </c>
      <c r="H7" s="57">
        <f>'Contribution Inputs'!H26</f>
        <v>2079</v>
      </c>
    </row>
    <row r="8" spans="1:8" ht="15" customHeight="1">
      <c r="A8" s="24"/>
      <c r="B8" s="15" t="s">
        <v>541</v>
      </c>
      <c r="C8" s="398">
        <f t="shared" ref="C8:H8" si="0">C6+C7</f>
        <v>8445</v>
      </c>
      <c r="D8" s="398">
        <f t="shared" si="0"/>
        <v>9764</v>
      </c>
      <c r="E8" s="398">
        <f t="shared" si="0"/>
        <v>10346</v>
      </c>
      <c r="F8" s="398">
        <f t="shared" si="0"/>
        <v>11255</v>
      </c>
      <c r="G8" s="398">
        <f t="shared" si="0"/>
        <v>11019</v>
      </c>
      <c r="H8" s="398">
        <f t="shared" si="0"/>
        <v>10319</v>
      </c>
    </row>
    <row r="9" spans="1:8">
      <c r="A9" s="24"/>
      <c r="B9" s="24"/>
      <c r="C9" s="24"/>
      <c r="D9" s="24"/>
      <c r="E9" s="24"/>
      <c r="F9" s="24"/>
      <c r="G9" s="24"/>
      <c r="H9" s="24"/>
    </row>
    <row r="10" spans="1:8" ht="15" customHeight="1">
      <c r="A10" s="24"/>
      <c r="B10" s="4" t="s">
        <v>518</v>
      </c>
      <c r="C10" s="13">
        <f t="shared" ref="C10:H10" si="1">C6/C8</f>
        <v>0.8431024274718768</v>
      </c>
      <c r="D10" s="13">
        <f t="shared" si="1"/>
        <v>0.78021302744776733</v>
      </c>
      <c r="E10" s="13">
        <f t="shared" si="1"/>
        <v>0.86120239706166635</v>
      </c>
      <c r="F10" s="13">
        <f t="shared" si="1"/>
        <v>0.80621945801865835</v>
      </c>
      <c r="G10" s="13">
        <f t="shared" si="1"/>
        <v>0.86922588256647604</v>
      </c>
      <c r="H10" s="13">
        <f t="shared" si="1"/>
        <v>0.79852698904932651</v>
      </c>
    </row>
    <row r="11" spans="1:8" ht="15" customHeight="1">
      <c r="A11" s="24"/>
      <c r="B11" s="4" t="s">
        <v>519</v>
      </c>
      <c r="C11" s="13">
        <f t="shared" ref="C11:H11" si="2">C7/C8</f>
        <v>0.15689757252812314</v>
      </c>
      <c r="D11" s="13">
        <f t="shared" si="2"/>
        <v>0.2197869725522327</v>
      </c>
      <c r="E11" s="13">
        <f t="shared" si="2"/>
        <v>0.13879760293833365</v>
      </c>
      <c r="F11" s="13">
        <f t="shared" si="2"/>
        <v>0.19378054198134162</v>
      </c>
      <c r="G11" s="13">
        <f t="shared" si="2"/>
        <v>0.13077411743352391</v>
      </c>
      <c r="H11" s="13">
        <f t="shared" si="2"/>
        <v>0.20147301095067352</v>
      </c>
    </row>
    <row r="12" spans="1:8">
      <c r="A12" s="24"/>
      <c r="B12" s="24"/>
      <c r="C12" s="24"/>
      <c r="D12" s="24"/>
      <c r="E12" s="24"/>
      <c r="F12" s="24"/>
      <c r="G12" s="24"/>
      <c r="H12" s="24"/>
    </row>
    <row r="13" spans="1:8">
      <c r="A13" s="24"/>
      <c r="B13" s="24"/>
      <c r="C13" s="24"/>
      <c r="D13" s="24"/>
      <c r="E13" s="24"/>
      <c r="F13" s="24"/>
      <c r="G13" s="24"/>
      <c r="H13" s="24"/>
    </row>
    <row r="14" spans="1:8">
      <c r="A14" s="24"/>
      <c r="B14" s="65" t="s">
        <v>547</v>
      </c>
      <c r="C14" s="24"/>
      <c r="D14" s="24"/>
      <c r="E14" s="24"/>
      <c r="F14" s="24"/>
      <c r="G14" s="24"/>
      <c r="H14" s="24"/>
    </row>
    <row r="15" spans="1:8" ht="18" customHeight="1">
      <c r="A15" s="24"/>
      <c r="B15" s="64"/>
      <c r="C15" s="399" t="s">
        <v>334</v>
      </c>
      <c r="D15" s="399" t="s">
        <v>335</v>
      </c>
      <c r="E15" s="399" t="s">
        <v>336</v>
      </c>
      <c r="F15" s="399" t="s">
        <v>337</v>
      </c>
      <c r="G15" s="399" t="s">
        <v>338</v>
      </c>
      <c r="H15" s="399" t="s">
        <v>122</v>
      </c>
    </row>
    <row r="16" spans="1:8" ht="15" customHeight="1">
      <c r="A16" s="24"/>
      <c r="B16" s="4" t="s">
        <v>543</v>
      </c>
      <c r="C16" s="13">
        <f>C6/'Revenue Contribution'!C6</f>
        <v>0.10117660433126811</v>
      </c>
      <c r="D16" s="13">
        <f>D6/'Revenue Contribution'!D6</f>
        <v>9.5855248257291692E-2</v>
      </c>
      <c r="E16" s="13">
        <f>E6/'Revenue Contribution'!E6</f>
        <v>0.10313454949532364</v>
      </c>
      <c r="F16" s="13">
        <f>F6/'Revenue Contribution'!F6</f>
        <v>9.920083961036831E-2</v>
      </c>
      <c r="G16" s="13">
        <f>G6/'Revenue Contribution'!G6</f>
        <v>0.10427417423302197</v>
      </c>
      <c r="H16" s="13">
        <f>H6/'Revenue Contribution'!H6</f>
        <v>8.7729571466595685E-2</v>
      </c>
    </row>
    <row r="17" spans="1:8" ht="15" customHeight="1">
      <c r="A17" s="24"/>
      <c r="B17" s="4" t="s">
        <v>544</v>
      </c>
      <c r="C17" s="13">
        <f>C7/'Revenue Contribution'!C7</f>
        <v>0.11404716818729557</v>
      </c>
      <c r="D17" s="13">
        <f>D7/'Revenue Contribution'!D7</f>
        <v>0.16920286998344242</v>
      </c>
      <c r="E17" s="13">
        <f>E7/'Revenue Contribution'!E7</f>
        <v>0.10215550971046454</v>
      </c>
      <c r="F17" s="13">
        <f>F7/'Revenue Contribution'!F7</f>
        <v>0.14722559740785743</v>
      </c>
      <c r="G17" s="13">
        <f>G7/'Revenue Contribution'!G7</f>
        <v>9.3870106182007682E-2</v>
      </c>
      <c r="H17" s="13">
        <f>H7/'Revenue Contribution'!H7</f>
        <v>0.12521833403601759</v>
      </c>
    </row>
    <row r="18" spans="1:8" ht="15" customHeight="1">
      <c r="A18" s="24"/>
      <c r="B18" s="15" t="s">
        <v>545</v>
      </c>
      <c r="C18" s="397">
        <f>C8/'Revenue Contribution'!C8</f>
        <v>0.10300036589828028</v>
      </c>
      <c r="D18" s="397">
        <f>D8/'Revenue Contribution'!D8</f>
        <v>0.10594962943672212</v>
      </c>
      <c r="E18" s="397">
        <f>E8/'Revenue Contribution'!E8</f>
        <v>0.10299754104072714</v>
      </c>
      <c r="F18" s="397">
        <f>F8/'Revenue Contribution'!F8</f>
        <v>0.10589452886108106</v>
      </c>
      <c r="G18" s="397">
        <f>G8/'Revenue Contribution'!G8</f>
        <v>0.10278438505666714</v>
      </c>
      <c r="H18" s="397">
        <f>H8/'Revenue Contribution'!H8</f>
        <v>9.3360958309206724E-2</v>
      </c>
    </row>
    <row r="19" spans="1:8">
      <c r="A19" s="24"/>
      <c r="B19" s="24"/>
      <c r="C19" s="24"/>
      <c r="D19" s="24"/>
      <c r="E19" s="24"/>
      <c r="F19" s="24"/>
      <c r="G19" s="24"/>
      <c r="H19" s="24"/>
    </row>
    <row r="20" spans="1:8">
      <c r="A20" s="24"/>
      <c r="B20" s="24"/>
      <c r="C20" s="24"/>
      <c r="D20" s="24"/>
      <c r="E20" s="24"/>
      <c r="F20" s="24"/>
      <c r="G20" s="24"/>
      <c r="H20" s="24"/>
    </row>
    <row r="21" spans="1:8">
      <c r="A21" s="24"/>
      <c r="B21" s="115" t="s">
        <v>513</v>
      </c>
      <c r="C21" s="24"/>
      <c r="D21" s="24"/>
      <c r="E21" s="24"/>
      <c r="F21" s="24"/>
      <c r="G21" s="24"/>
      <c r="H21" s="24"/>
    </row>
  </sheetData>
  <pageMargins left="0.75" right="0.75" top="1" bottom="1" header="0.5" footer="0.5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79998168889431442"/>
  </sheetPr>
  <dimension ref="A1:O45"/>
  <sheetViews>
    <sheetView showGridLines="0" workbookViewId="0">
      <pane ySplit="3" topLeftCell="A4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6" customWidth="1"/>
    <col min="3" max="4" width="15.85546875" style="244" customWidth="1"/>
    <col min="5" max="5" width="19.140625" style="244" customWidth="1"/>
    <col min="6" max="7" width="15.85546875" style="244" customWidth="1"/>
  </cols>
  <sheetData>
    <row r="1" spans="1:7" ht="9" customHeight="1">
      <c r="A1" s="24"/>
      <c r="B1" s="24"/>
      <c r="C1" s="221"/>
      <c r="D1" s="221"/>
      <c r="E1" s="221"/>
      <c r="F1" s="221"/>
      <c r="G1" s="221"/>
    </row>
    <row r="2" spans="1:7" ht="22" customHeight="1">
      <c r="A2" s="24"/>
      <c r="B2" s="304" t="s">
        <v>548</v>
      </c>
      <c r="C2" s="221"/>
      <c r="D2" s="221"/>
      <c r="E2" s="221"/>
      <c r="F2" s="221"/>
      <c r="G2" s="221"/>
    </row>
    <row r="3" spans="1:7" ht="15" customHeight="1">
      <c r="A3" s="24"/>
      <c r="B3" s="305" t="str">
        <f>_xlfn.CONCAT("PepsiCo (PEP) acquiring Keurig Dr Pepper (KDP)  ·  Base case: ",TEXT('Contribution Inputs'!B4,"0%"),"/",TEXT('Contribution Inputs'!B5,"0%")," stock/cash at ",TEXT('Contribution Inputs'!B3,"0%")," premium")</f>
        <v>PepsiCo (PEP) acquiring Keurig Dr Pepper (KDP)  ·  Base case: 70%/30% stock/cash at 30% premium</v>
      </c>
      <c r="C3" s="221"/>
      <c r="D3" s="221"/>
      <c r="E3" s="221"/>
      <c r="F3" s="221"/>
      <c r="G3" s="221"/>
    </row>
    <row r="4" spans="1:7" ht="9" customHeight="1">
      <c r="A4" s="24"/>
      <c r="B4" s="24"/>
      <c r="C4" s="221"/>
      <c r="D4" s="221"/>
      <c r="E4" s="221"/>
      <c r="F4" s="221"/>
      <c r="G4" s="221"/>
    </row>
    <row r="5" spans="1:7" ht="18" customHeight="1">
      <c r="A5" s="24"/>
      <c r="B5" s="386" t="s">
        <v>549</v>
      </c>
      <c r="C5" s="400"/>
      <c r="D5" s="221"/>
      <c r="E5" s="221"/>
      <c r="F5" s="221"/>
      <c r="G5" s="221"/>
    </row>
    <row r="6" spans="1:7" ht="15" customHeight="1">
      <c r="A6" s="24"/>
      <c r="B6" s="4" t="s">
        <v>550</v>
      </c>
      <c r="C6" s="240">
        <f>'Contribution Inputs'!B10</f>
        <v>197409.94</v>
      </c>
      <c r="D6" s="221"/>
      <c r="E6" s="221"/>
      <c r="F6" s="221"/>
      <c r="G6" s="221"/>
    </row>
    <row r="7" spans="1:7" ht="15" customHeight="1">
      <c r="A7" s="24"/>
      <c r="B7" s="4" t="s">
        <v>551</v>
      </c>
      <c r="C7" s="240">
        <f>'Contribution Inputs'!B13</f>
        <v>38172.027999999998</v>
      </c>
      <c r="D7" s="221"/>
      <c r="E7" s="221"/>
      <c r="F7" s="221"/>
      <c r="G7" s="221"/>
    </row>
    <row r="8" spans="1:7" ht="15" customHeight="1">
      <c r="A8" s="24"/>
      <c r="B8" s="4" t="s">
        <v>552</v>
      </c>
      <c r="C8" s="240">
        <f>C6+C7</f>
        <v>235581.96799999999</v>
      </c>
      <c r="D8" s="221"/>
      <c r="E8" s="221"/>
      <c r="F8" s="221"/>
      <c r="G8" s="221"/>
    </row>
    <row r="9" spans="1:7">
      <c r="A9" s="24"/>
      <c r="B9" s="24"/>
      <c r="C9" s="221"/>
      <c r="D9" s="221"/>
      <c r="E9" s="221"/>
      <c r="F9" s="221"/>
      <c r="G9" s="221"/>
    </row>
    <row r="10" spans="1:7" ht="18" customHeight="1">
      <c r="A10" s="24"/>
      <c r="B10" s="386" t="s">
        <v>553</v>
      </c>
      <c r="C10" s="401"/>
      <c r="D10" s="221"/>
      <c r="E10" s="402" t="s">
        <v>554</v>
      </c>
      <c r="F10" s="403"/>
      <c r="G10" s="249"/>
    </row>
    <row r="11" spans="1:7" ht="15" customHeight="1">
      <c r="A11" s="24"/>
      <c r="B11" s="4" t="s">
        <v>555</v>
      </c>
      <c r="C11" s="404">
        <f>'Contribution Inputs'!B3</f>
        <v>0.3</v>
      </c>
      <c r="D11" s="221"/>
      <c r="E11" s="248" t="s">
        <v>556</v>
      </c>
      <c r="F11" s="405">
        <f>C7*(1+C11)</f>
        <v>49623.636400000003</v>
      </c>
      <c r="G11" s="221"/>
    </row>
    <row r="12" spans="1:7" ht="15" customHeight="1">
      <c r="A12" s="24"/>
      <c r="B12" s="4" t="s">
        <v>557</v>
      </c>
      <c r="C12" s="404">
        <f>'Contribution Inputs'!B4</f>
        <v>0.7</v>
      </c>
      <c r="D12" s="221"/>
      <c r="E12" s="248" t="s">
        <v>558</v>
      </c>
      <c r="F12" s="405">
        <f>F11*C12</f>
        <v>34736.545480000001</v>
      </c>
      <c r="G12" s="221"/>
    </row>
    <row r="13" spans="1:7" ht="15" customHeight="1">
      <c r="A13" s="24"/>
      <c r="B13" s="4" t="s">
        <v>559</v>
      </c>
      <c r="C13" s="404">
        <f>'Contribution Inputs'!B5</f>
        <v>0.30000000000000004</v>
      </c>
      <c r="D13" s="221"/>
      <c r="E13" s="406" t="s">
        <v>560</v>
      </c>
      <c r="F13" s="407">
        <f>F12/'Contribution Inputs'!B9</f>
        <v>241.59511392405062</v>
      </c>
      <c r="G13" s="221"/>
    </row>
    <row r="14" spans="1:7" ht="15" customHeight="1">
      <c r="A14" s="24"/>
      <c r="B14" s="4" t="s">
        <v>561</v>
      </c>
      <c r="C14" s="408">
        <v>28.01</v>
      </c>
      <c r="D14" s="221"/>
      <c r="E14" s="406" t="s">
        <v>562</v>
      </c>
      <c r="F14" s="409">
        <f>F13/('Contribution Inputs'!B8+F13)</f>
        <v>0.14963201104757901</v>
      </c>
      <c r="G14" s="221"/>
    </row>
    <row r="15" spans="1:7">
      <c r="A15" s="24"/>
      <c r="B15" s="410" t="s">
        <v>563</v>
      </c>
      <c r="C15" s="221"/>
      <c r="D15" s="221"/>
      <c r="E15" s="221"/>
      <c r="F15" s="221"/>
      <c r="G15" s="221"/>
    </row>
    <row r="16" spans="1:7">
      <c r="A16" s="24"/>
      <c r="B16" s="411" t="s">
        <v>564</v>
      </c>
      <c r="C16" s="221"/>
      <c r="D16" s="221"/>
      <c r="E16" s="221"/>
      <c r="F16" s="221"/>
      <c r="G16" s="221"/>
    </row>
    <row r="17" spans="1:7" ht="15" customHeight="1">
      <c r="A17" s="24"/>
      <c r="B17" s="66"/>
      <c r="C17" s="412">
        <v>0.2</v>
      </c>
      <c r="D17" s="412">
        <v>0.25</v>
      </c>
      <c r="E17" s="412">
        <v>0.3</v>
      </c>
      <c r="F17" s="412">
        <v>0.4</v>
      </c>
      <c r="G17" s="412">
        <v>0.5</v>
      </c>
    </row>
    <row r="18" spans="1:7" ht="15" customHeight="1">
      <c r="A18" s="24"/>
      <c r="B18" s="4" t="s">
        <v>565</v>
      </c>
      <c r="C18" s="30">
        <f>$C$7*(1+C$17)</f>
        <v>45806.433599999997</v>
      </c>
      <c r="D18" s="30">
        <f>$C$7*(1+D$17)</f>
        <v>47715.034999999996</v>
      </c>
      <c r="E18" s="30">
        <f>$C$7*(1+E$17)</f>
        <v>49623.636400000003</v>
      </c>
      <c r="F18" s="30">
        <f>$C$7*(1+F$17)</f>
        <v>53440.839199999995</v>
      </c>
      <c r="G18" s="30">
        <f>$C$7*(1+G$17)</f>
        <v>57258.042000000001</v>
      </c>
    </row>
    <row r="19" spans="1:7" ht="15" customHeight="1">
      <c r="A19" s="24"/>
      <c r="B19" s="4" t="s">
        <v>558</v>
      </c>
      <c r="C19" s="245">
        <f>C18*'Contribution Inputs'!B4</f>
        <v>32064.503519999995</v>
      </c>
      <c r="D19" s="245">
        <f>D18*'Contribution Inputs'!B4</f>
        <v>33400.524499999992</v>
      </c>
      <c r="E19" s="245">
        <f>E18*'Contribution Inputs'!B4</f>
        <v>34736.545480000001</v>
      </c>
      <c r="F19" s="245">
        <f>F18*'Contribution Inputs'!B4</f>
        <v>37408.587439999996</v>
      </c>
      <c r="G19" s="245">
        <f>G18*'Contribution Inputs'!B4</f>
        <v>40080.629399999998</v>
      </c>
    </row>
    <row r="20" spans="1:7" ht="15" customHeight="1">
      <c r="A20" s="24"/>
      <c r="B20" s="4" t="s">
        <v>566</v>
      </c>
      <c r="C20" s="245">
        <f>C18*'Contribution Inputs'!B5</f>
        <v>13741.930080000002</v>
      </c>
      <c r="D20" s="245">
        <f>D18*'Contribution Inputs'!B5</f>
        <v>14314.5105</v>
      </c>
      <c r="E20" s="245">
        <f>E18*'Contribution Inputs'!B5</f>
        <v>14887.090920000002</v>
      </c>
      <c r="F20" s="245">
        <f>F18*'Contribution Inputs'!B5</f>
        <v>16032.251760000001</v>
      </c>
      <c r="G20" s="245">
        <f>G18*'Contribution Inputs'!B5</f>
        <v>17177.412600000003</v>
      </c>
    </row>
    <row r="21" spans="1:7" ht="15" customHeight="1">
      <c r="A21" s="24"/>
      <c r="B21" s="4" t="s">
        <v>560</v>
      </c>
      <c r="C21" s="245">
        <f>C19/'Contribution Inputs'!B9</f>
        <v>223.01087439143132</v>
      </c>
      <c r="D21" s="245">
        <f>D19/'Contribution Inputs'!B9</f>
        <v>232.30299415774093</v>
      </c>
      <c r="E21" s="245">
        <f>E19/'Contribution Inputs'!B9</f>
        <v>241.59511392405062</v>
      </c>
      <c r="F21" s="245">
        <f>F19/'Contribution Inputs'!B9</f>
        <v>260.1793534566699</v>
      </c>
      <c r="G21" s="245">
        <f>G19/'Contribution Inputs'!B9</f>
        <v>278.76359298928918</v>
      </c>
    </row>
    <row r="22" spans="1:7" ht="15" customHeight="1">
      <c r="A22" s="24"/>
      <c r="B22" s="4" t="s">
        <v>567</v>
      </c>
      <c r="C22" s="245">
        <f>'Contribution Inputs'!B8+C21</f>
        <v>1596.0108743914313</v>
      </c>
      <c r="D22" s="245">
        <f>'Contribution Inputs'!B8+D21</f>
        <v>1605.3029941577408</v>
      </c>
      <c r="E22" s="245">
        <f>'Contribution Inputs'!B8+E21</f>
        <v>1614.5951139240506</v>
      </c>
      <c r="F22" s="245">
        <f>'Contribution Inputs'!B8+F21</f>
        <v>1633.17935345667</v>
      </c>
      <c r="G22" s="245">
        <f>'Contribution Inputs'!B8+G21</f>
        <v>1651.7635929892892</v>
      </c>
    </row>
    <row r="23" spans="1:7" ht="15" customHeight="1">
      <c r="A23" s="24"/>
      <c r="B23" s="15" t="s">
        <v>568</v>
      </c>
      <c r="C23" s="246">
        <f>'Contribution Inputs'!B8/C22</f>
        <v>0.86026982775009808</v>
      </c>
      <c r="D23" s="246">
        <f>'Contribution Inputs'!B8/D22</f>
        <v>0.85529025049901941</v>
      </c>
      <c r="E23" s="246">
        <f>'Contribution Inputs'!B8/E22</f>
        <v>0.85036798895242105</v>
      </c>
      <c r="F23" s="246">
        <f>'Contribution Inputs'!B8/F22</f>
        <v>0.84069149973884183</v>
      </c>
      <c r="G23" s="246">
        <f>'Contribution Inputs'!B8/G22</f>
        <v>0.83123275378361194</v>
      </c>
    </row>
    <row r="24" spans="1:7" ht="15" customHeight="1">
      <c r="A24" s="24"/>
      <c r="B24" s="15" t="s">
        <v>562</v>
      </c>
      <c r="C24" s="247">
        <f>C21/C22</f>
        <v>0.13973017224990195</v>
      </c>
      <c r="D24" s="247">
        <f>D21/D22</f>
        <v>0.14470974950098067</v>
      </c>
      <c r="E24" s="247">
        <f>E21/E22</f>
        <v>0.14963201104757901</v>
      </c>
      <c r="F24" s="247">
        <f>F21/F22</f>
        <v>0.15930850026115809</v>
      </c>
      <c r="G24" s="247">
        <f>G21/G22</f>
        <v>0.16876724621638806</v>
      </c>
    </row>
    <row r="25" spans="1:7">
      <c r="A25" s="24"/>
      <c r="B25" s="24"/>
      <c r="C25" s="221"/>
      <c r="D25" s="221"/>
      <c r="E25" s="221"/>
      <c r="F25" s="221"/>
      <c r="G25" s="221"/>
    </row>
    <row r="26" spans="1:7">
      <c r="A26" s="24"/>
      <c r="B26" s="24"/>
      <c r="C26" s="221"/>
      <c r="D26" s="221"/>
      <c r="E26" s="221"/>
      <c r="F26" s="221"/>
      <c r="G26" s="221"/>
    </row>
    <row r="27" spans="1:7" ht="18" customHeight="1">
      <c r="A27" s="24"/>
      <c r="B27" s="386" t="s">
        <v>569</v>
      </c>
      <c r="C27" s="400"/>
      <c r="D27" s="400"/>
      <c r="E27" s="400"/>
      <c r="F27" s="221"/>
      <c r="G27" s="221"/>
    </row>
    <row r="28" spans="1:7" ht="15" customHeight="1">
      <c r="A28" s="24"/>
      <c r="B28" s="413" t="s">
        <v>402</v>
      </c>
      <c r="C28" s="414" t="s">
        <v>570</v>
      </c>
      <c r="D28" s="414" t="s">
        <v>571</v>
      </c>
      <c r="E28" s="414" t="s">
        <v>572</v>
      </c>
      <c r="F28" s="221"/>
      <c r="G28" s="221"/>
    </row>
    <row r="29" spans="1:7" ht="15" customHeight="1">
      <c r="A29" s="24"/>
      <c r="B29" s="4" t="s">
        <v>138</v>
      </c>
      <c r="C29" s="241">
        <f>'Contribution Summary'!F7</f>
        <v>0.15021533005211349</v>
      </c>
      <c r="D29" s="241">
        <f t="shared" ref="D29:D34" si="0">$F$14</f>
        <v>0.14963201104757901</v>
      </c>
      <c r="E29" s="242">
        <f t="shared" ref="E29:E34" si="1">C29-D29</f>
        <v>5.8331900453448271E-4</v>
      </c>
      <c r="F29" s="221"/>
      <c r="G29" s="221"/>
    </row>
    <row r="30" spans="1:7" ht="15" customHeight="1">
      <c r="A30" s="24"/>
      <c r="B30" s="4" t="s">
        <v>139</v>
      </c>
      <c r="C30" s="241">
        <f>'Contribution Summary'!F8</f>
        <v>0.21249430004559963</v>
      </c>
      <c r="D30" s="241">
        <f t="shared" si="0"/>
        <v>0.14963201104757901</v>
      </c>
      <c r="E30" s="243">
        <f t="shared" si="1"/>
        <v>6.2862288998020627E-2</v>
      </c>
      <c r="F30" s="221"/>
      <c r="G30" s="221"/>
    </row>
    <row r="31" spans="1:7" ht="15" customHeight="1">
      <c r="A31" s="24"/>
      <c r="B31" s="4" t="s">
        <v>573</v>
      </c>
      <c r="C31" s="241">
        <f>'Contribution Summary'!F9</f>
        <v>0.20147301095067352</v>
      </c>
      <c r="D31" s="241">
        <f t="shared" si="0"/>
        <v>0.14963201104757901</v>
      </c>
      <c r="E31" s="243">
        <f t="shared" si="1"/>
        <v>5.1840999903094515E-2</v>
      </c>
      <c r="F31" s="221"/>
      <c r="G31" s="221"/>
    </row>
    <row r="32" spans="1:7" ht="15" customHeight="1">
      <c r="A32" s="24"/>
      <c r="B32" s="4" t="s">
        <v>574</v>
      </c>
      <c r="C32" s="241">
        <f>'Contribution Summary'!F10</f>
        <v>0.34053592700389296</v>
      </c>
      <c r="D32" s="241">
        <f t="shared" si="0"/>
        <v>0.14963201104757901</v>
      </c>
      <c r="E32" s="243">
        <f t="shared" si="1"/>
        <v>0.19090391595631395</v>
      </c>
      <c r="F32" s="221"/>
      <c r="G32" s="221"/>
    </row>
    <row r="33" spans="1:15" ht="15" customHeight="1">
      <c r="A33" s="24"/>
      <c r="B33" s="4" t="s">
        <v>575</v>
      </c>
      <c r="C33" s="241">
        <f>'Contribution Summary'!F12</f>
        <v>0.16203289379092037</v>
      </c>
      <c r="D33" s="241">
        <f t="shared" si="0"/>
        <v>0.14963201104757901</v>
      </c>
      <c r="E33" s="243">
        <f t="shared" si="1"/>
        <v>1.2400882743341363E-2</v>
      </c>
      <c r="F33" s="221"/>
      <c r="G33" s="221"/>
    </row>
    <row r="34" spans="1:15" ht="15" customHeight="1">
      <c r="A34" s="24"/>
      <c r="B34" s="50" t="s">
        <v>576</v>
      </c>
      <c r="C34" s="409">
        <f>AVERAGE(C29:C31)</f>
        <v>0.18806088034946222</v>
      </c>
      <c r="D34" s="409">
        <f t="shared" si="0"/>
        <v>0.14963201104757901</v>
      </c>
      <c r="E34" s="409">
        <f t="shared" si="1"/>
        <v>3.8428869301883217E-2</v>
      </c>
      <c r="F34" s="221"/>
      <c r="G34" s="221"/>
    </row>
    <row r="35" spans="1:15" ht="15" customHeight="1">
      <c r="A35" s="24"/>
      <c r="B35" s="115" t="s">
        <v>577</v>
      </c>
      <c r="C35" s="221"/>
      <c r="D35" s="221"/>
      <c r="E35" s="221"/>
      <c r="F35" s="221"/>
      <c r="G35" s="221"/>
    </row>
    <row r="36" spans="1:15">
      <c r="A36" s="24"/>
      <c r="B36" s="115" t="s">
        <v>578</v>
      </c>
      <c r="C36" s="221"/>
      <c r="D36" s="221"/>
      <c r="E36" s="221"/>
      <c r="F36" s="221"/>
      <c r="G36" s="221"/>
    </row>
    <row r="37" spans="1:15">
      <c r="A37" s="24"/>
      <c r="B37" s="24"/>
      <c r="C37" s="221"/>
      <c r="D37" s="221"/>
      <c r="E37" s="221"/>
      <c r="F37" s="221"/>
      <c r="G37" s="221"/>
    </row>
    <row r="38" spans="1:15">
      <c r="A38" s="24"/>
      <c r="B38" s="115" t="s">
        <v>513</v>
      </c>
      <c r="C38" s="221"/>
      <c r="D38" s="221"/>
      <c r="E38" s="221"/>
      <c r="F38" s="221"/>
      <c r="G38" s="221"/>
    </row>
    <row r="45" spans="1:15">
      <c r="O45" s="374"/>
    </row>
  </sheetData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E3A8A"/>
  </sheetPr>
  <dimension ref="A1:E91"/>
  <sheetViews>
    <sheetView showGridLines="0" zoomScale="115" workbookViewId="0">
      <pane ySplit="5" topLeftCell="A6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8" customWidth="1"/>
    <col min="3" max="3" width="20" customWidth="1"/>
    <col min="4" max="4" width="18" customWidth="1"/>
    <col min="5" max="7" width="16" customWidth="1"/>
    <col min="8" max="8" width="14" customWidth="1"/>
  </cols>
  <sheetData>
    <row r="1" spans="1:5" ht="9" customHeight="1">
      <c r="A1" s="112"/>
      <c r="B1" s="24"/>
      <c r="C1" s="24"/>
      <c r="D1" s="24"/>
      <c r="E1" s="24"/>
    </row>
    <row r="2" spans="1:5" ht="26" customHeight="1">
      <c r="A2" s="24"/>
      <c r="B2" s="304" t="s">
        <v>14</v>
      </c>
      <c r="C2" s="86"/>
      <c r="D2" s="86"/>
      <c r="E2" s="86"/>
    </row>
    <row r="3" spans="1:5" ht="15" customHeight="1">
      <c r="A3" s="24"/>
      <c r="B3" s="305" t="s">
        <v>15</v>
      </c>
      <c r="C3" s="24"/>
      <c r="D3" s="24"/>
      <c r="E3" s="24"/>
    </row>
    <row r="4" spans="1:5" ht="15" customHeight="1">
      <c r="A4" s="24"/>
      <c r="B4" s="24"/>
      <c r="C4" s="24"/>
      <c r="D4" s="306" t="s">
        <v>16</v>
      </c>
      <c r="E4" s="24"/>
    </row>
    <row r="5" spans="1:5" ht="15" customHeight="1">
      <c r="A5" s="24"/>
      <c r="B5" s="87" t="s">
        <v>17</v>
      </c>
      <c r="C5" s="307" t="s">
        <v>18</v>
      </c>
      <c r="D5" s="24"/>
      <c r="E5" s="24"/>
    </row>
    <row r="6" spans="1:5" ht="9" customHeight="1">
      <c r="A6" s="24"/>
      <c r="B6" s="24"/>
      <c r="C6" s="24"/>
      <c r="D6" s="24"/>
      <c r="E6" s="24"/>
    </row>
    <row r="7" spans="1:5" s="32" customFormat="1" ht="18" customHeight="1" thickBot="1">
      <c r="B7" s="308" t="s">
        <v>19</v>
      </c>
      <c r="C7" s="309" t="s">
        <v>20</v>
      </c>
      <c r="D7" s="310" t="s">
        <v>21</v>
      </c>
    </row>
    <row r="8" spans="1:5" ht="15" customHeight="1">
      <c r="A8" s="24"/>
      <c r="B8" s="87" t="s">
        <v>22</v>
      </c>
      <c r="C8" s="5">
        <f>DCF!C73</f>
        <v>45.825892971345446</v>
      </c>
      <c r="D8" s="114" t="s">
        <v>23</v>
      </c>
      <c r="E8" s="24"/>
    </row>
    <row r="9" spans="1:5" ht="15" customHeight="1">
      <c r="A9" s="24"/>
      <c r="B9" s="104" t="s">
        <v>24</v>
      </c>
      <c r="C9" s="311">
        <f>Assumptions!C40</f>
        <v>28.01</v>
      </c>
      <c r="D9" s="148" t="s">
        <v>25</v>
      </c>
      <c r="E9" s="24"/>
    </row>
    <row r="10" spans="1:5" ht="15" customHeight="1">
      <c r="A10" s="24"/>
      <c r="B10" s="104" t="s">
        <v>26</v>
      </c>
      <c r="C10" s="311">
        <f>Assumptions!C41</f>
        <v>33.83</v>
      </c>
      <c r="D10" s="148" t="s">
        <v>27</v>
      </c>
      <c r="E10" s="24"/>
    </row>
    <row r="11" spans="1:5" ht="15" customHeight="1">
      <c r="A11" s="24"/>
      <c r="B11" s="104" t="s">
        <v>28</v>
      </c>
      <c r="C11" s="147">
        <f>DCF!C73/Assumptions!C40-1</f>
        <v>0.63605472943039776</v>
      </c>
      <c r="D11" s="148" t="s">
        <v>29</v>
      </c>
      <c r="E11" s="24"/>
    </row>
    <row r="12" spans="1:5" ht="15" customHeight="1">
      <c r="A12" s="24"/>
      <c r="B12" s="104" t="s">
        <v>30</v>
      </c>
      <c r="C12" s="152">
        <f>'Monte Carlo Snapshot'!C6</f>
        <v>39.064949648426023</v>
      </c>
      <c r="D12" s="148" t="s">
        <v>31</v>
      </c>
      <c r="E12" s="24"/>
    </row>
    <row r="13" spans="1:5" ht="15" customHeight="1">
      <c r="A13" s="24"/>
      <c r="B13" s="104" t="s">
        <v>32</v>
      </c>
      <c r="C13" s="153">
        <f>'Monte Carlo Snapshot'!C12</f>
        <v>0.86814078506947967</v>
      </c>
      <c r="D13" s="148" t="s">
        <v>33</v>
      </c>
      <c r="E13" s="24"/>
    </row>
    <row r="14" spans="1:5">
      <c r="A14" s="24"/>
      <c r="B14" s="24"/>
      <c r="C14" s="24"/>
      <c r="D14" s="24"/>
      <c r="E14" s="24"/>
    </row>
    <row r="15" spans="1:5" s="32" customFormat="1" ht="18" customHeight="1">
      <c r="B15" s="312" t="s">
        <v>34</v>
      </c>
      <c r="C15" s="313" t="s">
        <v>20</v>
      </c>
      <c r="D15" s="314" t="s">
        <v>21</v>
      </c>
    </row>
    <row r="16" spans="1:5" ht="15" customHeight="1">
      <c r="A16" s="24"/>
      <c r="B16" s="88" t="s">
        <v>35</v>
      </c>
      <c r="C16" s="146">
        <f>Assumptions!C14</f>
        <v>0.3</v>
      </c>
      <c r="D16" s="145" t="s">
        <v>36</v>
      </c>
      <c r="E16" s="24"/>
    </row>
    <row r="17" spans="1:5" ht="15" customHeight="1">
      <c r="A17" s="24"/>
      <c r="B17" s="87" t="s">
        <v>37</v>
      </c>
      <c r="C17" s="5">
        <f>Assumptions!C40*(1+Assumptions!C14)</f>
        <v>36.413000000000004</v>
      </c>
      <c r="D17" s="114" t="s">
        <v>38</v>
      </c>
      <c r="E17" s="24"/>
    </row>
    <row r="18" spans="1:5" ht="15" customHeight="1">
      <c r="A18" s="24"/>
      <c r="B18" s="104" t="s">
        <v>39</v>
      </c>
      <c r="C18" s="149">
        <f>Assumptions!C40*(1+Assumptions!C14)*Assumptions!C39</f>
        <v>49623.636400000003</v>
      </c>
      <c r="D18" s="148" t="s">
        <v>40</v>
      </c>
      <c r="E18" s="24"/>
    </row>
    <row r="19" spans="1:5" ht="15" customHeight="1">
      <c r="A19" s="24"/>
      <c r="B19" s="104" t="s">
        <v>41</v>
      </c>
      <c r="C19" s="147">
        <f>Assumptions!C15</f>
        <v>0.7</v>
      </c>
      <c r="D19" s="148" t="s">
        <v>42</v>
      </c>
      <c r="E19" s="24"/>
    </row>
    <row r="20" spans="1:5" ht="15" customHeight="1">
      <c r="A20" s="24"/>
      <c r="B20" s="104" t="s">
        <v>43</v>
      </c>
      <c r="C20" s="149">
        <f>Assumptions!C16</f>
        <v>300</v>
      </c>
      <c r="D20" s="148" t="s">
        <v>44</v>
      </c>
      <c r="E20" s="24"/>
    </row>
    <row r="21" spans="1:5">
      <c r="A21" s="24"/>
      <c r="B21" s="24"/>
      <c r="C21" s="24"/>
      <c r="D21" s="24"/>
      <c r="E21" s="24"/>
    </row>
    <row r="22" spans="1:5" s="32" customFormat="1" ht="18" customHeight="1" thickBot="1">
      <c r="B22" s="308" t="s">
        <v>45</v>
      </c>
      <c r="C22" s="309" t="s">
        <v>46</v>
      </c>
      <c r="D22" s="315" t="s">
        <v>47</v>
      </c>
      <c r="E22" s="315" t="s">
        <v>48</v>
      </c>
    </row>
    <row r="23" spans="1:5" ht="15" customHeight="1">
      <c r="A23" s="24"/>
      <c r="B23" s="143" t="s">
        <v>49</v>
      </c>
      <c r="C23" s="144">
        <f>DCF!C73*0.85</f>
        <v>38.952009025643626</v>
      </c>
      <c r="D23" s="144">
        <f>DCF!C73</f>
        <v>45.825892971345446</v>
      </c>
      <c r="E23" s="144">
        <f>DCF!C73*1.15</f>
        <v>52.699776917047259</v>
      </c>
    </row>
    <row r="24" spans="1:5" ht="15" customHeight="1">
      <c r="A24" s="24"/>
      <c r="B24" s="88" t="s">
        <v>50</v>
      </c>
      <c r="C24" s="9">
        <f>'Trading Comps'!D22*0.85</f>
        <v>34.665447450277441</v>
      </c>
      <c r="D24" s="9">
        <f>'Trading Comps'!D22</f>
        <v>40.782879353267582</v>
      </c>
      <c r="E24" s="9">
        <f>'Trading Comps'!D22*1.15</f>
        <v>46.900311256257716</v>
      </c>
    </row>
    <row r="25" spans="1:5" ht="15" customHeight="1">
      <c r="A25" s="24"/>
      <c r="B25" s="88" t="s">
        <v>51</v>
      </c>
      <c r="C25" s="9">
        <v>18.68786560757264</v>
      </c>
      <c r="D25" s="9">
        <v>21.985724244203109</v>
      </c>
      <c r="E25" s="9">
        <v>25.283582880833571</v>
      </c>
    </row>
    <row r="26" spans="1:5" ht="15" customHeight="1">
      <c r="A26" s="24"/>
      <c r="B26" s="88" t="s">
        <v>52</v>
      </c>
      <c r="C26" s="9">
        <f>'Monte Carlo Snapshot'!C8</f>
        <v>31.947892196030558</v>
      </c>
      <c r="D26" s="9">
        <f>'Monte Carlo Snapshot'!C6</f>
        <v>39.064949648426023</v>
      </c>
      <c r="E26" s="9">
        <f>'Monte Carlo Snapshot'!C10</f>
        <v>48.408205090052753</v>
      </c>
    </row>
    <row r="27" spans="1:5" ht="15" customHeight="1">
      <c r="A27" s="24"/>
      <c r="B27" s="88" t="s">
        <v>53</v>
      </c>
      <c r="C27" s="9">
        <v>30</v>
      </c>
      <c r="D27" s="9">
        <f>Assumptions!C41</f>
        <v>33.83</v>
      </c>
      <c r="E27" s="9">
        <v>39</v>
      </c>
    </row>
    <row r="28" spans="1:5">
      <c r="A28" s="24"/>
      <c r="B28" s="24"/>
      <c r="C28" s="24"/>
      <c r="D28" s="24"/>
      <c r="E28" s="24"/>
    </row>
    <row r="29" spans="1:5" ht="18" customHeight="1">
      <c r="A29" s="24"/>
      <c r="B29" s="312" t="s">
        <v>54</v>
      </c>
      <c r="C29" s="316" t="s">
        <v>20</v>
      </c>
      <c r="D29" s="314" t="s">
        <v>21</v>
      </c>
      <c r="E29" s="317"/>
    </row>
    <row r="30" spans="1:5" ht="15" customHeight="1">
      <c r="A30" s="24"/>
      <c r="B30" s="150" t="s">
        <v>55</v>
      </c>
      <c r="C30" s="318">
        <f>AVERAGE('Contribution Summary'!F7:F9)</f>
        <v>0.18806088034946222</v>
      </c>
      <c r="D30" s="148" t="s">
        <v>56</v>
      </c>
      <c r="E30" s="151"/>
    </row>
    <row r="31" spans="1:5" ht="15" customHeight="1">
      <c r="A31" s="24"/>
      <c r="B31" s="150" t="s">
        <v>57</v>
      </c>
      <c r="C31" s="318">
        <f>'Ownership Bridge'!F14</f>
        <v>0.14963201104757901</v>
      </c>
      <c r="D31" s="148" t="str">
        <f>_xlfn.CONCAT(TEXT(Assumptions!C14,"0%")," premium, ",TEXT(Assumptions!C15,"0%")," stock / ",TEXT(1-Assumptions!C15,"0%")," cash")</f>
        <v>30% premium, 70% stock / 30% cash</v>
      </c>
      <c r="E31" s="151"/>
    </row>
    <row r="32" spans="1:5" ht="15" customHeight="1">
      <c r="A32" s="24"/>
      <c r="B32" s="150" t="s">
        <v>58</v>
      </c>
      <c r="C32" s="318">
        <f>C30-C31</f>
        <v>3.8428869301883217E-2</v>
      </c>
      <c r="D32" s="148" t="s">
        <v>59</v>
      </c>
      <c r="E32" s="151"/>
    </row>
    <row r="33" spans="1:5" ht="15" customHeight="1">
      <c r="A33" s="24"/>
      <c r="B33" s="150" t="s">
        <v>60</v>
      </c>
      <c r="C33" s="318">
        <f>'IRI Model'!D18</f>
        <v>0.13306593175436313</v>
      </c>
      <c r="D33" s="319">
        <f>'IRI Model'!C19</f>
        <v>0</v>
      </c>
      <c r="E33" s="151"/>
    </row>
    <row r="34" spans="1:5" ht="15" customHeight="1">
      <c r="A34" s="24"/>
      <c r="B34" s="150" t="s">
        <v>61</v>
      </c>
      <c r="C34" s="318">
        <f>'IRI Model'!D17</f>
        <v>0.21454421988729933</v>
      </c>
      <c r="D34" s="148" t="s">
        <v>62</v>
      </c>
      <c r="E34" s="151"/>
    </row>
    <row r="35" spans="1:5" ht="15" customHeight="1">
      <c r="A35" s="24"/>
      <c r="B35" s="154" t="s">
        <v>63</v>
      </c>
      <c r="C35" s="320">
        <f>'Pro Forma EPS'!D37</f>
        <v>-3.8566306104492742E-4</v>
      </c>
      <c r="D35" s="155" t="s">
        <v>64</v>
      </c>
      <c r="E35" s="156"/>
    </row>
    <row r="36" spans="1:5" ht="15" customHeight="1">
      <c r="A36" s="24"/>
      <c r="B36" s="150" t="s">
        <v>65</v>
      </c>
      <c r="C36" s="318">
        <f>'Pro Forma EPS'!E37</f>
        <v>3.7180198782085006E-2</v>
      </c>
      <c r="D36" s="148" t="s">
        <v>64</v>
      </c>
      <c r="E36" s="151"/>
    </row>
    <row r="37" spans="1:5">
      <c r="A37" s="24"/>
      <c r="B37" s="24"/>
      <c r="C37" s="24"/>
      <c r="D37" s="24"/>
      <c r="E37" s="24"/>
    </row>
    <row r="38" spans="1:5">
      <c r="A38" s="24"/>
      <c r="B38" s="24"/>
      <c r="C38" s="24"/>
      <c r="D38" s="24"/>
      <c r="E38" s="24"/>
    </row>
    <row r="39" spans="1:5">
      <c r="A39" s="24"/>
      <c r="B39" s="24"/>
      <c r="C39" s="24"/>
      <c r="D39" s="24"/>
      <c r="E39" s="24"/>
    </row>
    <row r="40" spans="1:5">
      <c r="A40" s="24"/>
      <c r="B40" s="24"/>
      <c r="C40" s="24"/>
      <c r="D40" s="24"/>
      <c r="E40" s="24"/>
    </row>
    <row r="41" spans="1:5">
      <c r="A41" s="24"/>
      <c r="B41" s="24"/>
      <c r="C41" s="24"/>
      <c r="D41" s="24"/>
      <c r="E41" s="24"/>
    </row>
    <row r="42" spans="1:5">
      <c r="A42" s="24"/>
      <c r="B42" s="44"/>
      <c r="C42" s="44"/>
      <c r="D42" s="44"/>
      <c r="E42" s="24"/>
    </row>
    <row r="43" spans="1:5">
      <c r="A43" s="24"/>
      <c r="B43" s="44"/>
      <c r="C43" s="44"/>
      <c r="D43" s="44"/>
      <c r="E43" s="24"/>
    </row>
    <row r="44" spans="1:5">
      <c r="A44" s="24"/>
      <c r="B44" s="45" t="s">
        <v>66</v>
      </c>
      <c r="C44" s="44"/>
      <c r="D44" s="44"/>
      <c r="E44" s="24"/>
    </row>
    <row r="45" spans="1:5">
      <c r="A45" s="24"/>
      <c r="B45" s="45" t="s">
        <v>67</v>
      </c>
      <c r="C45" s="45" t="s">
        <v>68</v>
      </c>
      <c r="D45" s="44"/>
      <c r="E45" s="24"/>
    </row>
    <row r="46" spans="1:5">
      <c r="A46" s="24"/>
      <c r="B46" s="45" t="s">
        <v>69</v>
      </c>
      <c r="C46" s="47">
        <f>DCF!C63</f>
        <v>13988.828822273095</v>
      </c>
      <c r="D46" s="44"/>
      <c r="E46" s="24"/>
    </row>
    <row r="47" spans="1:5">
      <c r="A47" s="24"/>
      <c r="B47" s="45" t="s">
        <v>70</v>
      </c>
      <c r="C47" s="47">
        <f>DCF!C62</f>
        <v>63577.698119076478</v>
      </c>
      <c r="D47" s="44"/>
      <c r="E47" s="24"/>
    </row>
    <row r="48" spans="1:5">
      <c r="A48" s="24"/>
      <c r="B48" s="45" t="s">
        <v>71</v>
      </c>
      <c r="C48" s="47">
        <f>DCF!C69</f>
        <v>-16141</v>
      </c>
      <c r="D48" s="44"/>
      <c r="E48" s="24"/>
    </row>
    <row r="49" spans="1:5">
      <c r="A49" s="24"/>
      <c r="B49" s="45" t="s">
        <v>72</v>
      </c>
      <c r="C49" s="47">
        <f>DCF!C70</f>
        <v>1026</v>
      </c>
      <c r="D49" s="44"/>
      <c r="E49" s="24"/>
    </row>
    <row r="50" spans="1:5">
      <c r="A50" s="24"/>
      <c r="B50" s="44"/>
      <c r="C50" s="44"/>
      <c r="D50" s="44"/>
      <c r="E50" s="24"/>
    </row>
    <row r="51" spans="1:5">
      <c r="A51" s="24"/>
      <c r="B51" s="44"/>
      <c r="C51" s="44"/>
      <c r="D51" s="44"/>
      <c r="E51" s="24"/>
    </row>
    <row r="52" spans="1:5">
      <c r="A52" s="24"/>
      <c r="B52" s="44"/>
      <c r="C52" s="44"/>
      <c r="D52" s="44"/>
      <c r="E52" s="24"/>
    </row>
    <row r="53" spans="1:5">
      <c r="A53" s="24"/>
      <c r="B53" s="24"/>
      <c r="C53" s="24"/>
      <c r="D53" s="24"/>
      <c r="E53" s="24"/>
    </row>
    <row r="54" spans="1:5">
      <c r="A54" s="24"/>
      <c r="B54" s="24"/>
      <c r="C54" s="24"/>
      <c r="D54" s="24"/>
      <c r="E54" s="24"/>
    </row>
    <row r="55" spans="1:5">
      <c r="A55" s="24"/>
      <c r="B55" s="24"/>
      <c r="C55" s="24"/>
      <c r="D55" s="24"/>
      <c r="E55" s="24"/>
    </row>
    <row r="56" spans="1:5">
      <c r="A56" s="24"/>
      <c r="B56" s="24"/>
      <c r="C56" s="24"/>
      <c r="D56" s="24"/>
      <c r="E56" s="24"/>
    </row>
    <row r="57" spans="1:5">
      <c r="A57" s="24"/>
      <c r="B57" s="24"/>
      <c r="C57" s="24"/>
      <c r="D57" s="24"/>
      <c r="E57" s="24"/>
    </row>
    <row r="58" spans="1:5">
      <c r="A58" s="24"/>
      <c r="B58" s="24"/>
      <c r="C58" s="24"/>
      <c r="D58" s="24"/>
      <c r="E58" s="24"/>
    </row>
    <row r="59" spans="1:5">
      <c r="A59" s="44"/>
      <c r="B59" s="44"/>
      <c r="C59" s="44"/>
      <c r="D59" s="44"/>
      <c r="E59" s="44"/>
    </row>
    <row r="60" spans="1:5">
      <c r="A60" s="44"/>
      <c r="B60" s="44"/>
      <c r="C60" s="44"/>
      <c r="D60" s="44"/>
      <c r="E60" s="44"/>
    </row>
    <row r="61" spans="1:5">
      <c r="A61" s="44"/>
      <c r="B61" s="44"/>
      <c r="C61" s="44"/>
      <c r="D61" s="44"/>
      <c r="E61" s="44"/>
    </row>
    <row r="62" spans="1:5">
      <c r="A62" s="44"/>
      <c r="B62" s="45" t="s">
        <v>73</v>
      </c>
      <c r="C62" s="44"/>
      <c r="D62" s="44"/>
      <c r="E62" s="44"/>
    </row>
    <row r="63" spans="1:5">
      <c r="A63" s="44"/>
      <c r="B63" s="45" t="s">
        <v>67</v>
      </c>
      <c r="C63" s="45" t="s">
        <v>68</v>
      </c>
      <c r="D63" s="44"/>
      <c r="E63" s="44"/>
    </row>
    <row r="64" spans="1:5">
      <c r="A64" s="44"/>
      <c r="B64" s="45" t="s">
        <v>69</v>
      </c>
      <c r="C64" s="47">
        <f>DCF!C63</f>
        <v>13988.828822273095</v>
      </c>
      <c r="D64" s="44"/>
      <c r="E64" s="44"/>
    </row>
    <row r="65" spans="1:5">
      <c r="A65" s="44"/>
      <c r="B65" s="45" t="s">
        <v>70</v>
      </c>
      <c r="C65" s="47">
        <f>DCF!C62</f>
        <v>63577.698119076478</v>
      </c>
      <c r="D65" s="44"/>
      <c r="E65" s="44"/>
    </row>
    <row r="66" spans="1:5">
      <c r="A66" s="44"/>
      <c r="B66" s="44"/>
      <c r="C66" s="44"/>
      <c r="D66" s="44"/>
      <c r="E66" s="44"/>
    </row>
    <row r="67" spans="1:5">
      <c r="A67" s="44"/>
      <c r="B67" s="44"/>
      <c r="C67" s="44"/>
      <c r="D67" s="44"/>
      <c r="E67" s="44"/>
    </row>
    <row r="68" spans="1:5">
      <c r="A68" s="44"/>
      <c r="B68" s="44"/>
      <c r="C68" s="44"/>
      <c r="D68" s="44"/>
      <c r="E68" s="44"/>
    </row>
    <row r="69" spans="1:5">
      <c r="A69" s="44"/>
      <c r="B69" s="44"/>
      <c r="C69" s="44"/>
      <c r="D69" s="44"/>
      <c r="E69" s="44"/>
    </row>
    <row r="70" spans="1:5">
      <c r="A70" s="44"/>
      <c r="B70" s="44"/>
      <c r="C70" s="44"/>
      <c r="D70" s="44"/>
      <c r="E70" s="44"/>
    </row>
    <row r="71" spans="1:5">
      <c r="A71" s="44"/>
      <c r="B71" s="44"/>
      <c r="C71" s="44"/>
      <c r="D71" s="44"/>
      <c r="E71" s="44"/>
    </row>
    <row r="72" spans="1:5">
      <c r="A72" s="44"/>
      <c r="B72" s="44"/>
      <c r="C72" s="44"/>
      <c r="D72" s="44"/>
      <c r="E72" s="44"/>
    </row>
    <row r="73" spans="1:5">
      <c r="A73" s="44"/>
      <c r="B73" s="44"/>
      <c r="C73" s="44"/>
      <c r="D73" s="44"/>
      <c r="E73" s="44"/>
    </row>
    <row r="74" spans="1:5">
      <c r="A74" s="44"/>
      <c r="B74" s="44"/>
      <c r="C74" s="44"/>
      <c r="D74" s="44"/>
      <c r="E74" s="44"/>
    </row>
    <row r="75" spans="1:5">
      <c r="A75" s="44"/>
      <c r="B75" s="44"/>
      <c r="C75" s="44"/>
      <c r="D75" s="44"/>
      <c r="E75" s="44"/>
    </row>
    <row r="76" spans="1:5">
      <c r="A76" s="44"/>
      <c r="B76" s="44"/>
      <c r="C76" s="44"/>
      <c r="D76" s="44"/>
      <c r="E76" s="44"/>
    </row>
    <row r="77" spans="1:5">
      <c r="A77" s="44"/>
      <c r="B77" s="44"/>
      <c r="C77" s="44"/>
      <c r="D77" s="44"/>
      <c r="E77" s="44"/>
    </row>
    <row r="78" spans="1:5">
      <c r="A78" s="44"/>
      <c r="B78" s="44"/>
      <c r="C78" s="44"/>
      <c r="D78" s="44"/>
      <c r="E78" s="44"/>
    </row>
    <row r="79" spans="1:5">
      <c r="A79" s="44"/>
      <c r="B79" s="44"/>
      <c r="C79" s="44"/>
      <c r="D79" s="44"/>
      <c r="E79" s="44"/>
    </row>
    <row r="80" spans="1:5">
      <c r="A80" s="44"/>
      <c r="B80" s="48" t="s">
        <v>74</v>
      </c>
      <c r="C80" s="44"/>
      <c r="D80" s="44"/>
      <c r="E80" s="44"/>
    </row>
    <row r="81" spans="1:5">
      <c r="A81" s="44"/>
      <c r="B81" s="48" t="s">
        <v>75</v>
      </c>
      <c r="C81" s="44"/>
      <c r="D81" s="44"/>
      <c r="E81" s="44"/>
    </row>
    <row r="82" spans="1:5">
      <c r="A82" s="49"/>
      <c r="B82" s="49"/>
      <c r="C82" s="49"/>
      <c r="D82" s="49"/>
      <c r="E82" s="49"/>
    </row>
    <row r="83" spans="1:5">
      <c r="A83" s="49"/>
      <c r="B83" s="49"/>
      <c r="C83" s="49"/>
      <c r="D83" s="49"/>
      <c r="E83" s="49"/>
    </row>
    <row r="84" spans="1:5">
      <c r="A84" s="49"/>
      <c r="B84" s="49"/>
      <c r="C84" s="49"/>
      <c r="D84" s="49"/>
      <c r="E84" s="49"/>
    </row>
    <row r="85" spans="1:5">
      <c r="A85" s="49"/>
      <c r="B85" s="49"/>
      <c r="C85" s="49"/>
      <c r="D85" s="49"/>
      <c r="E85" s="49"/>
    </row>
    <row r="86" spans="1:5">
      <c r="A86" s="49"/>
      <c r="B86" s="49"/>
      <c r="C86" s="49"/>
      <c r="D86" s="49"/>
      <c r="E86" s="49"/>
    </row>
    <row r="87" spans="1:5">
      <c r="A87" s="49"/>
      <c r="B87" s="49"/>
      <c r="C87" s="49"/>
      <c r="D87" s="49"/>
      <c r="E87" s="49"/>
    </row>
    <row r="88" spans="1:5">
      <c r="A88" s="49"/>
      <c r="B88" s="49"/>
      <c r="C88" s="49"/>
      <c r="D88" s="49"/>
      <c r="E88" s="49"/>
    </row>
    <row r="89" spans="1:5">
      <c r="A89" s="49"/>
      <c r="B89" s="49"/>
      <c r="C89" s="49"/>
      <c r="D89" s="49"/>
      <c r="E89" s="49"/>
    </row>
    <row r="90" spans="1:5">
      <c r="A90" s="49"/>
      <c r="B90" s="49"/>
      <c r="C90" s="49"/>
      <c r="D90" s="49"/>
      <c r="E90" s="49"/>
    </row>
    <row r="91" spans="1:5">
      <c r="A91" s="49"/>
      <c r="B91" s="49"/>
      <c r="C91" s="49"/>
      <c r="D91" s="49"/>
      <c r="E91" s="49"/>
    </row>
  </sheetData>
  <dataValidations count="1">
    <dataValidation type="list" errorTitle="Invalid Scenario" error="Select: Base Case, Bull Case, Bear Case, or Custom" sqref="C5" xr:uid="{00000000-0002-0000-0100-000000000000}">
      <formula1>"Base Case,Bull Case,Bear Case,Custom"</formula1>
    </dataValidation>
  </dataValidations>
  <pageMargins left="0.75" right="0.75" top="1" bottom="1" header="0.5" footer="0.5"/>
  <pageSetup orientation="portrait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"/>
  <sheetViews>
    <sheetView showGridLines="0" workbookViewId="0"/>
  </sheetViews>
  <sheetFormatPr baseColWidth="10" defaultColWidth="8.85546875" defaultRowHeight="15"/>
  <sheetData>
    <row r="1" spans="1:8">
      <c r="A1" s="415" t="s">
        <v>579</v>
      </c>
      <c r="B1" s="67"/>
      <c r="C1" s="67"/>
      <c r="D1" s="67"/>
      <c r="E1" s="67"/>
      <c r="F1" s="67"/>
      <c r="G1" s="67"/>
      <c r="H1" s="67"/>
    </row>
    <row r="2" spans="1:8">
      <c r="A2" s="415" t="s">
        <v>580</v>
      </c>
      <c r="B2" s="415" t="s">
        <v>581</v>
      </c>
      <c r="C2" s="67"/>
      <c r="D2" s="67"/>
      <c r="E2" s="67"/>
      <c r="F2" s="67"/>
      <c r="G2" s="67"/>
      <c r="H2" s="67"/>
    </row>
    <row r="3" spans="1:8">
      <c r="A3" s="415" t="s">
        <v>582</v>
      </c>
      <c r="B3" s="416">
        <f>Assumptions!C14</f>
        <v>0.3</v>
      </c>
      <c r="C3" s="67"/>
      <c r="D3" s="67"/>
      <c r="E3" s="67"/>
      <c r="F3" s="67"/>
      <c r="G3" s="67"/>
      <c r="H3" s="67"/>
    </row>
    <row r="4" spans="1:8">
      <c r="A4" s="415" t="s">
        <v>583</v>
      </c>
      <c r="B4" s="416">
        <f>Assumptions!C15</f>
        <v>0.7</v>
      </c>
      <c r="C4" s="67"/>
      <c r="D4" s="67"/>
      <c r="E4" s="67"/>
      <c r="F4" s="67"/>
      <c r="G4" s="67"/>
      <c r="H4" s="67"/>
    </row>
    <row r="5" spans="1:8">
      <c r="A5" s="415" t="s">
        <v>584</v>
      </c>
      <c r="B5" s="416">
        <f>1-B4</f>
        <v>0.30000000000000004</v>
      </c>
      <c r="C5" s="67"/>
      <c r="D5" s="67"/>
      <c r="E5" s="67"/>
      <c r="F5" s="67"/>
      <c r="G5" s="67"/>
      <c r="H5" s="67"/>
    </row>
    <row r="6" spans="1:8">
      <c r="A6" s="67"/>
      <c r="B6" s="67"/>
      <c r="C6" s="67"/>
      <c r="D6" s="67"/>
      <c r="E6" s="67"/>
      <c r="F6" s="67"/>
      <c r="G6" s="67"/>
      <c r="H6" s="67"/>
    </row>
    <row r="7" spans="1:8">
      <c r="A7" s="67"/>
      <c r="B7" s="67"/>
      <c r="C7" s="67"/>
      <c r="D7" s="67"/>
      <c r="E7" s="67"/>
      <c r="F7" s="67"/>
      <c r="G7" s="67"/>
      <c r="H7" s="67"/>
    </row>
    <row r="8" spans="1:8">
      <c r="A8" s="415" t="s">
        <v>585</v>
      </c>
      <c r="B8" s="416">
        <f>'EPS Assumptions'!F23</f>
        <v>1373</v>
      </c>
      <c r="C8" s="67"/>
      <c r="D8" s="67"/>
      <c r="E8" s="67"/>
      <c r="F8" s="67"/>
      <c r="G8" s="67"/>
      <c r="H8" s="67"/>
    </row>
    <row r="9" spans="1:8">
      <c r="A9" s="415" t="s">
        <v>586</v>
      </c>
      <c r="B9" s="416">
        <f>'EPS Assumptions'!F20</f>
        <v>143.78</v>
      </c>
      <c r="C9" s="67"/>
      <c r="D9" s="67"/>
      <c r="E9" s="67"/>
      <c r="F9" s="67"/>
      <c r="G9" s="67"/>
      <c r="H9" s="67"/>
    </row>
    <row r="10" spans="1:8">
      <c r="A10" s="415" t="s">
        <v>587</v>
      </c>
      <c r="B10" s="416">
        <f>'EPS Assumptions'!F24</f>
        <v>197409.94</v>
      </c>
      <c r="C10" s="67"/>
      <c r="D10" s="67"/>
      <c r="E10" s="67"/>
      <c r="F10" s="67"/>
      <c r="G10" s="67"/>
      <c r="H10" s="67"/>
    </row>
    <row r="11" spans="1:8">
      <c r="A11" s="415" t="s">
        <v>588</v>
      </c>
      <c r="B11" s="416">
        <f>'EPS Assumptions'!G23</f>
        <v>1362.8</v>
      </c>
      <c r="C11" s="67"/>
      <c r="D11" s="67"/>
      <c r="E11" s="67"/>
      <c r="F11" s="67"/>
      <c r="G11" s="67"/>
      <c r="H11" s="67"/>
    </row>
    <row r="12" spans="1:8">
      <c r="A12" s="415" t="s">
        <v>589</v>
      </c>
      <c r="B12" s="416">
        <f>'EPS Assumptions'!G20</f>
        <v>28.01</v>
      </c>
      <c r="C12" s="67"/>
      <c r="D12" s="67"/>
      <c r="E12" s="67"/>
      <c r="F12" s="67"/>
      <c r="G12" s="67"/>
      <c r="H12" s="67"/>
    </row>
    <row r="13" spans="1:8">
      <c r="A13" s="415" t="s">
        <v>590</v>
      </c>
      <c r="B13" s="416">
        <f>B11*B12</f>
        <v>38172.027999999998</v>
      </c>
      <c r="C13" s="67"/>
      <c r="D13" s="67"/>
      <c r="E13" s="67"/>
      <c r="F13" s="67"/>
      <c r="G13" s="67"/>
      <c r="H13" s="67"/>
    </row>
    <row r="14" spans="1:8">
      <c r="A14" s="67"/>
      <c r="B14" s="67"/>
      <c r="C14" s="67"/>
      <c r="D14" s="67"/>
      <c r="E14" s="67"/>
      <c r="F14" s="67"/>
      <c r="G14" s="67"/>
      <c r="H14" s="67"/>
    </row>
    <row r="15" spans="1:8">
      <c r="A15" s="415" t="s">
        <v>591</v>
      </c>
      <c r="B15" s="416">
        <f>'PEP Historical'!H30/1000000</f>
        <v>107399</v>
      </c>
      <c r="C15" s="67"/>
      <c r="D15" s="67"/>
      <c r="E15" s="67"/>
      <c r="F15" s="67"/>
      <c r="G15" s="67"/>
      <c r="H15" s="67"/>
    </row>
    <row r="16" spans="1:8">
      <c r="A16" s="415" t="s">
        <v>592</v>
      </c>
      <c r="B16" s="416">
        <f>'KDP Historical'!H30/1000000</f>
        <v>55459</v>
      </c>
      <c r="C16" s="67"/>
      <c r="D16" s="67"/>
      <c r="E16" s="67"/>
      <c r="F16" s="67"/>
      <c r="G16" s="67"/>
      <c r="H16" s="67"/>
    </row>
    <row r="17" spans="1:8">
      <c r="A17" s="415" t="s">
        <v>593</v>
      </c>
      <c r="B17" s="416">
        <f>'PEP Historical'!H37/1000000</f>
        <v>20406</v>
      </c>
      <c r="C17" s="67"/>
      <c r="D17" s="67"/>
      <c r="E17" s="67"/>
      <c r="F17" s="67"/>
      <c r="G17" s="67"/>
      <c r="H17" s="67"/>
    </row>
    <row r="18" spans="1:8">
      <c r="A18" s="415" t="s">
        <v>594</v>
      </c>
      <c r="B18" s="416">
        <f>'KDP Historical'!H37/1000000</f>
        <v>25516</v>
      </c>
      <c r="C18" s="67"/>
      <c r="D18" s="67"/>
      <c r="E18" s="67"/>
      <c r="F18" s="67"/>
      <c r="G18" s="67"/>
      <c r="H18" s="67"/>
    </row>
    <row r="19" spans="1:8">
      <c r="A19" s="67"/>
      <c r="B19" s="67"/>
      <c r="C19" s="67"/>
      <c r="D19" s="67"/>
      <c r="E19" s="67"/>
      <c r="F19" s="67"/>
      <c r="G19" s="67"/>
      <c r="H19" s="67"/>
    </row>
    <row r="20" spans="1:8">
      <c r="A20" s="415" t="s">
        <v>595</v>
      </c>
      <c r="B20" s="67"/>
      <c r="C20" s="415" t="s">
        <v>334</v>
      </c>
      <c r="D20" s="415" t="s">
        <v>335</v>
      </c>
      <c r="E20" s="415" t="s">
        <v>336</v>
      </c>
      <c r="F20" s="415" t="s">
        <v>337</v>
      </c>
      <c r="G20" s="415" t="s">
        <v>338</v>
      </c>
      <c r="H20" s="415" t="s">
        <v>122</v>
      </c>
    </row>
    <row r="21" spans="1:8">
      <c r="A21" s="415" t="s">
        <v>596</v>
      </c>
      <c r="B21" s="67"/>
      <c r="C21" s="416">
        <f>'PEP Historical'!C6/1000000</f>
        <v>70372</v>
      </c>
      <c r="D21" s="416">
        <f>'PEP Historical'!D6/1000000</f>
        <v>79474</v>
      </c>
      <c r="E21" s="416">
        <f>'PEP Historical'!E6/1000000</f>
        <v>86392</v>
      </c>
      <c r="F21" s="416">
        <f>'PEP Historical'!F6/1000000</f>
        <v>91471</v>
      </c>
      <c r="G21" s="416">
        <f>'PEP Historical'!G6/1000000</f>
        <v>91854</v>
      </c>
      <c r="H21" s="416">
        <f>'PEP Historical'!H6/1000000</f>
        <v>93925</v>
      </c>
    </row>
    <row r="22" spans="1:8">
      <c r="A22" s="415" t="s">
        <v>597</v>
      </c>
      <c r="B22" s="67"/>
      <c r="C22" s="416">
        <f>'KDP Historical'!C6/1000000</f>
        <v>11618</v>
      </c>
      <c r="D22" s="416">
        <f>'KDP Historical'!D6/1000000</f>
        <v>12683</v>
      </c>
      <c r="E22" s="416">
        <f>'KDP Historical'!E6/1000000</f>
        <v>14057</v>
      </c>
      <c r="F22" s="416">
        <f>'KDP Historical'!F6/1000000</f>
        <v>14814</v>
      </c>
      <c r="G22" s="416">
        <f>'KDP Historical'!G6/1000000</f>
        <v>15351</v>
      </c>
      <c r="H22" s="416">
        <f>'KDP Historical'!H6/1000000</f>
        <v>16603</v>
      </c>
    </row>
    <row r="23" spans="1:8">
      <c r="A23" s="415" t="s">
        <v>598</v>
      </c>
      <c r="B23" s="67"/>
      <c r="C23" s="416">
        <f>'PEP Historical'!C14/1000000</f>
        <v>13223</v>
      </c>
      <c r="D23" s="416">
        <f>'PEP Historical'!D14/1000000</f>
        <v>14899</v>
      </c>
      <c r="E23" s="416">
        <f>'PEP Historical'!E14/1000000</f>
        <v>14924</v>
      </c>
      <c r="F23" s="416">
        <f>'PEP Historical'!F14/1000000</f>
        <v>15754</v>
      </c>
      <c r="G23" s="416">
        <f>'PEP Historical'!G14/1000000</f>
        <v>16680</v>
      </c>
      <c r="H23" s="416">
        <f>'PEP Historical'!H14/1000000</f>
        <v>15543</v>
      </c>
    </row>
    <row r="24" spans="1:8">
      <c r="A24" s="415" t="s">
        <v>599</v>
      </c>
      <c r="B24" s="67"/>
      <c r="C24" s="416">
        <f>'KDP Historical'!C14/1000000</f>
        <v>3010</v>
      </c>
      <c r="D24" s="416">
        <f>'KDP Historical'!D14/1000000</f>
        <v>4006</v>
      </c>
      <c r="E24" s="416">
        <f>'KDP Historical'!E14/1000000</f>
        <v>3121</v>
      </c>
      <c r="F24" s="416">
        <f>'KDP Historical'!F14/1000000</f>
        <v>3973</v>
      </c>
      <c r="G24" s="416">
        <f>'KDP Historical'!G14/1000000</f>
        <v>3382</v>
      </c>
      <c r="H24" s="416">
        <f>'KDP Historical'!H14/1000000</f>
        <v>4194</v>
      </c>
    </row>
    <row r="25" spans="1:8">
      <c r="A25" s="415" t="s">
        <v>600</v>
      </c>
      <c r="B25" s="67"/>
      <c r="C25" s="416">
        <f>'PEP Historical'!C18/1000000</f>
        <v>7120</v>
      </c>
      <c r="D25" s="416">
        <f>'PEP Historical'!D18/1000000</f>
        <v>7618</v>
      </c>
      <c r="E25" s="416">
        <f>'PEP Historical'!E18/1000000</f>
        <v>8910</v>
      </c>
      <c r="F25" s="416">
        <f>'PEP Historical'!F18/1000000</f>
        <v>9074</v>
      </c>
      <c r="G25" s="416">
        <f>'PEP Historical'!G18/1000000</f>
        <v>9578</v>
      </c>
      <c r="H25" s="416">
        <f>'PEP Historical'!H18/1000000</f>
        <v>8240</v>
      </c>
    </row>
    <row r="26" spans="1:8">
      <c r="A26" s="415" t="s">
        <v>601</v>
      </c>
      <c r="B26" s="67"/>
      <c r="C26" s="416">
        <f>'KDP Historical'!C18/1000000</f>
        <v>1325</v>
      </c>
      <c r="D26" s="416">
        <f>'KDP Historical'!D18/1000000</f>
        <v>2146</v>
      </c>
      <c r="E26" s="416">
        <f>'KDP Historical'!E18/1000000</f>
        <v>1436</v>
      </c>
      <c r="F26" s="416">
        <f>'KDP Historical'!F18/1000000</f>
        <v>2181</v>
      </c>
      <c r="G26" s="416">
        <f>'KDP Historical'!G18/1000000</f>
        <v>1441</v>
      </c>
      <c r="H26" s="416">
        <f>'KDP Historical'!H18/1000000</f>
        <v>2079</v>
      </c>
    </row>
    <row r="27" spans="1:8">
      <c r="A27" s="67"/>
      <c r="B27" s="67"/>
      <c r="C27" s="67"/>
      <c r="D27" s="67"/>
      <c r="E27" s="67"/>
      <c r="F27" s="67"/>
      <c r="G27" s="67"/>
      <c r="H27" s="67"/>
    </row>
    <row r="28" spans="1:8">
      <c r="A28" s="67"/>
      <c r="B28" s="67"/>
      <c r="C28" s="67"/>
      <c r="D28" s="67"/>
      <c r="E28" s="67"/>
      <c r="F28" s="67"/>
      <c r="G28" s="67"/>
      <c r="H28" s="67"/>
    </row>
    <row r="29" spans="1:8">
      <c r="A29" s="67"/>
      <c r="B29" s="67"/>
      <c r="C29" s="67"/>
      <c r="D29" s="67"/>
      <c r="E29" s="67"/>
      <c r="F29" s="67"/>
      <c r="G29" s="67"/>
      <c r="H29" s="67"/>
    </row>
    <row r="30" spans="1:8">
      <c r="A30" s="415" t="s">
        <v>602</v>
      </c>
      <c r="B30" s="415" t="s">
        <v>20</v>
      </c>
      <c r="C30" s="67"/>
      <c r="D30" s="67"/>
      <c r="E30" s="67"/>
      <c r="F30" s="67"/>
      <c r="G30" s="67"/>
      <c r="H30" s="67"/>
    </row>
    <row r="31" spans="1:8">
      <c r="A31" s="415" t="s">
        <v>524</v>
      </c>
      <c r="B31" s="416">
        <v>28197</v>
      </c>
      <c r="C31" s="67"/>
      <c r="D31" s="67"/>
      <c r="E31" s="67"/>
      <c r="F31" s="67"/>
      <c r="G31" s="67"/>
      <c r="H31" s="67"/>
    </row>
    <row r="32" spans="1:8">
      <c r="A32" s="415" t="s">
        <v>525</v>
      </c>
      <c r="B32" s="416">
        <v>27528</v>
      </c>
      <c r="C32" s="67"/>
      <c r="D32" s="67"/>
      <c r="E32" s="67"/>
      <c r="F32" s="67"/>
      <c r="G32" s="67"/>
      <c r="H32" s="67"/>
    </row>
    <row r="33" spans="1:8">
      <c r="A33" s="415" t="s">
        <v>526</v>
      </c>
      <c r="B33" s="416">
        <v>18025</v>
      </c>
      <c r="C33" s="67"/>
      <c r="D33" s="67"/>
      <c r="E33" s="67"/>
      <c r="F33" s="67"/>
      <c r="G33" s="67"/>
      <c r="H33" s="67"/>
    </row>
    <row r="34" spans="1:8">
      <c r="A34" s="415" t="s">
        <v>527</v>
      </c>
      <c r="B34" s="416">
        <v>10549</v>
      </c>
      <c r="C34" s="67"/>
      <c r="D34" s="67"/>
      <c r="E34" s="67"/>
      <c r="F34" s="67"/>
      <c r="G34" s="67"/>
      <c r="H34" s="67"/>
    </row>
    <row r="35" spans="1:8">
      <c r="A35" s="415" t="s">
        <v>528</v>
      </c>
      <c r="B35" s="416">
        <v>4997</v>
      </c>
      <c r="C35" s="67"/>
      <c r="D35" s="67"/>
      <c r="E35" s="67"/>
      <c r="F35" s="67"/>
      <c r="G35" s="67"/>
      <c r="H35" s="67"/>
    </row>
    <row r="36" spans="1:8">
      <c r="A36" s="415" t="s">
        <v>529</v>
      </c>
      <c r="B36" s="416">
        <v>4629</v>
      </c>
      <c r="C36" s="67"/>
      <c r="D36" s="67"/>
      <c r="E36" s="67"/>
      <c r="F36" s="67"/>
      <c r="G36" s="67"/>
      <c r="H36" s="67"/>
    </row>
    <row r="37" spans="1:8">
      <c r="A37" s="67"/>
      <c r="B37" s="67"/>
      <c r="C37" s="67"/>
      <c r="D37" s="67"/>
      <c r="E37" s="67"/>
      <c r="F37" s="67"/>
      <c r="G37" s="67"/>
      <c r="H37" s="67"/>
    </row>
    <row r="38" spans="1:8">
      <c r="A38" s="67"/>
      <c r="B38" s="67"/>
      <c r="C38" s="67"/>
      <c r="D38" s="67"/>
      <c r="E38" s="67"/>
      <c r="F38" s="67"/>
      <c r="G38" s="67"/>
      <c r="H38" s="67"/>
    </row>
    <row r="39" spans="1:8">
      <c r="A39" s="415" t="s">
        <v>603</v>
      </c>
      <c r="B39" s="415" t="s">
        <v>20</v>
      </c>
      <c r="C39" s="67"/>
      <c r="D39" s="67"/>
      <c r="E39" s="67"/>
      <c r="F39" s="67"/>
      <c r="G39" s="67"/>
      <c r="H39" s="67"/>
    </row>
    <row r="40" spans="1:8">
      <c r="A40" s="415" t="s">
        <v>532</v>
      </c>
      <c r="B40" s="416">
        <v>11602</v>
      </c>
      <c r="C40" s="67"/>
      <c r="D40" s="67"/>
      <c r="E40" s="67"/>
      <c r="F40" s="67"/>
      <c r="G40" s="67"/>
      <c r="H40" s="67"/>
    </row>
    <row r="41" spans="1:8">
      <c r="A41" s="415" t="s">
        <v>533</v>
      </c>
      <c r="B41" s="416">
        <v>3777</v>
      </c>
      <c r="C41" s="67"/>
      <c r="D41" s="67"/>
      <c r="E41" s="67"/>
      <c r="F41" s="67"/>
      <c r="G41" s="67"/>
      <c r="H41" s="67"/>
    </row>
    <row r="42" spans="1:8">
      <c r="A42" s="415" t="s">
        <v>534</v>
      </c>
      <c r="B42" s="416">
        <v>646</v>
      </c>
      <c r="C42" s="67"/>
      <c r="D42" s="67"/>
      <c r="E42" s="67"/>
      <c r="F42" s="67"/>
      <c r="G42" s="67"/>
      <c r="H42" s="67"/>
    </row>
    <row r="43" spans="1:8">
      <c r="A43" s="415" t="s">
        <v>535</v>
      </c>
      <c r="B43" s="416">
        <v>578</v>
      </c>
      <c r="C43" s="67"/>
      <c r="D43" s="67"/>
      <c r="E43" s="67"/>
      <c r="F43" s="67"/>
      <c r="G43" s="67"/>
      <c r="H43" s="67"/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6D7E96"/>
  </sheetPr>
  <dimension ref="A1:L30"/>
  <sheetViews>
    <sheetView showGridLines="0" workbookViewId="0"/>
  </sheetViews>
  <sheetFormatPr baseColWidth="10" defaultColWidth="8.85546875" defaultRowHeight="15"/>
  <cols>
    <col min="1" max="1" width="2.42578125" customWidth="1"/>
    <col min="2" max="2" width="80" customWidth="1"/>
  </cols>
  <sheetData>
    <row r="1" spans="1:12" ht="9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2" customHeight="1">
      <c r="A2" s="68"/>
      <c r="B2" s="304" t="s">
        <v>604</v>
      </c>
      <c r="C2" s="111"/>
      <c r="D2" s="68"/>
      <c r="E2" s="68"/>
      <c r="F2" s="68"/>
      <c r="G2" s="68"/>
      <c r="H2" s="68"/>
      <c r="I2" s="68"/>
      <c r="J2" s="68"/>
      <c r="K2" s="68"/>
      <c r="L2" s="68"/>
    </row>
    <row r="3" spans="1:12" ht="15" customHeight="1">
      <c r="A3" s="68"/>
      <c r="B3" s="305" t="s">
        <v>605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9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ht="18" customHeight="1">
      <c r="A5" s="68"/>
      <c r="B5" s="417" t="s">
        <v>606</v>
      </c>
      <c r="C5" s="418"/>
      <c r="D5" s="68"/>
      <c r="E5" s="68"/>
      <c r="F5" s="68"/>
      <c r="G5" s="68"/>
      <c r="H5" s="68"/>
      <c r="I5" s="68"/>
      <c r="J5" s="68"/>
      <c r="K5" s="68"/>
      <c r="L5" s="68"/>
    </row>
    <row r="6" spans="1:12" ht="15" customHeight="1">
      <c r="A6" s="68"/>
      <c r="B6" s="69" t="s">
        <v>607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ht="15" customHeight="1">
      <c r="A7" s="68"/>
      <c r="B7" s="76" t="s">
        <v>608</v>
      </c>
      <c r="D7" s="68"/>
      <c r="E7" s="68"/>
      <c r="F7" s="68"/>
      <c r="G7" s="68"/>
      <c r="H7" s="68"/>
      <c r="I7" s="68"/>
      <c r="J7" s="68"/>
      <c r="K7" s="68"/>
      <c r="L7" s="68"/>
    </row>
    <row r="8" spans="1:12" ht="10" customHeight="1">
      <c r="A8" s="68"/>
      <c r="B8" s="69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2" ht="18" customHeight="1">
      <c r="A9" s="68"/>
      <c r="B9" s="417" t="str">
        <f>_xlfn.CONCAT("In the base case, the model uses a ",TEXT('IRI Core Inputs'!B3,"0%")," premium over KDP's market value, a five-year horizon, and a combined cost of equity built from PEP and KDP market-value weights.")</f>
        <v>In the base case, the model uses a 30% premium over KDP's market value, a five-year horizon, and a combined cost of equity built from PEP and KDP market-value weights.</v>
      </c>
      <c r="C9" s="418"/>
      <c r="D9" s="68"/>
      <c r="E9" s="68"/>
      <c r="F9" s="68"/>
      <c r="G9" s="68"/>
      <c r="H9" s="68"/>
      <c r="I9" s="69"/>
      <c r="J9" s="68"/>
      <c r="K9" s="68"/>
      <c r="L9" s="68"/>
    </row>
    <row r="10" spans="1:12" ht="15" customHeight="1">
      <c r="A10" s="68"/>
      <c r="B10" s="373" t="s">
        <v>609</v>
      </c>
      <c r="C10" s="68"/>
      <c r="D10" s="68"/>
      <c r="E10" s="68"/>
      <c r="F10" s="68"/>
      <c r="G10" s="68"/>
      <c r="H10" s="68"/>
      <c r="I10" s="69"/>
      <c r="J10" s="68"/>
      <c r="K10" s="68"/>
      <c r="L10" s="68"/>
    </row>
    <row r="11" spans="1:12" ht="15" customHeight="1">
      <c r="A11" s="68"/>
      <c r="B11" s="373" t="s">
        <v>610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2" ht="15" customHeight="1">
      <c r="A12" s="68"/>
      <c r="B12" s="373" t="s">
        <v>611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2" ht="15" customHeight="1">
      <c r="A13" s="68"/>
      <c r="B13" s="373" t="s">
        <v>612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ht="10" customHeight="1">
      <c r="A14" s="68"/>
      <c r="B14" s="69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 ht="18" customHeight="1">
      <c r="A15" s="68"/>
      <c r="B15" s="417" t="s">
        <v>613</v>
      </c>
      <c r="C15" s="418"/>
      <c r="D15" s="68"/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A16" s="24"/>
      <c r="B16" s="373" t="s">
        <v>614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ht="15" customHeight="1">
      <c r="A17" s="24"/>
      <c r="B17" s="373" t="s">
        <v>615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15" customHeight="1">
      <c r="A18" s="24"/>
      <c r="B18" s="373" t="s">
        <v>616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" customHeight="1">
      <c r="A19" s="24"/>
      <c r="B19" s="373" t="s">
        <v>617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ht="15" customHeight="1">
      <c r="A20" s="68"/>
      <c r="B20" s="70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 ht="18" customHeight="1">
      <c r="A21" s="68"/>
      <c r="B21" s="417" t="s">
        <v>618</v>
      </c>
      <c r="C21" s="418"/>
      <c r="D21" s="68"/>
      <c r="E21" s="68"/>
      <c r="F21" s="68"/>
      <c r="G21" s="68"/>
      <c r="H21" s="68"/>
      <c r="I21" s="68"/>
      <c r="J21" s="68"/>
      <c r="K21" s="68"/>
      <c r="L21" s="68"/>
    </row>
    <row r="22" spans="1:12" ht="15" customHeight="1">
      <c r="A22" s="68"/>
      <c r="B22" s="251" t="s">
        <v>619</v>
      </c>
      <c r="C22" s="124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5" customHeight="1">
      <c r="A23" s="68"/>
      <c r="B23" s="252" t="s">
        <v>620</v>
      </c>
      <c r="C23" s="125"/>
      <c r="D23" s="68"/>
      <c r="E23" s="68"/>
      <c r="F23" s="68"/>
      <c r="G23" s="68"/>
      <c r="H23" s="68"/>
      <c r="I23" s="68"/>
      <c r="J23" s="68"/>
      <c r="K23" s="68"/>
      <c r="L23" s="68"/>
    </row>
    <row r="24" spans="1:12" ht="15" customHeight="1">
      <c r="A24" s="68"/>
      <c r="B24" s="253" t="s">
        <v>621</v>
      </c>
      <c r="C24" s="250"/>
      <c r="D24" s="68"/>
      <c r="E24" s="68"/>
      <c r="F24" s="68"/>
      <c r="G24" s="68"/>
      <c r="H24" s="68"/>
      <c r="I24" s="68"/>
      <c r="J24" s="68"/>
      <c r="K24" s="68"/>
      <c r="L24" s="68"/>
    </row>
    <row r="25" spans="1:12" ht="15" customHeight="1">
      <c r="A25" s="68"/>
      <c r="B25" s="70"/>
      <c r="C25" s="68"/>
      <c r="D25" s="68"/>
      <c r="E25" s="68"/>
      <c r="F25" s="68"/>
      <c r="G25" s="68"/>
      <c r="H25" s="68"/>
      <c r="I25" s="68"/>
      <c r="J25" s="68"/>
      <c r="K25" s="68"/>
      <c r="L25" s="68"/>
    </row>
    <row r="26" spans="1:12" ht="18" customHeight="1">
      <c r="A26" s="68"/>
      <c r="B26" s="417" t="s">
        <v>622</v>
      </c>
      <c r="C26" s="418"/>
      <c r="D26" s="68"/>
      <c r="E26" s="68"/>
      <c r="F26" s="68"/>
      <c r="G26" s="68"/>
      <c r="H26" s="68"/>
      <c r="I26" s="68"/>
      <c r="J26" s="68"/>
      <c r="K26" s="68"/>
      <c r="L26" s="68"/>
    </row>
    <row r="27" spans="1:12" ht="15" customHeight="1">
      <c r="A27" s="68"/>
      <c r="B27" s="419" t="s">
        <v>623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ht="15" customHeight="1">
      <c r="A28" s="68"/>
      <c r="B28" s="420" t="s">
        <v>624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1:12" ht="15" customHeight="1">
      <c r="A29" s="68"/>
      <c r="B29" s="421" t="s">
        <v>625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12" ht="15" customHeight="1">
      <c r="A30" s="68"/>
      <c r="B30" s="422" t="s">
        <v>626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</row>
  </sheetData>
  <pageMargins left="0.75" right="0.75" top="1" bottom="1" header="0.5" footer="0.5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6D7E96"/>
  </sheetPr>
  <dimension ref="A1:L38"/>
  <sheetViews>
    <sheetView showGridLines="0" workbookViewId="0"/>
  </sheetViews>
  <sheetFormatPr baseColWidth="10" defaultColWidth="8.85546875" defaultRowHeight="15"/>
  <cols>
    <col min="1" max="1" width="2.42578125" customWidth="1"/>
    <col min="2" max="2" width="38" customWidth="1"/>
    <col min="3" max="3" width="16" customWidth="1"/>
    <col min="4" max="4" width="34.85546875" customWidth="1"/>
  </cols>
  <sheetData>
    <row r="1" spans="1:12" ht="9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2" customHeight="1">
      <c r="A2" s="68"/>
      <c r="B2" s="304" t="s">
        <v>627</v>
      </c>
      <c r="C2" s="113"/>
      <c r="D2" s="113"/>
      <c r="E2" s="113"/>
      <c r="F2" s="113"/>
      <c r="G2" s="113"/>
      <c r="H2" s="113"/>
      <c r="I2" s="68"/>
      <c r="J2" s="68"/>
      <c r="K2" s="68"/>
      <c r="L2" s="68"/>
    </row>
    <row r="3" spans="1:12" ht="15" customHeight="1">
      <c r="A3" s="68"/>
      <c r="B3" s="305" t="s">
        <v>628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15" customHeight="1">
      <c r="A4" s="68"/>
      <c r="B4" s="68"/>
      <c r="C4" s="423" t="s">
        <v>20</v>
      </c>
      <c r="D4" s="424" t="s">
        <v>629</v>
      </c>
      <c r="E4" s="68"/>
      <c r="F4" s="68"/>
      <c r="G4" s="68"/>
      <c r="H4" s="68"/>
      <c r="I4" s="68"/>
      <c r="J4" s="68"/>
      <c r="K4" s="68"/>
      <c r="L4" s="68"/>
    </row>
    <row r="5" spans="1:12" ht="20" customHeight="1">
      <c r="A5" s="68"/>
      <c r="B5" s="425" t="s">
        <v>630</v>
      </c>
      <c r="C5" s="426"/>
      <c r="D5" s="427"/>
      <c r="E5" s="68"/>
      <c r="F5" s="68"/>
      <c r="G5" s="68"/>
      <c r="H5" s="68"/>
      <c r="I5" s="68"/>
      <c r="J5" s="68"/>
      <c r="K5" s="68"/>
      <c r="L5" s="68"/>
    </row>
    <row r="6" spans="1:12" ht="10" customHeight="1">
      <c r="A6" s="68"/>
      <c r="B6" s="71"/>
      <c r="C6" s="259"/>
      <c r="D6" s="263"/>
      <c r="E6" s="68"/>
      <c r="F6" s="68"/>
      <c r="G6" s="68"/>
      <c r="H6" s="68"/>
      <c r="I6" s="68"/>
      <c r="J6" s="68"/>
      <c r="K6" s="68"/>
      <c r="L6" s="68"/>
    </row>
    <row r="7" spans="1:12" ht="15" customHeight="1">
      <c r="A7" s="68"/>
      <c r="B7" s="72" t="s">
        <v>631</v>
      </c>
      <c r="C7" s="428">
        <f>'IRI Core Inputs'!B11*'IRI Core Inputs'!B12</f>
        <v>38172.027999999998</v>
      </c>
      <c r="D7" s="264" t="s">
        <v>632</v>
      </c>
      <c r="E7" s="68"/>
      <c r="F7" s="68"/>
      <c r="G7" s="68"/>
      <c r="H7" s="68"/>
      <c r="I7" s="68"/>
      <c r="J7" s="68"/>
      <c r="K7" s="68"/>
      <c r="L7" s="68"/>
    </row>
    <row r="8" spans="1:12" ht="15" customHeight="1">
      <c r="A8" s="68"/>
      <c r="B8" s="72" t="s">
        <v>633</v>
      </c>
      <c r="C8" s="428">
        <f>'IRI Core Inputs'!B13</f>
        <v>25516</v>
      </c>
      <c r="D8" s="264" t="s">
        <v>634</v>
      </c>
      <c r="E8" s="68"/>
      <c r="F8" s="68"/>
      <c r="G8" s="68"/>
      <c r="H8" s="68"/>
      <c r="I8" s="68"/>
      <c r="J8" s="68"/>
      <c r="K8" s="68"/>
      <c r="L8" s="68"/>
    </row>
    <row r="9" spans="1:12" ht="15" customHeight="1">
      <c r="A9" s="68"/>
      <c r="B9" s="273" t="s">
        <v>635</v>
      </c>
      <c r="C9" s="429">
        <f>C7/C8</f>
        <v>1.4960036055808119</v>
      </c>
      <c r="D9" s="277"/>
      <c r="E9" s="278"/>
      <c r="F9" s="68"/>
      <c r="G9" s="68"/>
      <c r="H9" s="68"/>
      <c r="I9" s="68"/>
      <c r="J9" s="68"/>
      <c r="K9" s="68"/>
      <c r="L9" s="68"/>
    </row>
    <row r="10" spans="1:12" ht="10" customHeight="1">
      <c r="A10" s="68"/>
      <c r="B10" s="68"/>
      <c r="C10" s="259"/>
      <c r="D10" s="266"/>
      <c r="E10" s="68"/>
      <c r="F10" s="68"/>
      <c r="G10" s="68"/>
      <c r="H10" s="68"/>
      <c r="I10" s="68"/>
      <c r="J10" s="68"/>
      <c r="K10" s="68"/>
      <c r="L10" s="68"/>
    </row>
    <row r="11" spans="1:12">
      <c r="A11" s="68"/>
      <c r="B11" s="430" t="s">
        <v>555</v>
      </c>
      <c r="C11" s="259"/>
      <c r="D11" s="266"/>
      <c r="E11" s="68"/>
      <c r="F11" s="68"/>
      <c r="G11" s="68"/>
      <c r="H11" s="68"/>
      <c r="I11" s="68"/>
      <c r="J11" s="68"/>
      <c r="K11" s="68"/>
      <c r="L11" s="68"/>
    </row>
    <row r="12" spans="1:12" ht="15" customHeight="1">
      <c r="A12" s="68"/>
      <c r="B12" s="72" t="s">
        <v>636</v>
      </c>
      <c r="C12" s="431">
        <f>'IRI Core Inputs'!B3</f>
        <v>0.3</v>
      </c>
      <c r="D12" s="264" t="s">
        <v>637</v>
      </c>
      <c r="E12" s="68"/>
      <c r="F12" s="68"/>
      <c r="G12" s="68"/>
      <c r="H12" s="68"/>
      <c r="I12" s="68"/>
      <c r="J12" s="68"/>
      <c r="K12" s="68"/>
      <c r="L12" s="68"/>
    </row>
    <row r="13" spans="1:12" ht="15" customHeight="1">
      <c r="A13" s="68"/>
      <c r="B13" s="275" t="s">
        <v>638</v>
      </c>
      <c r="C13" s="432">
        <f>C9*(1+C12)</f>
        <v>1.9448046872550555</v>
      </c>
      <c r="D13" s="276"/>
      <c r="E13" s="68"/>
      <c r="F13" s="68"/>
      <c r="G13" s="68"/>
      <c r="H13" s="68"/>
      <c r="I13" s="68"/>
      <c r="J13" s="68"/>
      <c r="K13" s="68"/>
      <c r="L13" s="68"/>
    </row>
    <row r="14" spans="1:12" ht="20" customHeight="1">
      <c r="A14" s="68"/>
      <c r="B14" s="425" t="s">
        <v>639</v>
      </c>
      <c r="C14" s="426"/>
      <c r="D14" s="433"/>
      <c r="E14" s="68"/>
      <c r="F14" s="68"/>
      <c r="G14" s="68"/>
      <c r="H14" s="68"/>
      <c r="I14" s="68"/>
      <c r="J14" s="68"/>
      <c r="K14" s="68"/>
      <c r="L14" s="68"/>
    </row>
    <row r="15" spans="1:12">
      <c r="A15" s="68"/>
      <c r="B15" s="71"/>
      <c r="C15" s="259"/>
      <c r="D15" s="266"/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A16" s="68"/>
      <c r="B16" s="72" t="s">
        <v>640</v>
      </c>
      <c r="C16" s="431">
        <f>'IRI Core Inputs'!B5</f>
        <v>4.1799999999999997E-2</v>
      </c>
      <c r="D16" s="264" t="s">
        <v>641</v>
      </c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A17" s="68"/>
      <c r="B17" s="82" t="s">
        <v>642</v>
      </c>
      <c r="C17" s="431">
        <f>'IRI Core Inputs'!B6</f>
        <v>4.4600000000000001E-2</v>
      </c>
      <c r="D17" s="268" t="s">
        <v>643</v>
      </c>
      <c r="E17" s="68"/>
      <c r="F17" s="68"/>
      <c r="G17" s="68"/>
      <c r="H17" s="68"/>
      <c r="I17" s="68"/>
      <c r="J17" s="68"/>
      <c r="K17" s="68"/>
      <c r="L17" s="68"/>
    </row>
    <row r="18" spans="1:12" s="81" customFormat="1" ht="10" customHeight="1">
      <c r="A18" s="434"/>
      <c r="B18" s="434"/>
      <c r="C18" s="435"/>
      <c r="D18" s="269"/>
      <c r="E18" s="434"/>
      <c r="F18" s="434"/>
      <c r="G18" s="434"/>
      <c r="H18" s="434"/>
      <c r="I18" s="434"/>
      <c r="J18" s="434"/>
      <c r="K18" s="434"/>
      <c r="L18" s="434"/>
    </row>
    <row r="19" spans="1:12" ht="15" customHeight="1">
      <c r="A19" s="68"/>
      <c r="B19" s="72" t="s">
        <v>644</v>
      </c>
      <c r="C19" s="431">
        <f>'IRI Core Inputs'!B7</f>
        <v>0.41</v>
      </c>
      <c r="D19" s="264" t="s">
        <v>645</v>
      </c>
      <c r="E19" s="68"/>
      <c r="F19" s="68"/>
      <c r="G19" s="68"/>
      <c r="H19" s="68"/>
      <c r="I19" s="68"/>
      <c r="J19" s="68"/>
      <c r="K19" s="68"/>
      <c r="L19" s="68"/>
    </row>
    <row r="20" spans="1:12" ht="15" customHeight="1">
      <c r="A20" s="68"/>
      <c r="B20" s="83" t="s">
        <v>646</v>
      </c>
      <c r="C20" s="260">
        <f>C16+C19*C17</f>
        <v>6.0086000000000001E-2</v>
      </c>
      <c r="D20" s="265"/>
      <c r="E20" s="68"/>
      <c r="F20" s="68"/>
      <c r="G20" s="68"/>
      <c r="H20" s="68"/>
      <c r="I20" s="68"/>
      <c r="J20" s="68"/>
      <c r="K20" s="68"/>
      <c r="L20" s="68"/>
    </row>
    <row r="21" spans="1:12" s="81" customFormat="1" ht="10" customHeight="1">
      <c r="A21" s="434"/>
      <c r="B21" s="434"/>
      <c r="C21" s="435"/>
      <c r="D21" s="269"/>
      <c r="E21" s="434"/>
      <c r="F21" s="434"/>
      <c r="G21" s="434"/>
      <c r="H21" s="434"/>
      <c r="I21" s="434"/>
      <c r="J21" s="434"/>
      <c r="K21" s="434"/>
      <c r="L21" s="434"/>
    </row>
    <row r="22" spans="1:12" ht="15" customHeight="1">
      <c r="A22" s="68"/>
      <c r="B22" s="70" t="s">
        <v>647</v>
      </c>
      <c r="C22" s="431">
        <f>'IRI Core Inputs'!B8</f>
        <v>0.8487516459755805</v>
      </c>
      <c r="D22" s="264" t="s">
        <v>645</v>
      </c>
      <c r="E22" s="68"/>
      <c r="F22" s="68"/>
      <c r="G22" s="68"/>
      <c r="H22" s="68"/>
      <c r="I22" s="68"/>
      <c r="J22" s="68"/>
      <c r="K22" s="68"/>
      <c r="L22" s="68"/>
    </row>
    <row r="23" spans="1:12" ht="15" customHeight="1">
      <c r="A23" s="68"/>
      <c r="B23" s="83" t="s">
        <v>648</v>
      </c>
      <c r="C23" s="260">
        <f>C16+C22*C17</f>
        <v>7.9654323410510888E-2</v>
      </c>
      <c r="D23" s="265"/>
      <c r="E23" s="68"/>
      <c r="F23" s="68"/>
      <c r="G23" s="68"/>
      <c r="H23" s="68"/>
      <c r="I23" s="68"/>
      <c r="J23" s="68"/>
      <c r="K23" s="68"/>
      <c r="L23" s="68"/>
    </row>
    <row r="24" spans="1:12" s="81" customFormat="1" ht="10" customHeight="1">
      <c r="A24" s="434"/>
      <c r="B24" s="434"/>
      <c r="C24" s="435"/>
      <c r="D24" s="269"/>
      <c r="E24" s="434"/>
      <c r="F24" s="434"/>
      <c r="G24" s="434"/>
      <c r="H24" s="434"/>
      <c r="I24" s="434"/>
      <c r="J24" s="434"/>
      <c r="K24" s="434"/>
      <c r="L24" s="434"/>
    </row>
    <row r="25" spans="1:12" ht="15" customHeight="1">
      <c r="A25" s="68"/>
      <c r="B25" s="72" t="s">
        <v>649</v>
      </c>
      <c r="C25" s="261">
        <f>'IRI Core Inputs'!B9*'IRI Core Inputs'!B10</f>
        <v>197409.94</v>
      </c>
      <c r="D25" s="264" t="s">
        <v>650</v>
      </c>
      <c r="E25" s="68"/>
      <c r="F25" s="68"/>
      <c r="G25" s="68"/>
      <c r="H25" s="68"/>
      <c r="I25" s="68"/>
      <c r="J25" s="68"/>
      <c r="K25" s="68"/>
      <c r="L25" s="68"/>
    </row>
    <row r="26" spans="1:12" ht="15" customHeight="1">
      <c r="A26" s="68"/>
      <c r="B26" s="72" t="s">
        <v>651</v>
      </c>
      <c r="C26" s="261">
        <f>C7</f>
        <v>38172.027999999998</v>
      </c>
      <c r="D26" s="264" t="s">
        <v>650</v>
      </c>
      <c r="E26" s="68"/>
      <c r="F26" s="68"/>
      <c r="G26" s="68"/>
      <c r="H26" s="68"/>
      <c r="I26" s="68"/>
      <c r="J26" s="68"/>
      <c r="K26" s="68"/>
      <c r="L26" s="68"/>
    </row>
    <row r="27" spans="1:12" ht="15" customHeight="1">
      <c r="A27" s="68"/>
      <c r="B27" s="72" t="s">
        <v>652</v>
      </c>
      <c r="C27" s="73">
        <f>C25/(C25+C26)</f>
        <v>0.83796710620907966</v>
      </c>
      <c r="D27" s="267"/>
      <c r="E27" s="68"/>
      <c r="F27" s="68"/>
      <c r="G27" s="68"/>
      <c r="H27" s="68"/>
      <c r="I27" s="68"/>
      <c r="J27" s="68"/>
      <c r="K27" s="68"/>
      <c r="L27" s="68"/>
    </row>
    <row r="28" spans="1:12" ht="15" customHeight="1">
      <c r="A28" s="68"/>
      <c r="B28" s="83" t="s">
        <v>653</v>
      </c>
      <c r="C28" s="260">
        <f>C26/(C25+C26)</f>
        <v>0.16203289379092037</v>
      </c>
      <c r="D28" s="270"/>
      <c r="E28" s="68"/>
      <c r="F28" s="68"/>
      <c r="G28" s="68"/>
      <c r="H28" s="68"/>
      <c r="I28" s="68"/>
      <c r="J28" s="68"/>
      <c r="K28" s="68"/>
      <c r="L28" s="68"/>
    </row>
    <row r="29" spans="1:12" s="81" customFormat="1" ht="10" customHeight="1">
      <c r="A29" s="434"/>
      <c r="B29" s="434"/>
      <c r="C29" s="435"/>
      <c r="D29" s="436"/>
      <c r="E29" s="434"/>
      <c r="F29" s="434"/>
      <c r="G29" s="434"/>
      <c r="H29" s="434"/>
      <c r="I29" s="434"/>
      <c r="J29" s="434"/>
      <c r="K29" s="434"/>
      <c r="L29" s="434"/>
    </row>
    <row r="30" spans="1:12" ht="15" customHeight="1">
      <c r="A30" s="68"/>
      <c r="B30" s="275" t="s">
        <v>654</v>
      </c>
      <c r="C30" s="437">
        <f>C27*C20+C28*C23</f>
        <v>6.3256712068841689E-2</v>
      </c>
      <c r="D30" s="276"/>
      <c r="E30" s="68"/>
      <c r="F30" s="68"/>
      <c r="G30" s="68"/>
      <c r="H30" s="68"/>
      <c r="I30" s="68"/>
      <c r="J30" s="68"/>
      <c r="K30" s="68"/>
      <c r="L30" s="68"/>
    </row>
    <row r="31" spans="1:12">
      <c r="A31" s="68"/>
      <c r="B31" s="68"/>
      <c r="C31" s="259"/>
      <c r="D31" s="271"/>
      <c r="E31" s="68"/>
      <c r="F31" s="68"/>
      <c r="G31" s="68"/>
      <c r="H31" s="68"/>
      <c r="I31" s="68"/>
      <c r="J31" s="68"/>
      <c r="K31" s="68"/>
      <c r="L31" s="68"/>
    </row>
    <row r="32" spans="1:12" ht="20" customHeight="1" thickBot="1">
      <c r="A32" s="68"/>
      <c r="B32" s="425" t="s">
        <v>655</v>
      </c>
      <c r="C32" s="426"/>
      <c r="D32" s="433"/>
      <c r="E32" s="68"/>
      <c r="F32" s="68"/>
      <c r="G32" s="68"/>
      <c r="H32" s="68"/>
      <c r="I32" s="68"/>
      <c r="J32" s="68"/>
      <c r="K32" s="68"/>
      <c r="L32" s="68"/>
    </row>
    <row r="33" spans="1:12" ht="15" customHeight="1">
      <c r="A33" s="68"/>
      <c r="B33" s="84" t="s">
        <v>656</v>
      </c>
      <c r="C33" s="262">
        <f>'IRI Core Inputs'!B14</f>
        <v>2079</v>
      </c>
      <c r="D33" s="272" t="s">
        <v>657</v>
      </c>
      <c r="E33" s="68"/>
      <c r="F33" s="68"/>
      <c r="G33" s="68"/>
      <c r="H33" s="68"/>
      <c r="I33" s="68"/>
      <c r="J33" s="68"/>
      <c r="K33" s="68"/>
      <c r="L33" s="68"/>
    </row>
    <row r="34" spans="1:12" ht="15" customHeight="1">
      <c r="A34" s="68"/>
      <c r="B34" s="72" t="s">
        <v>633</v>
      </c>
      <c r="C34" s="261">
        <f>C8</f>
        <v>25516</v>
      </c>
      <c r="D34" s="264" t="s">
        <v>658</v>
      </c>
      <c r="E34" s="68"/>
      <c r="F34" s="68"/>
      <c r="G34" s="68"/>
      <c r="H34" s="68"/>
      <c r="I34" s="68"/>
      <c r="J34" s="68"/>
      <c r="K34" s="68"/>
      <c r="L34" s="68"/>
    </row>
    <row r="35" spans="1:12" ht="15" customHeight="1">
      <c r="A35" s="68"/>
      <c r="B35" s="273" t="s">
        <v>659</v>
      </c>
      <c r="C35" s="438">
        <f>C33/C34</f>
        <v>8.14782881329362E-2</v>
      </c>
      <c r="D35" s="274"/>
      <c r="E35" s="68"/>
      <c r="F35" s="68"/>
      <c r="G35" s="68"/>
      <c r="H35" s="68"/>
      <c r="I35" s="68"/>
      <c r="J35" s="68"/>
      <c r="K35" s="68"/>
      <c r="L35" s="68"/>
    </row>
    <row r="36" spans="1:1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</row>
    <row r="37" spans="1:1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12">
      <c r="A38" s="68"/>
      <c r="B38" s="115" t="s">
        <v>513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</row>
  </sheetData>
  <pageMargins left="0.75" right="0.75" top="1" bottom="1" header="0.5" footer="0.5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6D7E96"/>
  </sheetPr>
  <dimension ref="A1:L105"/>
  <sheetViews>
    <sheetView showGridLines="0" topLeftCell="D1" workbookViewId="0">
      <pane ySplit="5" topLeftCell="A6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17.42578125" customWidth="1"/>
    <col min="3" max="3" width="23.7109375" customWidth="1"/>
    <col min="4" max="4" width="20" customWidth="1"/>
    <col min="6" max="6" width="14" customWidth="1"/>
  </cols>
  <sheetData>
    <row r="1" spans="1:12" ht="9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2" customHeight="1">
      <c r="A2" s="68"/>
      <c r="B2" s="304" t="s">
        <v>660</v>
      </c>
      <c r="C2" s="113"/>
      <c r="D2" s="113"/>
      <c r="E2" s="113"/>
      <c r="F2" s="113"/>
      <c r="G2" s="113"/>
      <c r="H2" s="113"/>
      <c r="I2" s="68"/>
      <c r="J2" s="68"/>
      <c r="K2" s="68"/>
      <c r="L2" s="68"/>
    </row>
    <row r="3" spans="1:12" ht="15" customHeight="1">
      <c r="A3" s="68"/>
      <c r="B3" s="305" t="s">
        <v>661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9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ht="15" customHeight="1">
      <c r="A5" s="68"/>
      <c r="B5" s="439" t="s">
        <v>662</v>
      </c>
      <c r="C5" s="440" t="s">
        <v>581</v>
      </c>
      <c r="D5" s="68"/>
      <c r="E5" s="68"/>
      <c r="F5" s="68"/>
      <c r="G5" s="68"/>
      <c r="H5" s="68"/>
      <c r="I5" s="68"/>
      <c r="J5" s="68"/>
      <c r="K5" s="68"/>
      <c r="L5" s="68"/>
    </row>
    <row r="6" spans="1:12" ht="9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ht="18" customHeight="1">
      <c r="A7" s="68"/>
      <c r="B7" s="386" t="s">
        <v>663</v>
      </c>
      <c r="C7" s="441"/>
      <c r="D7" s="441" t="s">
        <v>664</v>
      </c>
      <c r="E7" s="68"/>
      <c r="F7" s="68"/>
      <c r="G7" s="68"/>
      <c r="H7" s="68"/>
      <c r="I7" s="68"/>
      <c r="J7" s="68"/>
      <c r="K7" s="68"/>
      <c r="L7" s="68"/>
    </row>
    <row r="8" spans="1:12" ht="15" customHeight="1">
      <c r="A8" s="68"/>
      <c r="B8" s="139" t="s">
        <v>635</v>
      </c>
      <c r="C8" s="236"/>
      <c r="D8" s="442">
        <f>'IRI Inputs'!C9</f>
        <v>1.4960036055808119</v>
      </c>
      <c r="E8" s="68"/>
      <c r="F8" s="68"/>
      <c r="G8" s="68"/>
      <c r="H8" s="68"/>
      <c r="I8" s="68"/>
      <c r="J8" s="68"/>
      <c r="K8" s="68"/>
      <c r="L8" s="68"/>
    </row>
    <row r="9" spans="1:12" ht="15" customHeight="1">
      <c r="A9" s="68"/>
      <c r="B9" s="72" t="s">
        <v>665</v>
      </c>
      <c r="C9" s="237"/>
      <c r="D9" s="443">
        <f>'IRI Inputs'!C12</f>
        <v>0.3</v>
      </c>
      <c r="E9" s="68"/>
      <c r="F9" s="68"/>
      <c r="G9" s="68"/>
      <c r="H9" s="68"/>
      <c r="I9" s="68"/>
      <c r="J9" s="68"/>
      <c r="K9" s="68"/>
      <c r="L9" s="68"/>
    </row>
    <row r="10" spans="1:12" ht="15" customHeight="1">
      <c r="A10" s="68"/>
      <c r="B10" s="72" t="s">
        <v>666</v>
      </c>
      <c r="C10" s="235"/>
      <c r="D10" s="235">
        <f>'IRI Inputs'!C13</f>
        <v>1.9448046872550555</v>
      </c>
      <c r="E10" s="68"/>
      <c r="F10" s="68"/>
      <c r="G10" s="68"/>
      <c r="H10" s="68"/>
      <c r="I10" s="68"/>
      <c r="J10" s="68"/>
      <c r="K10" s="68"/>
      <c r="L10" s="68"/>
    </row>
    <row r="11" spans="1:12" ht="15" customHeight="1">
      <c r="A11" s="68"/>
      <c r="B11" s="72" t="s">
        <v>667</v>
      </c>
      <c r="C11" s="238"/>
      <c r="D11" s="444">
        <f>'IRI Core Inputs'!B4</f>
        <v>5</v>
      </c>
      <c r="E11" s="68"/>
      <c r="F11" s="68"/>
      <c r="G11" s="68"/>
      <c r="H11" s="68"/>
      <c r="I11" s="68"/>
      <c r="J11" s="68"/>
      <c r="K11" s="68"/>
      <c r="L11" s="68"/>
    </row>
    <row r="12" spans="1:12" ht="15" customHeight="1">
      <c r="A12" s="68"/>
      <c r="B12" s="72" t="s">
        <v>654</v>
      </c>
      <c r="C12" s="237"/>
      <c r="D12" s="443">
        <f>'IRI Inputs'!C30</f>
        <v>6.3256712068841689E-2</v>
      </c>
      <c r="E12" s="68"/>
      <c r="F12" s="68"/>
      <c r="G12" s="68"/>
      <c r="H12" s="68"/>
      <c r="I12" s="68"/>
      <c r="J12" s="68"/>
      <c r="K12" s="68"/>
      <c r="L12" s="68"/>
    </row>
    <row r="13" spans="1:12" ht="15" customHeight="1">
      <c r="A13" s="68"/>
      <c r="B13" s="70" t="s">
        <v>659</v>
      </c>
      <c r="C13" s="239"/>
      <c r="D13" s="445">
        <f>'IRI Inputs'!C35</f>
        <v>8.14782881329362E-2</v>
      </c>
      <c r="E13" s="68"/>
      <c r="F13" s="68"/>
      <c r="G13" s="68"/>
      <c r="H13" s="68"/>
      <c r="I13" s="68"/>
      <c r="J13" s="68"/>
      <c r="K13" s="68"/>
      <c r="L13" s="68"/>
    </row>
    <row r="14" spans="1:12">
      <c r="A14" s="68"/>
      <c r="B14" s="77"/>
      <c r="C14" s="68"/>
      <c r="D14" s="68"/>
      <c r="E14" s="68"/>
      <c r="F14" s="68"/>
      <c r="G14" s="68"/>
      <c r="H14" s="68"/>
      <c r="I14" s="68"/>
      <c r="J14" s="68"/>
      <c r="K14" s="68"/>
      <c r="L14" s="68"/>
    </row>
    <row r="15" spans="1:12" ht="9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 ht="18" customHeight="1">
      <c r="A16" s="68"/>
      <c r="B16" s="369" t="s">
        <v>668</v>
      </c>
      <c r="C16" s="383"/>
      <c r="D16" s="446"/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A17" s="68"/>
      <c r="B17" s="4" t="s">
        <v>669</v>
      </c>
      <c r="C17" s="196"/>
      <c r="D17" s="73">
        <f>((1+D12)*(D10^(1/D11))-1)</f>
        <v>0.21454421988729933</v>
      </c>
      <c r="E17" s="68"/>
      <c r="F17" s="68"/>
      <c r="G17" s="68"/>
      <c r="H17" s="68"/>
      <c r="I17" s="68"/>
      <c r="J17" s="68"/>
      <c r="K17" s="68"/>
      <c r="L17" s="68"/>
    </row>
    <row r="18" spans="1:12" ht="15" customHeight="1">
      <c r="A18" s="68"/>
      <c r="B18" s="279" t="s">
        <v>670</v>
      </c>
      <c r="C18" s="197"/>
      <c r="D18" s="142">
        <f>D17-D13</f>
        <v>0.13306593175436313</v>
      </c>
      <c r="E18" s="68"/>
      <c r="F18" s="68"/>
      <c r="G18" s="68"/>
      <c r="H18" s="68"/>
      <c r="I18" s="68"/>
      <c r="J18" s="68"/>
      <c r="K18" s="68"/>
      <c r="L18" s="68"/>
    </row>
    <row r="19" spans="1:12">
      <c r="A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1:12" ht="15" customHeight="1">
      <c r="A20" s="68"/>
      <c r="B20" s="447" t="str">
        <f>IF(B18&lt;0.08,"Interpretation: Low hurdle. The paid price is easy to defend.",IF(B18&lt;0.16,"Interpretation: Moderate hurdle. Meaningful improvement is required.","Interpretation: High hurdle. The deal needs outsized post-close improvement."))</f>
        <v>Interpretation: High hurdle. The deal needs outsized post-close improvement.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1:12" ht="18" customHeight="1">
      <c r="A22" s="68"/>
      <c r="B22" s="369" t="s">
        <v>671</v>
      </c>
      <c r="C22" s="383"/>
      <c r="D22" s="369"/>
      <c r="E22" s="68"/>
      <c r="F22" s="68"/>
      <c r="G22" s="68"/>
      <c r="H22" s="68"/>
      <c r="I22" s="68"/>
      <c r="J22" s="68"/>
      <c r="K22" s="68"/>
      <c r="L22" s="68"/>
    </row>
    <row r="23" spans="1:12" ht="15" customHeight="1">
      <c r="A23" s="68"/>
      <c r="B23" s="413" t="s">
        <v>630</v>
      </c>
      <c r="C23" s="448" t="s">
        <v>672</v>
      </c>
      <c r="D23" s="449" t="s">
        <v>60</v>
      </c>
      <c r="E23" s="68"/>
      <c r="F23" s="68"/>
      <c r="G23" s="68"/>
      <c r="H23" s="68"/>
      <c r="I23" s="68"/>
      <c r="J23" s="68"/>
      <c r="K23" s="68"/>
      <c r="L23" s="68"/>
    </row>
    <row r="24" spans="1:12" ht="15" customHeight="1">
      <c r="A24" s="68"/>
      <c r="B24" s="450">
        <f>'IRI Core Inputs'!D2</f>
        <v>0.5</v>
      </c>
      <c r="C24" s="73">
        <f t="shared" ref="C24:C36" si="0">((1+$D$12)*((B24*(1+$D$9))^(1/$D$11))-1)</f>
        <v>-2.4514531313052923E-2</v>
      </c>
      <c r="D24" s="124">
        <f t="shared" ref="D24:D36" si="1">C24-$D$13</f>
        <v>-0.10599281944598912</v>
      </c>
      <c r="E24" s="68"/>
      <c r="F24" s="68"/>
      <c r="G24" s="68"/>
      <c r="H24" s="68"/>
      <c r="I24" s="68"/>
      <c r="J24" s="68"/>
      <c r="K24" s="68"/>
      <c r="L24" s="68"/>
    </row>
    <row r="25" spans="1:12" ht="15" customHeight="1">
      <c r="A25" s="68"/>
      <c r="B25" s="451">
        <f>'IRI Core Inputs'!D3</f>
        <v>0.75</v>
      </c>
      <c r="C25" s="233">
        <f t="shared" si="0"/>
        <v>5.7886454004550725E-2</v>
      </c>
      <c r="D25" s="234">
        <f t="shared" si="1"/>
        <v>-2.3591834128385475E-2</v>
      </c>
      <c r="E25" s="68"/>
      <c r="F25" s="68"/>
      <c r="G25" s="68"/>
      <c r="H25" s="68"/>
      <c r="I25" s="68"/>
      <c r="J25" s="68"/>
      <c r="K25" s="68"/>
      <c r="L25" s="68"/>
    </row>
    <row r="26" spans="1:12" ht="15" customHeight="1">
      <c r="A26" s="68"/>
      <c r="B26" s="450">
        <f>'IRI Core Inputs'!D4</f>
        <v>1</v>
      </c>
      <c r="C26" s="73">
        <f t="shared" si="0"/>
        <v>0.12053855320420803</v>
      </c>
      <c r="D26" s="124">
        <f t="shared" si="1"/>
        <v>3.9060265071271832E-2</v>
      </c>
      <c r="E26" s="68"/>
      <c r="F26" s="68"/>
      <c r="G26" s="68"/>
      <c r="H26" s="68"/>
      <c r="I26" s="68"/>
      <c r="J26" s="68"/>
      <c r="K26" s="68"/>
      <c r="L26" s="68"/>
    </row>
    <row r="27" spans="1:12" ht="15" customHeight="1">
      <c r="A27" s="68"/>
      <c r="B27" s="450">
        <f>'IRI Core Inputs'!D5</f>
        <v>1.25</v>
      </c>
      <c r="C27" s="73">
        <f t="shared" si="0"/>
        <v>0.17167943143372044</v>
      </c>
      <c r="D27" s="125">
        <f t="shared" si="1"/>
        <v>9.0201143300784242E-2</v>
      </c>
      <c r="E27" s="68"/>
      <c r="F27" s="68"/>
      <c r="G27" s="68"/>
      <c r="H27" s="68"/>
      <c r="I27" s="68"/>
      <c r="J27" s="68"/>
      <c r="K27" s="68"/>
      <c r="L27" s="68"/>
    </row>
    <row r="28" spans="1:12" ht="15" customHeight="1">
      <c r="A28" s="68"/>
      <c r="B28" s="450">
        <f>'IRI Core Inputs'!D6</f>
        <v>1.5</v>
      </c>
      <c r="C28" s="73">
        <f t="shared" si="0"/>
        <v>0.21519242948867401</v>
      </c>
      <c r="D28" s="125">
        <f t="shared" si="1"/>
        <v>0.13371414135573781</v>
      </c>
      <c r="E28" s="68"/>
      <c r="F28" s="68"/>
      <c r="G28" s="68"/>
      <c r="H28" s="68"/>
      <c r="I28" s="68"/>
      <c r="J28" s="68"/>
      <c r="K28" s="68"/>
      <c r="L28" s="68"/>
    </row>
    <row r="29" spans="1:12" ht="15" customHeight="1">
      <c r="A29" s="68"/>
      <c r="B29" s="450">
        <f>'IRI Core Inputs'!D7</f>
        <v>1.75</v>
      </c>
      <c r="C29" s="73">
        <f t="shared" si="0"/>
        <v>0.25324047688515683</v>
      </c>
      <c r="D29" s="126">
        <f t="shared" si="1"/>
        <v>0.17176218875222063</v>
      </c>
      <c r="E29" s="68"/>
      <c r="F29" s="68"/>
      <c r="G29" s="68"/>
      <c r="H29" s="68"/>
      <c r="I29" s="68"/>
      <c r="J29" s="68"/>
      <c r="K29" s="68"/>
      <c r="L29" s="68"/>
    </row>
    <row r="30" spans="1:12" ht="15" customHeight="1">
      <c r="A30" s="68"/>
      <c r="B30" s="450">
        <f>'IRI Core Inputs'!D8</f>
        <v>2</v>
      </c>
      <c r="C30" s="73">
        <f t="shared" si="0"/>
        <v>0.28716079277643103</v>
      </c>
      <c r="D30" s="126">
        <f t="shared" si="1"/>
        <v>0.20568250464349483</v>
      </c>
      <c r="E30" s="68"/>
      <c r="F30" s="68"/>
      <c r="G30" s="68"/>
      <c r="H30" s="68"/>
      <c r="I30" s="68"/>
      <c r="J30" s="68"/>
      <c r="K30" s="68"/>
      <c r="L30" s="68"/>
    </row>
    <row r="31" spans="1:12" ht="15" customHeight="1">
      <c r="A31" s="68"/>
      <c r="B31" s="450">
        <f>'IRI Core Inputs'!D9</f>
        <v>2.25</v>
      </c>
      <c r="C31" s="73">
        <f t="shared" si="0"/>
        <v>0.31784188635361676</v>
      </c>
      <c r="D31" s="126">
        <f t="shared" si="1"/>
        <v>0.23636359822068057</v>
      </c>
      <c r="E31" s="68"/>
      <c r="F31" s="68"/>
      <c r="G31" s="68"/>
      <c r="H31" s="68"/>
      <c r="I31" s="68"/>
      <c r="J31" s="68"/>
      <c r="K31" s="68"/>
      <c r="L31" s="68"/>
    </row>
    <row r="32" spans="1:12" ht="15" customHeight="1">
      <c r="A32" s="68"/>
      <c r="B32" s="450">
        <f>'IRI Core Inputs'!D10</f>
        <v>2.5</v>
      </c>
      <c r="C32" s="73">
        <f t="shared" si="0"/>
        <v>0.34590623547177612</v>
      </c>
      <c r="D32" s="126">
        <f t="shared" si="1"/>
        <v>0.2644279473388399</v>
      </c>
      <c r="E32" s="68"/>
      <c r="F32" s="68"/>
      <c r="G32" s="68"/>
      <c r="H32" s="68"/>
      <c r="I32" s="68"/>
      <c r="J32" s="68"/>
      <c r="K32" s="68"/>
      <c r="L32" s="68"/>
    </row>
    <row r="33" spans="1:12" ht="15" customHeight="1">
      <c r="A33" s="68"/>
      <c r="B33" s="450">
        <f>'IRI Core Inputs'!D11</f>
        <v>2.75</v>
      </c>
      <c r="C33" s="73">
        <f t="shared" si="0"/>
        <v>0.37180803474251189</v>
      </c>
      <c r="D33" s="126">
        <f t="shared" si="1"/>
        <v>0.29032974660957567</v>
      </c>
      <c r="E33" s="68"/>
      <c r="F33" s="68"/>
      <c r="G33" s="68"/>
      <c r="H33" s="68"/>
      <c r="I33" s="68"/>
      <c r="J33" s="68"/>
      <c r="K33" s="68"/>
      <c r="L33" s="68"/>
    </row>
    <row r="34" spans="1:12" ht="15" customHeight="1">
      <c r="A34" s="68"/>
      <c r="B34" s="450">
        <f>'IRI Core Inputs'!D12</f>
        <v>3</v>
      </c>
      <c r="C34" s="73">
        <f t="shared" si="0"/>
        <v>0.39588954475849025</v>
      </c>
      <c r="D34" s="126">
        <f t="shared" si="1"/>
        <v>0.31441125662555403</v>
      </c>
      <c r="E34" s="68"/>
      <c r="F34" s="68"/>
      <c r="G34" s="68"/>
      <c r="H34" s="68"/>
      <c r="I34" s="68"/>
      <c r="J34" s="68"/>
      <c r="K34" s="68"/>
      <c r="L34" s="68"/>
    </row>
    <row r="35" spans="1:12" ht="15" customHeight="1">
      <c r="A35" s="68"/>
      <c r="B35" s="450">
        <f>'IRI Core Inputs'!D13</f>
        <v>3.25</v>
      </c>
      <c r="C35" s="73">
        <f t="shared" si="0"/>
        <v>0.41841552348123812</v>
      </c>
      <c r="D35" s="126">
        <f t="shared" si="1"/>
        <v>0.33693723534830189</v>
      </c>
      <c r="E35" s="68"/>
      <c r="F35" s="68"/>
      <c r="G35" s="68"/>
      <c r="H35" s="68"/>
      <c r="I35" s="68"/>
      <c r="J35" s="68"/>
      <c r="K35" s="68"/>
      <c r="L35" s="68"/>
    </row>
    <row r="36" spans="1:12" ht="15" customHeight="1">
      <c r="A36" s="68"/>
      <c r="B36" s="452">
        <f>'IRI Core Inputs'!D14</f>
        <v>3.5</v>
      </c>
      <c r="C36" s="121">
        <f t="shared" si="0"/>
        <v>0.4395952742136795</v>
      </c>
      <c r="D36" s="123">
        <f t="shared" si="1"/>
        <v>0.35811698608074327</v>
      </c>
      <c r="E36" s="68"/>
      <c r="F36" s="68"/>
      <c r="G36" s="68"/>
      <c r="H36" s="68"/>
      <c r="I36" s="68"/>
      <c r="J36" s="68"/>
      <c r="K36" s="68"/>
      <c r="L36" s="68"/>
    </row>
    <row r="37" spans="1:1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12" ht="18" customHeight="1">
      <c r="A38" s="68"/>
      <c r="B38" s="369" t="s">
        <v>673</v>
      </c>
      <c r="C38" s="383"/>
      <c r="D38" s="369"/>
      <c r="E38" s="68"/>
      <c r="F38" s="68"/>
      <c r="G38" s="68"/>
      <c r="H38" s="68"/>
      <c r="I38" s="68"/>
      <c r="J38" s="68"/>
      <c r="K38" s="68"/>
      <c r="L38" s="68"/>
    </row>
    <row r="39" spans="1:12" ht="15" customHeight="1">
      <c r="A39" s="68"/>
      <c r="B39" s="413" t="s">
        <v>555</v>
      </c>
      <c r="C39" s="448" t="s">
        <v>672</v>
      </c>
      <c r="D39" s="449" t="s">
        <v>60</v>
      </c>
      <c r="E39" s="68"/>
      <c r="F39" s="68"/>
      <c r="G39" s="68"/>
      <c r="H39" s="68"/>
      <c r="I39" s="68"/>
      <c r="J39" s="68"/>
      <c r="K39" s="68"/>
      <c r="L39" s="68"/>
    </row>
    <row r="40" spans="1:12" ht="15" customHeight="1">
      <c r="A40" s="68"/>
      <c r="B40" s="453">
        <f>'IRI Core Inputs'!E2</f>
        <v>-0.1</v>
      </c>
      <c r="C40" s="73">
        <f t="shared" ref="C40:C54" si="2">((1+$D$12)*(($D$8*(1+B40))^(1/$D$11))-1)</f>
        <v>0.12842620466239718</v>
      </c>
      <c r="D40" s="124">
        <f t="shared" ref="D40:D54" si="3">C40-$D$13</f>
        <v>4.6947916529460981E-2</v>
      </c>
      <c r="E40" s="68"/>
      <c r="F40" s="68"/>
      <c r="G40" s="68"/>
      <c r="H40" s="68"/>
      <c r="I40" s="68"/>
      <c r="J40" s="68"/>
      <c r="K40" s="68"/>
      <c r="L40" s="68"/>
    </row>
    <row r="41" spans="1:12" ht="15" customHeight="1">
      <c r="A41" s="68"/>
      <c r="B41" s="453">
        <f>'IRI Core Inputs'!E3</f>
        <v>-0.05</v>
      </c>
      <c r="C41" s="73">
        <f t="shared" si="2"/>
        <v>0.14069459073018953</v>
      </c>
      <c r="D41" s="125">
        <f t="shared" si="3"/>
        <v>5.9216302597253329E-2</v>
      </c>
      <c r="E41" s="68"/>
      <c r="F41" s="68"/>
      <c r="G41" s="68"/>
      <c r="H41" s="68"/>
      <c r="I41" s="68"/>
      <c r="J41" s="68"/>
      <c r="K41" s="68"/>
      <c r="L41" s="68"/>
    </row>
    <row r="42" spans="1:12" ht="15" customHeight="1">
      <c r="A42" s="68"/>
      <c r="B42" s="453">
        <f>'IRI Core Inputs'!E4</f>
        <v>0</v>
      </c>
      <c r="C42" s="73">
        <f t="shared" si="2"/>
        <v>0.15245681659669352</v>
      </c>
      <c r="D42" s="125">
        <f t="shared" si="3"/>
        <v>7.0978528463757323E-2</v>
      </c>
      <c r="E42" s="68"/>
      <c r="F42" s="68"/>
      <c r="G42" s="68"/>
      <c r="H42" s="68"/>
      <c r="I42" s="68"/>
      <c r="J42" s="68"/>
      <c r="K42" s="68"/>
      <c r="L42" s="68"/>
    </row>
    <row r="43" spans="1:12" ht="15" customHeight="1">
      <c r="A43" s="68"/>
      <c r="B43" s="453">
        <f>'IRI Core Inputs'!E5</f>
        <v>0.05</v>
      </c>
      <c r="C43" s="73">
        <f t="shared" si="2"/>
        <v>0.16375757496766985</v>
      </c>
      <c r="D43" s="125">
        <f t="shared" si="3"/>
        <v>8.227928683473365E-2</v>
      </c>
      <c r="E43" s="68"/>
      <c r="F43" s="68"/>
      <c r="G43" s="68"/>
      <c r="H43" s="68"/>
      <c r="I43" s="68"/>
      <c r="J43" s="68"/>
      <c r="K43" s="68"/>
      <c r="L43" s="68"/>
    </row>
    <row r="44" spans="1:12" ht="15" customHeight="1">
      <c r="A44" s="68"/>
      <c r="B44" s="453">
        <f>'IRI Core Inputs'!E6</f>
        <v>0.1</v>
      </c>
      <c r="C44" s="73">
        <f t="shared" si="2"/>
        <v>0.17463570569383435</v>
      </c>
      <c r="D44" s="125">
        <f t="shared" si="3"/>
        <v>9.3157417560898154E-2</v>
      </c>
      <c r="E44" s="68"/>
      <c r="F44" s="68"/>
      <c r="G44" s="68"/>
      <c r="H44" s="68"/>
      <c r="I44" s="68"/>
      <c r="J44" s="68"/>
      <c r="K44" s="68"/>
      <c r="L44" s="68"/>
    </row>
    <row r="45" spans="1:12" ht="15" customHeight="1">
      <c r="A45" s="68"/>
      <c r="B45" s="453">
        <f>'IRI Core Inputs'!E7</f>
        <v>0.15</v>
      </c>
      <c r="C45" s="73">
        <f t="shared" si="2"/>
        <v>0.18512518970925695</v>
      </c>
      <c r="D45" s="125">
        <f t="shared" si="3"/>
        <v>0.10364690157632075</v>
      </c>
      <c r="E45" s="68"/>
      <c r="F45" s="68"/>
      <c r="G45" s="68"/>
      <c r="H45" s="68"/>
      <c r="I45" s="68"/>
      <c r="J45" s="68"/>
      <c r="K45" s="68"/>
      <c r="L45" s="68"/>
    </row>
    <row r="46" spans="1:12" ht="15" customHeight="1">
      <c r="A46" s="68"/>
      <c r="B46" s="453">
        <f>'IRI Core Inputs'!E8</f>
        <v>0.2</v>
      </c>
      <c r="C46" s="73">
        <f t="shared" si="2"/>
        <v>0.19525593884263737</v>
      </c>
      <c r="D46" s="125">
        <f t="shared" si="3"/>
        <v>0.11377765070970117</v>
      </c>
      <c r="E46" s="68"/>
      <c r="F46" s="68"/>
      <c r="G46" s="68"/>
      <c r="H46" s="68"/>
      <c r="I46" s="68"/>
      <c r="J46" s="68"/>
      <c r="K46" s="68"/>
      <c r="L46" s="68"/>
    </row>
    <row r="47" spans="1:12" ht="15" customHeight="1">
      <c r="A47" s="68"/>
      <c r="B47" s="453">
        <f>'IRI Core Inputs'!E9</f>
        <v>0.25</v>
      </c>
      <c r="C47" s="73">
        <f t="shared" si="2"/>
        <v>0.20505443008692992</v>
      </c>
      <c r="D47" s="125">
        <f t="shared" si="3"/>
        <v>0.12357614195399372</v>
      </c>
      <c r="E47" s="68"/>
      <c r="F47" s="68"/>
      <c r="G47" s="68"/>
      <c r="H47" s="68"/>
      <c r="I47" s="68"/>
      <c r="J47" s="68"/>
      <c r="K47" s="68"/>
      <c r="L47" s="68"/>
    </row>
    <row r="48" spans="1:12" ht="15" customHeight="1">
      <c r="A48" s="68"/>
      <c r="B48" s="453">
        <f>'IRI Core Inputs'!E10</f>
        <v>0.3</v>
      </c>
      <c r="C48" s="73">
        <f t="shared" si="2"/>
        <v>0.21454421988729933</v>
      </c>
      <c r="D48" s="125">
        <f t="shared" si="3"/>
        <v>0.13306593175436313</v>
      </c>
      <c r="E48" s="68"/>
      <c r="F48" s="68"/>
      <c r="G48" s="68"/>
      <c r="H48" s="68"/>
      <c r="I48" s="68"/>
      <c r="J48" s="68"/>
      <c r="K48" s="68"/>
      <c r="L48" s="68"/>
    </row>
    <row r="49" spans="1:12" ht="15" customHeight="1">
      <c r="A49" s="68"/>
      <c r="B49" s="453">
        <f>'IRI Core Inputs'!E11</f>
        <v>0.35</v>
      </c>
      <c r="C49" s="73">
        <f t="shared" si="2"/>
        <v>0.22374636483612664</v>
      </c>
      <c r="D49" s="125">
        <f t="shared" si="3"/>
        <v>0.14226807670319044</v>
      </c>
      <c r="E49" s="68"/>
      <c r="F49" s="68"/>
      <c r="G49" s="68"/>
      <c r="H49" s="68"/>
      <c r="I49" s="68"/>
      <c r="J49" s="68"/>
      <c r="K49" s="68"/>
      <c r="L49" s="68"/>
    </row>
    <row r="50" spans="1:12" ht="15" customHeight="1">
      <c r="A50" s="68"/>
      <c r="B50" s="453">
        <f>'IRI Core Inputs'!E12</f>
        <v>0.4</v>
      </c>
      <c r="C50" s="73">
        <f t="shared" si="2"/>
        <v>0.2326797686069062</v>
      </c>
      <c r="D50" s="125">
        <f t="shared" si="3"/>
        <v>0.15120148047397</v>
      </c>
      <c r="E50" s="68"/>
      <c r="F50" s="68"/>
      <c r="G50" s="68"/>
      <c r="H50" s="68"/>
      <c r="I50" s="68"/>
      <c r="J50" s="68"/>
      <c r="K50" s="68"/>
      <c r="L50" s="68"/>
    </row>
    <row r="51" spans="1:12" ht="15" customHeight="1">
      <c r="A51" s="68"/>
      <c r="B51" s="453">
        <f>'IRI Core Inputs'!E13</f>
        <v>0.45</v>
      </c>
      <c r="C51" s="73">
        <f t="shared" si="2"/>
        <v>0.24136147020516585</v>
      </c>
      <c r="D51" s="126">
        <f t="shared" si="3"/>
        <v>0.15988318207222965</v>
      </c>
      <c r="E51" s="68"/>
      <c r="F51" s="68"/>
      <c r="G51" s="68"/>
      <c r="H51" s="68"/>
      <c r="I51" s="68"/>
      <c r="J51" s="68"/>
      <c r="K51" s="68"/>
      <c r="L51" s="68"/>
    </row>
    <row r="52" spans="1:12" ht="15" customHeight="1">
      <c r="A52" s="68"/>
      <c r="B52" s="453">
        <f>'IRI Core Inputs'!E14</f>
        <v>0.5</v>
      </c>
      <c r="C52" s="73">
        <f t="shared" si="2"/>
        <v>0.2498068851234776</v>
      </c>
      <c r="D52" s="126">
        <f t="shared" si="3"/>
        <v>0.1683285969905414</v>
      </c>
      <c r="E52" s="68"/>
      <c r="F52" s="68"/>
      <c r="G52" s="68"/>
      <c r="H52" s="68"/>
      <c r="I52" s="68"/>
      <c r="J52" s="68"/>
      <c r="K52" s="68"/>
      <c r="L52" s="68"/>
    </row>
    <row r="53" spans="1:12" ht="15" customHeight="1">
      <c r="A53" s="68"/>
      <c r="B53" s="453">
        <f>'IRI Core Inputs'!E15</f>
        <v>0.55000000000000004</v>
      </c>
      <c r="C53" s="73">
        <f t="shared" si="2"/>
        <v>0.25803000839331691</v>
      </c>
      <c r="D53" s="126">
        <f t="shared" si="3"/>
        <v>0.17655172026038071</v>
      </c>
      <c r="E53" s="68"/>
      <c r="F53" s="68"/>
      <c r="G53" s="68"/>
      <c r="H53" s="68"/>
      <c r="I53" s="68"/>
      <c r="J53" s="68"/>
      <c r="K53" s="68"/>
      <c r="L53" s="68"/>
    </row>
    <row r="54" spans="1:12" ht="15" customHeight="1">
      <c r="A54" s="68"/>
      <c r="B54" s="454">
        <f>'IRI Core Inputs'!E16</f>
        <v>0.6</v>
      </c>
      <c r="C54" s="121">
        <f t="shared" si="2"/>
        <v>0.26604358657730254</v>
      </c>
      <c r="D54" s="123">
        <f t="shared" si="3"/>
        <v>0.18456529844436634</v>
      </c>
      <c r="E54" s="68"/>
      <c r="F54" s="68"/>
      <c r="G54" s="68"/>
      <c r="H54" s="68"/>
      <c r="I54" s="68"/>
      <c r="J54" s="68"/>
      <c r="K54" s="68"/>
      <c r="L54" s="68"/>
    </row>
    <row r="55" spans="1:1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ht="18" customHeight="1">
      <c r="A56" s="68"/>
      <c r="B56" s="369" t="s">
        <v>674</v>
      </c>
      <c r="C56" s="383"/>
      <c r="D56" s="369"/>
      <c r="E56" s="68"/>
      <c r="F56" s="68"/>
      <c r="G56" s="68"/>
      <c r="H56" s="68"/>
      <c r="I56" s="68"/>
      <c r="J56" s="68"/>
      <c r="K56" s="68"/>
      <c r="L56" s="68"/>
    </row>
    <row r="57" spans="1:12" ht="15" customHeight="1">
      <c r="A57" s="68"/>
      <c r="B57" s="413" t="s">
        <v>675</v>
      </c>
      <c r="C57" s="448" t="s">
        <v>672</v>
      </c>
      <c r="D57" s="449" t="s">
        <v>60</v>
      </c>
      <c r="E57" s="68"/>
      <c r="F57" s="68"/>
      <c r="G57" s="68"/>
      <c r="H57" s="68"/>
      <c r="I57" s="68"/>
      <c r="J57" s="68"/>
      <c r="K57" s="68"/>
      <c r="L57" s="68"/>
    </row>
    <row r="58" spans="1:12" ht="15" customHeight="1">
      <c r="A58" s="68"/>
      <c r="B58" s="455">
        <f>'IRI Core Inputs'!F2</f>
        <v>2</v>
      </c>
      <c r="C58" s="73">
        <f t="shared" ref="C58:C66" si="4">((1+$D$12)*($D$10^(1/B58))-1)</f>
        <v>0.48277798459389887</v>
      </c>
      <c r="D58" s="126">
        <f t="shared" ref="D58:D66" si="5">C58-$D$13</f>
        <v>0.40129969646096264</v>
      </c>
      <c r="E58" s="68"/>
      <c r="F58" s="68"/>
      <c r="G58" s="68"/>
      <c r="H58" s="68"/>
      <c r="I58" s="68"/>
      <c r="J58" s="68"/>
      <c r="K58" s="68"/>
      <c r="L58" s="68"/>
    </row>
    <row r="59" spans="1:12" ht="15" customHeight="1">
      <c r="A59" s="68"/>
      <c r="B59" s="455">
        <f>'IRI Core Inputs'!F3</f>
        <v>3</v>
      </c>
      <c r="C59" s="73">
        <f t="shared" si="4"/>
        <v>0.32718092306727797</v>
      </c>
      <c r="D59" s="126">
        <f t="shared" si="5"/>
        <v>0.24570263493434177</v>
      </c>
      <c r="E59" s="68"/>
      <c r="F59" s="68"/>
      <c r="G59" s="68"/>
      <c r="H59" s="68"/>
      <c r="I59" s="68"/>
      <c r="J59" s="68"/>
      <c r="K59" s="68"/>
      <c r="L59" s="68"/>
    </row>
    <row r="60" spans="1:12" ht="15" customHeight="1">
      <c r="A60" s="68"/>
      <c r="B60" s="455">
        <f>'IRI Core Inputs'!F4</f>
        <v>4</v>
      </c>
      <c r="C60" s="73">
        <f t="shared" si="4"/>
        <v>0.25561683830194504</v>
      </c>
      <c r="D60" s="126">
        <f t="shared" si="5"/>
        <v>0.17413855016900884</v>
      </c>
      <c r="E60" s="68"/>
      <c r="F60" s="68"/>
      <c r="G60" s="68"/>
      <c r="H60" s="68"/>
      <c r="I60" s="68"/>
      <c r="J60" s="68"/>
      <c r="K60" s="68"/>
      <c r="L60" s="68"/>
    </row>
    <row r="61" spans="1:12" ht="15" customHeight="1">
      <c r="A61" s="68"/>
      <c r="B61" s="455">
        <f>'IRI Core Inputs'!F5</f>
        <v>5</v>
      </c>
      <c r="C61" s="73">
        <f t="shared" si="4"/>
        <v>0.21454421988729933</v>
      </c>
      <c r="D61" s="125">
        <f t="shared" si="5"/>
        <v>0.13306593175436313</v>
      </c>
      <c r="E61" s="68"/>
      <c r="F61" s="68"/>
      <c r="G61" s="68"/>
      <c r="H61" s="68"/>
      <c r="I61" s="68"/>
      <c r="J61" s="68"/>
      <c r="K61" s="68"/>
      <c r="L61" s="68"/>
    </row>
    <row r="62" spans="1:12" ht="15" customHeight="1">
      <c r="A62" s="68"/>
      <c r="B62" s="455">
        <f>'IRI Core Inputs'!F6</f>
        <v>6</v>
      </c>
      <c r="C62" s="73">
        <f t="shared" si="4"/>
        <v>0.18791162321992805</v>
      </c>
      <c r="D62" s="125">
        <f t="shared" si="5"/>
        <v>0.10643333508699185</v>
      </c>
      <c r="E62" s="68"/>
      <c r="F62" s="68"/>
      <c r="G62" s="68"/>
      <c r="H62" s="68"/>
      <c r="I62" s="68"/>
      <c r="J62" s="68"/>
      <c r="K62" s="68"/>
      <c r="L62" s="68"/>
    </row>
    <row r="63" spans="1:12" ht="15" customHeight="1">
      <c r="A63" s="68"/>
      <c r="B63" s="455">
        <f>'IRI Core Inputs'!F7</f>
        <v>7</v>
      </c>
      <c r="C63" s="73">
        <f t="shared" si="4"/>
        <v>0.16924664362516739</v>
      </c>
      <c r="D63" s="125">
        <f t="shared" si="5"/>
        <v>8.7768355492231193E-2</v>
      </c>
      <c r="E63" s="68"/>
      <c r="F63" s="68"/>
      <c r="G63" s="68"/>
      <c r="H63" s="68"/>
      <c r="I63" s="68"/>
      <c r="J63" s="68"/>
      <c r="K63" s="68"/>
      <c r="L63" s="68"/>
    </row>
    <row r="64" spans="1:12" ht="15" customHeight="1">
      <c r="A64" s="68"/>
      <c r="B64" s="455">
        <f>'IRI Core Inputs'!F8</f>
        <v>8</v>
      </c>
      <c r="C64" s="73">
        <f t="shared" si="4"/>
        <v>0.15544062206207743</v>
      </c>
      <c r="D64" s="125">
        <f t="shared" si="5"/>
        <v>7.3962333929141227E-2</v>
      </c>
      <c r="E64" s="68"/>
      <c r="F64" s="68"/>
      <c r="G64" s="68"/>
      <c r="H64" s="68"/>
      <c r="I64" s="68"/>
      <c r="J64" s="68"/>
      <c r="K64" s="68"/>
      <c r="L64" s="68"/>
    </row>
    <row r="65" spans="1:12" ht="15" customHeight="1">
      <c r="A65" s="68"/>
      <c r="B65" s="456">
        <f>'IRI Core Inputs'!F9</f>
        <v>9</v>
      </c>
      <c r="C65" s="231">
        <f t="shared" si="4"/>
        <v>0.14481540683164695</v>
      </c>
      <c r="D65" s="232">
        <f t="shared" si="5"/>
        <v>6.3337118698710754E-2</v>
      </c>
      <c r="E65" s="68"/>
      <c r="F65" s="68"/>
      <c r="G65" s="68"/>
      <c r="H65" s="68"/>
      <c r="I65" s="68"/>
      <c r="J65" s="68"/>
      <c r="K65" s="68"/>
      <c r="L65" s="68"/>
    </row>
    <row r="66" spans="1:12" ht="15" customHeight="1">
      <c r="A66" s="68"/>
      <c r="B66" s="457">
        <f>'IRI Core Inputs'!F10</f>
        <v>10</v>
      </c>
      <c r="C66" s="121">
        <f t="shared" si="4"/>
        <v>0.13638562728485182</v>
      </c>
      <c r="D66" s="122">
        <f t="shared" si="5"/>
        <v>5.4907339151915618E-2</v>
      </c>
      <c r="E66" s="68"/>
      <c r="F66" s="68"/>
      <c r="G66" s="68"/>
      <c r="H66" s="68"/>
      <c r="I66" s="68"/>
      <c r="J66" s="68"/>
      <c r="K66" s="68"/>
      <c r="L66" s="68"/>
    </row>
    <row r="67" spans="1:1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</row>
    <row r="68" spans="1:12" ht="18" customHeight="1">
      <c r="A68" s="68"/>
      <c r="B68" s="369" t="s">
        <v>676</v>
      </c>
      <c r="C68" s="383"/>
      <c r="D68" s="369"/>
      <c r="E68" s="68"/>
      <c r="F68" s="68"/>
      <c r="G68" s="68"/>
      <c r="H68" s="68"/>
      <c r="I68" s="68"/>
      <c r="J68" s="68"/>
      <c r="K68" s="68"/>
      <c r="L68" s="68"/>
    </row>
    <row r="69" spans="1:12" ht="15" customHeight="1">
      <c r="A69" s="68"/>
      <c r="B69" s="413" t="s">
        <v>677</v>
      </c>
      <c r="C69" s="448" t="s">
        <v>672</v>
      </c>
      <c r="D69" s="449" t="s">
        <v>60</v>
      </c>
      <c r="E69" s="68"/>
      <c r="F69" s="68"/>
      <c r="G69" s="68"/>
      <c r="H69" s="68"/>
      <c r="I69" s="68"/>
      <c r="J69" s="68"/>
      <c r="K69" s="68"/>
      <c r="L69" s="68"/>
    </row>
    <row r="70" spans="1:12" ht="15" customHeight="1">
      <c r="A70" s="68"/>
      <c r="B70" s="453">
        <f>'IRI Core Inputs'!G2</f>
        <v>0.04</v>
      </c>
      <c r="C70" s="73">
        <f t="shared" ref="C70:C80" si="6">((1+B70)*($D$10^(1/$D$11))-1)</f>
        <v>0.18797838221500829</v>
      </c>
      <c r="D70" s="125">
        <f t="shared" ref="D70:D80" si="7">C70-$D$13</f>
        <v>0.10650009408207209</v>
      </c>
      <c r="E70" s="68"/>
      <c r="F70" s="68"/>
      <c r="G70" s="68"/>
      <c r="H70" s="68"/>
      <c r="I70" s="68"/>
      <c r="J70" s="68"/>
      <c r="K70" s="68"/>
      <c r="L70" s="68"/>
    </row>
    <row r="71" spans="1:12" ht="15" customHeight="1">
      <c r="A71" s="68"/>
      <c r="B71" s="453">
        <f>'IRI Core Inputs'!G3</f>
        <v>0.05</v>
      </c>
      <c r="C71" s="73">
        <f t="shared" si="6"/>
        <v>0.19940125127476804</v>
      </c>
      <c r="D71" s="125">
        <f t="shared" si="7"/>
        <v>0.11792296314183184</v>
      </c>
      <c r="E71" s="68"/>
      <c r="F71" s="68"/>
      <c r="G71" s="68"/>
      <c r="H71" s="68"/>
      <c r="I71" s="68"/>
      <c r="J71" s="68"/>
      <c r="K71" s="68"/>
      <c r="L71" s="68"/>
    </row>
    <row r="72" spans="1:12" ht="15" customHeight="1">
      <c r="A72" s="68"/>
      <c r="B72" s="453">
        <f>'IRI Core Inputs'!G4</f>
        <v>0.06</v>
      </c>
      <c r="C72" s="73">
        <f t="shared" si="6"/>
        <v>0.2108241203345278</v>
      </c>
      <c r="D72" s="125">
        <f t="shared" si="7"/>
        <v>0.1293458322015916</v>
      </c>
      <c r="E72" s="68"/>
      <c r="F72" s="68"/>
      <c r="G72" s="68"/>
      <c r="H72" s="68"/>
      <c r="I72" s="68"/>
      <c r="J72" s="68"/>
      <c r="K72" s="68"/>
      <c r="L72" s="68"/>
    </row>
    <row r="73" spans="1:12" ht="15" customHeight="1">
      <c r="A73" s="68"/>
      <c r="B73" s="453">
        <f>'IRI Core Inputs'!G5</f>
        <v>7.0000000000000007E-2</v>
      </c>
      <c r="C73" s="73">
        <f t="shared" si="6"/>
        <v>0.22224698939428733</v>
      </c>
      <c r="D73" s="125">
        <f t="shared" si="7"/>
        <v>0.14076870126135113</v>
      </c>
      <c r="E73" s="68"/>
      <c r="F73" s="68"/>
      <c r="G73" s="68"/>
      <c r="H73" s="68"/>
      <c r="I73" s="68"/>
      <c r="J73" s="68"/>
      <c r="K73" s="68"/>
      <c r="L73" s="68"/>
    </row>
    <row r="74" spans="1:12" ht="15" customHeight="1">
      <c r="A74" s="68"/>
      <c r="B74" s="453">
        <f>'IRI Core Inputs'!G6</f>
        <v>0.08</v>
      </c>
      <c r="C74" s="73">
        <f t="shared" si="6"/>
        <v>0.23366985845404709</v>
      </c>
      <c r="D74" s="126">
        <f t="shared" si="7"/>
        <v>0.15219157032111089</v>
      </c>
      <c r="E74" s="68"/>
      <c r="F74" s="68"/>
      <c r="G74" s="68"/>
      <c r="H74" s="68"/>
      <c r="I74" s="68"/>
      <c r="J74" s="68"/>
      <c r="K74" s="68"/>
      <c r="L74" s="68"/>
    </row>
    <row r="75" spans="1:12" ht="15" customHeight="1">
      <c r="A75" s="68"/>
      <c r="B75" s="453">
        <f>'IRI Core Inputs'!G7</f>
        <v>0.09</v>
      </c>
      <c r="C75" s="73">
        <f t="shared" si="6"/>
        <v>0.24509272751380684</v>
      </c>
      <c r="D75" s="126">
        <f t="shared" si="7"/>
        <v>0.16361443938087064</v>
      </c>
      <c r="E75" s="68"/>
      <c r="F75" s="68"/>
      <c r="G75" s="68"/>
      <c r="H75" s="68"/>
      <c r="I75" s="68"/>
      <c r="J75" s="68"/>
      <c r="K75" s="68"/>
      <c r="L75" s="68"/>
    </row>
    <row r="76" spans="1:12" ht="15" customHeight="1">
      <c r="A76" s="68"/>
      <c r="B76" s="453">
        <f>'IRI Core Inputs'!G8</f>
        <v>0.1</v>
      </c>
      <c r="C76" s="73">
        <f t="shared" si="6"/>
        <v>0.2565155965735666</v>
      </c>
      <c r="D76" s="126">
        <f t="shared" si="7"/>
        <v>0.1750373084406304</v>
      </c>
      <c r="E76" s="68"/>
      <c r="F76" s="68"/>
      <c r="G76" s="68"/>
      <c r="H76" s="68"/>
      <c r="I76" s="68"/>
      <c r="J76" s="68"/>
      <c r="K76" s="68"/>
      <c r="L76" s="68"/>
    </row>
    <row r="77" spans="1:12" ht="15" customHeight="1">
      <c r="A77" s="68"/>
      <c r="B77" s="453">
        <f>'IRI Core Inputs'!G9</f>
        <v>0.11</v>
      </c>
      <c r="C77" s="73">
        <f t="shared" si="6"/>
        <v>0.26793846563332635</v>
      </c>
      <c r="D77" s="126">
        <f t="shared" si="7"/>
        <v>0.18646017750039015</v>
      </c>
      <c r="E77" s="68"/>
      <c r="F77" s="68"/>
      <c r="G77" s="68"/>
      <c r="H77" s="68"/>
      <c r="I77" s="68"/>
      <c r="J77" s="68"/>
      <c r="K77" s="68"/>
      <c r="L77" s="68"/>
    </row>
    <row r="78" spans="1:12" ht="15" customHeight="1">
      <c r="A78" s="68"/>
      <c r="B78" s="453">
        <f>'IRI Core Inputs'!G10</f>
        <v>0.12</v>
      </c>
      <c r="C78" s="73">
        <f t="shared" si="6"/>
        <v>0.27936133469308588</v>
      </c>
      <c r="D78" s="126">
        <f t="shared" si="7"/>
        <v>0.19788304656014968</v>
      </c>
      <c r="E78" s="68"/>
      <c r="F78" s="68"/>
      <c r="G78" s="68"/>
      <c r="H78" s="68"/>
      <c r="I78" s="68"/>
      <c r="J78" s="68"/>
      <c r="K78" s="68"/>
      <c r="L78" s="68"/>
    </row>
    <row r="79" spans="1:12" ht="15" customHeight="1">
      <c r="A79" s="68"/>
      <c r="B79" s="453">
        <f>'IRI Core Inputs'!G11</f>
        <v>0.13</v>
      </c>
      <c r="C79" s="73">
        <f t="shared" si="6"/>
        <v>0.29078420375284542</v>
      </c>
      <c r="D79" s="126">
        <f t="shared" si="7"/>
        <v>0.20930591561990922</v>
      </c>
      <c r="E79" s="68"/>
      <c r="F79" s="68"/>
      <c r="G79" s="68"/>
      <c r="H79" s="68"/>
      <c r="I79" s="68"/>
      <c r="J79" s="68"/>
      <c r="K79" s="68"/>
      <c r="L79" s="68"/>
    </row>
    <row r="80" spans="1:12" ht="15" customHeight="1">
      <c r="A80" s="68"/>
      <c r="B80" s="454">
        <f>'IRI Core Inputs'!G12</f>
        <v>0.14000000000000001</v>
      </c>
      <c r="C80" s="121">
        <f t="shared" si="6"/>
        <v>0.30220707281260539</v>
      </c>
      <c r="D80" s="123">
        <f t="shared" si="7"/>
        <v>0.22072878467966919</v>
      </c>
      <c r="E80" s="68"/>
      <c r="F80" s="68"/>
      <c r="G80" s="68"/>
      <c r="H80" s="68"/>
      <c r="I80" s="68"/>
      <c r="J80" s="68"/>
      <c r="K80" s="68"/>
      <c r="L80" s="68"/>
    </row>
    <row r="81" spans="1:1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</row>
    <row r="82" spans="1:12">
      <c r="A82" s="68"/>
      <c r="B82" s="369" t="s">
        <v>678</v>
      </c>
      <c r="C82" s="383"/>
      <c r="D82" s="369"/>
      <c r="E82" s="68"/>
      <c r="F82" s="68"/>
      <c r="G82" s="68"/>
      <c r="H82" s="68"/>
      <c r="I82" s="68"/>
      <c r="J82" s="68"/>
      <c r="K82" s="68"/>
      <c r="L82" s="68"/>
    </row>
    <row r="83" spans="1:12" ht="15" customHeight="1">
      <c r="A83" s="68"/>
      <c r="B83" s="413" t="s">
        <v>655</v>
      </c>
      <c r="C83" s="448" t="s">
        <v>672</v>
      </c>
      <c r="D83" s="449" t="s">
        <v>60</v>
      </c>
      <c r="E83" s="68"/>
      <c r="F83" s="68"/>
      <c r="G83" s="68"/>
      <c r="H83" s="68"/>
      <c r="I83" s="68"/>
      <c r="J83" s="68"/>
      <c r="K83" s="68"/>
      <c r="L83" s="68"/>
    </row>
    <row r="84" spans="1:12" ht="15" customHeight="1">
      <c r="A84" s="68"/>
      <c r="B84" s="453">
        <f>'IRI Core Inputs'!H2</f>
        <v>0.02</v>
      </c>
      <c r="C84" s="73">
        <f t="shared" ref="C84:C102" si="8">$D$17</f>
        <v>0.21454421988729933</v>
      </c>
      <c r="D84" s="126">
        <f t="shared" ref="D84:D102" si="9">$D$17-B84</f>
        <v>0.19454421988729934</v>
      </c>
      <c r="E84" s="68"/>
      <c r="F84" s="68"/>
      <c r="G84" s="68"/>
      <c r="H84" s="68"/>
      <c r="I84" s="68"/>
      <c r="J84" s="68"/>
      <c r="K84" s="68"/>
      <c r="L84" s="68"/>
    </row>
    <row r="85" spans="1:12" ht="15" customHeight="1">
      <c r="A85" s="68"/>
      <c r="B85" s="453">
        <f>'IRI Core Inputs'!H3</f>
        <v>0.03</v>
      </c>
      <c r="C85" s="73">
        <f t="shared" si="8"/>
        <v>0.21454421988729933</v>
      </c>
      <c r="D85" s="126">
        <f t="shared" si="9"/>
        <v>0.18454421988729933</v>
      </c>
      <c r="E85" s="68"/>
      <c r="F85" s="68"/>
      <c r="G85" s="68"/>
      <c r="H85" s="68"/>
      <c r="I85" s="68"/>
      <c r="J85" s="68"/>
      <c r="K85" s="68"/>
      <c r="L85" s="68"/>
    </row>
    <row r="86" spans="1:12" ht="15" customHeight="1">
      <c r="A86" s="68"/>
      <c r="B86" s="453">
        <f>'IRI Core Inputs'!H4</f>
        <v>0.04</v>
      </c>
      <c r="C86" s="73">
        <f t="shared" si="8"/>
        <v>0.21454421988729933</v>
      </c>
      <c r="D86" s="126">
        <f t="shared" si="9"/>
        <v>0.17454421988729932</v>
      </c>
      <c r="E86" s="68"/>
      <c r="F86" s="68"/>
      <c r="G86" s="68"/>
      <c r="H86" s="68"/>
      <c r="I86" s="68"/>
      <c r="J86" s="68"/>
      <c r="K86" s="68"/>
      <c r="L86" s="68"/>
    </row>
    <row r="87" spans="1:12" ht="15" customHeight="1">
      <c r="A87" s="68"/>
      <c r="B87" s="453">
        <f>'IRI Core Inputs'!H5</f>
        <v>0.05</v>
      </c>
      <c r="C87" s="73">
        <f t="shared" si="8"/>
        <v>0.21454421988729933</v>
      </c>
      <c r="D87" s="126">
        <f t="shared" si="9"/>
        <v>0.16454421988729934</v>
      </c>
      <c r="E87" s="68"/>
      <c r="F87" s="68"/>
      <c r="G87" s="68"/>
      <c r="H87" s="68"/>
      <c r="I87" s="68"/>
      <c r="J87" s="68"/>
      <c r="K87" s="68"/>
      <c r="L87" s="68"/>
    </row>
    <row r="88" spans="1:12" ht="15" customHeight="1">
      <c r="A88" s="68"/>
      <c r="B88" s="453">
        <f>'IRI Core Inputs'!H6</f>
        <v>0.06</v>
      </c>
      <c r="C88" s="73">
        <f t="shared" si="8"/>
        <v>0.21454421988729933</v>
      </c>
      <c r="D88" s="125">
        <f t="shared" si="9"/>
        <v>0.15454421988729933</v>
      </c>
      <c r="E88" s="68"/>
      <c r="F88" s="68"/>
      <c r="G88" s="68"/>
      <c r="H88" s="68"/>
      <c r="I88" s="68"/>
      <c r="J88" s="68"/>
      <c r="K88" s="68"/>
      <c r="L88" s="68"/>
    </row>
    <row r="89" spans="1:12" ht="15" customHeight="1">
      <c r="A89" s="68"/>
      <c r="B89" s="453">
        <f>'IRI Core Inputs'!H7</f>
        <v>7.0000000000000007E-2</v>
      </c>
      <c r="C89" s="73">
        <f t="shared" si="8"/>
        <v>0.21454421988729933</v>
      </c>
      <c r="D89" s="125">
        <f t="shared" si="9"/>
        <v>0.14454421988729932</v>
      </c>
      <c r="E89" s="68"/>
      <c r="F89" s="68"/>
      <c r="G89" s="68"/>
      <c r="H89" s="68"/>
      <c r="I89" s="68"/>
      <c r="J89" s="68"/>
      <c r="K89" s="68"/>
      <c r="L89" s="68"/>
    </row>
    <row r="90" spans="1:12" ht="15" customHeight="1">
      <c r="A90" s="68"/>
      <c r="B90" s="453">
        <f>'IRI Core Inputs'!H8</f>
        <v>0.08</v>
      </c>
      <c r="C90" s="73">
        <f t="shared" si="8"/>
        <v>0.21454421988729933</v>
      </c>
      <c r="D90" s="125">
        <f t="shared" si="9"/>
        <v>0.13454421988729931</v>
      </c>
      <c r="E90" s="68"/>
      <c r="F90" s="68"/>
      <c r="G90" s="68"/>
      <c r="H90" s="68"/>
      <c r="I90" s="68"/>
      <c r="J90" s="68"/>
      <c r="K90" s="68"/>
      <c r="L90" s="68"/>
    </row>
    <row r="91" spans="1:12" ht="15" customHeight="1">
      <c r="A91" s="68"/>
      <c r="B91" s="453">
        <f>'IRI Core Inputs'!H9</f>
        <v>0.09</v>
      </c>
      <c r="C91" s="73">
        <f t="shared" si="8"/>
        <v>0.21454421988729933</v>
      </c>
      <c r="D91" s="125">
        <f t="shared" si="9"/>
        <v>0.12454421988729933</v>
      </c>
      <c r="E91" s="68"/>
      <c r="F91" s="68"/>
      <c r="G91" s="68"/>
      <c r="H91" s="68"/>
      <c r="I91" s="68"/>
      <c r="J91" s="68"/>
      <c r="K91" s="68"/>
      <c r="L91" s="68"/>
    </row>
    <row r="92" spans="1:12" ht="15" customHeight="1">
      <c r="A92" s="68"/>
      <c r="B92" s="453">
        <f>'IRI Core Inputs'!H10</f>
        <v>0.1</v>
      </c>
      <c r="C92" s="73">
        <f t="shared" si="8"/>
        <v>0.21454421988729933</v>
      </c>
      <c r="D92" s="125">
        <f t="shared" si="9"/>
        <v>0.11454421988729932</v>
      </c>
      <c r="E92" s="68"/>
      <c r="F92" s="68"/>
      <c r="G92" s="68"/>
      <c r="H92" s="68"/>
      <c r="I92" s="68"/>
      <c r="J92" s="68"/>
      <c r="K92" s="68"/>
      <c r="L92" s="68"/>
    </row>
    <row r="93" spans="1:12" ht="15" customHeight="1">
      <c r="A93" s="68"/>
      <c r="B93" s="453">
        <f>'IRI Core Inputs'!H11</f>
        <v>0.11</v>
      </c>
      <c r="C93" s="73">
        <f t="shared" si="8"/>
        <v>0.21454421988729933</v>
      </c>
      <c r="D93" s="125">
        <f t="shared" si="9"/>
        <v>0.10454421988729933</v>
      </c>
      <c r="E93" s="68"/>
      <c r="F93" s="68"/>
      <c r="G93" s="68"/>
      <c r="H93" s="68"/>
      <c r="I93" s="68"/>
      <c r="J93" s="68"/>
      <c r="K93" s="68"/>
      <c r="L93" s="68"/>
    </row>
    <row r="94" spans="1:12" ht="15" customHeight="1">
      <c r="A94" s="68"/>
      <c r="B94" s="453">
        <f>'IRI Core Inputs'!H12</f>
        <v>0.12</v>
      </c>
      <c r="C94" s="73">
        <f t="shared" si="8"/>
        <v>0.21454421988729933</v>
      </c>
      <c r="D94" s="125">
        <f t="shared" si="9"/>
        <v>9.454421988729933E-2</v>
      </c>
      <c r="E94" s="68"/>
      <c r="F94" s="68"/>
      <c r="G94" s="68"/>
      <c r="H94" s="68"/>
      <c r="I94" s="68"/>
      <c r="J94" s="68"/>
      <c r="K94" s="68"/>
      <c r="L94" s="68"/>
    </row>
    <row r="95" spans="1:12" ht="15" customHeight="1">
      <c r="A95" s="68"/>
      <c r="B95" s="453">
        <f>'IRI Core Inputs'!H13</f>
        <v>0.13</v>
      </c>
      <c r="C95" s="73">
        <f t="shared" si="8"/>
        <v>0.21454421988729933</v>
      </c>
      <c r="D95" s="125">
        <f t="shared" si="9"/>
        <v>8.4544219887299321E-2</v>
      </c>
      <c r="E95" s="68"/>
      <c r="F95" s="68"/>
      <c r="G95" s="68"/>
      <c r="H95" s="68"/>
      <c r="I95" s="68"/>
      <c r="J95" s="68"/>
      <c r="K95" s="68"/>
      <c r="L95" s="68"/>
    </row>
    <row r="96" spans="1:12" ht="15" customHeight="1">
      <c r="A96" s="68"/>
      <c r="B96" s="453">
        <f>'IRI Core Inputs'!H14</f>
        <v>0.14000000000000001</v>
      </c>
      <c r="C96" s="73">
        <f t="shared" si="8"/>
        <v>0.21454421988729933</v>
      </c>
      <c r="D96" s="125">
        <f t="shared" si="9"/>
        <v>7.4544219887299312E-2</v>
      </c>
      <c r="E96" s="68"/>
      <c r="F96" s="68"/>
      <c r="G96" s="68"/>
      <c r="H96" s="68"/>
      <c r="I96" s="68"/>
      <c r="J96" s="68"/>
      <c r="K96" s="68"/>
      <c r="L96" s="68"/>
    </row>
    <row r="97" spans="1:12" ht="15" customHeight="1">
      <c r="A97" s="68"/>
      <c r="B97" s="453">
        <f>'IRI Core Inputs'!H15</f>
        <v>0.15</v>
      </c>
      <c r="C97" s="73">
        <f t="shared" si="8"/>
        <v>0.21454421988729933</v>
      </c>
      <c r="D97" s="125">
        <f t="shared" si="9"/>
        <v>6.4544219887299331E-2</v>
      </c>
      <c r="E97" s="68"/>
      <c r="F97" s="68"/>
      <c r="G97" s="68"/>
      <c r="H97" s="68"/>
      <c r="I97" s="68"/>
      <c r="J97" s="68"/>
      <c r="K97" s="68"/>
      <c r="L97" s="68"/>
    </row>
    <row r="98" spans="1:12" ht="15" customHeight="1">
      <c r="A98" s="68"/>
      <c r="B98" s="453">
        <f>'IRI Core Inputs'!H16</f>
        <v>0.16</v>
      </c>
      <c r="C98" s="73">
        <f t="shared" si="8"/>
        <v>0.21454421988729933</v>
      </c>
      <c r="D98" s="124">
        <f t="shared" si="9"/>
        <v>5.4544219887299322E-2</v>
      </c>
      <c r="E98" s="68"/>
      <c r="F98" s="68"/>
      <c r="G98" s="68"/>
      <c r="H98" s="68"/>
      <c r="I98" s="68"/>
      <c r="J98" s="68"/>
      <c r="K98" s="68"/>
      <c r="L98" s="68"/>
    </row>
    <row r="99" spans="1:12" ht="15" customHeight="1">
      <c r="A99" s="68"/>
      <c r="B99" s="453">
        <f>'IRI Core Inputs'!H17</f>
        <v>0.17</v>
      </c>
      <c r="C99" s="73">
        <f t="shared" si="8"/>
        <v>0.21454421988729933</v>
      </c>
      <c r="D99" s="124">
        <f t="shared" si="9"/>
        <v>4.4544219887299313E-2</v>
      </c>
      <c r="E99" s="68"/>
      <c r="F99" s="68"/>
      <c r="G99" s="68"/>
      <c r="H99" s="68"/>
      <c r="I99" s="68"/>
      <c r="J99" s="68"/>
      <c r="K99" s="68"/>
      <c r="L99" s="68"/>
    </row>
    <row r="100" spans="1:12" ht="15" customHeight="1">
      <c r="A100" s="68"/>
      <c r="B100" s="453">
        <f>'IRI Core Inputs'!H18</f>
        <v>0.18</v>
      </c>
      <c r="C100" s="73">
        <f t="shared" si="8"/>
        <v>0.21454421988729933</v>
      </c>
      <c r="D100" s="124">
        <f t="shared" si="9"/>
        <v>3.4544219887299332E-2</v>
      </c>
      <c r="E100" s="68"/>
      <c r="F100" s="68"/>
      <c r="G100" s="68"/>
      <c r="H100" s="68"/>
      <c r="I100" s="68"/>
      <c r="J100" s="68"/>
      <c r="K100" s="68"/>
      <c r="L100" s="68"/>
    </row>
    <row r="101" spans="1:12" ht="15" customHeight="1">
      <c r="A101" s="68"/>
      <c r="B101" s="453">
        <f>'IRI Core Inputs'!H19</f>
        <v>0.19</v>
      </c>
      <c r="C101" s="73">
        <f t="shared" si="8"/>
        <v>0.21454421988729933</v>
      </c>
      <c r="D101" s="124">
        <f t="shared" si="9"/>
        <v>2.4544219887299323E-2</v>
      </c>
      <c r="E101" s="68"/>
      <c r="F101" s="68"/>
      <c r="G101" s="68"/>
      <c r="H101" s="68"/>
      <c r="I101" s="68"/>
      <c r="J101" s="68"/>
      <c r="K101" s="68"/>
      <c r="L101" s="68"/>
    </row>
    <row r="102" spans="1:12" ht="15" customHeight="1">
      <c r="A102" s="68"/>
      <c r="B102" s="454">
        <f>'IRI Core Inputs'!H20</f>
        <v>0.2</v>
      </c>
      <c r="C102" s="121">
        <f t="shared" si="8"/>
        <v>0.21454421988729933</v>
      </c>
      <c r="D102" s="120">
        <f t="shared" si="9"/>
        <v>1.4544219887299314E-2</v>
      </c>
      <c r="E102" s="68"/>
      <c r="F102" s="68"/>
      <c r="G102" s="68"/>
      <c r="H102" s="68"/>
      <c r="I102" s="68"/>
      <c r="J102" s="68"/>
      <c r="K102" s="68"/>
      <c r="L102" s="68"/>
    </row>
    <row r="103" spans="1:1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</row>
    <row r="104" spans="1:1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</row>
    <row r="105" spans="1:12">
      <c r="A105" s="68"/>
      <c r="B105" s="115" t="s">
        <v>513</v>
      </c>
      <c r="C105" s="68"/>
      <c r="D105" s="68"/>
      <c r="E105" s="68"/>
      <c r="F105" s="68"/>
      <c r="G105" s="68"/>
      <c r="H105" s="68"/>
      <c r="I105" s="68"/>
      <c r="J105" s="68"/>
      <c r="K105" s="68"/>
      <c r="L105" s="68"/>
    </row>
  </sheetData>
  <pageMargins left="0.75" right="0.75" top="1" bottom="1" header="0.5" footer="0.5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6D7E96"/>
  </sheetPr>
  <dimension ref="A1:O39"/>
  <sheetViews>
    <sheetView showGridLines="0" workbookViewId="0">
      <pane ySplit="3" topLeftCell="A4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14" customWidth="1"/>
    <col min="3" max="3" width="12.85546875" customWidth="1"/>
    <col min="4" max="4" width="4" customWidth="1"/>
    <col min="5" max="5" width="14" customWidth="1"/>
    <col min="7" max="7" width="4" customWidth="1"/>
    <col min="8" max="8" width="14" customWidth="1"/>
    <col min="10" max="10" width="4" customWidth="1"/>
    <col min="11" max="11" width="22.140625" customWidth="1"/>
    <col min="13" max="13" width="4" customWidth="1"/>
    <col min="14" max="14" width="14" customWidth="1"/>
  </cols>
  <sheetData>
    <row r="1" spans="1:15" ht="9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22" customHeight="1">
      <c r="A2" s="68"/>
      <c r="B2" s="304" t="s">
        <v>679</v>
      </c>
      <c r="C2" s="113"/>
      <c r="D2" s="113"/>
      <c r="E2" s="113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5" customHeight="1">
      <c r="A3" s="68"/>
      <c r="B3" s="305" t="s">
        <v>680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9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>
      <c r="A5" s="68"/>
      <c r="B5" s="386" t="s">
        <v>681</v>
      </c>
      <c r="C5" s="387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ht="15" customHeight="1">
      <c r="A6" s="68"/>
      <c r="B6" s="139" t="s">
        <v>630</v>
      </c>
      <c r="C6" s="140">
        <f>'IRI Model'!D8</f>
        <v>1.4960036055808119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ht="15" customHeight="1">
      <c r="A7" s="68"/>
      <c r="B7" s="72" t="s">
        <v>682</v>
      </c>
      <c r="C7" s="136">
        <f>'IRI Model'!D9</f>
        <v>0.3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ht="15" customHeight="1">
      <c r="A8" s="68"/>
      <c r="B8" s="72" t="s">
        <v>683</v>
      </c>
      <c r="C8" s="135">
        <f>'IRI Model'!D10</f>
        <v>1.9448046872550555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5" ht="15" customHeight="1">
      <c r="A9" s="68"/>
      <c r="B9" s="72" t="s">
        <v>675</v>
      </c>
      <c r="C9" s="137">
        <f>'IRI Model'!D11</f>
        <v>5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1:15" ht="15" customHeight="1">
      <c r="A10" s="68"/>
      <c r="B10" s="72" t="s">
        <v>684</v>
      </c>
      <c r="C10" s="136">
        <f>'IRI Model'!D12</f>
        <v>6.3256712068841689E-2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5" ht="15" customHeight="1">
      <c r="A11" s="68"/>
      <c r="B11" s="70" t="s">
        <v>685</v>
      </c>
      <c r="C11" s="138">
        <f>'IRI Model'!D13</f>
        <v>8.14782881329362E-2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ht="18" customHeight="1">
      <c r="A13" s="68"/>
      <c r="B13" s="386" t="s">
        <v>686</v>
      </c>
      <c r="C13" s="38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15" ht="15" customHeight="1">
      <c r="A14" s="68"/>
      <c r="B14" s="139" t="s">
        <v>687</v>
      </c>
      <c r="C14" s="141">
        <f>'IRI Model'!D17</f>
        <v>0.21454421988729933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ht="15" customHeight="1">
      <c r="A15" s="68"/>
      <c r="B15" s="70" t="s">
        <v>670</v>
      </c>
      <c r="C15" s="138">
        <f>'IRI Model'!D18</f>
        <v>0.13306593175436313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1:15" ht="15" customHeight="1">
      <c r="A17" s="68"/>
      <c r="B17" s="458" t="s">
        <v>630</v>
      </c>
      <c r="C17" s="459" t="s">
        <v>670</v>
      </c>
      <c r="D17" s="68"/>
      <c r="E17" s="458" t="s">
        <v>555</v>
      </c>
      <c r="F17" s="459" t="s">
        <v>670</v>
      </c>
      <c r="G17" s="68"/>
      <c r="H17" s="458" t="s">
        <v>675</v>
      </c>
      <c r="I17" s="459" t="s">
        <v>670</v>
      </c>
      <c r="J17" s="68"/>
      <c r="K17" s="458" t="s">
        <v>677</v>
      </c>
      <c r="L17" s="459" t="s">
        <v>670</v>
      </c>
      <c r="M17" s="68"/>
      <c r="N17" s="458" t="s">
        <v>685</v>
      </c>
      <c r="O17" s="459" t="s">
        <v>670</v>
      </c>
    </row>
    <row r="18" spans="1:15" ht="15" customHeight="1">
      <c r="A18" s="68"/>
      <c r="B18" s="73">
        <f>'IRI Model'!B24</f>
        <v>0.5</v>
      </c>
      <c r="C18" s="124">
        <f>'IRI Model'!D24</f>
        <v>-0.10599281944598912</v>
      </c>
      <c r="D18" s="68"/>
      <c r="E18" s="73">
        <f>'IRI Model'!B40</f>
        <v>-0.1</v>
      </c>
      <c r="F18" s="124">
        <f>'IRI Model'!D40</f>
        <v>4.6947916529460981E-2</v>
      </c>
      <c r="G18" s="68"/>
      <c r="H18" s="128">
        <f>'IRI Model'!B58</f>
        <v>2</v>
      </c>
      <c r="I18" s="126">
        <f>'IRI Model'!D58</f>
        <v>0.40129969646096264</v>
      </c>
      <c r="J18" s="68"/>
      <c r="K18" s="73">
        <f>'IRI Model'!B70</f>
        <v>0.04</v>
      </c>
      <c r="L18" s="125">
        <f>'IRI Model'!D70</f>
        <v>0.10650009408207209</v>
      </c>
      <c r="M18" s="68"/>
      <c r="N18" s="73">
        <v>0.02</v>
      </c>
      <c r="O18" s="131">
        <v>0.18968151985022599</v>
      </c>
    </row>
    <row r="19" spans="1:15" ht="15" customHeight="1">
      <c r="A19" s="68"/>
      <c r="B19" s="73">
        <f>'IRI Model'!B25</f>
        <v>0.75</v>
      </c>
      <c r="C19" s="124">
        <f>'IRI Model'!D25</f>
        <v>-2.3591834128385475E-2</v>
      </c>
      <c r="D19" s="68"/>
      <c r="E19" s="73">
        <f>'IRI Model'!B41</f>
        <v>-0.05</v>
      </c>
      <c r="F19" s="125">
        <f>'IRI Model'!D41</f>
        <v>5.9216302597253329E-2</v>
      </c>
      <c r="G19" s="68"/>
      <c r="H19" s="128">
        <f>'IRI Model'!B59</f>
        <v>3</v>
      </c>
      <c r="I19" s="126">
        <f>'IRI Model'!D59</f>
        <v>0.24570263493434177</v>
      </c>
      <c r="J19" s="68"/>
      <c r="K19" s="73">
        <f>'IRI Model'!B71</f>
        <v>0.05</v>
      </c>
      <c r="L19" s="125">
        <f>'IRI Model'!D71</f>
        <v>0.11792296314183184</v>
      </c>
      <c r="M19" s="68"/>
      <c r="N19" s="73">
        <v>0.03</v>
      </c>
      <c r="O19" s="131">
        <v>0.17968151985022601</v>
      </c>
    </row>
    <row r="20" spans="1:15" ht="15" customHeight="1">
      <c r="A20" s="68"/>
      <c r="B20" s="73">
        <f>'IRI Model'!B26</f>
        <v>1</v>
      </c>
      <c r="C20" s="124">
        <f>'IRI Model'!D26</f>
        <v>3.9060265071271832E-2</v>
      </c>
      <c r="D20" s="68"/>
      <c r="E20" s="73">
        <f>'IRI Model'!B42</f>
        <v>0</v>
      </c>
      <c r="F20" s="125">
        <f>'IRI Model'!D42</f>
        <v>7.0978528463757323E-2</v>
      </c>
      <c r="G20" s="68"/>
      <c r="H20" s="128">
        <f>'IRI Model'!B60</f>
        <v>4</v>
      </c>
      <c r="I20" s="126">
        <f>'IRI Model'!D60</f>
        <v>0.17413855016900884</v>
      </c>
      <c r="J20" s="68"/>
      <c r="K20" s="73">
        <f>'IRI Model'!B72</f>
        <v>0.06</v>
      </c>
      <c r="L20" s="125">
        <f>'IRI Model'!D72</f>
        <v>0.1293458322015916</v>
      </c>
      <c r="M20" s="68"/>
      <c r="N20" s="73">
        <v>0.04</v>
      </c>
      <c r="O20" s="131">
        <v>0.169681519850226</v>
      </c>
    </row>
    <row r="21" spans="1:15" ht="15" customHeight="1">
      <c r="A21" s="68"/>
      <c r="B21" s="73">
        <f>'IRI Model'!B27</f>
        <v>1.25</v>
      </c>
      <c r="C21" s="125">
        <f>'IRI Model'!D27</f>
        <v>9.0201143300784242E-2</v>
      </c>
      <c r="D21" s="68"/>
      <c r="E21" s="73">
        <f>'IRI Model'!B43</f>
        <v>0.05</v>
      </c>
      <c r="F21" s="125">
        <f>'IRI Model'!D43</f>
        <v>8.227928683473365E-2</v>
      </c>
      <c r="G21" s="68"/>
      <c r="H21" s="129">
        <f>'IRI Model'!B61</f>
        <v>5</v>
      </c>
      <c r="I21" s="125">
        <f>'IRI Model'!D61</f>
        <v>0.13306593175436313</v>
      </c>
      <c r="J21" s="68"/>
      <c r="K21" s="73">
        <f>'IRI Model'!B73</f>
        <v>7.0000000000000007E-2</v>
      </c>
      <c r="L21" s="125">
        <f>'IRI Model'!D73</f>
        <v>0.14076870126135113</v>
      </c>
      <c r="M21" s="68"/>
      <c r="N21" s="73">
        <v>0.05</v>
      </c>
      <c r="O21" s="131">
        <v>0.15968151985022599</v>
      </c>
    </row>
    <row r="22" spans="1:15" ht="15" customHeight="1">
      <c r="A22" s="68"/>
      <c r="B22" s="121">
        <f>'IRI Model'!B28</f>
        <v>1.5</v>
      </c>
      <c r="C22" s="125">
        <f>'IRI Model'!D28</f>
        <v>0.13371414135573781</v>
      </c>
      <c r="D22" s="68"/>
      <c r="E22" s="73">
        <f>'IRI Model'!B44</f>
        <v>0.1</v>
      </c>
      <c r="F22" s="125">
        <f>'IRI Model'!D44</f>
        <v>9.3157417560898154E-2</v>
      </c>
      <c r="G22" s="68"/>
      <c r="H22" s="128">
        <f>'IRI Model'!B62</f>
        <v>6</v>
      </c>
      <c r="I22" s="125">
        <f>'IRI Model'!D62</f>
        <v>0.10643333508699185</v>
      </c>
      <c r="J22" s="68"/>
      <c r="K22" s="73">
        <f>'IRI Model'!B74</f>
        <v>0.08</v>
      </c>
      <c r="L22" s="126">
        <f>'IRI Model'!D74</f>
        <v>0.15219157032111089</v>
      </c>
      <c r="M22" s="68"/>
      <c r="N22" s="73">
        <v>0.06</v>
      </c>
      <c r="O22" s="132">
        <v>0.14968151985022601</v>
      </c>
    </row>
    <row r="23" spans="1:15" ht="15" customHeight="1">
      <c r="A23" s="68"/>
      <c r="B23" s="73">
        <f>'IRI Model'!B29</f>
        <v>1.75</v>
      </c>
      <c r="C23" s="126">
        <f>'IRI Model'!D29</f>
        <v>0.17176218875222063</v>
      </c>
      <c r="D23" s="68"/>
      <c r="E23" s="73">
        <f>'IRI Model'!B45</f>
        <v>0.15</v>
      </c>
      <c r="F23" s="125">
        <f>'IRI Model'!D45</f>
        <v>0.10364690157632075</v>
      </c>
      <c r="G23" s="68"/>
      <c r="H23" s="128">
        <f>'IRI Model'!B63</f>
        <v>7</v>
      </c>
      <c r="I23" s="125">
        <f>'IRI Model'!D63</f>
        <v>8.7768355492231193E-2</v>
      </c>
      <c r="J23" s="68"/>
      <c r="K23" s="73">
        <f>'IRI Model'!B75</f>
        <v>0.09</v>
      </c>
      <c r="L23" s="126">
        <f>'IRI Model'!D75</f>
        <v>0.16361443938087064</v>
      </c>
      <c r="M23" s="68"/>
      <c r="N23" s="73">
        <v>7.0000000000000007E-2</v>
      </c>
      <c r="O23" s="132">
        <v>0.139681519850226</v>
      </c>
    </row>
    <row r="24" spans="1:15" ht="15" customHeight="1">
      <c r="A24" s="68"/>
      <c r="B24" s="73">
        <f>'IRI Model'!B30</f>
        <v>2</v>
      </c>
      <c r="C24" s="126">
        <f>'IRI Model'!D30</f>
        <v>0.20568250464349483</v>
      </c>
      <c r="D24" s="68"/>
      <c r="E24" s="73">
        <f>'IRI Model'!B46</f>
        <v>0.2</v>
      </c>
      <c r="F24" s="125">
        <f>'IRI Model'!D46</f>
        <v>0.11377765070970117</v>
      </c>
      <c r="G24" s="68"/>
      <c r="H24" s="128">
        <f>'IRI Model'!B64</f>
        <v>8</v>
      </c>
      <c r="I24" s="125">
        <f>'IRI Model'!D64</f>
        <v>7.3962333929141227E-2</v>
      </c>
      <c r="J24" s="68"/>
      <c r="K24" s="73">
        <f>'IRI Model'!B76</f>
        <v>0.1</v>
      </c>
      <c r="L24" s="126">
        <f>'IRI Model'!D76</f>
        <v>0.1750373084406304</v>
      </c>
      <c r="M24" s="68"/>
      <c r="N24" s="73">
        <v>0.08</v>
      </c>
      <c r="O24" s="132">
        <v>0.129681519850226</v>
      </c>
    </row>
    <row r="25" spans="1:15" ht="15" customHeight="1">
      <c r="A25" s="68"/>
      <c r="B25" s="73">
        <f>'IRI Model'!B31</f>
        <v>2.25</v>
      </c>
      <c r="C25" s="126">
        <f>'IRI Model'!D31</f>
        <v>0.23636359822068057</v>
      </c>
      <c r="D25" s="68"/>
      <c r="E25" s="73">
        <f>'IRI Model'!B47</f>
        <v>0.25</v>
      </c>
      <c r="F25" s="125">
        <f>'IRI Model'!D47</f>
        <v>0.12357614195399372</v>
      </c>
      <c r="G25" s="68"/>
      <c r="H25" s="128">
        <f>'IRI Model'!B65</f>
        <v>9</v>
      </c>
      <c r="I25" s="125">
        <f>'IRI Model'!D65</f>
        <v>6.3337118698710754E-2</v>
      </c>
      <c r="J25" s="68"/>
      <c r="K25" s="73">
        <f>'IRI Model'!B77</f>
        <v>0.11</v>
      </c>
      <c r="L25" s="126">
        <f>'IRI Model'!D77</f>
        <v>0.18646017750039015</v>
      </c>
      <c r="M25" s="68"/>
      <c r="N25" s="73">
        <v>0.09</v>
      </c>
      <c r="O25" s="132">
        <v>0.119681519850226</v>
      </c>
    </row>
    <row r="26" spans="1:15" ht="15" customHeight="1">
      <c r="A26" s="68"/>
      <c r="B26" s="73">
        <f>'IRI Model'!B32</f>
        <v>2.5</v>
      </c>
      <c r="C26" s="126">
        <f>'IRI Model'!D32</f>
        <v>0.2644279473388399</v>
      </c>
      <c r="D26" s="68"/>
      <c r="E26" s="127">
        <f>'IRI Model'!B48</f>
        <v>0.3</v>
      </c>
      <c r="F26" s="125">
        <f>'IRI Model'!D48</f>
        <v>0.13306593175436313</v>
      </c>
      <c r="G26" s="68"/>
      <c r="H26" s="130">
        <f>'IRI Model'!B66</f>
        <v>10</v>
      </c>
      <c r="I26" s="122">
        <f>'IRI Model'!D66</f>
        <v>5.4907339151915618E-2</v>
      </c>
      <c r="J26" s="68"/>
      <c r="K26" s="73">
        <f>'IRI Model'!B78</f>
        <v>0.12</v>
      </c>
      <c r="L26" s="126">
        <f>'IRI Model'!D78</f>
        <v>0.19788304656014968</v>
      </c>
      <c r="M26" s="68"/>
      <c r="N26" s="73">
        <v>0.1</v>
      </c>
      <c r="O26" s="132">
        <v>0.10968151985022601</v>
      </c>
    </row>
    <row r="27" spans="1:15" ht="15" customHeight="1">
      <c r="A27" s="68"/>
      <c r="B27" s="73">
        <f>'IRI Model'!B33</f>
        <v>2.75</v>
      </c>
      <c r="C27" s="126">
        <f>'IRI Model'!D33</f>
        <v>0.29032974660957567</v>
      </c>
      <c r="D27" s="68"/>
      <c r="E27" s="73">
        <f>'IRI Model'!B49</f>
        <v>0.35</v>
      </c>
      <c r="F27" s="125">
        <f>'IRI Model'!D49</f>
        <v>0.14226807670319044</v>
      </c>
      <c r="G27" s="68"/>
      <c r="H27" s="68"/>
      <c r="I27" s="68"/>
      <c r="J27" s="68"/>
      <c r="K27" s="73">
        <f>'IRI Model'!B79</f>
        <v>0.13</v>
      </c>
      <c r="L27" s="126">
        <f>'IRI Model'!D79</f>
        <v>0.20930591561990922</v>
      </c>
      <c r="M27" s="68"/>
      <c r="N27" s="73">
        <v>0.11</v>
      </c>
      <c r="O27" s="132">
        <v>9.9681519850225969E-2</v>
      </c>
    </row>
    <row r="28" spans="1:15" ht="15" customHeight="1">
      <c r="A28" s="68"/>
      <c r="B28" s="73">
        <f>'IRI Model'!B34</f>
        <v>3</v>
      </c>
      <c r="C28" s="126">
        <f>'IRI Model'!D34</f>
        <v>0.31441125662555403</v>
      </c>
      <c r="D28" s="68"/>
      <c r="E28" s="73">
        <f>'IRI Model'!B50</f>
        <v>0.4</v>
      </c>
      <c r="F28" s="125">
        <f>'IRI Model'!D50</f>
        <v>0.15120148047397</v>
      </c>
      <c r="G28" s="68"/>
      <c r="H28" s="68"/>
      <c r="I28" s="68"/>
      <c r="J28" s="68"/>
      <c r="K28" s="121">
        <f>'IRI Model'!B80</f>
        <v>0.14000000000000001</v>
      </c>
      <c r="L28" s="123">
        <f>'IRI Model'!D80</f>
        <v>0.22072878467966919</v>
      </c>
      <c r="M28" s="68"/>
      <c r="N28" s="73">
        <v>0.12</v>
      </c>
      <c r="O28" s="132">
        <v>8.9681519850225974E-2</v>
      </c>
    </row>
    <row r="29" spans="1:15" ht="15" customHeight="1">
      <c r="A29" s="68"/>
      <c r="B29" s="73">
        <f>'IRI Model'!B35</f>
        <v>3.25</v>
      </c>
      <c r="C29" s="126">
        <f>'IRI Model'!D35</f>
        <v>0.33693723534830189</v>
      </c>
      <c r="D29" s="68"/>
      <c r="E29" s="73">
        <f>'IRI Model'!B51</f>
        <v>0.45</v>
      </c>
      <c r="F29" s="126">
        <f>'IRI Model'!D51</f>
        <v>0.15988318207222965</v>
      </c>
      <c r="G29" s="68"/>
      <c r="H29" s="68"/>
      <c r="I29" s="68"/>
      <c r="J29" s="68"/>
      <c r="K29" s="68"/>
      <c r="L29" s="68"/>
      <c r="M29" s="68"/>
      <c r="N29" s="73">
        <v>0.13</v>
      </c>
      <c r="O29" s="132">
        <v>7.9681519850225979E-2</v>
      </c>
    </row>
    <row r="30" spans="1:15" ht="15" customHeight="1">
      <c r="A30" s="68"/>
      <c r="B30" s="121">
        <f>'IRI Model'!B36</f>
        <v>3.5</v>
      </c>
      <c r="C30" s="123">
        <f>'IRI Model'!D36</f>
        <v>0.35811698608074327</v>
      </c>
      <c r="D30" s="68"/>
      <c r="E30" s="73">
        <f>'IRI Model'!B52</f>
        <v>0.5</v>
      </c>
      <c r="F30" s="126">
        <f>'IRI Model'!D52</f>
        <v>0.1683285969905414</v>
      </c>
      <c r="G30" s="68"/>
      <c r="H30" s="68"/>
      <c r="I30" s="68"/>
      <c r="J30" s="68"/>
      <c r="K30" s="68"/>
      <c r="L30" s="68"/>
      <c r="M30" s="68"/>
      <c r="N30" s="73">
        <v>0.14000000000000001</v>
      </c>
      <c r="O30" s="132">
        <v>6.9681519850225956E-2</v>
      </c>
    </row>
    <row r="31" spans="1:15" ht="15" customHeight="1">
      <c r="A31" s="68"/>
      <c r="B31" s="68"/>
      <c r="C31" s="68"/>
      <c r="D31" s="68"/>
      <c r="E31" s="73">
        <f>'IRI Model'!B53</f>
        <v>0.55000000000000004</v>
      </c>
      <c r="F31" s="126">
        <f>'IRI Model'!D53</f>
        <v>0.17655172026038071</v>
      </c>
      <c r="G31" s="68"/>
      <c r="H31" s="68"/>
      <c r="I31" s="68"/>
      <c r="J31" s="68"/>
      <c r="K31" s="68"/>
      <c r="L31" s="68"/>
      <c r="M31" s="68"/>
      <c r="N31" s="73">
        <v>0.15</v>
      </c>
      <c r="O31" s="132">
        <v>5.9681519850225982E-2</v>
      </c>
    </row>
    <row r="32" spans="1:15" ht="15" customHeight="1">
      <c r="A32" s="68"/>
      <c r="B32" s="68"/>
      <c r="C32" s="68"/>
      <c r="D32" s="68"/>
      <c r="E32" s="121">
        <f>'IRI Model'!B54</f>
        <v>0.6</v>
      </c>
      <c r="F32" s="123">
        <f>'IRI Model'!D54</f>
        <v>0.18456529844436634</v>
      </c>
      <c r="G32" s="68"/>
      <c r="H32" s="68"/>
      <c r="I32" s="68"/>
      <c r="J32" s="68"/>
      <c r="K32" s="68"/>
      <c r="L32" s="68"/>
      <c r="M32" s="68"/>
      <c r="N32" s="73">
        <v>0.16</v>
      </c>
      <c r="O32" s="133">
        <v>4.9681519850225973E-2</v>
      </c>
    </row>
    <row r="33" spans="1:15" ht="15" customHeight="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73">
        <v>0.17</v>
      </c>
      <c r="O33" s="133">
        <v>3.9681519850225971E-2</v>
      </c>
    </row>
    <row r="34" spans="1:15" ht="15" customHeight="1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73">
        <v>0.18</v>
      </c>
      <c r="O34" s="133">
        <v>2.968151985022598E-2</v>
      </c>
    </row>
    <row r="35" spans="1:15" ht="15" customHeight="1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73">
        <v>0.19</v>
      </c>
      <c r="O35" s="133">
        <v>1.9681519850225971E-2</v>
      </c>
    </row>
    <row r="36" spans="1:15" ht="1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121">
        <v>0.2</v>
      </c>
      <c r="O36" s="134">
        <v>9.6815198502259742E-3</v>
      </c>
    </row>
    <row r="37" spans="1:1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1:1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1:15">
      <c r="A39" s="68"/>
      <c r="B39" s="115" t="s">
        <v>513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</sheetData>
  <pageMargins left="0.75" right="0.75" top="1" bottom="1" header="0.5" footer="0.5"/>
  <pageSetup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0"/>
  <sheetViews>
    <sheetView showGridLines="0" workbookViewId="0"/>
  </sheetViews>
  <sheetFormatPr baseColWidth="10" defaultColWidth="8.85546875" defaultRowHeight="15"/>
  <sheetData>
    <row r="1" spans="1:8">
      <c r="A1" s="415" t="s">
        <v>688</v>
      </c>
      <c r="B1" s="67"/>
      <c r="C1" s="67"/>
      <c r="D1" s="67"/>
      <c r="E1" s="67"/>
      <c r="F1" s="67"/>
      <c r="G1" s="67"/>
      <c r="H1" s="67"/>
    </row>
    <row r="2" spans="1:8">
      <c r="A2" s="415" t="s">
        <v>580</v>
      </c>
      <c r="B2" s="415" t="s">
        <v>581</v>
      </c>
      <c r="C2" s="67"/>
      <c r="D2" s="416">
        <v>0.5</v>
      </c>
      <c r="E2" s="416">
        <v>-0.1</v>
      </c>
      <c r="F2" s="416">
        <v>2</v>
      </c>
      <c r="G2" s="416">
        <v>0.04</v>
      </c>
      <c r="H2" s="416">
        <v>0.02</v>
      </c>
    </row>
    <row r="3" spans="1:8">
      <c r="A3" s="415" t="s">
        <v>555</v>
      </c>
      <c r="B3" s="416">
        <f>Assumptions!C14</f>
        <v>0.3</v>
      </c>
      <c r="C3" s="67"/>
      <c r="D3" s="416">
        <v>0.75</v>
      </c>
      <c r="E3" s="416">
        <v>-0.05</v>
      </c>
      <c r="F3" s="416">
        <v>3</v>
      </c>
      <c r="G3" s="416">
        <v>0.05</v>
      </c>
      <c r="H3" s="416">
        <v>0.03</v>
      </c>
    </row>
    <row r="4" spans="1:8">
      <c r="A4" s="415" t="s">
        <v>689</v>
      </c>
      <c r="B4" s="416">
        <v>5</v>
      </c>
      <c r="C4" s="67"/>
      <c r="D4" s="416">
        <v>1</v>
      </c>
      <c r="E4" s="416">
        <v>0</v>
      </c>
      <c r="F4" s="416">
        <v>4</v>
      </c>
      <c r="G4" s="416">
        <v>0.06</v>
      </c>
      <c r="H4" s="416">
        <v>0.04</v>
      </c>
    </row>
    <row r="5" spans="1:8">
      <c r="A5" s="415" t="s">
        <v>690</v>
      </c>
      <c r="B5" s="416">
        <f>WACC!C6</f>
        <v>4.1799999999999997E-2</v>
      </c>
      <c r="C5" s="67"/>
      <c r="D5" s="416">
        <v>1.25</v>
      </c>
      <c r="E5" s="416">
        <v>0.05</v>
      </c>
      <c r="F5" s="416">
        <v>5</v>
      </c>
      <c r="G5" s="416">
        <v>7.0000000000000007E-2</v>
      </c>
      <c r="H5" s="416">
        <v>0.05</v>
      </c>
    </row>
    <row r="6" spans="1:8">
      <c r="A6" s="415" t="s">
        <v>691</v>
      </c>
      <c r="B6" s="416">
        <f>WACC!C7</f>
        <v>4.4600000000000001E-2</v>
      </c>
      <c r="C6" s="67"/>
      <c r="D6" s="416">
        <v>1.5</v>
      </c>
      <c r="E6" s="416">
        <v>0.1</v>
      </c>
      <c r="F6" s="416">
        <v>6</v>
      </c>
      <c r="G6" s="416">
        <v>0.08</v>
      </c>
      <c r="H6" s="416">
        <v>0.06</v>
      </c>
    </row>
    <row r="7" spans="1:8">
      <c r="A7" s="415" t="s">
        <v>692</v>
      </c>
      <c r="B7" s="416">
        <v>0.41</v>
      </c>
      <c r="C7" s="67"/>
      <c r="D7" s="416">
        <v>1.75</v>
      </c>
      <c r="E7" s="416">
        <v>0.15</v>
      </c>
      <c r="F7" s="416">
        <v>7</v>
      </c>
      <c r="G7" s="416">
        <v>0.09</v>
      </c>
      <c r="H7" s="416">
        <v>7.0000000000000007E-2</v>
      </c>
    </row>
    <row r="8" spans="1:8">
      <c r="A8" s="415" t="s">
        <v>693</v>
      </c>
      <c r="B8" s="416">
        <f>WACC!C19</f>
        <v>0.8487516459755805</v>
      </c>
      <c r="C8" s="67"/>
      <c r="D8" s="416">
        <v>2</v>
      </c>
      <c r="E8" s="416">
        <v>0.2</v>
      </c>
      <c r="F8" s="416">
        <v>8</v>
      </c>
      <c r="G8" s="416">
        <v>0.1</v>
      </c>
      <c r="H8" s="416">
        <v>0.08</v>
      </c>
    </row>
    <row r="9" spans="1:8">
      <c r="A9" s="415" t="s">
        <v>585</v>
      </c>
      <c r="B9" s="416">
        <f>'EPS Assumptions'!F23</f>
        <v>1373</v>
      </c>
      <c r="C9" s="67"/>
      <c r="D9" s="416">
        <v>2.25</v>
      </c>
      <c r="E9" s="416">
        <v>0.25</v>
      </c>
      <c r="F9" s="416">
        <v>9</v>
      </c>
      <c r="G9" s="416">
        <v>0.11</v>
      </c>
      <c r="H9" s="416">
        <v>0.09</v>
      </c>
    </row>
    <row r="10" spans="1:8">
      <c r="A10" s="415" t="s">
        <v>586</v>
      </c>
      <c r="B10" s="416">
        <f>'EPS Assumptions'!F20</f>
        <v>143.78</v>
      </c>
      <c r="C10" s="67"/>
      <c r="D10" s="416">
        <v>2.5</v>
      </c>
      <c r="E10" s="416">
        <v>0.3</v>
      </c>
      <c r="F10" s="416">
        <v>10</v>
      </c>
      <c r="G10" s="416">
        <v>0.12</v>
      </c>
      <c r="H10" s="416">
        <v>0.1</v>
      </c>
    </row>
    <row r="11" spans="1:8">
      <c r="A11" s="415" t="s">
        <v>588</v>
      </c>
      <c r="B11" s="416">
        <f>'EPS Assumptions'!G23</f>
        <v>1362.8</v>
      </c>
      <c r="C11" s="67"/>
      <c r="D11" s="416">
        <v>2.75</v>
      </c>
      <c r="E11" s="416">
        <v>0.35</v>
      </c>
      <c r="F11" s="67"/>
      <c r="G11" s="416">
        <v>0.13</v>
      </c>
      <c r="H11" s="416">
        <v>0.11</v>
      </c>
    </row>
    <row r="12" spans="1:8">
      <c r="A12" s="415" t="s">
        <v>589</v>
      </c>
      <c r="B12" s="416">
        <f>'EPS Assumptions'!G20</f>
        <v>28.01</v>
      </c>
      <c r="C12" s="67"/>
      <c r="D12" s="416">
        <v>3</v>
      </c>
      <c r="E12" s="416">
        <v>0.4</v>
      </c>
      <c r="F12" s="67"/>
      <c r="G12" s="416">
        <v>0.14000000000000001</v>
      </c>
      <c r="H12" s="416">
        <v>0.12</v>
      </c>
    </row>
    <row r="13" spans="1:8">
      <c r="A13" s="415" t="s">
        <v>694</v>
      </c>
      <c r="B13" s="416">
        <f>'KDP Historical'!H37/1000000</f>
        <v>25516</v>
      </c>
      <c r="C13" s="67"/>
      <c r="D13" s="416">
        <v>3.25</v>
      </c>
      <c r="E13" s="416">
        <v>0.45</v>
      </c>
      <c r="F13" s="67"/>
      <c r="G13" s="67"/>
      <c r="H13" s="416">
        <v>0.13</v>
      </c>
    </row>
    <row r="14" spans="1:8">
      <c r="A14" s="415" t="s">
        <v>695</v>
      </c>
      <c r="B14" s="416">
        <f>'KDP Historical'!H18/1000000</f>
        <v>2079</v>
      </c>
      <c r="C14" s="67"/>
      <c r="D14" s="416">
        <v>3.5</v>
      </c>
      <c r="E14" s="416">
        <v>0.5</v>
      </c>
      <c r="F14" s="67"/>
      <c r="G14" s="67"/>
      <c r="H14" s="416">
        <v>0.14000000000000001</v>
      </c>
    </row>
    <row r="15" spans="1:8">
      <c r="A15" s="67"/>
      <c r="B15" s="67"/>
      <c r="C15" s="67"/>
      <c r="D15" s="67"/>
      <c r="E15" s="416">
        <v>0.55000000000000004</v>
      </c>
      <c r="F15" s="67"/>
      <c r="G15" s="67"/>
      <c r="H15" s="416">
        <v>0.15</v>
      </c>
    </row>
    <row r="16" spans="1:8">
      <c r="A16" s="67"/>
      <c r="B16" s="67"/>
      <c r="C16" s="67"/>
      <c r="D16" s="67"/>
      <c r="E16" s="416">
        <v>0.6</v>
      </c>
      <c r="F16" s="67"/>
      <c r="G16" s="67"/>
      <c r="H16" s="416">
        <v>0.16</v>
      </c>
    </row>
    <row r="17" spans="1:8">
      <c r="A17" s="67"/>
      <c r="B17" s="67"/>
      <c r="C17" s="67"/>
      <c r="D17" s="67"/>
      <c r="E17" s="67"/>
      <c r="F17" s="67"/>
      <c r="G17" s="67"/>
      <c r="H17" s="416">
        <v>0.17</v>
      </c>
    </row>
    <row r="18" spans="1:8">
      <c r="A18" s="67"/>
      <c r="B18" s="67"/>
      <c r="C18" s="67"/>
      <c r="D18" s="67"/>
      <c r="E18" s="67"/>
      <c r="F18" s="67"/>
      <c r="G18" s="67"/>
      <c r="H18" s="416">
        <v>0.18</v>
      </c>
    </row>
    <row r="19" spans="1:8">
      <c r="A19" s="67"/>
      <c r="B19" s="67"/>
      <c r="C19" s="67"/>
      <c r="D19" s="67"/>
      <c r="E19" s="67"/>
      <c r="F19" s="67"/>
      <c r="G19" s="67"/>
      <c r="H19" s="416">
        <v>0.19</v>
      </c>
    </row>
    <row r="20" spans="1:8">
      <c r="A20" s="67"/>
      <c r="B20" s="67"/>
      <c r="C20" s="67"/>
      <c r="D20" s="67"/>
      <c r="E20" s="67"/>
      <c r="F20" s="67"/>
      <c r="G20" s="67"/>
      <c r="H20" s="416">
        <v>0.2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E3A8A"/>
  </sheetPr>
  <dimension ref="A1:I61"/>
  <sheetViews>
    <sheetView showGridLines="0" workbookViewId="0">
      <pane ySplit="3" topLeftCell="A4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0" customWidth="1"/>
    <col min="3" max="8" width="14" customWidth="1"/>
    <col min="9" max="9" width="8" customWidth="1"/>
  </cols>
  <sheetData>
    <row r="1" spans="1:9" ht="9" customHeight="1">
      <c r="A1" s="112"/>
      <c r="B1" s="24"/>
      <c r="C1" s="24"/>
      <c r="D1" s="24"/>
      <c r="E1" s="24"/>
      <c r="F1" s="24"/>
      <c r="G1" s="24"/>
      <c r="H1" s="24"/>
      <c r="I1" s="24"/>
    </row>
    <row r="2" spans="1:9" ht="22" customHeight="1">
      <c r="A2" s="24"/>
      <c r="B2" s="304" t="s">
        <v>76</v>
      </c>
      <c r="C2" s="86"/>
      <c r="D2" s="86"/>
      <c r="E2" s="86"/>
      <c r="F2" s="24"/>
      <c r="G2" s="24"/>
      <c r="H2" s="24"/>
      <c r="I2" s="24"/>
    </row>
    <row r="3" spans="1:9" ht="15" customHeight="1">
      <c r="A3" s="24"/>
      <c r="B3" s="118"/>
      <c r="C3" s="24"/>
      <c r="D3" s="24"/>
      <c r="E3" s="24"/>
      <c r="F3" s="24"/>
      <c r="G3" s="24"/>
      <c r="H3" s="24"/>
      <c r="I3" s="24"/>
    </row>
    <row r="4" spans="1:9" s="32" customFormat="1" ht="18" customHeight="1" thickBot="1">
      <c r="B4" s="308" t="s">
        <v>77</v>
      </c>
      <c r="C4" s="321"/>
      <c r="D4" s="321"/>
      <c r="E4" s="321"/>
      <c r="F4" s="321"/>
      <c r="G4" s="321"/>
      <c r="H4" s="321"/>
    </row>
    <row r="5" spans="1:9" ht="15" customHeight="1">
      <c r="A5" s="24"/>
      <c r="B5" s="87" t="s">
        <v>17</v>
      </c>
      <c r="C5" s="3" t="str">
        <f>Summary!C5</f>
        <v>Base Case</v>
      </c>
      <c r="D5" s="24"/>
      <c r="E5" s="24"/>
      <c r="F5" s="24"/>
      <c r="G5" s="24"/>
      <c r="H5" s="24"/>
      <c r="I5" s="24"/>
    </row>
    <row r="6" spans="1:9" ht="9" customHeight="1">
      <c r="A6" s="24"/>
      <c r="B6" s="24"/>
      <c r="C6" s="24"/>
      <c r="D6" s="24"/>
      <c r="E6" s="24"/>
      <c r="F6" s="24"/>
      <c r="G6" s="24"/>
      <c r="H6" s="24"/>
      <c r="I6" s="24"/>
    </row>
    <row r="7" spans="1:9" s="32" customFormat="1" ht="18" customHeight="1">
      <c r="B7" s="312" t="s">
        <v>78</v>
      </c>
      <c r="C7" s="322" t="s">
        <v>20</v>
      </c>
      <c r="D7" s="322"/>
      <c r="E7" s="322"/>
      <c r="F7" s="322"/>
      <c r="G7" s="322"/>
      <c r="H7" s="322" t="s">
        <v>79</v>
      </c>
    </row>
    <row r="8" spans="1:9" ht="15" customHeight="1">
      <c r="A8" s="24"/>
      <c r="B8" s="104" t="s">
        <v>80</v>
      </c>
      <c r="C8" s="147">
        <f>INDEX($D$48:$G$48,MATCH(Summary!$C$5,$D$47:$G$47,0))</f>
        <v>0.255</v>
      </c>
      <c r="D8" s="151"/>
      <c r="E8" s="151"/>
      <c r="F8" s="151"/>
      <c r="G8" s="151"/>
      <c r="H8" s="157" t="s">
        <v>81</v>
      </c>
    </row>
    <row r="9" spans="1:9" ht="15" customHeight="1">
      <c r="A9" s="24"/>
      <c r="B9" s="104" t="s">
        <v>82</v>
      </c>
      <c r="C9" s="147">
        <f>INDEX($D$49:$G$49,MATCH(Summary!$C$5,$D$47:$G$47,0))</f>
        <v>0.03</v>
      </c>
      <c r="D9" s="151"/>
      <c r="E9" s="151"/>
      <c r="F9" s="151"/>
      <c r="G9" s="151"/>
      <c r="H9" s="157" t="s">
        <v>81</v>
      </c>
    </row>
    <row r="10" spans="1:9" ht="15" customHeight="1">
      <c r="A10" s="24"/>
      <c r="B10" s="104" t="s">
        <v>83</v>
      </c>
      <c r="C10" s="147">
        <f>INDEX($D$50:$G$50,MATCH(Summary!$C$5,$D$47:$G$47,0))</f>
        <v>4.4999999999999998E-2</v>
      </c>
      <c r="D10" s="151"/>
      <c r="E10" s="151"/>
      <c r="F10" s="151"/>
      <c r="G10" s="151"/>
      <c r="H10" s="157" t="s">
        <v>81</v>
      </c>
    </row>
    <row r="11" spans="1:9" ht="15" customHeight="1">
      <c r="A11" s="24"/>
      <c r="B11" s="104" t="s">
        <v>84</v>
      </c>
      <c r="C11" s="147">
        <f>INDEX($D$51:$G$51,MATCH(Summary!$C$5,$D$47:$G$47,0))</f>
        <v>2.5000000000000001E-2</v>
      </c>
      <c r="D11" s="151"/>
      <c r="E11" s="151"/>
      <c r="F11" s="151"/>
      <c r="G11" s="151"/>
      <c r="H11" s="157" t="s">
        <v>81</v>
      </c>
    </row>
    <row r="12" spans="1:9" ht="15" customHeight="1">
      <c r="A12" s="24"/>
      <c r="B12" s="104" t="s">
        <v>85</v>
      </c>
      <c r="C12" s="147">
        <f>INDEX($D$52:$G$52,MATCH(Summary!$C$5,$D$47:$G$47,0))</f>
        <v>0.22500000000000001</v>
      </c>
      <c r="D12" s="151"/>
      <c r="E12" s="151"/>
      <c r="F12" s="151"/>
      <c r="G12" s="151"/>
      <c r="H12" s="157" t="s">
        <v>81</v>
      </c>
    </row>
    <row r="13" spans="1:9" ht="15" customHeight="1">
      <c r="A13" s="24"/>
      <c r="B13" s="104" t="s">
        <v>86</v>
      </c>
      <c r="C13" s="147">
        <f>INDEX($D$53:$G$53,MATCH(Summary!$C$5,$D$47:$G$47,0))</f>
        <v>2.5000000000000001E-2</v>
      </c>
      <c r="D13" s="151"/>
      <c r="E13" s="151"/>
      <c r="F13" s="151"/>
      <c r="G13" s="151"/>
      <c r="H13" s="157" t="s">
        <v>81</v>
      </c>
    </row>
    <row r="14" spans="1:9" ht="15" customHeight="1">
      <c r="A14" s="24"/>
      <c r="B14" s="104" t="s">
        <v>35</v>
      </c>
      <c r="C14" s="147">
        <f>INDEX($D$54:$G$54,MATCH(Summary!$C$5,$D$47:$G$47,0))</f>
        <v>0.3</v>
      </c>
      <c r="D14" s="151"/>
      <c r="E14" s="151"/>
      <c r="F14" s="151"/>
      <c r="G14" s="151"/>
      <c r="H14" s="157" t="s">
        <v>81</v>
      </c>
    </row>
    <row r="15" spans="1:9" ht="15" customHeight="1">
      <c r="A15" s="24"/>
      <c r="B15" s="104" t="s">
        <v>87</v>
      </c>
      <c r="C15" s="147">
        <f>INDEX($D$55:$G$55,MATCH(Summary!$C$5,$D$47:$G$47,0))</f>
        <v>0.7</v>
      </c>
      <c r="D15" s="151"/>
      <c r="E15" s="151"/>
      <c r="F15" s="151"/>
      <c r="G15" s="151"/>
      <c r="H15" s="157" t="s">
        <v>81</v>
      </c>
    </row>
    <row r="16" spans="1:9" ht="15" customHeight="1">
      <c r="A16" s="24"/>
      <c r="B16" s="104" t="s">
        <v>88</v>
      </c>
      <c r="C16" s="149">
        <f>INDEX($D$56:$G$56,MATCH(Summary!$C$5,$D$47:$G$47,0))</f>
        <v>300</v>
      </c>
      <c r="D16" s="151"/>
      <c r="E16" s="151"/>
      <c r="F16" s="151"/>
      <c r="G16" s="151"/>
      <c r="H16" s="157" t="s">
        <v>89</v>
      </c>
    </row>
    <row r="17" spans="1:9" ht="9" customHeight="1">
      <c r="A17" s="24"/>
      <c r="B17" s="24"/>
      <c r="C17" s="24"/>
      <c r="D17" s="24"/>
      <c r="E17" s="24"/>
      <c r="F17" s="24"/>
      <c r="G17" s="24"/>
      <c r="H17" s="24"/>
      <c r="I17" s="24"/>
    </row>
    <row r="18" spans="1:9" s="32" customFormat="1" ht="18" customHeight="1" thickBot="1">
      <c r="B18" s="308" t="s">
        <v>90</v>
      </c>
      <c r="C18" s="321" t="s">
        <v>91</v>
      </c>
      <c r="D18" s="321" t="s">
        <v>92</v>
      </c>
      <c r="E18" s="321" t="s">
        <v>93</v>
      </c>
      <c r="F18" s="321" t="s">
        <v>94</v>
      </c>
      <c r="G18" s="321" t="s">
        <v>95</v>
      </c>
      <c r="H18" s="321" t="s">
        <v>79</v>
      </c>
    </row>
    <row r="19" spans="1:9" ht="15" customHeight="1">
      <c r="A19" s="24"/>
      <c r="B19" s="4" t="s">
        <v>96</v>
      </c>
      <c r="C19" s="7">
        <f>INDEX($D$57:$G$57,MATCH(Summary!$C$5,$D$47:$G$47,0))</f>
        <v>0.04</v>
      </c>
      <c r="D19" s="7">
        <f>INDEX($D$58:$G$58,MATCH(Summary!$C$5,$D$47:$G$47,0))</f>
        <v>3.7999999999999999E-2</v>
      </c>
      <c r="E19" s="7">
        <f>INDEX($D$59:$G$59,MATCH(Summary!$C$5,$D$47:$G$47,0))</f>
        <v>3.6999999999999998E-2</v>
      </c>
      <c r="F19" s="7">
        <f>INDEX($D$60:$G$60,MATCH(Summary!$C$5,$D$47:$G$47,0))</f>
        <v>3.5000000000000003E-2</v>
      </c>
      <c r="G19" s="7">
        <f>INDEX($D$61:$G$61,MATCH(Summary!$C$5,$D$47:$G$47,0))</f>
        <v>3.5000000000000003E-2</v>
      </c>
      <c r="H19" s="29" t="s">
        <v>81</v>
      </c>
    </row>
    <row r="20" spans="1:9" ht="9" customHeight="1">
      <c r="A20" s="24"/>
      <c r="B20" s="24"/>
      <c r="C20" s="24"/>
      <c r="D20" s="24"/>
      <c r="E20" s="24"/>
      <c r="F20" s="24"/>
      <c r="G20" s="24"/>
      <c r="H20" s="24"/>
      <c r="I20" s="24"/>
    </row>
    <row r="21" spans="1:9" ht="15" customHeight="1">
      <c r="A21" s="24"/>
      <c r="B21" s="43" t="s">
        <v>97</v>
      </c>
      <c r="C21" s="44"/>
      <c r="D21" s="44"/>
      <c r="E21" s="44"/>
      <c r="F21" s="44"/>
      <c r="G21" s="44"/>
      <c r="H21" s="24"/>
      <c r="I21" s="24"/>
    </row>
    <row r="22" spans="1:9">
      <c r="A22" s="24"/>
      <c r="B22" s="44"/>
      <c r="C22" s="45" t="s">
        <v>91</v>
      </c>
      <c r="D22" s="45" t="s">
        <v>92</v>
      </c>
      <c r="E22" s="45" t="s">
        <v>93</v>
      </c>
      <c r="F22" s="45" t="s">
        <v>94</v>
      </c>
      <c r="G22" s="45" t="s">
        <v>95</v>
      </c>
      <c r="H22" s="24"/>
      <c r="I22" s="24"/>
    </row>
    <row r="23" spans="1:9">
      <c r="A23" s="24"/>
      <c r="B23" s="44"/>
      <c r="C23" s="46">
        <f>C19</f>
        <v>0.04</v>
      </c>
      <c r="D23" s="46">
        <f>D19</f>
        <v>3.7999999999999999E-2</v>
      </c>
      <c r="E23" s="46">
        <f>E19</f>
        <v>3.6999999999999998E-2</v>
      </c>
      <c r="F23" s="46">
        <f>F19</f>
        <v>3.5000000000000003E-2</v>
      </c>
      <c r="G23" s="46">
        <f>G19</f>
        <v>3.5000000000000003E-2</v>
      </c>
      <c r="H23" s="24"/>
      <c r="I23" s="24"/>
    </row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29" spans="1:9">
      <c r="A29" s="24"/>
      <c r="B29" s="24"/>
      <c r="C29" s="24"/>
      <c r="D29" s="24"/>
      <c r="E29" s="24"/>
      <c r="F29" s="24"/>
      <c r="G29" s="24"/>
      <c r="H29" s="24"/>
      <c r="I29" s="24"/>
    </row>
    <row r="30" spans="1:9">
      <c r="A30" s="24"/>
      <c r="B30" s="24"/>
      <c r="C30" s="24"/>
      <c r="D30" s="24"/>
      <c r="E30" s="24"/>
      <c r="F30" s="24"/>
      <c r="G30" s="24"/>
      <c r="H30" s="24"/>
      <c r="I30" s="24"/>
    </row>
    <row r="31" spans="1:9">
      <c r="A31" s="24"/>
      <c r="B31" s="24"/>
      <c r="C31" s="24"/>
      <c r="D31" s="24"/>
      <c r="E31" s="24"/>
      <c r="F31" s="24"/>
      <c r="G31" s="24"/>
      <c r="H31" s="24"/>
      <c r="I31" s="24"/>
    </row>
    <row r="32" spans="1:9">
      <c r="A32" s="24"/>
      <c r="B32" s="24"/>
      <c r="C32" s="24"/>
      <c r="D32" s="24"/>
      <c r="E32" s="24"/>
      <c r="F32" s="24"/>
      <c r="G32" s="24"/>
      <c r="H32" s="24"/>
      <c r="I32" s="24"/>
    </row>
    <row r="33" spans="1:9">
      <c r="A33" s="24"/>
      <c r="B33" s="24"/>
      <c r="C33" s="24"/>
      <c r="D33" s="24"/>
      <c r="E33" s="24"/>
      <c r="F33" s="24"/>
      <c r="G33" s="24"/>
      <c r="H33" s="24"/>
      <c r="I33" s="24"/>
    </row>
    <row r="34" spans="1:9" ht="9" customHeight="1">
      <c r="A34" s="24"/>
      <c r="B34" s="24"/>
      <c r="C34" s="24"/>
      <c r="D34" s="24"/>
      <c r="E34" s="24"/>
      <c r="F34" s="24"/>
      <c r="G34" s="24"/>
      <c r="H34" s="24"/>
      <c r="I34" s="24"/>
    </row>
    <row r="35" spans="1:9" s="32" customFormat="1" ht="18" customHeight="1">
      <c r="B35" s="312" t="s">
        <v>98</v>
      </c>
      <c r="C35" s="322" t="s">
        <v>20</v>
      </c>
      <c r="D35" s="322"/>
      <c r="E35" s="322"/>
      <c r="F35" s="322"/>
      <c r="G35" s="322"/>
      <c r="H35" s="322" t="s">
        <v>79</v>
      </c>
    </row>
    <row r="36" spans="1:9" ht="15" customHeight="1">
      <c r="A36" s="24"/>
      <c r="B36" s="104" t="s">
        <v>99</v>
      </c>
      <c r="C36" s="323">
        <f>'KDP Historical'!H6/1000000</f>
        <v>16603</v>
      </c>
      <c r="D36" s="151"/>
      <c r="E36" s="151"/>
      <c r="F36" s="151"/>
      <c r="G36" s="151"/>
      <c r="H36" s="157" t="s">
        <v>89</v>
      </c>
    </row>
    <row r="37" spans="1:9" ht="15" customHeight="1">
      <c r="A37" s="24"/>
      <c r="B37" s="104" t="s">
        <v>100</v>
      </c>
      <c r="C37" s="323">
        <f>'KDP Historical'!H14/1000000</f>
        <v>4194</v>
      </c>
      <c r="D37" s="151"/>
      <c r="E37" s="151"/>
      <c r="F37" s="151"/>
      <c r="G37" s="151"/>
      <c r="H37" s="157" t="s">
        <v>89</v>
      </c>
    </row>
    <row r="38" spans="1:9" ht="15" customHeight="1">
      <c r="A38" s="24"/>
      <c r="B38" s="104" t="s">
        <v>101</v>
      </c>
      <c r="C38" s="323">
        <f>'KDP Historical'!H39/1000000</f>
        <v>15115</v>
      </c>
      <c r="D38" s="151"/>
      <c r="E38" s="151"/>
      <c r="F38" s="151"/>
      <c r="G38" s="151"/>
      <c r="H38" s="157" t="s">
        <v>89</v>
      </c>
    </row>
    <row r="39" spans="1:9" ht="15" customHeight="1">
      <c r="A39" s="24"/>
      <c r="B39" s="104" t="s">
        <v>102</v>
      </c>
      <c r="C39" s="323">
        <f>'KDP Historical'!H21/1000000</f>
        <v>1362.8</v>
      </c>
      <c r="D39" s="151"/>
      <c r="E39" s="151"/>
      <c r="F39" s="151"/>
      <c r="G39" s="151"/>
      <c r="H39" s="157" t="s">
        <v>103</v>
      </c>
    </row>
    <row r="40" spans="1:9" s="32" customFormat="1" ht="15" customHeight="1">
      <c r="B40" s="104" t="s">
        <v>104</v>
      </c>
      <c r="C40" s="324">
        <v>28.01</v>
      </c>
      <c r="D40" s="151"/>
      <c r="E40" s="151"/>
      <c r="F40" s="151"/>
      <c r="G40" s="151"/>
      <c r="H40" s="157" t="s">
        <v>105</v>
      </c>
    </row>
    <row r="41" spans="1:9" ht="15" customHeight="1">
      <c r="A41" s="24"/>
      <c r="B41" s="104" t="s">
        <v>106</v>
      </c>
      <c r="C41" s="324">
        <v>33.83</v>
      </c>
      <c r="D41" s="151"/>
      <c r="E41" s="151"/>
      <c r="F41" s="151"/>
      <c r="G41" s="151"/>
      <c r="H41" s="157" t="s">
        <v>105</v>
      </c>
    </row>
    <row r="42" spans="1:9" ht="15" customHeight="1">
      <c r="A42" s="24"/>
      <c r="B42" s="104" t="s">
        <v>107</v>
      </c>
      <c r="C42" s="323">
        <f>C39*C40</f>
        <v>38172.027999999998</v>
      </c>
      <c r="D42" s="151"/>
      <c r="E42" s="151"/>
      <c r="F42" s="151"/>
      <c r="G42" s="151"/>
      <c r="H42" s="157" t="s">
        <v>89</v>
      </c>
    </row>
    <row r="43" spans="1:9" ht="15" customHeight="1">
      <c r="A43" s="24"/>
      <c r="B43" s="104" t="s">
        <v>108</v>
      </c>
      <c r="C43" s="323">
        <f>'KDP Historical'!H38/1000000</f>
        <v>16141</v>
      </c>
      <c r="D43" s="151"/>
      <c r="E43" s="151"/>
      <c r="F43" s="151"/>
      <c r="G43" s="151"/>
      <c r="H43" s="157" t="s">
        <v>89</v>
      </c>
    </row>
    <row r="44" spans="1:9" ht="15" customHeight="1">
      <c r="A44" s="24"/>
      <c r="B44" s="104" t="s">
        <v>109</v>
      </c>
      <c r="C44" s="323">
        <f>'KDP Historical'!H24/1000000</f>
        <v>1026</v>
      </c>
      <c r="D44" s="151"/>
      <c r="E44" s="151"/>
      <c r="F44" s="151"/>
      <c r="G44" s="151"/>
      <c r="H44" s="157" t="s">
        <v>89</v>
      </c>
      <c r="I44" s="24"/>
    </row>
    <row r="45" spans="1:9" ht="15" customHeight="1"/>
    <row r="46" spans="1:9" ht="15" customHeight="1">
      <c r="A46" s="24"/>
      <c r="H46" s="24"/>
      <c r="I46" s="24"/>
    </row>
    <row r="47" spans="1:9" ht="18" customHeight="1">
      <c r="A47" s="24"/>
      <c r="B47" s="312" t="s">
        <v>110</v>
      </c>
      <c r="C47" s="322"/>
      <c r="D47" s="322" t="s">
        <v>18</v>
      </c>
      <c r="E47" s="322" t="s">
        <v>111</v>
      </c>
      <c r="F47" s="322" t="s">
        <v>112</v>
      </c>
      <c r="G47" s="322" t="s">
        <v>113</v>
      </c>
      <c r="H47" s="24"/>
      <c r="I47" s="24"/>
    </row>
    <row r="48" spans="1:9" ht="15" customHeight="1">
      <c r="A48" s="24"/>
      <c r="B48" s="104" t="s">
        <v>80</v>
      </c>
      <c r="C48" s="151"/>
      <c r="D48" s="153">
        <v>0.255</v>
      </c>
      <c r="E48" s="153">
        <v>0.27</v>
      </c>
      <c r="F48" s="153">
        <v>0.23</v>
      </c>
      <c r="G48" s="325">
        <v>0.255</v>
      </c>
      <c r="H48" s="24"/>
      <c r="I48" s="24"/>
    </row>
    <row r="49" spans="1:9" ht="15" customHeight="1">
      <c r="A49" s="24"/>
      <c r="B49" s="104" t="s">
        <v>82</v>
      </c>
      <c r="C49" s="151"/>
      <c r="D49" s="153">
        <v>0.03</v>
      </c>
      <c r="E49" s="153">
        <v>2.8000000000000001E-2</v>
      </c>
      <c r="F49" s="153">
        <v>3.5000000000000003E-2</v>
      </c>
      <c r="G49" s="325">
        <v>0.03</v>
      </c>
      <c r="H49" s="24"/>
      <c r="I49" s="24"/>
    </row>
    <row r="50" spans="1:9" ht="15" customHeight="1">
      <c r="A50" s="24"/>
      <c r="B50" s="104" t="s">
        <v>83</v>
      </c>
      <c r="C50" s="151"/>
      <c r="D50" s="153">
        <v>4.4999999999999998E-2</v>
      </c>
      <c r="E50" s="153">
        <v>4.2999999999999997E-2</v>
      </c>
      <c r="F50" s="153">
        <v>4.8000000000000001E-2</v>
      </c>
      <c r="G50" s="325">
        <v>4.4999999999999998E-2</v>
      </c>
      <c r="H50" s="24"/>
      <c r="I50" s="24"/>
    </row>
    <row r="51" spans="1:9" ht="15" customHeight="1">
      <c r="A51" s="24"/>
      <c r="B51" s="104" t="s">
        <v>84</v>
      </c>
      <c r="C51" s="151"/>
      <c r="D51" s="153">
        <v>2.5000000000000001E-2</v>
      </c>
      <c r="E51" s="153">
        <v>0.02</v>
      </c>
      <c r="F51" s="153">
        <v>0.03</v>
      </c>
      <c r="G51" s="325">
        <v>2.5000000000000001E-2</v>
      </c>
      <c r="H51" s="24"/>
      <c r="I51" s="24"/>
    </row>
    <row r="52" spans="1:9" ht="15" customHeight="1">
      <c r="A52" s="24"/>
      <c r="B52" s="104" t="s">
        <v>85</v>
      </c>
      <c r="C52" s="151"/>
      <c r="D52" s="153">
        <v>0.22500000000000001</v>
      </c>
      <c r="E52" s="153">
        <v>0.22</v>
      </c>
      <c r="F52" s="153">
        <v>0.23</v>
      </c>
      <c r="G52" s="325">
        <v>0.22500000000000001</v>
      </c>
      <c r="H52" s="24"/>
      <c r="I52" s="24"/>
    </row>
    <row r="53" spans="1:9" ht="15" customHeight="1">
      <c r="A53" s="24"/>
      <c r="B53" s="104" t="s">
        <v>86</v>
      </c>
      <c r="C53" s="151"/>
      <c r="D53" s="153">
        <v>2.5000000000000001E-2</v>
      </c>
      <c r="E53" s="153">
        <v>0.03</v>
      </c>
      <c r="F53" s="153">
        <v>0.02</v>
      </c>
      <c r="G53" s="325">
        <v>2.5000000000000001E-2</v>
      </c>
      <c r="H53" s="24"/>
      <c r="I53" s="24"/>
    </row>
    <row r="54" spans="1:9" ht="15" customHeight="1">
      <c r="A54" s="24"/>
      <c r="B54" s="104" t="s">
        <v>35</v>
      </c>
      <c r="C54" s="151"/>
      <c r="D54" s="153">
        <v>0.3</v>
      </c>
      <c r="E54" s="153">
        <v>0.2</v>
      </c>
      <c r="F54" s="153">
        <v>0.35</v>
      </c>
      <c r="G54" s="325">
        <v>0.25</v>
      </c>
      <c r="H54" s="24"/>
      <c r="I54" s="24"/>
    </row>
    <row r="55" spans="1:9" ht="15" customHeight="1">
      <c r="B55" s="104" t="s">
        <v>114</v>
      </c>
      <c r="C55" s="151"/>
      <c r="D55" s="153">
        <v>0.7</v>
      </c>
      <c r="E55" s="153">
        <v>0.8</v>
      </c>
      <c r="F55" s="153">
        <v>0.6</v>
      </c>
      <c r="G55" s="325">
        <v>0.7</v>
      </c>
    </row>
    <row r="56" spans="1:9" ht="15" customHeight="1">
      <c r="B56" s="104" t="s">
        <v>43</v>
      </c>
      <c r="C56" s="151"/>
      <c r="D56" s="158">
        <v>300</v>
      </c>
      <c r="E56" s="158">
        <v>500</v>
      </c>
      <c r="F56" s="158">
        <v>0</v>
      </c>
      <c r="G56" s="326">
        <v>250</v>
      </c>
    </row>
    <row r="57" spans="1:9" ht="15" customHeight="1">
      <c r="B57" s="104" t="s">
        <v>115</v>
      </c>
      <c r="C57" s="151"/>
      <c r="D57" s="153">
        <v>0.04</v>
      </c>
      <c r="E57" s="153">
        <v>5.5E-2</v>
      </c>
      <c r="F57" s="153">
        <v>2.5000000000000001E-2</v>
      </c>
      <c r="G57" s="325">
        <v>0.04</v>
      </c>
    </row>
    <row r="58" spans="1:9" ht="15" customHeight="1">
      <c r="B58" s="104" t="s">
        <v>116</v>
      </c>
      <c r="C58" s="151"/>
      <c r="D58" s="153">
        <v>3.7999999999999999E-2</v>
      </c>
      <c r="E58" s="153">
        <v>5.8000000000000003E-2</v>
      </c>
      <c r="F58" s="153">
        <v>2.3E-2</v>
      </c>
      <c r="G58" s="325">
        <v>3.7999999999999999E-2</v>
      </c>
    </row>
    <row r="59" spans="1:9" ht="15" customHeight="1">
      <c r="B59" s="104" t="s">
        <v>117</v>
      </c>
      <c r="C59" s="151"/>
      <c r="D59" s="153">
        <v>3.6999999999999998E-2</v>
      </c>
      <c r="E59" s="153">
        <v>0.06</v>
      </c>
      <c r="F59" s="153">
        <v>2.1999999999999999E-2</v>
      </c>
      <c r="G59" s="325">
        <v>3.6999999999999998E-2</v>
      </c>
    </row>
    <row r="60" spans="1:9" ht="15" customHeight="1">
      <c r="B60" s="104" t="s">
        <v>118</v>
      </c>
      <c r="C60" s="151"/>
      <c r="D60" s="153">
        <v>3.5000000000000003E-2</v>
      </c>
      <c r="E60" s="153">
        <v>5.5E-2</v>
      </c>
      <c r="F60" s="153">
        <v>0.02</v>
      </c>
      <c r="G60" s="325">
        <v>3.5000000000000003E-2</v>
      </c>
    </row>
    <row r="61" spans="1:9" ht="15" customHeight="1">
      <c r="B61" s="104" t="s">
        <v>119</v>
      </c>
      <c r="C61" s="151"/>
      <c r="D61" s="153">
        <v>3.5000000000000003E-2</v>
      </c>
      <c r="E61" s="153">
        <v>0.05</v>
      </c>
      <c r="F61" s="153">
        <v>0.02</v>
      </c>
      <c r="G61" s="325">
        <v>3.5000000000000003E-2</v>
      </c>
    </row>
  </sheetData>
  <pageMargins left="0.75" right="0.75" top="1" bottom="1" header="0.5" footer="0.5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I105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2" customWidth="1"/>
    <col min="3" max="9" width="15" customWidth="1"/>
  </cols>
  <sheetData>
    <row r="1" spans="1:9" ht="9" customHeight="1">
      <c r="A1" s="112"/>
      <c r="B1" s="24"/>
      <c r="C1" s="24"/>
      <c r="D1" s="24"/>
      <c r="E1" s="24"/>
      <c r="F1" s="24"/>
      <c r="G1" s="24"/>
      <c r="H1" s="24"/>
      <c r="I1" s="24"/>
    </row>
    <row r="2" spans="1:9" ht="22" customHeight="1">
      <c r="A2" s="24"/>
      <c r="B2" s="304" t="s">
        <v>120</v>
      </c>
      <c r="C2" s="86"/>
      <c r="D2" s="86"/>
      <c r="E2" s="86"/>
      <c r="F2" s="24"/>
      <c r="G2" s="24"/>
      <c r="H2" s="24"/>
      <c r="I2" s="24"/>
    </row>
    <row r="3" spans="1:9" ht="15" customHeight="1">
      <c r="A3" s="24"/>
      <c r="B3" s="305" t="s">
        <v>121</v>
      </c>
      <c r="C3" s="24"/>
      <c r="D3" s="24"/>
      <c r="E3" s="24"/>
      <c r="F3" s="24"/>
      <c r="G3" s="24"/>
      <c r="H3" s="24"/>
      <c r="I3" s="24"/>
    </row>
    <row r="4" spans="1:9" ht="15" customHeight="1">
      <c r="A4" s="24"/>
      <c r="B4" s="1"/>
      <c r="C4" s="24"/>
      <c r="D4" s="24"/>
      <c r="E4" s="24"/>
      <c r="F4" s="24"/>
      <c r="G4" s="24"/>
      <c r="H4" s="24"/>
      <c r="I4" s="24"/>
    </row>
    <row r="5" spans="1:9" ht="15" customHeight="1">
      <c r="A5" s="24"/>
      <c r="B5" s="24"/>
      <c r="C5" s="327" t="s">
        <v>122</v>
      </c>
      <c r="D5" s="327" t="s">
        <v>91</v>
      </c>
      <c r="E5" s="327" t="s">
        <v>92</v>
      </c>
      <c r="F5" s="327" t="s">
        <v>93</v>
      </c>
      <c r="G5" s="327" t="s">
        <v>94</v>
      </c>
      <c r="H5" s="327" t="s">
        <v>95</v>
      </c>
      <c r="I5" s="327" t="s">
        <v>123</v>
      </c>
    </row>
    <row r="6" spans="1:9" ht="18" customHeight="1">
      <c r="A6" s="24"/>
      <c r="B6" s="328" t="s">
        <v>124</v>
      </c>
      <c r="C6" s="312"/>
      <c r="D6" s="313"/>
      <c r="E6" s="313"/>
      <c r="F6" s="313"/>
      <c r="G6" s="313"/>
      <c r="H6" s="313"/>
      <c r="I6" s="312"/>
    </row>
    <row r="7" spans="1:9" ht="15" customHeight="1">
      <c r="A7" s="24"/>
      <c r="B7" s="104" t="s">
        <v>125</v>
      </c>
      <c r="C7" s="149">
        <f>Assumptions!C36</f>
        <v>16603</v>
      </c>
      <c r="D7" s="149">
        <f>C7*(1+Assumptions!C19)</f>
        <v>17267.12</v>
      </c>
      <c r="E7" s="149">
        <f>D7*(1+Assumptions!D19)</f>
        <v>17923.270560000001</v>
      </c>
      <c r="F7" s="149">
        <f>E7*(1+Assumptions!E19)</f>
        <v>18586.43157072</v>
      </c>
      <c r="G7" s="149">
        <f>F7*(1+Assumptions!F19)</f>
        <v>19236.956675695197</v>
      </c>
      <c r="H7" s="149">
        <f>G7*(1+Assumptions!G19)</f>
        <v>19910.250159344527</v>
      </c>
      <c r="I7" s="159">
        <f>H7</f>
        <v>19910.250159344527</v>
      </c>
    </row>
    <row r="8" spans="1:9" ht="15" customHeight="1">
      <c r="A8" s="24"/>
      <c r="B8" s="104" t="s">
        <v>126</v>
      </c>
      <c r="C8" s="153" t="s">
        <v>127</v>
      </c>
      <c r="D8" s="147">
        <f>Assumptions!C19</f>
        <v>0.04</v>
      </c>
      <c r="E8" s="147">
        <f>Assumptions!D19</f>
        <v>3.7999999999999999E-2</v>
      </c>
      <c r="F8" s="147">
        <f>Assumptions!E19</f>
        <v>3.6999999999999998E-2</v>
      </c>
      <c r="G8" s="147">
        <f>Assumptions!F19</f>
        <v>3.5000000000000003E-2</v>
      </c>
      <c r="H8" s="147">
        <f>Assumptions!G19</f>
        <v>3.5000000000000003E-2</v>
      </c>
      <c r="I8" s="147">
        <f>Assumptions!C13</f>
        <v>2.5000000000000001E-2</v>
      </c>
    </row>
    <row r="9" spans="1:9" ht="15" customHeight="1">
      <c r="A9" s="24"/>
      <c r="B9" s="156"/>
      <c r="C9" s="156"/>
      <c r="D9" s="163"/>
      <c r="E9" s="163"/>
      <c r="F9" s="163"/>
      <c r="G9" s="163"/>
      <c r="H9" s="163"/>
      <c r="I9" s="156"/>
    </row>
    <row r="10" spans="1:9" ht="15" customHeight="1">
      <c r="A10" s="24"/>
      <c r="B10" s="88" t="s">
        <v>80</v>
      </c>
      <c r="C10" s="13">
        <v>0.25260495091248569</v>
      </c>
      <c r="D10" s="146">
        <f>Assumptions!C8</f>
        <v>0.255</v>
      </c>
      <c r="E10" s="146">
        <f>Assumptions!C8</f>
        <v>0.255</v>
      </c>
      <c r="F10" s="146">
        <f>Assumptions!C8</f>
        <v>0.255</v>
      </c>
      <c r="G10" s="146">
        <f>Assumptions!C8</f>
        <v>0.255</v>
      </c>
      <c r="H10" s="146">
        <f>Assumptions!C8</f>
        <v>0.255</v>
      </c>
      <c r="I10" s="146">
        <f>Assumptions!C8</f>
        <v>0.255</v>
      </c>
    </row>
    <row r="11" spans="1:9" ht="15" customHeight="1">
      <c r="A11" s="24"/>
      <c r="B11" s="161" t="s">
        <v>128</v>
      </c>
      <c r="C11" s="162">
        <v>4194</v>
      </c>
      <c r="D11" s="162">
        <f t="shared" ref="D11:I11" si="0">D7*D10</f>
        <v>4403.1156000000001</v>
      </c>
      <c r="E11" s="162">
        <f t="shared" si="0"/>
        <v>4570.4339927999999</v>
      </c>
      <c r="F11" s="162">
        <f t="shared" si="0"/>
        <v>4739.5400505336002</v>
      </c>
      <c r="G11" s="162">
        <f t="shared" si="0"/>
        <v>4905.4239523022752</v>
      </c>
      <c r="H11" s="162">
        <f t="shared" si="0"/>
        <v>5077.113790632854</v>
      </c>
      <c r="I11" s="162">
        <f t="shared" si="0"/>
        <v>5077.113790632854</v>
      </c>
    </row>
    <row r="12" spans="1:9" ht="15" customHeight="1">
      <c r="A12" s="24"/>
      <c r="B12" s="24"/>
      <c r="C12" s="24"/>
      <c r="D12" s="33"/>
      <c r="E12" s="33"/>
      <c r="F12" s="33"/>
      <c r="G12" s="33"/>
      <c r="H12" s="33"/>
      <c r="I12" s="24"/>
    </row>
    <row r="13" spans="1:9" ht="15" customHeight="1">
      <c r="A13" s="24"/>
      <c r="B13" s="88" t="s">
        <v>83</v>
      </c>
      <c r="C13" s="13">
        <v>4.535324941275673E-2</v>
      </c>
      <c r="D13" s="146">
        <f>Assumptions!C10</f>
        <v>4.4999999999999998E-2</v>
      </c>
      <c r="E13" s="146">
        <f>Assumptions!C10</f>
        <v>4.4999999999999998E-2</v>
      </c>
      <c r="F13" s="146">
        <f>Assumptions!C10</f>
        <v>4.4999999999999998E-2</v>
      </c>
      <c r="G13" s="146">
        <f>Assumptions!C10</f>
        <v>4.4999999999999998E-2</v>
      </c>
      <c r="H13" s="146">
        <f>Assumptions!C10</f>
        <v>4.4999999999999998E-2</v>
      </c>
      <c r="I13" s="146">
        <f>Assumptions!C10</f>
        <v>4.4999999999999998E-2</v>
      </c>
    </row>
    <row r="14" spans="1:9" ht="15" customHeight="1">
      <c r="A14" s="24"/>
      <c r="B14" s="104" t="s">
        <v>129</v>
      </c>
      <c r="C14" s="158">
        <v>753</v>
      </c>
      <c r="D14" s="158">
        <f t="shared" ref="D14:I14" si="1">D7*D13</f>
        <v>777.02039999999988</v>
      </c>
      <c r="E14" s="158">
        <f t="shared" si="1"/>
        <v>806.54717519999997</v>
      </c>
      <c r="F14" s="158">
        <f t="shared" si="1"/>
        <v>836.38942068239999</v>
      </c>
      <c r="G14" s="158">
        <f t="shared" si="1"/>
        <v>865.66305040628379</v>
      </c>
      <c r="H14" s="158">
        <f t="shared" si="1"/>
        <v>895.9612571705037</v>
      </c>
      <c r="I14" s="158">
        <f t="shared" si="1"/>
        <v>895.9612571705037</v>
      </c>
    </row>
    <row r="15" spans="1:9" ht="15" customHeight="1">
      <c r="A15" s="24"/>
      <c r="B15" s="161" t="s">
        <v>130</v>
      </c>
      <c r="C15" s="162">
        <v>3441</v>
      </c>
      <c r="D15" s="162">
        <f t="shared" ref="D15:I15" si="2">D11-D14</f>
        <v>3626.0952000000002</v>
      </c>
      <c r="E15" s="162">
        <f t="shared" si="2"/>
        <v>3763.8868176000001</v>
      </c>
      <c r="F15" s="162">
        <f t="shared" si="2"/>
        <v>3903.1506298512004</v>
      </c>
      <c r="G15" s="162">
        <f t="shared" si="2"/>
        <v>4039.7609018959915</v>
      </c>
      <c r="H15" s="162">
        <f t="shared" si="2"/>
        <v>4181.1525334623502</v>
      </c>
      <c r="I15" s="162">
        <f t="shared" si="2"/>
        <v>4181.1525334623502</v>
      </c>
    </row>
    <row r="16" spans="1:9" ht="15" customHeight="1">
      <c r="A16" s="24"/>
      <c r="B16" s="88" t="s">
        <v>85</v>
      </c>
      <c r="C16" s="146">
        <f>Assumptions!C12</f>
        <v>0.22500000000000001</v>
      </c>
      <c r="D16" s="146">
        <f>Assumptions!C12</f>
        <v>0.22500000000000001</v>
      </c>
      <c r="E16" s="146">
        <f>Assumptions!C12</f>
        <v>0.22500000000000001</v>
      </c>
      <c r="F16" s="146">
        <f>Assumptions!C12</f>
        <v>0.22500000000000001</v>
      </c>
      <c r="G16" s="146">
        <f>Assumptions!C12</f>
        <v>0.22500000000000001</v>
      </c>
      <c r="H16" s="146">
        <f>Assumptions!C12</f>
        <v>0.22500000000000001</v>
      </c>
      <c r="I16" s="146">
        <f>Assumptions!C12</f>
        <v>0.22500000000000001</v>
      </c>
    </row>
    <row r="17" spans="1:9" ht="15" customHeight="1">
      <c r="A17" s="24"/>
      <c r="B17" s="104" t="s">
        <v>131</v>
      </c>
      <c r="C17" s="158">
        <f t="shared" ref="C17:I17" si="3">C15*C16</f>
        <v>774.22500000000002</v>
      </c>
      <c r="D17" s="158">
        <f t="shared" si="3"/>
        <v>815.87142000000006</v>
      </c>
      <c r="E17" s="158">
        <f t="shared" si="3"/>
        <v>846.87453396000001</v>
      </c>
      <c r="F17" s="158">
        <f t="shared" si="3"/>
        <v>878.20889171652016</v>
      </c>
      <c r="G17" s="158">
        <f t="shared" si="3"/>
        <v>908.94620292659806</v>
      </c>
      <c r="H17" s="158">
        <f t="shared" si="3"/>
        <v>940.7593200290288</v>
      </c>
      <c r="I17" s="158">
        <f t="shared" si="3"/>
        <v>940.7593200290288</v>
      </c>
    </row>
    <row r="18" spans="1:9" ht="15" customHeight="1">
      <c r="A18" s="24"/>
      <c r="B18" s="161" t="s">
        <v>132</v>
      </c>
      <c r="C18" s="162">
        <f t="shared" ref="C18:I18" si="4">C15-C17</f>
        <v>2666.7750000000001</v>
      </c>
      <c r="D18" s="162">
        <f t="shared" si="4"/>
        <v>2810.2237800000003</v>
      </c>
      <c r="E18" s="162">
        <f t="shared" si="4"/>
        <v>2917.0122836400001</v>
      </c>
      <c r="F18" s="162">
        <f t="shared" si="4"/>
        <v>3024.9417381346802</v>
      </c>
      <c r="G18" s="162">
        <f t="shared" si="4"/>
        <v>3130.8146989693932</v>
      </c>
      <c r="H18" s="162">
        <f t="shared" si="4"/>
        <v>3240.3932134333213</v>
      </c>
      <c r="I18" s="162">
        <f t="shared" si="4"/>
        <v>3240.3932134333213</v>
      </c>
    </row>
    <row r="19" spans="1:9" ht="15" customHeight="1">
      <c r="A19" s="24"/>
      <c r="B19" s="25"/>
      <c r="C19" s="25"/>
      <c r="D19" s="160"/>
      <c r="E19" s="160"/>
      <c r="F19" s="160"/>
      <c r="G19" s="160"/>
      <c r="H19" s="160"/>
      <c r="I19" s="25"/>
    </row>
    <row r="20" spans="1:9" ht="15" customHeight="1">
      <c r="A20" s="24"/>
      <c r="B20" s="104" t="s">
        <v>82</v>
      </c>
      <c r="C20" s="153">
        <v>2.9271818346082029E-2</v>
      </c>
      <c r="D20" s="147">
        <f>Assumptions!C9</f>
        <v>0.03</v>
      </c>
      <c r="E20" s="147">
        <f>Assumptions!C9</f>
        <v>0.03</v>
      </c>
      <c r="F20" s="147">
        <f>Assumptions!C9</f>
        <v>0.03</v>
      </c>
      <c r="G20" s="147">
        <f>Assumptions!C9</f>
        <v>0.03</v>
      </c>
      <c r="H20" s="147">
        <f>Assumptions!C9</f>
        <v>0.03</v>
      </c>
      <c r="I20" s="147">
        <f>Assumptions!C9</f>
        <v>0.03</v>
      </c>
    </row>
    <row r="21" spans="1:9" ht="15" customHeight="1">
      <c r="A21" s="24"/>
      <c r="B21" s="104" t="s">
        <v>133</v>
      </c>
      <c r="C21" s="158">
        <v>-486</v>
      </c>
      <c r="D21" s="158">
        <f t="shared" ref="D21:I21" si="5">-D7*D20</f>
        <v>-518.0136</v>
      </c>
      <c r="E21" s="158">
        <f t="shared" si="5"/>
        <v>-537.69811679999998</v>
      </c>
      <c r="F21" s="158">
        <f t="shared" si="5"/>
        <v>-557.59294712159999</v>
      </c>
      <c r="G21" s="158">
        <f t="shared" si="5"/>
        <v>-577.10870027085593</v>
      </c>
      <c r="H21" s="158">
        <f t="shared" si="5"/>
        <v>-597.30750478033576</v>
      </c>
      <c r="I21" s="158">
        <f t="shared" si="5"/>
        <v>-597.30750478033576</v>
      </c>
    </row>
    <row r="22" spans="1:9" ht="15" customHeight="1">
      <c r="A22" s="24"/>
      <c r="B22" s="104" t="s">
        <v>84</v>
      </c>
      <c r="C22" s="153">
        <v>2.5000000000000001E-2</v>
      </c>
      <c r="D22" s="147">
        <f>Assumptions!C11</f>
        <v>2.5000000000000001E-2</v>
      </c>
      <c r="E22" s="147">
        <f>Assumptions!C11</f>
        <v>2.5000000000000001E-2</v>
      </c>
      <c r="F22" s="147">
        <f>Assumptions!C11</f>
        <v>2.5000000000000001E-2</v>
      </c>
      <c r="G22" s="147">
        <f>Assumptions!C11</f>
        <v>2.5000000000000001E-2</v>
      </c>
      <c r="H22" s="147">
        <f>Assumptions!C11</f>
        <v>2.5000000000000001E-2</v>
      </c>
      <c r="I22" s="147">
        <f>Assumptions!C11</f>
        <v>2.5000000000000001E-2</v>
      </c>
    </row>
    <row r="23" spans="1:9" ht="15" customHeight="1">
      <c r="A23" s="24"/>
      <c r="B23" s="161" t="s">
        <v>134</v>
      </c>
      <c r="C23" s="162">
        <f t="shared" ref="C23:I23" si="6">C7*C22</f>
        <v>415.07500000000005</v>
      </c>
      <c r="D23" s="162">
        <f t="shared" si="6"/>
        <v>431.678</v>
      </c>
      <c r="E23" s="162">
        <f t="shared" si="6"/>
        <v>448.08176400000002</v>
      </c>
      <c r="F23" s="162">
        <f t="shared" si="6"/>
        <v>464.66078926800003</v>
      </c>
      <c r="G23" s="162">
        <f t="shared" si="6"/>
        <v>480.92391689237996</v>
      </c>
      <c r="H23" s="162">
        <f t="shared" si="6"/>
        <v>497.75625398361319</v>
      </c>
      <c r="I23" s="162">
        <f t="shared" si="6"/>
        <v>497.75625398361319</v>
      </c>
    </row>
    <row r="24" spans="1:9" ht="15" customHeight="1">
      <c r="A24" s="24"/>
      <c r="B24" s="87" t="s">
        <v>135</v>
      </c>
      <c r="C24" s="19" t="s">
        <v>127</v>
      </c>
      <c r="D24" s="19">
        <f>-(D23-C23)</f>
        <v>-16.602999999999952</v>
      </c>
      <c r="E24" s="19">
        <f>-(E23-D23)</f>
        <v>-16.403764000000024</v>
      </c>
      <c r="F24" s="19">
        <f>-(F23-E23)</f>
        <v>-16.579025268000009</v>
      </c>
      <c r="G24" s="19">
        <f>-(G23-F23)</f>
        <v>-16.263127624379933</v>
      </c>
      <c r="H24" s="19">
        <f>-(H23-G23)</f>
        <v>-16.832337091233228</v>
      </c>
      <c r="I24" s="19">
        <v>0</v>
      </c>
    </row>
    <row r="25" spans="1:9" ht="15" customHeight="1" thickBot="1">
      <c r="A25" s="24"/>
      <c r="B25" s="24"/>
      <c r="C25" s="24"/>
      <c r="D25" s="33"/>
      <c r="E25" s="33"/>
      <c r="F25" s="33"/>
      <c r="G25" s="33"/>
      <c r="H25" s="33"/>
      <c r="I25" s="24"/>
    </row>
    <row r="26" spans="1:9" ht="15" customHeight="1" thickBot="1">
      <c r="A26" s="24"/>
      <c r="B26" s="107" t="s">
        <v>136</v>
      </c>
      <c r="C26" s="108" t="s">
        <v>127</v>
      </c>
      <c r="D26" s="108">
        <f t="shared" ref="D26:I26" si="7">D18+D14+D21+D24</f>
        <v>3052.6275800000003</v>
      </c>
      <c r="E26" s="108">
        <f t="shared" si="7"/>
        <v>3169.4575780399996</v>
      </c>
      <c r="F26" s="108">
        <f t="shared" si="7"/>
        <v>3287.1591864274801</v>
      </c>
      <c r="G26" s="108">
        <f t="shared" si="7"/>
        <v>3403.1059214804409</v>
      </c>
      <c r="H26" s="108">
        <f t="shared" si="7"/>
        <v>3522.2146287322557</v>
      </c>
      <c r="I26" s="108">
        <f t="shared" si="7"/>
        <v>3539.0469658234888</v>
      </c>
    </row>
    <row r="27" spans="1:9" ht="10" customHeight="1" thickTop="1">
      <c r="A27" s="24"/>
      <c r="B27" s="24"/>
      <c r="C27" s="24"/>
      <c r="D27" s="24"/>
      <c r="E27" s="24"/>
      <c r="F27" s="24"/>
      <c r="G27" s="24"/>
      <c r="H27" s="24"/>
      <c r="I27" s="24"/>
    </row>
    <row r="28" spans="1:9" ht="15" customHeight="1">
      <c r="A28" s="24"/>
      <c r="B28" s="12" t="s">
        <v>137</v>
      </c>
      <c r="C28" s="24"/>
      <c r="D28" s="24"/>
      <c r="E28" s="24"/>
      <c r="F28" s="24"/>
      <c r="G28" s="24"/>
      <c r="H28" s="24"/>
      <c r="I28" s="24"/>
    </row>
    <row r="29" spans="1:9">
      <c r="A29" s="24"/>
      <c r="B29" s="24"/>
      <c r="C29" s="329" t="s">
        <v>91</v>
      </c>
      <c r="D29" s="329" t="s">
        <v>92</v>
      </c>
      <c r="E29" s="329" t="s">
        <v>93</v>
      </c>
      <c r="F29" s="329" t="s">
        <v>94</v>
      </c>
      <c r="G29" s="329" t="s">
        <v>95</v>
      </c>
      <c r="H29" s="24"/>
      <c r="I29" s="24"/>
    </row>
    <row r="30" spans="1:9">
      <c r="A30" s="24"/>
      <c r="B30" s="330" t="s">
        <v>138</v>
      </c>
      <c r="C30" s="11">
        <f>D7</f>
        <v>17267.12</v>
      </c>
      <c r="D30" s="11">
        <f>E7</f>
        <v>17923.270560000001</v>
      </c>
      <c r="E30" s="11">
        <f>F7</f>
        <v>18586.43157072</v>
      </c>
      <c r="F30" s="11">
        <f>G7</f>
        <v>19236.956675695197</v>
      </c>
      <c r="G30" s="11">
        <f>H7</f>
        <v>19910.250159344527</v>
      </c>
      <c r="H30" s="24"/>
      <c r="I30" s="24"/>
    </row>
    <row r="31" spans="1:9">
      <c r="A31" s="24"/>
      <c r="B31" s="330" t="s">
        <v>139</v>
      </c>
      <c r="C31" s="11">
        <f>D11</f>
        <v>4403.1156000000001</v>
      </c>
      <c r="D31" s="11">
        <f>E11</f>
        <v>4570.4339927999999</v>
      </c>
      <c r="E31" s="11">
        <f>F11</f>
        <v>4739.5400505336002</v>
      </c>
      <c r="F31" s="11">
        <f>G11</f>
        <v>4905.4239523022752</v>
      </c>
      <c r="G31" s="11">
        <f>H11</f>
        <v>5077.113790632854</v>
      </c>
      <c r="H31" s="24"/>
      <c r="I31" s="24"/>
    </row>
    <row r="32" spans="1:9">
      <c r="A32" s="24"/>
      <c r="B32" s="330" t="s">
        <v>140</v>
      </c>
      <c r="C32" s="11">
        <f>D18</f>
        <v>2810.2237800000003</v>
      </c>
      <c r="D32" s="11">
        <f>E18</f>
        <v>2917.0122836400001</v>
      </c>
      <c r="E32" s="11">
        <f>F18</f>
        <v>3024.9417381346802</v>
      </c>
      <c r="F32" s="11">
        <f>G18</f>
        <v>3130.8146989693932</v>
      </c>
      <c r="G32" s="11">
        <f>H18</f>
        <v>3240.3932134333213</v>
      </c>
      <c r="H32" s="24"/>
      <c r="I32" s="24"/>
    </row>
    <row r="33" spans="1:9">
      <c r="A33" s="24"/>
      <c r="B33" s="330" t="s">
        <v>141</v>
      </c>
      <c r="C33" s="11">
        <f>D26</f>
        <v>3052.6275800000003</v>
      </c>
      <c r="D33" s="11">
        <f>E26</f>
        <v>3169.4575780399996</v>
      </c>
      <c r="E33" s="11">
        <f>F26</f>
        <v>3287.1591864274801</v>
      </c>
      <c r="F33" s="11">
        <f>G26</f>
        <v>3403.1059214804409</v>
      </c>
      <c r="G33" s="11">
        <f>H26</f>
        <v>3522.2146287322557</v>
      </c>
      <c r="H33" s="24"/>
      <c r="I33" s="24"/>
    </row>
    <row r="34" spans="1:9">
      <c r="A34" s="24"/>
      <c r="B34" s="24"/>
      <c r="C34" s="24"/>
      <c r="D34" s="24"/>
      <c r="E34" s="24"/>
      <c r="F34" s="24"/>
      <c r="G34" s="24"/>
      <c r="H34" s="24"/>
      <c r="I34" s="24"/>
    </row>
    <row r="35" spans="1:9">
      <c r="A35" s="24"/>
      <c r="B35" s="24"/>
      <c r="C35" s="24"/>
      <c r="D35" s="24"/>
      <c r="E35" s="24"/>
      <c r="F35" s="24"/>
      <c r="G35" s="24"/>
      <c r="H35" s="24"/>
      <c r="I35" s="24"/>
    </row>
    <row r="36" spans="1:9">
      <c r="A36" s="24"/>
      <c r="B36" s="24"/>
      <c r="C36" s="24"/>
      <c r="D36" s="24"/>
      <c r="E36" s="24"/>
      <c r="F36" s="24"/>
      <c r="G36" s="24"/>
      <c r="H36" s="24"/>
      <c r="I36" s="24"/>
    </row>
    <row r="37" spans="1:9">
      <c r="A37" s="24"/>
      <c r="B37" s="24"/>
      <c r="C37" s="24"/>
      <c r="D37" s="24"/>
      <c r="E37" s="24"/>
      <c r="F37" s="24"/>
      <c r="G37" s="24"/>
      <c r="H37" s="24"/>
      <c r="I37" s="24"/>
    </row>
    <row r="38" spans="1:9">
      <c r="A38" s="24"/>
      <c r="B38" s="24"/>
      <c r="C38" s="24"/>
      <c r="D38" s="24"/>
      <c r="E38" s="24"/>
      <c r="F38" s="24"/>
      <c r="G38" s="24"/>
      <c r="H38" s="24"/>
      <c r="I38" s="24"/>
    </row>
    <row r="39" spans="1:9">
      <c r="A39" s="24"/>
      <c r="B39" s="24"/>
      <c r="C39" s="24"/>
      <c r="D39" s="24"/>
      <c r="E39" s="24"/>
      <c r="F39" s="24"/>
      <c r="G39" s="24"/>
      <c r="H39" s="24"/>
      <c r="I39" s="24"/>
    </row>
    <row r="40" spans="1:9">
      <c r="A40" s="24"/>
      <c r="B40" s="24"/>
      <c r="C40" s="24"/>
      <c r="D40" s="24"/>
      <c r="E40" s="24"/>
      <c r="F40" s="24"/>
      <c r="G40" s="24"/>
      <c r="H40" s="24"/>
      <c r="I40" s="24"/>
    </row>
    <row r="41" spans="1:9">
      <c r="A41" s="24"/>
      <c r="B41" s="24"/>
      <c r="C41" s="24"/>
      <c r="D41" s="24"/>
      <c r="E41" s="24"/>
      <c r="F41" s="24"/>
      <c r="G41" s="24"/>
      <c r="H41" s="24"/>
      <c r="I41" s="24"/>
    </row>
    <row r="42" spans="1:9">
      <c r="A42" s="24"/>
      <c r="B42" s="24"/>
      <c r="C42" s="24"/>
      <c r="D42" s="24"/>
      <c r="E42" s="24"/>
      <c r="F42" s="24"/>
      <c r="G42" s="24"/>
      <c r="H42" s="24"/>
      <c r="I42" s="24"/>
    </row>
    <row r="43" spans="1:9">
      <c r="A43" s="24"/>
      <c r="B43" s="24"/>
      <c r="C43" s="24"/>
      <c r="D43" s="24"/>
      <c r="E43" s="24"/>
      <c r="F43" s="24"/>
      <c r="G43" s="24"/>
      <c r="H43" s="24"/>
      <c r="I43" s="24"/>
    </row>
    <row r="44" spans="1:9">
      <c r="A44" s="24"/>
      <c r="B44" s="24"/>
      <c r="C44" s="24"/>
      <c r="D44" s="24"/>
      <c r="E44" s="24"/>
      <c r="F44" s="24"/>
      <c r="G44" s="24"/>
      <c r="H44" s="24"/>
      <c r="I44" s="24"/>
    </row>
    <row r="45" spans="1:9">
      <c r="A45" s="24"/>
      <c r="B45" s="24"/>
      <c r="C45" s="24"/>
      <c r="D45" s="24"/>
      <c r="E45" s="24"/>
      <c r="F45" s="24"/>
      <c r="G45" s="24"/>
      <c r="H45" s="24"/>
      <c r="I45" s="24"/>
    </row>
    <row r="46" spans="1:9">
      <c r="A46" s="24"/>
      <c r="B46" s="24"/>
      <c r="C46" s="24"/>
      <c r="D46" s="24"/>
      <c r="E46" s="24"/>
      <c r="F46" s="24"/>
      <c r="G46" s="24"/>
      <c r="H46" s="24"/>
      <c r="I46" s="24"/>
    </row>
    <row r="47" spans="1:9">
      <c r="A47" s="24"/>
      <c r="B47" s="24"/>
      <c r="C47" s="24"/>
      <c r="D47" s="24"/>
      <c r="E47" s="24"/>
      <c r="F47" s="24"/>
      <c r="G47" s="24"/>
      <c r="H47" s="24"/>
      <c r="I47" s="24"/>
    </row>
    <row r="48" spans="1:9">
      <c r="A48" s="24"/>
      <c r="B48" s="24"/>
      <c r="C48" s="24"/>
      <c r="D48" s="24"/>
      <c r="E48" s="24"/>
      <c r="F48" s="24"/>
      <c r="G48" s="24"/>
      <c r="H48" s="24"/>
      <c r="I48" s="24"/>
    </row>
    <row r="49" spans="1:9">
      <c r="A49" s="24"/>
      <c r="B49" s="24"/>
      <c r="C49" s="24"/>
      <c r="D49" s="24"/>
      <c r="E49" s="24"/>
      <c r="F49" s="24"/>
      <c r="G49" s="24"/>
      <c r="H49" s="24"/>
      <c r="I49" s="24"/>
    </row>
    <row r="50" spans="1:9" ht="18" customHeight="1">
      <c r="A50" s="24"/>
      <c r="B50" s="312" t="s">
        <v>142</v>
      </c>
      <c r="C50" s="164"/>
      <c r="D50" s="27"/>
      <c r="E50" s="27"/>
      <c r="F50" s="27"/>
      <c r="G50" s="27"/>
      <c r="H50" s="27"/>
      <c r="I50" s="24"/>
    </row>
    <row r="51" spans="1:9" ht="15" customHeight="1">
      <c r="A51" s="24"/>
      <c r="B51" s="104" t="s">
        <v>143</v>
      </c>
      <c r="C51" s="165">
        <f>Assumptions!C13</f>
        <v>2.5000000000000001E-2</v>
      </c>
      <c r="D51" s="24"/>
      <c r="E51" s="24"/>
      <c r="F51" s="24"/>
      <c r="G51" s="24"/>
      <c r="H51" s="24"/>
      <c r="I51" s="24"/>
    </row>
    <row r="52" spans="1:9" ht="15" customHeight="1">
      <c r="A52" s="24"/>
      <c r="B52" s="104" t="s">
        <v>144</v>
      </c>
      <c r="C52" s="165">
        <f>WACC!C36</f>
        <v>6.6376405126130841E-2</v>
      </c>
      <c r="D52" s="24"/>
      <c r="E52" s="24"/>
      <c r="F52" s="24"/>
      <c r="G52" s="24"/>
      <c r="H52" s="24"/>
      <c r="I52" s="24"/>
    </row>
    <row r="53" spans="1:9" ht="15" customHeight="1">
      <c r="A53" s="24"/>
      <c r="B53" s="88" t="s">
        <v>145</v>
      </c>
      <c r="C53" s="19">
        <f>I26*(1+C51)</f>
        <v>3627.5231399690756</v>
      </c>
      <c r="D53" s="24"/>
      <c r="E53" s="24"/>
      <c r="F53" s="24"/>
      <c r="G53" s="24"/>
      <c r="H53" s="24"/>
      <c r="I53" s="24"/>
    </row>
    <row r="54" spans="1:9" ht="15" customHeight="1">
      <c r="A54" s="24"/>
      <c r="B54" s="90" t="s">
        <v>146</v>
      </c>
      <c r="C54" s="20">
        <f>C53/(C52-C51)</f>
        <v>87671.297903020357</v>
      </c>
      <c r="D54" s="24"/>
      <c r="E54" s="24"/>
      <c r="F54" s="24"/>
      <c r="G54" s="24"/>
      <c r="H54" s="24"/>
      <c r="I54" s="24"/>
    </row>
    <row r="55" spans="1:9" ht="15" customHeight="1">
      <c r="A55" s="24"/>
      <c r="B55" s="109" t="s">
        <v>147</v>
      </c>
      <c r="C55" s="110">
        <f>C54/I11</f>
        <v>17.267940313800267</v>
      </c>
      <c r="D55" s="21" t="str">
        <f>IF(C55&gt;20,"WARNING: &gt;20x","OK")</f>
        <v>OK</v>
      </c>
      <c r="E55" s="24"/>
      <c r="F55" s="24"/>
      <c r="G55" s="24"/>
      <c r="H55" s="24"/>
      <c r="I55" s="24"/>
    </row>
    <row r="56" spans="1:9" ht="17.5" customHeight="1">
      <c r="A56" s="24"/>
      <c r="B56" s="24"/>
      <c r="C56" s="24"/>
      <c r="I56" s="331"/>
    </row>
    <row r="57" spans="1:9" s="28" customFormat="1" ht="18" customHeight="1">
      <c r="B57" s="312" t="s">
        <v>148</v>
      </c>
      <c r="C57" s="312"/>
      <c r="D57" s="312"/>
      <c r="E57" s="312"/>
      <c r="F57" s="312"/>
      <c r="G57" s="312"/>
      <c r="H57" s="312"/>
    </row>
    <row r="58" spans="1:9" ht="15" customHeight="1">
      <c r="A58" s="24"/>
      <c r="B58" s="104" t="s">
        <v>149</v>
      </c>
      <c r="C58" s="151"/>
      <c r="D58" s="166">
        <v>0.5</v>
      </c>
      <c r="E58" s="166">
        <v>1.5</v>
      </c>
      <c r="F58" s="166">
        <v>2.5</v>
      </c>
      <c r="G58" s="166">
        <v>3.5</v>
      </c>
      <c r="H58" s="166">
        <v>4.5</v>
      </c>
      <c r="I58" s="24"/>
    </row>
    <row r="59" spans="1:9" ht="15" customHeight="1">
      <c r="A59" s="24"/>
      <c r="B59" s="104" t="s">
        <v>150</v>
      </c>
      <c r="C59" s="151"/>
      <c r="D59" s="167">
        <f>1/(1+C52)^D58</f>
        <v>0.96837760306727461</v>
      </c>
      <c r="E59" s="167">
        <f>1/(1+C52)^E58</f>
        <v>0.90810111552752815</v>
      </c>
      <c r="F59" s="167">
        <f>1/(1+C52)^F58</f>
        <v>0.85157652697699937</v>
      </c>
      <c r="G59" s="167">
        <f>1/(1+C52)^G58</f>
        <v>0.79857030114640903</v>
      </c>
      <c r="H59" s="167">
        <f>1/(1+C52)^H58</f>
        <v>0.7488634381890269</v>
      </c>
      <c r="I59" s="24"/>
    </row>
    <row r="60" spans="1:9" ht="15" customHeight="1">
      <c r="A60" s="24"/>
      <c r="B60" s="104" t="s">
        <v>151</v>
      </c>
      <c r="C60" s="151"/>
      <c r="D60" s="158">
        <f>D26*D59</f>
        <v>2956.0961789774556</v>
      </c>
      <c r="E60" s="158">
        <f>E26*E59</f>
        <v>2878.1879622353013</v>
      </c>
      <c r="F60" s="158">
        <f>F26*F59</f>
        <v>2799.2676035984523</v>
      </c>
      <c r="G60" s="158">
        <f>G26*G59</f>
        <v>2717.6193205497634</v>
      </c>
      <c r="H60" s="158">
        <f>H26*H59</f>
        <v>2637.6577569121241</v>
      </c>
      <c r="I60" s="24"/>
    </row>
    <row r="61" spans="1:9" ht="15" customHeight="1">
      <c r="A61" s="24"/>
      <c r="B61" s="156"/>
      <c r="C61" s="156"/>
      <c r="D61" s="24"/>
      <c r="E61" s="24"/>
      <c r="F61" s="24"/>
      <c r="G61" s="24"/>
      <c r="H61" s="24"/>
      <c r="I61" s="24"/>
    </row>
    <row r="62" spans="1:9" ht="15" customHeight="1">
      <c r="A62" s="24"/>
      <c r="B62" s="88" t="s">
        <v>152</v>
      </c>
      <c r="C62" s="14">
        <f>C54/(1+C52)^5</f>
        <v>63577.698119076478</v>
      </c>
      <c r="D62" s="24"/>
      <c r="E62" s="24"/>
      <c r="F62" s="24"/>
      <c r="G62" s="24"/>
      <c r="H62" s="24"/>
      <c r="I62" s="24"/>
    </row>
    <row r="63" spans="1:9" ht="15" customHeight="1">
      <c r="A63" s="24"/>
      <c r="B63" s="88" t="s">
        <v>153</v>
      </c>
      <c r="C63" s="19">
        <f>SUM(D60:H60)</f>
        <v>13988.828822273095</v>
      </c>
      <c r="D63" s="24"/>
      <c r="E63" s="24"/>
      <c r="F63" s="24"/>
      <c r="G63" s="24"/>
      <c r="H63" s="24"/>
      <c r="I63" s="24"/>
    </row>
    <row r="64" spans="1:9" ht="15" customHeight="1">
      <c r="A64" s="24"/>
      <c r="B64" s="107" t="s">
        <v>154</v>
      </c>
      <c r="C64" s="108">
        <f>C63+C62</f>
        <v>77566.52694134957</v>
      </c>
      <c r="D64" s="24"/>
      <c r="E64" s="24"/>
      <c r="F64" s="24"/>
      <c r="G64" s="24"/>
      <c r="H64" s="24"/>
      <c r="I64" s="24"/>
    </row>
    <row r="65" spans="1:9" ht="15" customHeight="1">
      <c r="A65" s="24"/>
      <c r="B65" s="88" t="s">
        <v>155</v>
      </c>
      <c r="C65" s="8">
        <f>C62/C64</f>
        <v>0.81965379431193985</v>
      </c>
      <c r="D65" s="24"/>
      <c r="E65" s="24"/>
      <c r="F65" s="24"/>
      <c r="G65" s="24"/>
      <c r="H65" s="24"/>
      <c r="I65" s="24"/>
    </row>
    <row r="66" spans="1:9" ht="10" customHeight="1">
      <c r="A66" s="24"/>
      <c r="B66" s="24"/>
      <c r="C66" s="24"/>
      <c r="D66" s="24"/>
      <c r="E66" s="24"/>
      <c r="F66" s="24"/>
      <c r="G66" s="24"/>
      <c r="H66" s="24"/>
      <c r="I66" s="24"/>
    </row>
    <row r="67" spans="1:9" ht="18" customHeight="1" thickBot="1">
      <c r="A67" s="24"/>
      <c r="B67" s="308" t="s">
        <v>156</v>
      </c>
      <c r="C67" s="315" t="s">
        <v>68</v>
      </c>
      <c r="D67" s="24"/>
      <c r="E67" s="24"/>
      <c r="F67" s="24"/>
      <c r="G67" s="24"/>
      <c r="H67" s="24"/>
      <c r="I67" s="24"/>
    </row>
    <row r="68" spans="1:9" ht="15" customHeight="1">
      <c r="A68" s="24"/>
      <c r="B68" s="88" t="s">
        <v>157</v>
      </c>
      <c r="C68" s="19">
        <f>C64</f>
        <v>77566.52694134957</v>
      </c>
      <c r="D68" s="24"/>
      <c r="E68" s="24"/>
      <c r="F68" s="24"/>
      <c r="G68" s="24"/>
      <c r="H68" s="24"/>
      <c r="I68" s="24"/>
    </row>
    <row r="69" spans="1:9" ht="15" customHeight="1">
      <c r="A69" s="24"/>
      <c r="B69" s="88" t="s">
        <v>158</v>
      </c>
      <c r="C69" s="332">
        <f>-Assumptions!C43</f>
        <v>-16141</v>
      </c>
      <c r="D69" s="24"/>
      <c r="E69" s="24"/>
      <c r="F69" s="24"/>
      <c r="G69" s="24"/>
      <c r="H69" s="24"/>
      <c r="I69" s="24"/>
    </row>
    <row r="70" spans="1:9" ht="15" customHeight="1" thickBot="1">
      <c r="A70" s="24"/>
      <c r="B70" s="88" t="s">
        <v>72</v>
      </c>
      <c r="C70" s="332">
        <f>Assumptions!C44</f>
        <v>1026</v>
      </c>
      <c r="D70" s="24"/>
      <c r="E70" s="24"/>
      <c r="F70" s="24"/>
      <c r="G70" s="24"/>
      <c r="H70" s="24"/>
      <c r="I70" s="24"/>
    </row>
    <row r="71" spans="1:9" ht="15" customHeight="1" thickBot="1">
      <c r="A71" s="24"/>
      <c r="B71" s="90" t="s">
        <v>159</v>
      </c>
      <c r="C71" s="51">
        <f>C68+C69+C70</f>
        <v>62451.52694134957</v>
      </c>
      <c r="D71" s="24"/>
      <c r="E71" s="24"/>
      <c r="F71" s="24"/>
      <c r="G71" s="24"/>
      <c r="H71" s="24"/>
      <c r="I71" s="24"/>
    </row>
    <row r="72" spans="1:9" ht="15" customHeight="1" thickTop="1" thickBot="1">
      <c r="A72" s="24"/>
      <c r="B72" s="88" t="s">
        <v>160</v>
      </c>
      <c r="C72" s="333">
        <f>Assumptions!C39</f>
        <v>1362.8</v>
      </c>
      <c r="D72" s="24"/>
      <c r="E72" s="24"/>
      <c r="F72" s="24"/>
      <c r="G72" s="24"/>
      <c r="H72" s="24"/>
      <c r="I72" s="24"/>
    </row>
    <row r="73" spans="1:9" ht="15" customHeight="1" thickBot="1">
      <c r="A73" s="24"/>
      <c r="B73" s="90" t="s">
        <v>161</v>
      </c>
      <c r="C73" s="52">
        <f>C71/C72</f>
        <v>45.825892971345446</v>
      </c>
      <c r="D73" s="24"/>
      <c r="E73" s="24"/>
      <c r="F73" s="24"/>
      <c r="G73" s="24"/>
      <c r="H73" s="24"/>
      <c r="I73" s="24"/>
    </row>
    <row r="74" spans="1:9" ht="15" customHeight="1" thickTop="1">
      <c r="A74" s="24"/>
      <c r="B74" s="87" t="s">
        <v>24</v>
      </c>
      <c r="C74" s="334">
        <f>Assumptions!C40</f>
        <v>28.01</v>
      </c>
      <c r="D74" s="24"/>
      <c r="E74" s="24"/>
      <c r="F74" s="24"/>
      <c r="G74" s="24"/>
      <c r="H74" s="24"/>
      <c r="I74" s="24"/>
    </row>
    <row r="75" spans="1:9" ht="15" customHeight="1">
      <c r="A75" s="24"/>
      <c r="B75" s="104" t="s">
        <v>162</v>
      </c>
      <c r="C75" s="153">
        <f>C73/C74-1</f>
        <v>0.63605472943039776</v>
      </c>
      <c r="D75" s="24"/>
      <c r="E75" s="24"/>
      <c r="F75" s="24"/>
      <c r="G75" s="24"/>
      <c r="H75" s="24"/>
      <c r="I75" s="24"/>
    </row>
    <row r="76" spans="1:9" ht="15" customHeight="1">
      <c r="A76" s="24"/>
      <c r="B76" s="24"/>
      <c r="C76" s="24"/>
      <c r="D76" s="24"/>
      <c r="E76" s="24"/>
      <c r="F76" s="24"/>
      <c r="G76" s="24"/>
      <c r="H76" s="24"/>
      <c r="I76" s="24"/>
    </row>
    <row r="77" spans="1:9" ht="18" customHeight="1" thickBot="1">
      <c r="A77" s="24"/>
      <c r="B77" s="308" t="s">
        <v>163</v>
      </c>
      <c r="C77" s="308"/>
      <c r="D77" s="24"/>
      <c r="E77" s="24"/>
      <c r="F77" s="24"/>
      <c r="G77" s="24"/>
      <c r="H77" s="24"/>
      <c r="I77" s="24"/>
    </row>
    <row r="78" spans="1:9" ht="15" customHeight="1">
      <c r="A78" s="24"/>
      <c r="B78" s="26" t="s">
        <v>67</v>
      </c>
      <c r="C78" s="75" t="s">
        <v>20</v>
      </c>
      <c r="D78" s="24"/>
      <c r="E78" s="24"/>
      <c r="F78" s="24"/>
      <c r="G78" s="24"/>
      <c r="H78" s="24"/>
      <c r="I78" s="24"/>
    </row>
    <row r="79" spans="1:9" ht="15" customHeight="1">
      <c r="A79" s="24"/>
      <c r="B79" s="150" t="s">
        <v>164</v>
      </c>
      <c r="C79" s="168">
        <f>C63</f>
        <v>13988.828822273095</v>
      </c>
      <c r="D79" s="24"/>
      <c r="E79" s="24"/>
      <c r="F79" s="24"/>
      <c r="G79" s="24"/>
      <c r="H79" s="24"/>
      <c r="I79" s="24"/>
    </row>
    <row r="80" spans="1:9" ht="15" customHeight="1">
      <c r="A80" s="24"/>
      <c r="B80" s="150" t="s">
        <v>165</v>
      </c>
      <c r="C80" s="168">
        <f>C62</f>
        <v>63577.698119076478</v>
      </c>
      <c r="D80" s="24"/>
      <c r="E80" s="24"/>
      <c r="F80" s="24"/>
      <c r="G80" s="24"/>
      <c r="H80" s="24"/>
      <c r="I80" s="24"/>
    </row>
    <row r="81" spans="1:9">
      <c r="A81" s="24"/>
      <c r="B81" s="24"/>
      <c r="C81" s="24"/>
      <c r="D81" s="24"/>
      <c r="E81" s="24"/>
      <c r="F81" s="24"/>
      <c r="H81" s="24"/>
      <c r="I81" s="24"/>
    </row>
    <row r="82" spans="1:9">
      <c r="A82" s="24"/>
      <c r="B82" s="24"/>
      <c r="C82" s="24"/>
      <c r="D82" s="24"/>
      <c r="E82" s="24"/>
      <c r="F82" s="24"/>
      <c r="G82" s="24"/>
      <c r="H82" s="24"/>
      <c r="I82" s="24"/>
    </row>
    <row r="83" spans="1:9">
      <c r="A83" s="24"/>
      <c r="B83" s="24"/>
      <c r="C83" s="24"/>
      <c r="D83" s="24"/>
      <c r="E83" s="24"/>
      <c r="F83" s="24"/>
      <c r="G83" s="24"/>
      <c r="H83" s="24"/>
      <c r="I83" s="24"/>
    </row>
    <row r="84" spans="1:9">
      <c r="A84" s="24"/>
      <c r="B84" s="24"/>
      <c r="C84" s="24"/>
      <c r="D84" s="24"/>
      <c r="E84" s="24"/>
      <c r="F84" s="24"/>
      <c r="G84" s="24"/>
      <c r="H84" s="24"/>
      <c r="I84" s="24"/>
    </row>
    <row r="85" spans="1:9">
      <c r="A85" s="24"/>
      <c r="B85" s="24"/>
      <c r="C85" s="24"/>
      <c r="D85" s="24"/>
      <c r="E85" s="24"/>
      <c r="F85" s="24"/>
      <c r="G85" s="24"/>
      <c r="H85" s="24"/>
      <c r="I85" s="24"/>
    </row>
    <row r="86" spans="1:9">
      <c r="A86" s="24"/>
      <c r="B86" s="24"/>
      <c r="C86" s="24"/>
      <c r="D86" s="24"/>
      <c r="E86" s="24"/>
      <c r="F86" s="24"/>
      <c r="G86" s="24"/>
      <c r="H86" s="24"/>
      <c r="I86" s="24"/>
    </row>
    <row r="87" spans="1:9">
      <c r="A87" s="24"/>
      <c r="B87" s="24"/>
      <c r="C87" s="24"/>
      <c r="D87" s="24"/>
      <c r="E87" s="24"/>
      <c r="F87" s="24"/>
      <c r="G87" s="24"/>
      <c r="H87" s="24"/>
      <c r="I87" s="24"/>
    </row>
    <row r="88" spans="1:9">
      <c r="A88" s="24"/>
      <c r="B88" s="24"/>
      <c r="C88" s="24"/>
      <c r="D88" s="24"/>
      <c r="E88" s="24"/>
      <c r="F88" s="24"/>
      <c r="G88" s="24"/>
      <c r="H88" s="24"/>
      <c r="I88" s="24"/>
    </row>
    <row r="89" spans="1:9">
      <c r="A89" s="24"/>
      <c r="B89" s="24"/>
      <c r="C89" s="24"/>
      <c r="D89" s="24"/>
      <c r="E89" s="24"/>
      <c r="F89" s="24"/>
      <c r="G89" s="24"/>
      <c r="H89" s="24"/>
      <c r="I89" s="24"/>
    </row>
    <row r="90" spans="1:9">
      <c r="A90" s="24"/>
      <c r="B90" s="24"/>
      <c r="C90" s="24"/>
      <c r="D90" s="24"/>
      <c r="E90" s="24"/>
      <c r="F90" s="24"/>
      <c r="G90" s="24"/>
      <c r="H90" s="24"/>
      <c r="I90" s="24"/>
    </row>
    <row r="91" spans="1:9">
      <c r="A91" s="24"/>
      <c r="B91" s="24"/>
      <c r="C91" s="24"/>
      <c r="D91" s="24"/>
      <c r="E91" s="24"/>
      <c r="F91" s="24"/>
      <c r="G91" s="24"/>
      <c r="H91" s="24"/>
      <c r="I91" s="24"/>
    </row>
    <row r="92" spans="1:9">
      <c r="A92" s="24"/>
      <c r="B92" s="24"/>
      <c r="C92" s="24"/>
      <c r="D92" s="24"/>
      <c r="E92" s="24"/>
      <c r="F92" s="24"/>
      <c r="G92" s="24"/>
      <c r="H92" s="24"/>
      <c r="I92" s="24"/>
    </row>
    <row r="93" spans="1:9" ht="20" customHeight="1" thickBot="1">
      <c r="A93" s="24"/>
      <c r="B93" s="308" t="s">
        <v>166</v>
      </c>
      <c r="C93" s="36"/>
      <c r="D93" s="36"/>
      <c r="E93" s="36"/>
      <c r="F93" s="36"/>
      <c r="G93" s="36"/>
      <c r="H93" s="36"/>
      <c r="I93" s="36"/>
    </row>
    <row r="94" spans="1:9" ht="15" customHeight="1">
      <c r="A94" s="24"/>
      <c r="B94" s="2" t="s">
        <v>167</v>
      </c>
      <c r="C94" s="24"/>
      <c r="D94" s="119">
        <v>1.4999999999999999E-2</v>
      </c>
      <c r="E94" s="119">
        <v>0.02</v>
      </c>
      <c r="F94" s="119">
        <v>2.5000000000000001E-2</v>
      </c>
      <c r="G94" s="119">
        <v>0.03</v>
      </c>
      <c r="H94" s="119">
        <v>3.5000000000000003E-2</v>
      </c>
      <c r="I94" s="119">
        <v>0.04</v>
      </c>
    </row>
    <row r="95" spans="1:9" ht="15" customHeight="1">
      <c r="A95" s="24"/>
      <c r="B95" s="24"/>
      <c r="C95" s="119">
        <v>0.06</v>
      </c>
      <c r="D95" s="22">
        <f>(D26/(1+$C95)^0.5+E26/(1+$C95)^1.5+F26/(1+$C95)^2.5+G26/(1+$C95)^3.5+H26/(1+$C95)^4.5+(I26*(1+D94))/($C95-D94)/(1+$C95)^5+C69+C70)/C72</f>
        <v>43.095699483150732</v>
      </c>
      <c r="E95" s="22">
        <f>(D26/(1+$C95)^0.5+E26/(1+$C95)^1.5+F26/(1+$C95)^2.5+G26/(1+$C95)^3.5+H26/(1+$C95)^4.5+(I26*(1+E94))/($C95-E94)/(1+$C95)^5+C69+C70)/C72</f>
        <v>48.809541645387256</v>
      </c>
      <c r="F95" s="22">
        <f>(D26/(1+$C95)^0.5+E26/(1+$C95)^1.5+F26/(1+$C95)^2.5+G26/(1+$C95)^3.5+H26/(1+$C95)^4.5+(I26*(1+F94))/($C95-F94)/(1+$C95)^5+C69+C70)/C72</f>
        <v>56.155910139691329</v>
      </c>
      <c r="G95" s="22">
        <f>(D26/(1+$C95)^0.5+E26/(1+$C95)^1.5+F26/(1+$C95)^2.5+G26/(1+$C95)^3.5+H26/(1+$C95)^4.5+(I26*(1+G94))/($C95-G94)/(1+$C95)^5+C69+C70)/C72</f>
        <v>65.951068132096779</v>
      </c>
      <c r="H95" s="22">
        <f>(D26/(1+$C95)^0.5+E26/(1+$C95)^1.5+F26/(1+$C95)^2.5+G26/(1+$C95)^3.5+H26/(1+$C95)^4.5+(I26*(1+H94))/($C95-H94)/(1+$C95)^5+C69+C70)/C72</f>
        <v>79.664289321464395</v>
      </c>
      <c r="I95" s="22">
        <f>(D26/(1+$C95)^0.5+E26/(1+$C95)^1.5+F26/(1+$C95)^2.5+G26/(1+$C95)^3.5+H26/(1+$C95)^4.5+(I26*(1+I94))/($C95-I94)/(1+$C95)^5+C69+C70)/C72</f>
        <v>100.23412110551583</v>
      </c>
    </row>
    <row r="96" spans="1:9" ht="15" customHeight="1">
      <c r="A96" s="24"/>
      <c r="B96" s="24"/>
      <c r="C96" s="119">
        <v>6.5000000000000002E-2</v>
      </c>
      <c r="D96" s="22">
        <f>(D26/(1+$C96)^0.5+E26/(1+$C96)^1.5+F26/(1+$C96)^2.5+G26/(1+$C96)^3.5+H26/(1+$C96)^4.5+(I26*(1+D94))/($C96-D94)/(1+$C96)^5+C69+C70)/C72</f>
        <v>37.683179194195603</v>
      </c>
      <c r="E96" s="22">
        <f>(D26/(1+$C96)^0.5+E26/(1+$C96)^1.5+F26/(1+$C96)^2.5+G26/(1+$C96)^3.5+H26/(1+$C96)^4.5+(I26*(1+E94))/($C96-E94)/(1+$C96)^5+C69+C70)/C72</f>
        <v>42.169013793380032</v>
      </c>
      <c r="F96" s="22">
        <f>(D26/(1+$C96)^0.5+E26/(1+$C96)^1.5+F26/(1+$C96)^2.5+G26/(1+$C96)^3.5+H26/(1+$C96)^4.5+(I26*(1+F94))/($C96-F94)/(1+$C96)^5+C69+C70)/C72</f>
        <v>47.776307042360557</v>
      </c>
      <c r="G96" s="22">
        <f>(D26/(1+$C96)^0.5+E26/(1+$C96)^1.5+F26/(1+$C96)^2.5+G26/(1+$C96)^3.5+H26/(1+$C96)^4.5+(I26*(1+G94))/($C96-G94)/(1+$C96)^5+C69+C70)/C72</f>
        <v>54.985684076764095</v>
      </c>
      <c r="H96" s="22">
        <f>(D26/(1+$C96)^0.5+E26/(1+$C96)^1.5+F26/(1+$C96)^2.5+G26/(1+$C96)^3.5+H26/(1+$C96)^4.5+(I26*(1+H94))/($C96-H94)/(1+$C96)^5+C69+C70)/C72</f>
        <v>64.598186789302133</v>
      </c>
      <c r="I96" s="22">
        <f>(D26/(1+$C96)^0.5+E26/(1+$C96)^1.5+F26/(1+$C96)^2.5+G26/(1+$C96)^3.5+H26/(1+$C96)^4.5+(I26*(1+I94))/($C96-I94)/(1+$C96)^5+C69+C70)/C72</f>
        <v>78.055690586855391</v>
      </c>
    </row>
    <row r="97" spans="1:9" ht="15" customHeight="1">
      <c r="A97" s="24"/>
      <c r="B97" s="24"/>
      <c r="C97" s="119">
        <v>7.0000000000000007E-2</v>
      </c>
      <c r="D97" s="22">
        <f>(D26/(1+$C97)^0.5+E26/(1+$C97)^1.5+F26/(1+$C97)^2.5+G26/(1+$C97)^3.5+H26/(1+$C97)^4.5+(I26*(1+D94))/($C97-D94)/(1+$C97)^5+C69+C70)/C72</f>
        <v>33.258538466685572</v>
      </c>
      <c r="E97" s="22">
        <f>(D26/(1+$C97)^0.5+E26/(1+$C97)^1.5+F26/(1+$C97)^2.5+G26/(1+$C97)^3.5+H26/(1+$C97)^4.5+(I26*(1+E94))/($C97-E94)/(1+$C97)^5+C69+C70)/C72</f>
        <v>36.86064373850305</v>
      </c>
      <c r="F97" s="22">
        <f>(D26/(1+$C97)^0.5+E26/(1+$C97)^1.5+F26/(1+$C97)^2.5+G26/(1+$C97)^3.5+H26/(1+$C97)^4.5+(I26*(1+F94))/($C97-F94)/(1+$C97)^5+C69+C70)/C72</f>
        <v>41.263216848502154</v>
      </c>
      <c r="G97" s="22">
        <f>(D26/(1+$C97)^0.5+E26/(1+$C97)^1.5+F26/(1+$C97)^2.5+G26/(1+$C97)^3.5+H26/(1+$C97)^4.5+(I26*(1+G94))/($C97-G94)/(1+$C97)^5+C69+C70)/C72</f>
        <v>46.766433236001063</v>
      </c>
      <c r="H97" s="22">
        <f>(D26/(1+$C97)^0.5+E26/(1+$C97)^1.5+F26/(1+$C97)^2.5+G26/(1+$C97)^3.5+H26/(1+$C97)^4.5+(I26*(1+H94))/($C97-H94)/(1+$C97)^5+C69+C70)/C72</f>
        <v>53.841997162785361</v>
      </c>
      <c r="I97" s="22">
        <f>(D26/(1+$C97)^0.5+E26/(1+$C97)^1.5+F26/(1+$C97)^2.5+G26/(1+$C97)^3.5+H26/(1+$C97)^4.5+(I26*(1+I94))/($C97-I94)/(1+$C97)^5+C69+C70)/C72</f>
        <v>63.276082398497756</v>
      </c>
    </row>
    <row r="98" spans="1:9" ht="15" customHeight="1">
      <c r="A98" s="24"/>
      <c r="B98" s="24"/>
      <c r="C98" s="119">
        <v>7.4999999999999997E-2</v>
      </c>
      <c r="D98" s="22">
        <f>(D26/(1+$C98)^0.5+E26/(1+$C98)^1.5+F26/(1+$C98)^2.5+G26/(1+$C98)^3.5+H26/(1+$C98)^4.5+(I26*(1+D94))/($C98-D94)/(1+$C98)^5+C69+C70)/C72</f>
        <v>29.574653795408558</v>
      </c>
      <c r="E98" s="22">
        <f>(D26/(1+$C98)^0.5+E26/(1+$C98)^1.5+F26/(1+$C98)^2.5+G26/(1+$C98)^3.5+H26/(1+$C98)^4.5+(I26*(1+E94))/($C98-E94)/(1+$C98)^5+C69+C70)/C72</f>
        <v>32.520950015881681</v>
      </c>
      <c r="F98" s="22">
        <f>(D26/(1+$C98)^0.5+E26/(1+$C98)^1.5+F26/(1+$C98)^2.5+G26/(1+$C98)^3.5+H26/(1+$C98)^4.5+(I26*(1+F94))/($C98-F94)/(1+$C98)^5+C69+C70)/C72</f>
        <v>36.056505480449417</v>
      </c>
      <c r="G98" s="22">
        <f>(D26/(1+$C98)^0.5+E26/(1+$C98)^1.5+F26/(1+$C98)^2.5+G26/(1+$C98)^3.5+H26/(1+$C98)^4.5+(I26*(1+G94))/($C98-G94)/(1+$C98)^5+C69+C70)/C72</f>
        <v>40.377739937143318</v>
      </c>
      <c r="H98" s="22">
        <f>(D26/(1+$C98)^0.5+E26/(1+$C98)^1.5+F26/(1+$C98)^2.5+G26/(1+$C98)^3.5+H26/(1+$C98)^4.5+(I26*(1+H94))/($C98-H94)/(1+$C98)^5+C69+C70)/C72</f>
        <v>45.779283008010687</v>
      </c>
      <c r="I98" s="22">
        <f>(D26/(1+$C98)^0.5+E26/(1+$C98)^1.5+F26/(1+$C98)^2.5+G26/(1+$C98)^3.5+H26/(1+$C98)^4.5+(I26*(1+I94))/($C98-I94)/(1+$C98)^5+C69+C70)/C72</f>
        <v>52.724124099125895</v>
      </c>
    </row>
    <row r="99" spans="1:9" ht="15" customHeight="1">
      <c r="A99" s="24"/>
      <c r="B99" s="24"/>
      <c r="C99" s="119">
        <v>0.08</v>
      </c>
      <c r="D99" s="22">
        <f>(D26/(1+$C99)^0.5+E26/(1+$C99)^1.5+F26/(1+$C99)^2.5+G26/(1+$C99)^3.5+H26/(1+$C99)^4.5+(I26*(1+D94))/($C99-D94)/(1+$C99)^5+C69+C70)/C72</f>
        <v>26.460445950621825</v>
      </c>
      <c r="E99" s="22">
        <f>(D26/(1+$C99)^0.5+E26/(1+$C99)^1.5+F26/(1+$C99)^2.5+G26/(1+$C99)^3.5+H26/(1+$C99)^4.5+(I26*(1+E94))/($C99-E94)/(1+$C99)^5+C69+C70)/C72</f>
        <v>28.907618410723746</v>
      </c>
      <c r="F99" s="22">
        <f>(D26/(1+$C99)^0.5+E26/(1+$C99)^1.5+F26/(1+$C99)^2.5+G26/(1+$C99)^3.5+H26/(1+$C99)^4.5+(I26*(1+F94))/($C99-F94)/(1+$C99)^5+C69+C70)/C72</f>
        <v>31.799731318116908</v>
      </c>
      <c r="G99" s="22">
        <f>(D26/(1+$C99)^0.5+E26/(1+$C99)^1.5+F26/(1+$C99)^2.5+G26/(1+$C99)^3.5+H26/(1+$C99)^4.5+(I26*(1+G94))/($C99-G94)/(1+$C99)^5+C69+C70)/C72</f>
        <v>35.270266806988715</v>
      </c>
      <c r="H99" s="22">
        <f>(D26/(1+$C99)^0.5+E26/(1+$C99)^1.5+F26/(1+$C99)^2.5+G26/(1+$C99)^3.5+H26/(1+$C99)^4.5+(I26*(1+H94))/($C99-H94)/(1+$C99)^5+C69+C70)/C72</f>
        <v>39.512032404498697</v>
      </c>
      <c r="I99" s="22">
        <f>(D26/(1+$C99)^0.5+E26/(1+$C99)^1.5+F26/(1+$C99)^2.5+G26/(1+$C99)^3.5+H26/(1+$C99)^4.5+(I26*(1+I94))/($C99-I94)/(1+$C99)^5+C69+C70)/C72</f>
        <v>44.814239401386189</v>
      </c>
    </row>
    <row r="100" spans="1:9" ht="15" customHeight="1">
      <c r="A100" s="24"/>
      <c r="B100" s="24"/>
      <c r="C100" s="119">
        <v>8.5000000000000006E-2</v>
      </c>
      <c r="D100" s="22">
        <f>(D26/(1+$C100)^0.5+E26/(1+$C100)^1.5+F26/(1+$C100)^2.5+G26/(1+$C100)^3.5+H26/(1+$C100)^4.5+(I26*(1+D94))/($C100-D94)/(1+$C100)^5+C69+C70)/C72</f>
        <v>23.793721034921472</v>
      </c>
      <c r="E100" s="22">
        <f>(D26/(1+$C100)^0.5+E26/(1+$C100)^1.5+F26/(1+$C100)^2.5+G26/(1+$C100)^3.5+H26/(1+$C100)^4.5+(I26*(1+E94))/($C100-E94)/(1+$C100)^5+C69+C70)/C72</f>
        <v>25.85289887607814</v>
      </c>
      <c r="F100" s="22">
        <f>(D26/(1+$C100)^0.5+E26/(1+$C100)^1.5+F26/(1+$C100)^2.5+G26/(1+$C100)^3.5+H26/(1+$C100)^4.5+(I26*(1+F94))/($C100-F94)/(1+$C100)^5+C69+C70)/C72</f>
        <v>28.255273024094244</v>
      </c>
      <c r="G100" s="22">
        <f>(D26/(1+$C100)^0.5+E26/(1+$C100)^1.5+F26/(1+$C100)^2.5+G26/(1+$C100)^3.5+H26/(1+$C100)^4.5+(I26*(1+G94))/($C100-G94)/(1+$C100)^5+C69+C70)/C72</f>
        <v>31.094442471749652</v>
      </c>
      <c r="H100" s="22">
        <f>(D26/(1+$C100)^0.5+E26/(1+$C100)^1.5+F26/(1+$C100)^2.5+G26/(1+$C100)^3.5+H26/(1+$C100)^4.5+(I26*(1+H94))/($C100-H94)/(1+$C100)^5+C69+C70)/C72</f>
        <v>34.501445808936133</v>
      </c>
      <c r="I100" s="22">
        <f>(D26/(1+$C100)^0.5+E26/(1+$C100)^1.5+F26/(1+$C100)^2.5+G26/(1+$C100)^3.5+H26/(1+$C100)^4.5+(I26*(1+I94))/($C100-I94)/(1+$C100)^5+C69+C70)/C72</f>
        <v>38.665560998830728</v>
      </c>
    </row>
    <row r="101" spans="1:9" ht="15" customHeight="1">
      <c r="A101" s="24"/>
      <c r="B101" s="24"/>
      <c r="C101" s="119">
        <v>0.09</v>
      </c>
      <c r="D101" s="22">
        <f>(D26/(1+$C101)^0.5+E26/(1+$C101)^1.5+F26/(1+$C101)^2.5+G26/(1+$C101)^3.5+H26/(1+$C101)^4.5+(I26*(1+D94))/($C101-D94)/(1+$C101)^5+C69+C70)/C72</f>
        <v>21.484875130186829</v>
      </c>
      <c r="E101" s="22">
        <f>(D26/(1+$C101)^0.5+E26/(1+$C101)^1.5+F26/(1+$C101)^2.5+G26/(1+$C101)^3.5+H26/(1+$C101)^4.5+(I26*(1+E94))/($C101-E94)/(1+$C101)^5+C69+C70)/C72</f>
        <v>23.236975213861303</v>
      </c>
      <c r="F101" s="22">
        <f>(D26/(1+$C101)^0.5+E26/(1+$C101)^1.5+F26/(1+$C101)^2.5+G26/(1+$C101)^3.5+H26/(1+$C101)^4.5+(I26*(1+F94))/($C101-F94)/(1+$C101)^5+C69+C70)/C72</f>
        <v>25.258629156562609</v>
      </c>
      <c r="G101" s="22">
        <f>(D26/(1+$C101)^0.5+E26/(1+$C101)^1.5+F26/(1+$C101)^2.5+G26/(1+$C101)^3.5+H26/(1+$C101)^4.5+(I26*(1+G94))/($C101-G94)/(1+$C101)^5+C69+C70)/C72</f>
        <v>27.617225423047479</v>
      </c>
      <c r="H101" s="22">
        <f>(D26/(1+$C101)^0.5+E26/(1+$C101)^1.5+F26/(1+$C101)^2.5+G26/(1+$C101)^3.5+H26/(1+$C101)^4.5+(I26*(1+H94))/($C101-H94)/(1+$C101)^5+C69+C70)/C72</f>
        <v>30.404657374347778</v>
      </c>
      <c r="I101" s="22">
        <f>(D26/(1+$C101)^0.5+E26/(1+$C101)^1.5+F26/(1+$C101)^2.5+G26/(1+$C101)^3.5+H26/(1+$C101)^4.5+(I26*(1+I94))/($C101-I94)/(1+$C101)^5+C69+C70)/C72</f>
        <v>33.749575715908129</v>
      </c>
    </row>
    <row r="102" spans="1:9" ht="15" customHeight="1">
      <c r="A102" s="24"/>
      <c r="B102" s="24"/>
      <c r="C102" s="119">
        <v>9.5000000000000001E-2</v>
      </c>
      <c r="D102" s="22">
        <f>(D26/(1+$C102)^0.5+E26/(1+$C102)^1.5+F26/(1+$C102)^2.5+G26/(1+$C102)^3.5+H26/(1+$C102)^4.5+(I26*(1+D94))/($C102-D94)/(1+$C102)^5+C69+C70)/C72</f>
        <v>19.466709713294492</v>
      </c>
      <c r="E102" s="22">
        <f>(D26/(1+$C102)^0.5+E26/(1+$C102)^1.5+F26/(1+$C102)^2.5+G26/(1+$C102)^3.5+H26/(1+$C102)^4.5+(I26*(1+E94))/($C102-E94)/(1+$C102)^5+C69+C70)/C72</f>
        <v>20.971986895601805</v>
      </c>
      <c r="F102" s="22">
        <f>(D26/(1+$C102)^0.5+E26/(1+$C102)^1.5+F26/(1+$C102)^2.5+G26/(1+$C102)^3.5+H26/(1+$C102)^4.5+(I26*(1+F94))/($C102-F94)/(1+$C102)^5+C69+C70)/C72</f>
        <v>22.692303675381588</v>
      </c>
      <c r="G102" s="22">
        <f>(D26/(1+$C102)^0.5+E26/(1+$C102)^1.5+F26/(1+$C102)^2.5+G26/(1+$C102)^3.5+H26/(1+$C102)^4.5+(I26*(1+G94))/($C102-G94)/(1+$C102)^5+C69+C70)/C72</f>
        <v>24.677284575127501</v>
      </c>
      <c r="H102" s="22">
        <f>(D26/(1+$C102)^0.5+E26/(1+$C102)^1.5+F26/(1+$C102)^2.5+G26/(1+$C102)^3.5+H26/(1+$C102)^4.5+(I26*(1+H94))/($C102-H94)/(1+$C102)^5+C69+C70)/C72</f>
        <v>26.993095624831057</v>
      </c>
      <c r="I102" s="22">
        <f>(D26/(1+$C102)^0.5+E26/(1+$C102)^1.5+F26/(1+$C102)^2.5+G26/(1+$C102)^3.5+H26/(1+$C102)^4.5+(I26*(1+I94))/($C102-I94)/(1+$C102)^5+C69+C70)/C72</f>
        <v>29.729963229026172</v>
      </c>
    </row>
    <row r="103" spans="1:9" ht="15" customHeight="1">
      <c r="A103" s="24"/>
      <c r="B103" s="24"/>
      <c r="C103" s="119">
        <v>0.1</v>
      </c>
      <c r="D103" s="22">
        <f>(D26/(1+$C103)^0.5+E26/(1+$C103)^1.5+F26/(1+$C103)^2.5+G26/(1+$C103)^3.5+H26/(1+$C103)^4.5+(I26*(1+D94))/($C103-D94)/(1+$C103)^5+C69+C70)/C72</f>
        <v>17.6878416411217</v>
      </c>
      <c r="E103" s="22">
        <f>(D26/(1+$C103)^0.5+E26/(1+$C103)^1.5+F26/(1+$C103)^2.5+G26/(1+$C103)^3.5+H26/(1+$C103)^4.5+(I26*(1+E94))/($C103-E94)/(1+$C103)^5+C69+C70)/C72</f>
        <v>18.992042711164771</v>
      </c>
      <c r="F103" s="22">
        <f>(D26/(1+$C103)^0.5+E26/(1+$C103)^1.5+F26/(1+$C103)^2.5+G26/(1+$C103)^3.5+H26/(1+$C103)^4.5+(I26*(1+F94))/($C103-F94)/(1+$C103)^5+C69+C70)/C72</f>
        <v>20.470137257213565</v>
      </c>
      <c r="G103" s="22">
        <f>(D26/(1+$C103)^0.5+E26/(1+$C103)^1.5+F26/(1+$C103)^2.5+G26/(1+$C103)^3.5+H26/(1+$C103)^4.5+(I26*(1+G94))/($C103-G94)/(1+$C103)^5+C69+C70)/C72</f>
        <v>22.159388166983632</v>
      </c>
      <c r="H103" s="22">
        <f>(D26/(1+$C103)^0.5+E26/(1+$C103)^1.5+F26/(1+$C103)^2.5+G26/(1+$C103)^3.5+H26/(1+$C103)^4.5+(I26*(1+H94))/($C103-H94)/(1+$C103)^5+C69+C70)/C72</f>
        <v>24.108523832102929</v>
      </c>
      <c r="I103" s="22">
        <f>(D26/(1+$C103)^0.5+E26/(1+$C103)^1.5+F26/(1+$C103)^2.5+G26/(1+$C103)^3.5+H26/(1+$C103)^4.5+(I26*(1+I94))/($C103-I94)/(1+$C103)^5+C69+C70)/C72</f>
        <v>26.382515441408774</v>
      </c>
    </row>
    <row r="104" spans="1:9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>
      <c r="A105" s="24"/>
      <c r="B105" s="115" t="s">
        <v>168</v>
      </c>
      <c r="C105" s="24"/>
      <c r="D105" s="24"/>
      <c r="E105" s="24"/>
      <c r="F105" s="24"/>
      <c r="G105" s="24"/>
      <c r="H105" s="24"/>
      <c r="I105" s="24"/>
    </row>
  </sheetData>
  <conditionalFormatting sqref="D95:I103">
    <cfRule type="cellIs" dxfId="1" priority="1" operator="greaterThanOrEqual">
      <formula>28.01</formula>
    </cfRule>
    <cfRule type="cellIs" dxfId="0" priority="2" operator="lessThan">
      <formula>28.01</formula>
    </cfRule>
  </conditionalFormatting>
  <pageMargins left="0.75" right="0.75" top="1" bottom="1" header="0.5" footer="0.5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E37"/>
  <sheetViews>
    <sheetView showGridLines="0" workbookViewId="0">
      <pane ySplit="3" topLeftCell="A4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5" customWidth="1"/>
    <col min="3" max="3" width="16" customWidth="1"/>
    <col min="4" max="5" width="14" customWidth="1"/>
  </cols>
  <sheetData>
    <row r="1" spans="1:5" ht="9" customHeight="1">
      <c r="A1" s="112"/>
      <c r="B1" s="24"/>
      <c r="C1" s="24"/>
      <c r="D1" s="24"/>
      <c r="E1" s="24"/>
    </row>
    <row r="2" spans="1:5" ht="22" customHeight="1">
      <c r="A2" s="24"/>
      <c r="B2" s="304" t="s">
        <v>169</v>
      </c>
      <c r="C2" s="86"/>
      <c r="D2" s="86"/>
      <c r="E2" s="86"/>
    </row>
    <row r="3" spans="1:5" ht="15" customHeight="1">
      <c r="A3" s="24"/>
      <c r="B3" s="305" t="s">
        <v>170</v>
      </c>
      <c r="C3" s="24"/>
      <c r="D3" s="24"/>
      <c r="E3" s="24"/>
    </row>
    <row r="4" spans="1:5" ht="9" customHeight="1">
      <c r="A4" s="24"/>
      <c r="B4" s="24"/>
      <c r="C4" s="24"/>
      <c r="D4" s="24"/>
      <c r="E4" s="24"/>
    </row>
    <row r="5" spans="1:5" ht="18" customHeight="1">
      <c r="A5" s="24"/>
      <c r="B5" s="312" t="s">
        <v>171</v>
      </c>
      <c r="C5" s="312"/>
      <c r="E5" s="24"/>
    </row>
    <row r="6" spans="1:5" ht="15" customHeight="1">
      <c r="A6" s="24"/>
      <c r="B6" s="104" t="s">
        <v>172</v>
      </c>
      <c r="C6" s="335">
        <v>4.1799999999999997E-2</v>
      </c>
      <c r="D6" s="6" t="s">
        <v>173</v>
      </c>
      <c r="E6" s="24"/>
    </row>
    <row r="7" spans="1:5" ht="15" customHeight="1">
      <c r="A7" s="24"/>
      <c r="B7" s="104" t="s">
        <v>174</v>
      </c>
      <c r="C7" s="335">
        <v>4.4600000000000001E-2</v>
      </c>
      <c r="D7" s="6" t="s">
        <v>175</v>
      </c>
      <c r="E7" s="24"/>
    </row>
    <row r="8" spans="1:5" ht="15" customHeight="1">
      <c r="A8" s="24"/>
      <c r="B8" s="24"/>
      <c r="C8" s="24"/>
      <c r="D8" s="24"/>
      <c r="E8" s="24"/>
    </row>
    <row r="9" spans="1:5" ht="15" customHeight="1">
      <c r="A9" s="24"/>
      <c r="B9" s="336" t="s">
        <v>176</v>
      </c>
      <c r="C9" s="24"/>
      <c r="D9" s="24"/>
      <c r="E9" s="24"/>
    </row>
    <row r="10" spans="1:5" ht="15" customHeight="1">
      <c r="A10" s="24"/>
      <c r="B10" s="104" t="s">
        <v>177</v>
      </c>
      <c r="C10" s="337">
        <v>0.49</v>
      </c>
      <c r="D10" s="6" t="s">
        <v>178</v>
      </c>
      <c r="E10" s="37">
        <f>C10/(1+(1-0.22)*1.41)</f>
        <v>0.23335555767215924</v>
      </c>
    </row>
    <row r="11" spans="1:5" ht="15" customHeight="1">
      <c r="A11" s="24"/>
      <c r="B11" s="104" t="s">
        <v>179</v>
      </c>
      <c r="C11" s="337">
        <v>0.85</v>
      </c>
      <c r="D11" s="6" t="s">
        <v>180</v>
      </c>
      <c r="E11" s="37">
        <f>C11/(1+(1-0.22)*0)</f>
        <v>0.85</v>
      </c>
    </row>
    <row r="12" spans="1:5" ht="15" customHeight="1">
      <c r="A12" s="24"/>
      <c r="B12" s="104" t="s">
        <v>181</v>
      </c>
      <c r="C12" s="337">
        <v>0.57999999999999996</v>
      </c>
      <c r="D12" s="6" t="s">
        <v>182</v>
      </c>
      <c r="E12" s="37" t="s">
        <v>183</v>
      </c>
    </row>
    <row r="13" spans="1:5" ht="15" customHeight="1">
      <c r="A13" s="24"/>
      <c r="B13" s="104" t="s">
        <v>184</v>
      </c>
      <c r="C13" s="337">
        <v>0.72</v>
      </c>
      <c r="D13" s="6" t="s">
        <v>185</v>
      </c>
      <c r="E13" s="37">
        <f>C13/(1+(1-0.22)*1.91)</f>
        <v>0.28917985380351835</v>
      </c>
    </row>
    <row r="14" spans="1:5" ht="15" customHeight="1">
      <c r="A14" s="24"/>
      <c r="B14" s="104" t="s">
        <v>186</v>
      </c>
      <c r="C14" s="337">
        <v>1.1499999999999999</v>
      </c>
      <c r="D14" s="6" t="s">
        <v>187</v>
      </c>
      <c r="E14" s="37">
        <f>C14/(1+(1-0.22)*0.23)</f>
        <v>0.97507207054434453</v>
      </c>
    </row>
    <row r="15" spans="1:5" ht="15" customHeight="1">
      <c r="A15" s="24"/>
      <c r="B15" s="104" t="s">
        <v>188</v>
      </c>
      <c r="C15" s="166">
        <f>MEDIAN(E10,E11,E12,E13,E14)</f>
        <v>0.56958992690175925</v>
      </c>
      <c r="D15" s="6" t="s">
        <v>189</v>
      </c>
      <c r="E15" s="24"/>
    </row>
    <row r="16" spans="1:5" ht="15" customHeight="1">
      <c r="A16" s="24"/>
      <c r="B16" s="151"/>
      <c r="C16" s="151"/>
      <c r="D16" s="24"/>
      <c r="E16" s="24"/>
    </row>
    <row r="17" spans="1:5" ht="15" customHeight="1">
      <c r="A17" s="24"/>
      <c r="B17" s="104" t="s">
        <v>190</v>
      </c>
      <c r="C17" s="337">
        <v>0.63239999999999996</v>
      </c>
      <c r="D17" s="6" t="s">
        <v>191</v>
      </c>
      <c r="E17" s="24"/>
    </row>
    <row r="18" spans="1:5" ht="15" customHeight="1">
      <c r="A18" s="24"/>
      <c r="B18" s="104" t="s">
        <v>192</v>
      </c>
      <c r="C18" s="338">
        <v>0.22500000000000001</v>
      </c>
      <c r="D18" s="6" t="s">
        <v>193</v>
      </c>
      <c r="E18" s="24"/>
    </row>
    <row r="19" spans="1:5" ht="15" customHeight="1">
      <c r="A19" s="24"/>
      <c r="B19" s="104" t="s">
        <v>194</v>
      </c>
      <c r="C19" s="166">
        <f>C15*(1+(1-C18)*C17)</f>
        <v>0.8487516459755805</v>
      </c>
      <c r="D19" s="24"/>
      <c r="E19" s="24"/>
    </row>
    <row r="20" spans="1:5" ht="15" customHeight="1" thickBot="1">
      <c r="A20" s="24"/>
      <c r="B20" s="91" t="s">
        <v>195</v>
      </c>
      <c r="C20" s="35">
        <f>C6+C19*C7</f>
        <v>7.9654323410510888E-2</v>
      </c>
      <c r="D20" s="6" t="s">
        <v>196</v>
      </c>
      <c r="E20" s="24"/>
    </row>
    <row r="21" spans="1:5" ht="6" customHeight="1" thickTop="1">
      <c r="A21" s="24"/>
      <c r="B21" s="24"/>
      <c r="C21" s="24"/>
      <c r="D21" s="24"/>
      <c r="E21" s="24"/>
    </row>
    <row r="22" spans="1:5" ht="18" customHeight="1">
      <c r="A22" s="24"/>
      <c r="B22" s="312" t="s">
        <v>197</v>
      </c>
      <c r="C22" s="312"/>
      <c r="E22" s="24"/>
    </row>
    <row r="23" spans="1:5" ht="15" customHeight="1">
      <c r="A23" s="24"/>
      <c r="B23" s="88" t="s">
        <v>198</v>
      </c>
      <c r="C23" s="339">
        <v>754</v>
      </c>
      <c r="D23" s="6" t="s">
        <v>199</v>
      </c>
      <c r="E23" s="24"/>
    </row>
    <row r="24" spans="1:5" ht="15" customHeight="1">
      <c r="A24" s="24"/>
      <c r="B24" s="104" t="s">
        <v>200</v>
      </c>
      <c r="C24" s="340">
        <v>16707.5</v>
      </c>
      <c r="D24" s="6" t="s">
        <v>201</v>
      </c>
      <c r="E24" s="24"/>
    </row>
    <row r="25" spans="1:5" ht="15" customHeight="1">
      <c r="A25" s="24"/>
      <c r="B25" s="104" t="s">
        <v>202</v>
      </c>
      <c r="C25" s="169">
        <f>C23/C24</f>
        <v>4.5129432889420916E-2</v>
      </c>
      <c r="D25" s="24"/>
      <c r="E25" s="24"/>
    </row>
    <row r="26" spans="1:5" ht="15" customHeight="1">
      <c r="A26" s="24"/>
      <c r="B26" s="170" t="s">
        <v>203</v>
      </c>
      <c r="C26" s="171">
        <f>C25*(1-C18)</f>
        <v>3.4975310489301213E-2</v>
      </c>
      <c r="D26" s="6" t="s">
        <v>204</v>
      </c>
      <c r="E26" s="24"/>
    </row>
    <row r="27" spans="1:5" ht="6" customHeight="1">
      <c r="A27" s="24"/>
      <c r="B27" s="24"/>
      <c r="C27" s="24"/>
      <c r="D27" s="24"/>
      <c r="E27" s="24"/>
    </row>
    <row r="28" spans="1:5" ht="18" customHeight="1">
      <c r="A28" s="24"/>
      <c r="B28" s="312" t="s">
        <v>205</v>
      </c>
      <c r="C28" s="312"/>
      <c r="E28" s="24"/>
    </row>
    <row r="29" spans="1:5" ht="15" customHeight="1">
      <c r="A29" s="24"/>
      <c r="B29" s="88" t="s">
        <v>206</v>
      </c>
      <c r="C29" s="339">
        <f>Assumptions!C42</f>
        <v>38172.027999999998</v>
      </c>
      <c r="D29" s="6" t="s">
        <v>207</v>
      </c>
      <c r="E29" s="24"/>
    </row>
    <row r="30" spans="1:5" ht="15" customHeight="1">
      <c r="A30" s="24"/>
      <c r="B30" s="104" t="s">
        <v>208</v>
      </c>
      <c r="C30" s="326">
        <f>Assumptions!C43</f>
        <v>16141</v>
      </c>
      <c r="D30" s="6" t="s">
        <v>209</v>
      </c>
      <c r="E30" s="24"/>
    </row>
    <row r="31" spans="1:5" ht="15" customHeight="1">
      <c r="A31" s="24"/>
      <c r="B31" s="104" t="s">
        <v>210</v>
      </c>
      <c r="C31" s="158">
        <f>C29+C30</f>
        <v>54313.027999999998</v>
      </c>
      <c r="D31" s="24"/>
      <c r="E31" s="24"/>
    </row>
    <row r="32" spans="1:5" ht="15" customHeight="1">
      <c r="A32" s="24"/>
      <c r="B32" s="104" t="s">
        <v>211</v>
      </c>
      <c r="C32" s="169">
        <f>C29/C31</f>
        <v>0.70281531716478773</v>
      </c>
      <c r="D32" s="24"/>
      <c r="E32" s="24"/>
    </row>
    <row r="33" spans="1:5" ht="15" customHeight="1">
      <c r="A33" s="24"/>
      <c r="B33" s="170" t="s">
        <v>212</v>
      </c>
      <c r="C33" s="171">
        <f>C30/C31</f>
        <v>0.29718468283521221</v>
      </c>
      <c r="D33" s="24"/>
      <c r="E33" s="24"/>
    </row>
    <row r="34" spans="1:5" ht="6" customHeight="1">
      <c r="A34" s="24"/>
      <c r="B34" s="24"/>
      <c r="C34" s="24"/>
      <c r="D34" s="24"/>
      <c r="E34" s="24"/>
    </row>
    <row r="35" spans="1:5" ht="18" customHeight="1" thickBot="1">
      <c r="A35" s="24"/>
      <c r="B35" s="308" t="s">
        <v>213</v>
      </c>
      <c r="C35" s="308"/>
      <c r="E35" s="24"/>
    </row>
    <row r="36" spans="1:5" ht="15" customHeight="1" thickBot="1">
      <c r="A36" s="24"/>
      <c r="B36" s="91" t="s">
        <v>144</v>
      </c>
      <c r="C36" s="35">
        <f>C32*C20+C33*C26</f>
        <v>6.6376405126130841E-2</v>
      </c>
      <c r="D36" s="6" t="s">
        <v>214</v>
      </c>
      <c r="E36" s="24"/>
    </row>
    <row r="37" spans="1:5" ht="16" customHeight="1" thickTop="1"/>
  </sheetData>
  <pageMargins left="0.75" right="0.75" top="1" bottom="1" header="0.5" footer="0.5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M88"/>
  <sheetViews>
    <sheetView showGridLines="0" tabSelected="1" workbookViewId="0">
      <pane ySplit="5" topLeftCell="A6" activePane="bottomLeft" state="frozen"/>
      <selection pane="bottomLeft"/>
    </sheetView>
  </sheetViews>
  <sheetFormatPr baseColWidth="10" defaultColWidth="8.85546875" defaultRowHeight="15" outlineLevelRow="1"/>
  <cols>
    <col min="1" max="1" width="2.42578125" customWidth="1"/>
    <col min="2" max="2" width="30" customWidth="1"/>
    <col min="3" max="4" width="14" customWidth="1"/>
    <col min="5" max="5" width="35.140625" customWidth="1"/>
    <col min="6" max="6" width="14" customWidth="1"/>
    <col min="7" max="9" width="12" customWidth="1"/>
    <col min="10" max="10" width="16" customWidth="1"/>
    <col min="11" max="13" width="12" customWidth="1"/>
    <col min="14" max="14" width="14" customWidth="1"/>
    <col min="15" max="15" width="10" customWidth="1"/>
  </cols>
  <sheetData>
    <row r="1" spans="1:9" ht="9" customHeight="1">
      <c r="A1" s="341"/>
      <c r="B1" s="24"/>
      <c r="C1" s="24"/>
      <c r="D1" s="24"/>
      <c r="E1" s="24"/>
      <c r="F1" s="24"/>
      <c r="G1" s="24"/>
      <c r="H1" s="24"/>
      <c r="I1" s="24"/>
    </row>
    <row r="2" spans="1:9" ht="22" customHeight="1">
      <c r="A2" s="24"/>
      <c r="B2" s="304" t="s">
        <v>215</v>
      </c>
      <c r="C2" s="86"/>
      <c r="D2" s="86"/>
      <c r="E2" s="86"/>
      <c r="F2" s="24"/>
      <c r="G2" s="24"/>
      <c r="H2" s="24"/>
      <c r="I2" s="24"/>
    </row>
    <row r="3" spans="1:9" ht="15" customHeight="1">
      <c r="A3" s="24"/>
      <c r="B3" s="305" t="s">
        <v>216</v>
      </c>
      <c r="C3" s="24"/>
      <c r="D3" s="24"/>
      <c r="E3" s="24"/>
      <c r="F3" s="24"/>
      <c r="G3" s="24"/>
      <c r="H3" s="24"/>
      <c r="I3" s="24"/>
    </row>
    <row r="4" spans="1:9" ht="9" customHeight="1">
      <c r="A4" s="24"/>
      <c r="B4" s="24"/>
      <c r="C4" s="24"/>
      <c r="D4" s="24"/>
      <c r="E4" s="24"/>
      <c r="F4" s="24"/>
      <c r="G4" s="24"/>
      <c r="H4" s="24"/>
      <c r="I4" s="24"/>
    </row>
    <row r="5" spans="1:9" ht="20" customHeight="1">
      <c r="A5" s="24"/>
      <c r="B5" s="312" t="s">
        <v>217</v>
      </c>
      <c r="C5" s="322" t="s">
        <v>218</v>
      </c>
      <c r="D5" s="313" t="s">
        <v>219</v>
      </c>
      <c r="E5" s="313" t="s">
        <v>125</v>
      </c>
      <c r="F5" s="313" t="s">
        <v>128</v>
      </c>
      <c r="G5" s="313" t="s">
        <v>220</v>
      </c>
      <c r="H5" s="313" t="s">
        <v>221</v>
      </c>
      <c r="I5" s="313" t="s">
        <v>222</v>
      </c>
    </row>
    <row r="6" spans="1:9" ht="15" customHeight="1">
      <c r="A6" s="24"/>
      <c r="B6" s="88" t="s">
        <v>223</v>
      </c>
      <c r="C6" s="92">
        <v>38040.381000000001</v>
      </c>
      <c r="D6" s="92">
        <v>53155.381000000001</v>
      </c>
      <c r="E6" s="92">
        <v>16603</v>
      </c>
      <c r="F6" s="92">
        <v>4194</v>
      </c>
      <c r="G6" s="93">
        <v>3.2015527916641568</v>
      </c>
      <c r="H6" s="93">
        <v>12.674149022412969</v>
      </c>
      <c r="I6" s="93">
        <v>18.297441558441559</v>
      </c>
    </row>
    <row r="7" spans="1:9" ht="15" customHeight="1">
      <c r="A7" s="24"/>
      <c r="B7" s="104" t="s">
        <v>224</v>
      </c>
      <c r="C7" s="174">
        <v>300822.73</v>
      </c>
      <c r="D7" s="174">
        <v>336044.73</v>
      </c>
      <c r="E7" s="174">
        <v>47941</v>
      </c>
      <c r="F7" s="174">
        <v>18702</v>
      </c>
      <c r="G7" s="175">
        <v>7.0095477774764809</v>
      </c>
      <c r="H7" s="175">
        <v>17.968384664741741</v>
      </c>
      <c r="I7" s="175">
        <v>22.95130312046998</v>
      </c>
    </row>
    <row r="8" spans="1:9" ht="15" customHeight="1">
      <c r="A8" s="24"/>
      <c r="B8" s="104" t="s">
        <v>225</v>
      </c>
      <c r="C8" s="174">
        <v>196596.1452</v>
      </c>
      <c r="D8" s="174">
        <v>237338.1452</v>
      </c>
      <c r="E8" s="174">
        <v>93925</v>
      </c>
      <c r="F8" s="174">
        <v>15543</v>
      </c>
      <c r="G8" s="175">
        <v>2.526890020761245</v>
      </c>
      <c r="H8" s="175">
        <v>15.26977708293122</v>
      </c>
      <c r="I8" s="175">
        <v>23.858755485436891</v>
      </c>
    </row>
    <row r="9" spans="1:9" ht="15" customHeight="1">
      <c r="A9" s="24"/>
      <c r="B9" s="104" t="s">
        <v>226</v>
      </c>
      <c r="C9" s="174">
        <v>74821.256290000005</v>
      </c>
      <c r="D9" s="174">
        <v>72733.139290000006</v>
      </c>
      <c r="E9" s="174">
        <v>8294.3430000000008</v>
      </c>
      <c r="F9" s="174">
        <v>2603.5700000000002</v>
      </c>
      <c r="G9" s="175">
        <v>8.7690054884395305</v>
      </c>
      <c r="H9" s="175">
        <v>27.935926166763331</v>
      </c>
      <c r="I9" s="175">
        <v>39.267345300173403</v>
      </c>
    </row>
    <row r="10" spans="1:9" ht="15" customHeight="1">
      <c r="A10" s="24"/>
      <c r="B10" s="104" t="s">
        <v>227</v>
      </c>
      <c r="C10" s="174">
        <v>10757.636339999999</v>
      </c>
      <c r="D10" s="174">
        <v>11028.69634</v>
      </c>
      <c r="E10" s="174">
        <v>2515.2689999999998</v>
      </c>
      <c r="F10" s="174">
        <v>203.46100000000001</v>
      </c>
      <c r="G10" s="175">
        <v>4.3846985511291239</v>
      </c>
      <c r="H10" s="175">
        <v>54.205456279090328</v>
      </c>
      <c r="I10" s="175">
        <v>99.60866619135362</v>
      </c>
    </row>
    <row r="11" spans="1:9" ht="15" customHeight="1">
      <c r="A11" s="24"/>
      <c r="B11" s="104" t="s">
        <v>228</v>
      </c>
      <c r="C11" s="174">
        <v>11291.7714</v>
      </c>
      <c r="D11" s="174">
        <v>14012.170400000001</v>
      </c>
      <c r="E11" s="174">
        <v>7228.0550000000003</v>
      </c>
      <c r="F11" s="174">
        <v>1170.914</v>
      </c>
      <c r="G11" s="175">
        <v>1.938581042894665</v>
      </c>
      <c r="H11" s="175">
        <v>11.966865542644459</v>
      </c>
      <c r="I11" s="175">
        <v>19.789918714575641</v>
      </c>
    </row>
    <row r="12" spans="1:9" ht="15" customHeight="1">
      <c r="A12" s="24"/>
      <c r="B12" s="104" t="s">
        <v>229</v>
      </c>
      <c r="C12" s="174">
        <v>4156.1508000000003</v>
      </c>
      <c r="D12" s="174">
        <v>4034.4398000000001</v>
      </c>
      <c r="E12" s="174">
        <v>1201.354</v>
      </c>
      <c r="F12" s="174">
        <v>256.26</v>
      </c>
      <c r="G12" s="175">
        <v>3.3582439480785848</v>
      </c>
      <c r="H12" s="175">
        <v>15.7435409349879</v>
      </c>
      <c r="I12" s="175">
        <v>22.246700317416138</v>
      </c>
    </row>
    <row r="13" spans="1:9" ht="15" customHeight="1">
      <c r="A13" s="24"/>
      <c r="B13" s="104" t="s">
        <v>230</v>
      </c>
      <c r="C13" s="174">
        <v>9107.268</v>
      </c>
      <c r="D13" s="174">
        <v>14510.268</v>
      </c>
      <c r="E13" s="174">
        <v>11140.8</v>
      </c>
      <c r="F13" s="174">
        <v>-1610.8</v>
      </c>
      <c r="G13" s="175">
        <v>1.30244398965963</v>
      </c>
      <c r="H13" s="175">
        <v>-9.008112739011672</v>
      </c>
      <c r="I13" s="175">
        <v>-4.2565283230510378</v>
      </c>
    </row>
    <row r="14" spans="1:9" ht="15" customHeight="1">
      <c r="A14" s="24"/>
      <c r="B14" s="104" t="s">
        <v>231</v>
      </c>
      <c r="C14" s="174">
        <v>3017.001068</v>
      </c>
      <c r="D14" s="174">
        <v>2833.2180680000001</v>
      </c>
      <c r="E14" s="174">
        <v>609.78</v>
      </c>
      <c r="F14" s="174">
        <v>83.744</v>
      </c>
      <c r="G14" s="175">
        <v>4.6462954967365286</v>
      </c>
      <c r="H14" s="175">
        <v>33.831893246083297</v>
      </c>
      <c r="I14" s="175">
        <v>42.302314469994393</v>
      </c>
    </row>
    <row r="15" spans="1:9" ht="15" customHeight="1">
      <c r="A15" s="24"/>
      <c r="B15" s="170" t="s">
        <v>232</v>
      </c>
      <c r="C15" s="172">
        <v>127055.36</v>
      </c>
      <c r="D15" s="172">
        <v>188444.36</v>
      </c>
      <c r="E15" s="172">
        <v>59503.548000000003</v>
      </c>
      <c r="F15" s="172">
        <v>20762.044000000002</v>
      </c>
      <c r="G15" s="173">
        <v>3.1669432552156378</v>
      </c>
      <c r="H15" s="173">
        <v>9.0763876620240271</v>
      </c>
      <c r="I15" s="173">
        <v>18.52617212646842</v>
      </c>
    </row>
    <row r="16" spans="1:9" ht="15" customHeight="1">
      <c r="A16" s="24"/>
      <c r="F16" s="24"/>
      <c r="G16" s="24"/>
      <c r="H16" s="24"/>
      <c r="I16" s="24"/>
    </row>
    <row r="17" spans="1:9" ht="15" customHeight="1">
      <c r="A17" s="24"/>
      <c r="B17" s="88" t="s">
        <v>233</v>
      </c>
      <c r="C17" s="92"/>
      <c r="D17" s="92"/>
      <c r="E17" s="92"/>
      <c r="F17" s="92"/>
      <c r="G17" s="93">
        <f>MEDIAN(G7:G15)</f>
        <v>3.3582439480785848</v>
      </c>
      <c r="H17" s="93">
        <f>MEDIAN(H7:H12,H14:H15)</f>
        <v>16.85596279986482</v>
      </c>
      <c r="I17" s="93">
        <f>MEDIAN(I7:I12,I14:I15)</f>
        <v>23.405029302953437</v>
      </c>
    </row>
    <row r="18" spans="1:9" ht="15" customHeight="1">
      <c r="A18" s="24"/>
      <c r="B18" s="170" t="s">
        <v>234</v>
      </c>
      <c r="C18" s="172"/>
      <c r="D18" s="172"/>
      <c r="E18" s="172"/>
      <c r="F18" s="172"/>
      <c r="G18" s="173">
        <f>AVERAGE(G7:G15)</f>
        <v>4.1225166189323801</v>
      </c>
      <c r="H18" s="173">
        <f>AVERAGE(H7:H12,H14:H15)</f>
        <v>23.249778947408284</v>
      </c>
      <c r="I18" s="173">
        <f>AVERAGE(I7:I12,I14:I15)</f>
        <v>36.068896965736059</v>
      </c>
    </row>
    <row r="19" spans="1:9" ht="16" customHeight="1">
      <c r="A19" s="24"/>
      <c r="B19" s="24"/>
      <c r="C19" s="24"/>
      <c r="D19" s="24"/>
      <c r="E19" s="24"/>
      <c r="F19" s="24"/>
      <c r="G19" s="24"/>
      <c r="H19" s="24"/>
      <c r="I19" s="24"/>
    </row>
    <row r="20" spans="1:9" ht="20" customHeight="1" thickBot="1">
      <c r="A20" s="24"/>
      <c r="B20" s="308" t="s">
        <v>235</v>
      </c>
      <c r="C20" s="315" t="s">
        <v>220</v>
      </c>
      <c r="D20" s="315" t="s">
        <v>221</v>
      </c>
      <c r="E20" s="315" t="s">
        <v>222</v>
      </c>
      <c r="F20" s="24"/>
      <c r="G20" s="24"/>
      <c r="H20" s="24"/>
      <c r="I20" s="24"/>
    </row>
    <row r="21" spans="1:9" ht="15" customHeight="1">
      <c r="A21" s="24"/>
      <c r="B21" s="88" t="s">
        <v>236</v>
      </c>
      <c r="C21" s="92">
        <f>G17*E6</f>
        <v>55756.924269948744</v>
      </c>
      <c r="D21" s="92">
        <f>H17*F6</f>
        <v>70693.907982633056</v>
      </c>
      <c r="E21" s="92">
        <f>I17*('KDP Historical'!H18/1000000)</f>
        <v>48659.055920840197</v>
      </c>
      <c r="F21" s="24"/>
      <c r="G21" s="24"/>
      <c r="H21" s="24"/>
      <c r="I21" s="24"/>
    </row>
    <row r="22" spans="1:9" ht="15" customHeight="1">
      <c r="A22" s="24"/>
      <c r="B22" s="88" t="s">
        <v>237</v>
      </c>
      <c r="C22" s="94">
        <f>(C21-('KDP Historical'!H39/1000000))/('KDP Historical'!H21/1000000)</f>
        <v>29.822368850857607</v>
      </c>
      <c r="D22" s="94">
        <f>(D21-('KDP Historical'!H39/1000000))/('KDP Historical'!H21/1000000)</f>
        <v>40.782879353267582</v>
      </c>
      <c r="E22" s="94">
        <f>E21/('KDP Historical'!H21/1000000)</f>
        <v>35.70520686882903</v>
      </c>
      <c r="F22" s="24"/>
      <c r="G22" s="24"/>
      <c r="H22" s="24"/>
      <c r="I22" s="24"/>
    </row>
    <row r="23" spans="1:9">
      <c r="A23" s="24"/>
      <c r="B23" s="10"/>
      <c r="C23" s="23"/>
      <c r="D23" s="23"/>
      <c r="E23" s="24"/>
      <c r="F23" s="24"/>
      <c r="G23" s="24"/>
      <c r="H23" s="24"/>
      <c r="I23" s="24"/>
    </row>
    <row r="24" spans="1:9">
      <c r="A24" s="24"/>
      <c r="B24" s="42" t="s">
        <v>238</v>
      </c>
      <c r="C24" s="23"/>
      <c r="D24" s="23"/>
      <c r="E24" s="24"/>
      <c r="F24" s="24"/>
      <c r="G24" s="24"/>
      <c r="H24" s="24"/>
      <c r="I24" s="24"/>
    </row>
    <row r="25" spans="1:9">
      <c r="A25" s="24"/>
      <c r="B25" s="4" t="s">
        <v>217</v>
      </c>
      <c r="C25" s="14" t="s">
        <v>220</v>
      </c>
      <c r="D25" s="14" t="s">
        <v>221</v>
      </c>
      <c r="E25" s="24"/>
      <c r="F25" s="24"/>
      <c r="G25" s="24"/>
      <c r="H25" s="24"/>
      <c r="I25" s="24"/>
    </row>
    <row r="26" spans="1:9">
      <c r="A26" s="24"/>
      <c r="B26" s="4" t="s">
        <v>239</v>
      </c>
      <c r="C26" s="18">
        <v>3.2015527916641568</v>
      </c>
      <c r="D26" s="18">
        <v>12.674149022412969</v>
      </c>
      <c r="E26" s="24"/>
      <c r="F26" s="24"/>
      <c r="G26" s="24"/>
      <c r="H26" s="24"/>
      <c r="I26" s="24"/>
    </row>
    <row r="27" spans="1:9">
      <c r="A27" s="24"/>
      <c r="B27" s="4" t="s">
        <v>240</v>
      </c>
      <c r="C27" s="18">
        <v>7.0095477774764809</v>
      </c>
      <c r="D27" s="18">
        <v>17.968384664741741</v>
      </c>
      <c r="E27" s="24"/>
      <c r="F27" s="24"/>
      <c r="G27" s="24"/>
      <c r="H27" s="24"/>
      <c r="I27" s="24"/>
    </row>
    <row r="28" spans="1:9">
      <c r="A28" s="24"/>
      <c r="B28" s="4" t="s">
        <v>241</v>
      </c>
      <c r="C28" s="18">
        <v>2.526890020761245</v>
      </c>
      <c r="D28" s="18">
        <v>15.26977708293122</v>
      </c>
      <c r="E28" s="24"/>
      <c r="F28" s="24"/>
      <c r="G28" s="24"/>
      <c r="H28" s="24"/>
      <c r="I28" s="24"/>
    </row>
    <row r="29" spans="1:9">
      <c r="A29" s="24"/>
      <c r="B29" s="4" t="s">
        <v>242</v>
      </c>
      <c r="C29" s="18">
        <v>8.7690054884395305</v>
      </c>
      <c r="D29" s="18">
        <v>27.935926166763331</v>
      </c>
      <c r="E29" s="24"/>
      <c r="F29" s="24"/>
      <c r="G29" s="24"/>
      <c r="H29" s="24"/>
      <c r="I29" s="24"/>
    </row>
    <row r="30" spans="1:9">
      <c r="A30" s="24"/>
      <c r="B30" s="4" t="s">
        <v>243</v>
      </c>
      <c r="C30" s="18">
        <v>4.3846985511291239</v>
      </c>
      <c r="D30" s="18">
        <v>54.205456279090328</v>
      </c>
      <c r="E30" s="24"/>
      <c r="F30" s="24"/>
      <c r="G30" s="24"/>
      <c r="H30" s="24"/>
      <c r="I30" s="24"/>
    </row>
    <row r="31" spans="1:9">
      <c r="A31" s="24"/>
      <c r="B31" s="4" t="s">
        <v>244</v>
      </c>
      <c r="C31" s="18">
        <v>1.938581042894665</v>
      </c>
      <c r="D31" s="18">
        <v>11.966865542644459</v>
      </c>
      <c r="E31" s="24"/>
      <c r="F31" s="24"/>
      <c r="G31" s="24"/>
      <c r="H31" s="24"/>
      <c r="I31" s="24"/>
    </row>
    <row r="32" spans="1:9">
      <c r="A32" s="24"/>
      <c r="B32" s="4" t="s">
        <v>245</v>
      </c>
      <c r="C32" s="18">
        <v>3.3582439480785848</v>
      </c>
      <c r="D32" s="18">
        <v>15.7435409349879</v>
      </c>
      <c r="E32" s="24"/>
      <c r="F32" s="24"/>
      <c r="G32" s="24"/>
      <c r="H32" s="24"/>
      <c r="I32" s="24"/>
    </row>
    <row r="33" spans="1:13">
      <c r="A33" s="24"/>
      <c r="B33" s="4" t="s">
        <v>246</v>
      </c>
      <c r="C33" s="18">
        <v>1.30244398965963</v>
      </c>
      <c r="D33" s="18">
        <v>-9.008112739011672</v>
      </c>
      <c r="E33" s="24"/>
      <c r="F33" s="24"/>
      <c r="G33" s="24"/>
      <c r="H33" s="24"/>
      <c r="I33" s="24"/>
    </row>
    <row r="34" spans="1:13">
      <c r="A34" s="24"/>
      <c r="B34" s="4" t="s">
        <v>247</v>
      </c>
      <c r="C34" s="18">
        <v>4.6462954967365286</v>
      </c>
      <c r="D34" s="18">
        <v>33.831893246083297</v>
      </c>
      <c r="E34" s="24"/>
      <c r="F34" s="24"/>
      <c r="G34" s="24"/>
      <c r="H34" s="24"/>
      <c r="I34" s="24"/>
    </row>
    <row r="35" spans="1:13">
      <c r="A35" s="24"/>
      <c r="B35" s="4" t="s">
        <v>248</v>
      </c>
      <c r="C35" s="18">
        <v>3.1669432552156378</v>
      </c>
      <c r="D35" s="18">
        <v>9.0763876620240271</v>
      </c>
      <c r="E35" s="24"/>
      <c r="F35" s="24"/>
      <c r="G35" s="24"/>
      <c r="H35" s="24"/>
      <c r="I35" s="24"/>
    </row>
    <row r="36" spans="1:13">
      <c r="A36" s="24"/>
      <c r="B36" s="24"/>
      <c r="C36" s="24"/>
      <c r="D36" s="24"/>
      <c r="E36" s="24"/>
      <c r="F36" s="24"/>
      <c r="G36" s="24"/>
      <c r="H36" s="24"/>
      <c r="I36" s="24"/>
    </row>
    <row r="37" spans="1:13">
      <c r="A37" s="24"/>
      <c r="B37" s="24"/>
      <c r="C37" s="24"/>
      <c r="D37" s="24"/>
      <c r="E37" s="24"/>
      <c r="F37" s="24"/>
      <c r="G37" s="24"/>
      <c r="H37" s="24"/>
      <c r="I37" s="24"/>
    </row>
    <row r="38" spans="1:13">
      <c r="A38" s="24"/>
      <c r="B38" s="24"/>
      <c r="C38" s="24"/>
      <c r="D38" s="24"/>
      <c r="E38" s="24"/>
      <c r="F38" s="24"/>
      <c r="G38" s="24"/>
      <c r="H38" s="24"/>
      <c r="I38" s="24"/>
    </row>
    <row r="39" spans="1:13" ht="16" customHeight="1">
      <c r="A39" s="24"/>
      <c r="B39" s="342" t="s">
        <v>249</v>
      </c>
      <c r="D39" s="24"/>
      <c r="E39" s="24"/>
      <c r="F39" s="24"/>
      <c r="G39" s="24"/>
      <c r="H39" s="24"/>
      <c r="I39" s="24"/>
      <c r="M39" s="343" t="s">
        <v>250</v>
      </c>
    </row>
    <row r="40" spans="1:13" ht="18" customHeight="1" thickBot="1">
      <c r="A40" s="24"/>
      <c r="B40" s="54" t="s">
        <v>251</v>
      </c>
      <c r="C40" s="55" t="s">
        <v>252</v>
      </c>
      <c r="D40" s="55" t="s">
        <v>253</v>
      </c>
      <c r="E40" s="344" t="s">
        <v>254</v>
      </c>
      <c r="F40" s="345" t="s">
        <v>125</v>
      </c>
      <c r="G40" s="345" t="s">
        <v>128</v>
      </c>
      <c r="H40" s="345" t="s">
        <v>130</v>
      </c>
      <c r="I40" s="345" t="s">
        <v>255</v>
      </c>
      <c r="J40" s="345" t="s">
        <v>256</v>
      </c>
      <c r="K40" s="345" t="s">
        <v>257</v>
      </c>
      <c r="L40" s="345" t="s">
        <v>258</v>
      </c>
      <c r="M40" s="345" t="s">
        <v>21</v>
      </c>
    </row>
    <row r="41" spans="1:13" ht="69" hidden="1" customHeight="1" outlineLevel="1">
      <c r="A41" s="24"/>
      <c r="B41" s="4" t="s">
        <v>223</v>
      </c>
      <c r="C41" s="14" t="s">
        <v>239</v>
      </c>
      <c r="D41" s="14" t="s">
        <v>259</v>
      </c>
      <c r="E41" s="14" t="s">
        <v>260</v>
      </c>
      <c r="F41" s="14">
        <v>26144.674638</v>
      </c>
      <c r="G41" s="14">
        <v>6687.750599</v>
      </c>
      <c r="H41" s="14">
        <v>5391.1550610000004</v>
      </c>
      <c r="I41" s="14">
        <v>3011.5972099999999</v>
      </c>
      <c r="J41" s="39">
        <v>2.2594099999999999</v>
      </c>
      <c r="K41" s="40">
        <v>10</v>
      </c>
      <c r="L41" s="40">
        <v>8</v>
      </c>
      <c r="M41" s="41" t="s">
        <v>261</v>
      </c>
    </row>
    <row r="42" spans="1:13" ht="69" hidden="1" customHeight="1" outlineLevel="1">
      <c r="A42" s="24"/>
      <c r="B42" s="4" t="s">
        <v>223</v>
      </c>
      <c r="C42" s="14" t="s">
        <v>239</v>
      </c>
      <c r="D42" s="14" t="s">
        <v>262</v>
      </c>
      <c r="E42" s="14" t="s">
        <v>260</v>
      </c>
      <c r="F42" s="14">
        <v>29736.079258000002</v>
      </c>
      <c r="G42" s="14">
        <v>7606.4240470000004</v>
      </c>
      <c r="H42" s="14">
        <v>6131.7196100000001</v>
      </c>
      <c r="I42" s="14">
        <v>3337.5285600000002</v>
      </c>
      <c r="J42" s="39">
        <v>2.4819399999999998</v>
      </c>
      <c r="K42" s="40">
        <v>10</v>
      </c>
      <c r="L42" s="40">
        <v>8</v>
      </c>
      <c r="M42" s="41" t="s">
        <v>261</v>
      </c>
    </row>
    <row r="43" spans="1:13" ht="69" hidden="1" customHeight="1" outlineLevel="1">
      <c r="B43" s="4" t="s">
        <v>223</v>
      </c>
      <c r="C43" s="14" t="s">
        <v>239</v>
      </c>
      <c r="D43" s="14" t="s">
        <v>263</v>
      </c>
      <c r="E43" s="14" t="s">
        <v>260</v>
      </c>
      <c r="F43" s="14">
        <v>30684.202652</v>
      </c>
      <c r="G43" s="14">
        <v>7848.9519380000002</v>
      </c>
      <c r="H43" s="14">
        <v>6327.2271199999996</v>
      </c>
      <c r="I43" s="14">
        <v>3635.2647900000002</v>
      </c>
      <c r="J43" s="39">
        <v>2.6158899999999998</v>
      </c>
      <c r="K43" s="40">
        <v>6</v>
      </c>
      <c r="L43" s="40">
        <v>3</v>
      </c>
      <c r="M43" s="41" t="s">
        <v>261</v>
      </c>
    </row>
    <row r="44" spans="1:13" ht="69" hidden="1" customHeight="1" outlineLevel="1">
      <c r="B44" s="4" t="s">
        <v>224</v>
      </c>
      <c r="C44" s="14" t="s">
        <v>240</v>
      </c>
      <c r="D44" s="14" t="s">
        <v>259</v>
      </c>
      <c r="E44" s="14" t="s">
        <v>260</v>
      </c>
      <c r="F44" s="14">
        <v>48960.435726999996</v>
      </c>
      <c r="G44" s="14">
        <v>17519.697978</v>
      </c>
      <c r="H44" s="14">
        <v>18750.600364999998</v>
      </c>
      <c r="I44" s="14">
        <v>13898.858152999999</v>
      </c>
      <c r="J44" s="39">
        <v>3.22255</v>
      </c>
      <c r="K44" s="40">
        <v>13</v>
      </c>
      <c r="L44" s="40">
        <v>13</v>
      </c>
      <c r="M44" s="41" t="s">
        <v>261</v>
      </c>
    </row>
    <row r="45" spans="1:13" ht="69" hidden="1" customHeight="1" outlineLevel="1">
      <c r="B45" s="4" t="s">
        <v>224</v>
      </c>
      <c r="C45" s="14" t="s">
        <v>240</v>
      </c>
      <c r="D45" s="14" t="s">
        <v>262</v>
      </c>
      <c r="E45" s="14" t="s">
        <v>260</v>
      </c>
      <c r="F45" s="14">
        <v>49709.893507000001</v>
      </c>
      <c r="G45" s="14">
        <v>17787.879291000001</v>
      </c>
      <c r="H45" s="14">
        <v>19037.623614</v>
      </c>
      <c r="I45" s="14">
        <v>14918.753263000001</v>
      </c>
      <c r="J45" s="39">
        <v>3.4540299999999999</v>
      </c>
      <c r="K45" s="40">
        <v>15</v>
      </c>
      <c r="L45" s="40">
        <v>13</v>
      </c>
      <c r="M45" s="41" t="s">
        <v>261</v>
      </c>
    </row>
    <row r="46" spans="1:13" ht="69" hidden="1" customHeight="1" outlineLevel="1">
      <c r="B46" s="4" t="s">
        <v>224</v>
      </c>
      <c r="C46" s="14" t="s">
        <v>240</v>
      </c>
      <c r="D46" s="14" t="s">
        <v>263</v>
      </c>
      <c r="E46" s="14" t="s">
        <v>260</v>
      </c>
      <c r="F46" s="14">
        <v>52237.827705999996</v>
      </c>
      <c r="G46" s="14">
        <v>18692.459551</v>
      </c>
      <c r="H46" s="14">
        <v>20005.758052000001</v>
      </c>
      <c r="I46" s="14">
        <v>15469.30111</v>
      </c>
      <c r="J46" s="39">
        <v>3.68892</v>
      </c>
      <c r="K46" s="40">
        <v>10</v>
      </c>
      <c r="L46" s="40">
        <v>6</v>
      </c>
      <c r="M46" s="41" t="s">
        <v>261</v>
      </c>
    </row>
    <row r="47" spans="1:13" ht="69" hidden="1" customHeight="1" outlineLevel="1">
      <c r="B47" s="4" t="s">
        <v>224</v>
      </c>
      <c r="C47" s="14" t="s">
        <v>240</v>
      </c>
      <c r="D47" s="14" t="s">
        <v>264</v>
      </c>
      <c r="E47" s="14" t="s">
        <v>260</v>
      </c>
      <c r="F47" s="14">
        <v>53539.115900999997</v>
      </c>
      <c r="G47" s="14">
        <v>19158.104429999999</v>
      </c>
      <c r="H47" s="14">
        <v>20504.118299999998</v>
      </c>
      <c r="I47" s="14">
        <v>16969.153462999999</v>
      </c>
      <c r="J47" s="39">
        <v>3.9344199999999998</v>
      </c>
      <c r="K47" s="40">
        <v>5</v>
      </c>
      <c r="L47" s="40">
        <v>4</v>
      </c>
      <c r="M47" s="41" t="s">
        <v>261</v>
      </c>
    </row>
    <row r="48" spans="1:13" ht="69" hidden="1" customHeight="1" outlineLevel="1">
      <c r="B48" s="4" t="s">
        <v>224</v>
      </c>
      <c r="C48" s="14" t="s">
        <v>240</v>
      </c>
      <c r="D48" s="14" t="s">
        <v>265</v>
      </c>
      <c r="E48" s="14" t="s">
        <v>260</v>
      </c>
      <c r="F48" s="14">
        <v>56899</v>
      </c>
      <c r="G48" s="14">
        <v>20360.384471000001</v>
      </c>
      <c r="H48" s="14">
        <v>21790.868367999999</v>
      </c>
      <c r="I48" s="14">
        <v>18071.470003999999</v>
      </c>
      <c r="J48" s="39">
        <v>4.1900000000000004</v>
      </c>
      <c r="K48" s="40">
        <v>5</v>
      </c>
      <c r="L48" s="40">
        <v>2</v>
      </c>
      <c r="M48" s="41" t="s">
        <v>261</v>
      </c>
    </row>
    <row r="49" spans="2:13" ht="69" hidden="1" customHeight="1" outlineLevel="1">
      <c r="B49" s="4" t="s">
        <v>225</v>
      </c>
      <c r="C49" s="14" t="s">
        <v>241</v>
      </c>
      <c r="D49" s="14" t="s">
        <v>266</v>
      </c>
      <c r="E49" s="14" t="s">
        <v>260</v>
      </c>
      <c r="F49" s="14">
        <v>98457.905178000001</v>
      </c>
      <c r="G49" s="14">
        <v>17319.191887000001</v>
      </c>
      <c r="H49" s="14">
        <v>13323.85202</v>
      </c>
      <c r="I49" s="14">
        <v>11815.777137999999</v>
      </c>
      <c r="J49" s="39">
        <v>8.60581</v>
      </c>
      <c r="K49" s="40">
        <v>15</v>
      </c>
      <c r="L49" s="40">
        <v>12</v>
      </c>
      <c r="M49" s="41" t="s">
        <v>261</v>
      </c>
    </row>
    <row r="50" spans="2:13" ht="69" hidden="1" customHeight="1" outlineLevel="1">
      <c r="B50" s="4" t="s">
        <v>225</v>
      </c>
      <c r="C50" s="14" t="s">
        <v>241</v>
      </c>
      <c r="D50" s="14" t="s">
        <v>267</v>
      </c>
      <c r="E50" s="14" t="s">
        <v>260</v>
      </c>
      <c r="F50" s="14">
        <v>101547.77647700001</v>
      </c>
      <c r="G50" s="14">
        <v>17862.714257</v>
      </c>
      <c r="H50" s="14">
        <v>13741.989982999999</v>
      </c>
      <c r="I50" s="14">
        <v>12351.652173500001</v>
      </c>
      <c r="J50" s="39">
        <v>9.1717099999999991</v>
      </c>
      <c r="K50" s="40">
        <v>17</v>
      </c>
      <c r="L50" s="40">
        <v>14</v>
      </c>
      <c r="M50" s="41" t="s">
        <v>261</v>
      </c>
    </row>
    <row r="51" spans="2:13" ht="69" hidden="1" customHeight="1" outlineLevel="1">
      <c r="B51" s="4" t="s">
        <v>225</v>
      </c>
      <c r="C51" s="14" t="s">
        <v>241</v>
      </c>
      <c r="D51" s="14" t="s">
        <v>268</v>
      </c>
      <c r="E51" s="14" t="s">
        <v>260</v>
      </c>
      <c r="F51" s="14">
        <v>105237.747971</v>
      </c>
      <c r="G51" s="14">
        <v>18511.796971</v>
      </c>
      <c r="H51" s="14">
        <v>14241.336724999999</v>
      </c>
      <c r="I51" s="14">
        <v>12216</v>
      </c>
      <c r="J51" s="39">
        <v>9.8390699999999995</v>
      </c>
      <c r="K51" s="40">
        <v>12</v>
      </c>
      <c r="L51" s="40">
        <v>5</v>
      </c>
      <c r="M51" s="41" t="s">
        <v>261</v>
      </c>
    </row>
    <row r="52" spans="2:13" ht="69" hidden="1" customHeight="1" outlineLevel="1">
      <c r="B52" s="4" t="s">
        <v>225</v>
      </c>
      <c r="C52" s="14" t="s">
        <v>241</v>
      </c>
      <c r="D52" s="14" t="s">
        <v>269</v>
      </c>
      <c r="E52" s="14" t="s">
        <v>260</v>
      </c>
      <c r="F52" s="14">
        <v>106863.622617</v>
      </c>
      <c r="G52" s="14">
        <v>18797.795692</v>
      </c>
      <c r="H52" s="14">
        <v>14461.358806</v>
      </c>
      <c r="I52" s="14">
        <v>13650.654339000001</v>
      </c>
      <c r="J52" s="39">
        <v>9.9422099999999993</v>
      </c>
      <c r="K52" s="40">
        <v>7</v>
      </c>
      <c r="L52" s="40">
        <v>1</v>
      </c>
      <c r="M52" s="41" t="s">
        <v>261</v>
      </c>
    </row>
    <row r="53" spans="2:13" ht="69" hidden="1" customHeight="1" outlineLevel="1">
      <c r="B53" s="4" t="s">
        <v>225</v>
      </c>
      <c r="C53" s="14" t="s">
        <v>241</v>
      </c>
      <c r="D53" s="14" t="s">
        <v>270</v>
      </c>
      <c r="E53" s="14" t="s">
        <v>260</v>
      </c>
      <c r="F53" s="14">
        <v>112485</v>
      </c>
      <c r="G53" s="14">
        <v>19786.621459000002</v>
      </c>
      <c r="H53" s="14">
        <v>15222.073754999999</v>
      </c>
      <c r="I53" s="14">
        <v>14649.91001</v>
      </c>
      <c r="J53" s="39">
        <v>10.67</v>
      </c>
      <c r="K53" s="40">
        <v>11</v>
      </c>
      <c r="L53" s="40">
        <v>1</v>
      </c>
      <c r="M53" s="41" t="s">
        <v>261</v>
      </c>
    </row>
    <row r="54" spans="2:13" ht="69" hidden="1" customHeight="1" outlineLevel="1">
      <c r="B54" s="4" t="s">
        <v>226</v>
      </c>
      <c r="C54" s="14" t="s">
        <v>242</v>
      </c>
      <c r="D54" s="14" t="s">
        <v>259</v>
      </c>
      <c r="E54" s="14" t="s">
        <v>260</v>
      </c>
      <c r="F54" s="14">
        <v>9215.2085490000009</v>
      </c>
      <c r="G54" s="14">
        <v>2690.3127370000002</v>
      </c>
      <c r="H54" s="14">
        <v>2592.7480019999998</v>
      </c>
      <c r="I54" s="14">
        <v>2205.8980499999998</v>
      </c>
      <c r="J54" s="39">
        <v>2.2593999999999999</v>
      </c>
      <c r="K54" s="40">
        <v>18</v>
      </c>
      <c r="L54" s="40">
        <v>10</v>
      </c>
      <c r="M54" s="41" t="s">
        <v>261</v>
      </c>
    </row>
    <row r="55" spans="2:13" ht="69" hidden="1" customHeight="1" outlineLevel="1">
      <c r="B55" s="4" t="s">
        <v>226</v>
      </c>
      <c r="C55" s="14" t="s">
        <v>242</v>
      </c>
      <c r="D55" s="14" t="s">
        <v>262</v>
      </c>
      <c r="E55" s="14" t="s">
        <v>260</v>
      </c>
      <c r="F55" s="14">
        <v>10008.098502000001</v>
      </c>
      <c r="G55" s="14">
        <v>2921.7911589999999</v>
      </c>
      <c r="H55" s="14">
        <v>2815.8318119999999</v>
      </c>
      <c r="I55" s="14">
        <v>2483.3438500000002</v>
      </c>
      <c r="J55" s="39">
        <v>2.5377399999999999</v>
      </c>
      <c r="K55" s="40">
        <v>17</v>
      </c>
      <c r="L55" s="40">
        <v>9</v>
      </c>
      <c r="M55" s="41" t="s">
        <v>261</v>
      </c>
    </row>
    <row r="56" spans="2:13" ht="69" hidden="1" customHeight="1" outlineLevel="1">
      <c r="B56" s="4" t="s">
        <v>226</v>
      </c>
      <c r="C56" s="14" t="s">
        <v>242</v>
      </c>
      <c r="D56" s="14" t="s">
        <v>263</v>
      </c>
      <c r="E56" s="14" t="s">
        <v>260</v>
      </c>
      <c r="F56" s="14">
        <v>10871.699167999999</v>
      </c>
      <c r="G56" s="14">
        <v>3173.9130570000002</v>
      </c>
      <c r="H56" s="14">
        <v>3058.8104589999998</v>
      </c>
      <c r="I56" s="14">
        <v>2734.66041</v>
      </c>
      <c r="J56" s="39">
        <v>2.84666</v>
      </c>
      <c r="K56" s="40">
        <v>14</v>
      </c>
      <c r="L56" s="40">
        <v>8</v>
      </c>
      <c r="M56" s="41" t="s">
        <v>261</v>
      </c>
    </row>
    <row r="57" spans="2:13" ht="69" hidden="1" customHeight="1" outlineLevel="1">
      <c r="B57" s="4" t="s">
        <v>226</v>
      </c>
      <c r="C57" s="14" t="s">
        <v>242</v>
      </c>
      <c r="D57" s="14" t="s">
        <v>264</v>
      </c>
      <c r="E57" s="14" t="s">
        <v>260</v>
      </c>
      <c r="F57" s="14">
        <v>10715.734796999999</v>
      </c>
      <c r="G57" s="14">
        <v>3128.3804</v>
      </c>
      <c r="H57" s="14">
        <v>3014.9290529999998</v>
      </c>
      <c r="I57" s="14">
        <v>2728.730818</v>
      </c>
      <c r="J57" s="39">
        <v>2.77183</v>
      </c>
      <c r="K57" s="40">
        <v>9</v>
      </c>
      <c r="L57" s="40">
        <v>6</v>
      </c>
      <c r="M57" s="41" t="s">
        <v>261</v>
      </c>
    </row>
    <row r="58" spans="2:13" ht="69" hidden="1" customHeight="1" outlineLevel="1">
      <c r="B58" s="4" t="s">
        <v>226</v>
      </c>
      <c r="C58" s="14" t="s">
        <v>242</v>
      </c>
      <c r="D58" s="14" t="s">
        <v>265</v>
      </c>
      <c r="E58" s="14" t="s">
        <v>260</v>
      </c>
      <c r="F58" s="14">
        <v>13197</v>
      </c>
      <c r="G58" s="14">
        <v>3852.7676280000001</v>
      </c>
      <c r="H58" s="14">
        <v>3713.0462320000001</v>
      </c>
      <c r="I58" s="14">
        <v>3603.0906629999999</v>
      </c>
      <c r="J58" s="39">
        <v>3.66</v>
      </c>
      <c r="K58" s="40">
        <v>13</v>
      </c>
      <c r="L58" s="40">
        <v>6</v>
      </c>
      <c r="M58" s="41" t="s">
        <v>261</v>
      </c>
    </row>
    <row r="59" spans="2:13" ht="69" hidden="1" customHeight="1" outlineLevel="1">
      <c r="B59" s="4" t="s">
        <v>227</v>
      </c>
      <c r="C59" s="14" t="s">
        <v>243</v>
      </c>
      <c r="D59" s="14" t="s">
        <v>259</v>
      </c>
      <c r="E59" s="14" t="s">
        <v>260</v>
      </c>
      <c r="F59" s="14">
        <v>3382.38141</v>
      </c>
      <c r="G59" s="14">
        <v>107.091587</v>
      </c>
      <c r="H59" s="14">
        <v>89.180361000000005</v>
      </c>
      <c r="I59" s="14">
        <v>406.08980000000003</v>
      </c>
      <c r="J59" s="39">
        <v>1.6131200000000001</v>
      </c>
      <c r="K59" s="40">
        <v>17</v>
      </c>
      <c r="L59" s="40">
        <v>14</v>
      </c>
      <c r="M59" s="41" t="s">
        <v>261</v>
      </c>
    </row>
    <row r="60" spans="2:13" ht="69" hidden="1" customHeight="1" outlineLevel="1">
      <c r="B60" s="4" t="s">
        <v>227</v>
      </c>
      <c r="C60" s="14" t="s">
        <v>243</v>
      </c>
      <c r="D60" s="14" t="s">
        <v>262</v>
      </c>
      <c r="E60" s="14" t="s">
        <v>260</v>
      </c>
      <c r="F60" s="14">
        <v>3716.504105</v>
      </c>
      <c r="G60" s="14">
        <v>117.670444</v>
      </c>
      <c r="H60" s="14">
        <v>97.989887999999993</v>
      </c>
      <c r="I60" s="14">
        <v>509.15674000000001</v>
      </c>
      <c r="J60" s="39">
        <v>2.0278499999999999</v>
      </c>
      <c r="K60" s="40">
        <v>18</v>
      </c>
      <c r="L60" s="40">
        <v>15</v>
      </c>
      <c r="M60" s="41" t="s">
        <v>261</v>
      </c>
    </row>
    <row r="61" spans="2:13" ht="69" hidden="1" customHeight="1" outlineLevel="1">
      <c r="B61" s="4" t="s">
        <v>227</v>
      </c>
      <c r="C61" s="14" t="s">
        <v>243</v>
      </c>
      <c r="D61" s="14" t="s">
        <v>263</v>
      </c>
      <c r="E61" s="14" t="s">
        <v>260</v>
      </c>
      <c r="F61" s="14">
        <v>4044.1725809999998</v>
      </c>
      <c r="G61" s="14">
        <v>128.04495</v>
      </c>
      <c r="H61" s="14">
        <v>106.629243</v>
      </c>
      <c r="I61" s="14">
        <v>616.79259000000002</v>
      </c>
      <c r="J61" s="39">
        <v>2.3322699999999998</v>
      </c>
      <c r="K61" s="40">
        <v>11</v>
      </c>
      <c r="L61" s="40">
        <v>6</v>
      </c>
      <c r="M61" s="41" t="s">
        <v>261</v>
      </c>
    </row>
    <row r="62" spans="2:13" ht="69" hidden="1" customHeight="1" outlineLevel="1">
      <c r="B62" s="4" t="s">
        <v>227</v>
      </c>
      <c r="C62" s="14" t="s">
        <v>243</v>
      </c>
      <c r="D62" s="14" t="s">
        <v>264</v>
      </c>
      <c r="E62" s="14" t="s">
        <v>260</v>
      </c>
      <c r="F62" s="14">
        <v>4245.8677500000003</v>
      </c>
      <c r="G62" s="14">
        <v>134.43094099999999</v>
      </c>
      <c r="H62" s="14">
        <v>111.94716699999999</v>
      </c>
      <c r="I62" s="14">
        <v>570.52910699999995</v>
      </c>
      <c r="J62" s="39">
        <v>2.4055499999999999</v>
      </c>
      <c r="K62" s="40">
        <v>5</v>
      </c>
      <c r="L62" s="40">
        <v>4</v>
      </c>
      <c r="M62" s="41" t="s">
        <v>261</v>
      </c>
    </row>
    <row r="63" spans="2:13" ht="69" hidden="1" customHeight="1" outlineLevel="1">
      <c r="B63" s="2" t="s">
        <v>227</v>
      </c>
      <c r="C63" s="19" t="s">
        <v>243</v>
      </c>
      <c r="D63" s="19" t="s">
        <v>265</v>
      </c>
      <c r="E63" s="19" t="s">
        <v>260</v>
      </c>
      <c r="F63" s="19">
        <v>4560.9350350000004</v>
      </c>
      <c r="G63" s="19">
        <v>144.40647300000001</v>
      </c>
      <c r="H63" s="19">
        <v>120.254277</v>
      </c>
      <c r="I63" s="19">
        <v>633.97261700000001</v>
      </c>
      <c r="J63" s="176">
        <v>2.6730499999999999</v>
      </c>
      <c r="K63" s="177">
        <v>5</v>
      </c>
      <c r="L63" s="177">
        <v>2</v>
      </c>
      <c r="M63" s="178" t="s">
        <v>261</v>
      </c>
    </row>
    <row r="64" spans="2:13" ht="15" customHeight="1" collapsed="1">
      <c r="B64" s="88" t="s">
        <v>228</v>
      </c>
      <c r="C64" s="92" t="s">
        <v>244</v>
      </c>
      <c r="D64" s="92" t="s">
        <v>271</v>
      </c>
      <c r="E64" s="92" t="s">
        <v>272</v>
      </c>
      <c r="F64" s="92">
        <v>7228.0550000000003</v>
      </c>
      <c r="G64" s="92">
        <v>1774.288241</v>
      </c>
      <c r="H64" s="92">
        <v>1569.884978</v>
      </c>
      <c r="I64" s="92">
        <v>0</v>
      </c>
      <c r="J64" s="95">
        <v>0</v>
      </c>
      <c r="K64" s="96">
        <v>1</v>
      </c>
      <c r="L64" s="96">
        <v>0</v>
      </c>
      <c r="M64" s="97"/>
    </row>
    <row r="65" spans="2:13" ht="15" customHeight="1">
      <c r="B65" s="104" t="s">
        <v>228</v>
      </c>
      <c r="C65" s="174" t="s">
        <v>244</v>
      </c>
      <c r="D65" s="174" t="s">
        <v>259</v>
      </c>
      <c r="E65" s="174" t="s">
        <v>273</v>
      </c>
      <c r="F65" s="174">
        <v>7517.177200000001</v>
      </c>
      <c r="G65" s="174">
        <v>1225.2998835999999</v>
      </c>
      <c r="H65" s="174">
        <v>999.78456760000017</v>
      </c>
      <c r="I65" s="174">
        <v>601.37417600000015</v>
      </c>
      <c r="J65" s="179">
        <v>7.1757034137959854</v>
      </c>
      <c r="K65" s="180"/>
      <c r="L65" s="180"/>
      <c r="M65" s="181"/>
    </row>
    <row r="66" spans="2:13" ht="15" customHeight="1">
      <c r="B66" s="104" t="s">
        <v>228</v>
      </c>
      <c r="C66" s="174" t="s">
        <v>244</v>
      </c>
      <c r="D66" s="174" t="s">
        <v>262</v>
      </c>
      <c r="E66" s="174" t="s">
        <v>273</v>
      </c>
      <c r="F66" s="174">
        <v>7780.2784020000008</v>
      </c>
      <c r="G66" s="174">
        <v>1275.9656579279999</v>
      </c>
      <c r="H66" s="174">
        <v>1042.557305868</v>
      </c>
      <c r="I66" s="174">
        <v>630.20255056200006</v>
      </c>
      <c r="J66" s="179">
        <v>7.5196886961948293</v>
      </c>
      <c r="K66" s="180"/>
      <c r="L66" s="180"/>
      <c r="M66" s="181"/>
    </row>
    <row r="67" spans="2:13" ht="15" customHeight="1">
      <c r="B67" s="104" t="s">
        <v>228</v>
      </c>
      <c r="C67" s="174" t="s">
        <v>244</v>
      </c>
      <c r="D67" s="174" t="s">
        <v>263</v>
      </c>
      <c r="E67" s="174" t="s">
        <v>273</v>
      </c>
      <c r="F67" s="174">
        <v>8013.6867540600006</v>
      </c>
      <c r="G67" s="174">
        <v>1322.2583144199</v>
      </c>
      <c r="H67" s="174">
        <v>1081.8477117980999</v>
      </c>
      <c r="I67" s="174">
        <v>657.1223138329201</v>
      </c>
      <c r="J67" s="179">
        <v>7.8409000898841397</v>
      </c>
      <c r="K67" s="180"/>
      <c r="L67" s="180"/>
      <c r="M67" s="181"/>
    </row>
    <row r="68" spans="2:13" ht="15" customHeight="1">
      <c r="B68" s="104" t="s">
        <v>229</v>
      </c>
      <c r="C68" s="174" t="s">
        <v>245</v>
      </c>
      <c r="D68" s="174" t="s">
        <v>274</v>
      </c>
      <c r="E68" s="174" t="s">
        <v>260</v>
      </c>
      <c r="F68" s="174">
        <v>1179.8114049999999</v>
      </c>
      <c r="G68" s="174">
        <v>248.47481099999999</v>
      </c>
      <c r="H68" s="174">
        <v>220.251214</v>
      </c>
      <c r="I68" s="174">
        <v>187.636067</v>
      </c>
      <c r="J68" s="179">
        <v>2.00284</v>
      </c>
      <c r="K68" s="180">
        <v>1</v>
      </c>
      <c r="L68" s="180">
        <v>1</v>
      </c>
      <c r="M68" s="181"/>
    </row>
    <row r="69" spans="2:13" ht="15" customHeight="1">
      <c r="B69" s="104" t="s">
        <v>229</v>
      </c>
      <c r="C69" s="174" t="s">
        <v>245</v>
      </c>
      <c r="D69" s="174" t="s">
        <v>275</v>
      </c>
      <c r="E69" s="174" t="s">
        <v>260</v>
      </c>
      <c r="F69" s="174">
        <v>1219.0514619999999</v>
      </c>
      <c r="G69" s="174">
        <v>256.73898400000002</v>
      </c>
      <c r="H69" s="174">
        <v>227.57668200000001</v>
      </c>
      <c r="I69" s="174">
        <v>188.512959</v>
      </c>
      <c r="J69" s="179">
        <v>2.0122</v>
      </c>
      <c r="K69" s="180">
        <v>1</v>
      </c>
      <c r="L69" s="180">
        <v>1</v>
      </c>
      <c r="M69" s="181"/>
    </row>
    <row r="70" spans="2:13" ht="15" customHeight="1">
      <c r="B70" s="104" t="s">
        <v>229</v>
      </c>
      <c r="C70" s="174" t="s">
        <v>245</v>
      </c>
      <c r="D70" s="174" t="s">
        <v>276</v>
      </c>
      <c r="E70" s="174" t="s">
        <v>260</v>
      </c>
      <c r="F70" s="174">
        <v>1226.8819229999999</v>
      </c>
      <c r="G70" s="174">
        <v>258.38812300000001</v>
      </c>
      <c r="H70" s="174">
        <v>229.038499</v>
      </c>
      <c r="I70" s="174">
        <v>198.07726</v>
      </c>
      <c r="J70" s="179">
        <v>2.11429</v>
      </c>
      <c r="K70" s="180">
        <v>1</v>
      </c>
      <c r="L70" s="180">
        <v>1</v>
      </c>
      <c r="M70" s="181"/>
    </row>
    <row r="71" spans="2:13" ht="15" customHeight="1">
      <c r="B71" s="104" t="s">
        <v>230</v>
      </c>
      <c r="C71" s="174" t="s">
        <v>246</v>
      </c>
      <c r="D71" s="174" t="s">
        <v>259</v>
      </c>
      <c r="E71" s="174" t="s">
        <v>260</v>
      </c>
      <c r="F71" s="174">
        <v>11131.978365999999</v>
      </c>
      <c r="G71" s="174">
        <v>1254.7531180000001</v>
      </c>
      <c r="H71" s="174">
        <v>522.435968</v>
      </c>
      <c r="I71" s="174">
        <v>919.56462999999997</v>
      </c>
      <c r="J71" s="179">
        <v>4.6951599999999996</v>
      </c>
      <c r="K71" s="180">
        <v>14</v>
      </c>
      <c r="L71" s="180">
        <v>12</v>
      </c>
      <c r="M71" s="181"/>
    </row>
    <row r="72" spans="2:13" ht="15" customHeight="1">
      <c r="B72" s="104" t="s">
        <v>230</v>
      </c>
      <c r="C72" s="174" t="s">
        <v>246</v>
      </c>
      <c r="D72" s="174" t="s">
        <v>262</v>
      </c>
      <c r="E72" s="174" t="s">
        <v>260</v>
      </c>
      <c r="F72" s="174">
        <v>11147.827556</v>
      </c>
      <c r="G72" s="174">
        <v>1256.5395759999999</v>
      </c>
      <c r="H72" s="174">
        <v>523.17978800000003</v>
      </c>
      <c r="I72" s="174">
        <v>929.62284</v>
      </c>
      <c r="J72" s="179">
        <v>4.9823300000000001</v>
      </c>
      <c r="K72" s="180">
        <v>13</v>
      </c>
      <c r="L72" s="180">
        <v>12</v>
      </c>
      <c r="M72" s="181"/>
    </row>
    <row r="73" spans="2:13" ht="15" customHeight="1">
      <c r="B73" s="104" t="s">
        <v>230</v>
      </c>
      <c r="C73" s="174" t="s">
        <v>246</v>
      </c>
      <c r="D73" s="174" t="s">
        <v>263</v>
      </c>
      <c r="E73" s="174" t="s">
        <v>260</v>
      </c>
      <c r="F73" s="174">
        <v>11219.497896000001</v>
      </c>
      <c r="G73" s="174">
        <v>1264.6179770000001</v>
      </c>
      <c r="H73" s="174">
        <v>526.54335600000002</v>
      </c>
      <c r="I73" s="174">
        <v>950.56259999999997</v>
      </c>
      <c r="J73" s="179">
        <v>5.3700700000000001</v>
      </c>
      <c r="K73" s="180">
        <v>13</v>
      </c>
      <c r="L73" s="180">
        <v>6</v>
      </c>
      <c r="M73" s="181"/>
    </row>
    <row r="74" spans="2:13" ht="15" customHeight="1">
      <c r="B74" s="104" t="s">
        <v>230</v>
      </c>
      <c r="C74" s="174" t="s">
        <v>246</v>
      </c>
      <c r="D74" s="174" t="s">
        <v>264</v>
      </c>
      <c r="E74" s="174" t="s">
        <v>260</v>
      </c>
      <c r="F74" s="174">
        <v>11281.200223</v>
      </c>
      <c r="G74" s="174">
        <v>1271.5728220000001</v>
      </c>
      <c r="H74" s="174">
        <v>529.43911400000002</v>
      </c>
      <c r="I74" s="174">
        <v>1142.2558939999999</v>
      </c>
      <c r="J74" s="179">
        <v>5.8367699999999996</v>
      </c>
      <c r="K74" s="180">
        <v>12</v>
      </c>
      <c r="L74" s="180">
        <v>4</v>
      </c>
      <c r="M74" s="181"/>
    </row>
    <row r="75" spans="2:13" ht="15" customHeight="1">
      <c r="B75" s="104" t="s">
        <v>230</v>
      </c>
      <c r="C75" s="174" t="s">
        <v>246</v>
      </c>
      <c r="D75" s="174" t="s">
        <v>265</v>
      </c>
      <c r="E75" s="174" t="s">
        <v>260</v>
      </c>
      <c r="F75" s="174">
        <v>11560.55</v>
      </c>
      <c r="G75" s="174">
        <v>1303.0600380000001</v>
      </c>
      <c r="H75" s="174">
        <v>542.549306</v>
      </c>
      <c r="I75" s="174">
        <v>1201.5980059999999</v>
      </c>
      <c r="J75" s="179">
        <v>6.14</v>
      </c>
      <c r="K75" s="180">
        <v>6</v>
      </c>
      <c r="L75" s="180">
        <v>2</v>
      </c>
      <c r="M75" s="181"/>
    </row>
    <row r="76" spans="2:13" ht="15" customHeight="1">
      <c r="B76" s="104" t="s">
        <v>231</v>
      </c>
      <c r="C76" s="174" t="s">
        <v>247</v>
      </c>
      <c r="D76" s="174" t="s">
        <v>259</v>
      </c>
      <c r="E76" s="174" t="s">
        <v>260</v>
      </c>
      <c r="F76" s="174">
        <v>696.48661300000003</v>
      </c>
      <c r="G76" s="174">
        <v>171.494415</v>
      </c>
      <c r="H76" s="174">
        <v>173.18211700000001</v>
      </c>
      <c r="I76" s="174">
        <v>91.710880000000003</v>
      </c>
      <c r="J76" s="179">
        <v>1.5454600000000001</v>
      </c>
      <c r="K76" s="180">
        <v>7</v>
      </c>
      <c r="L76" s="180">
        <v>5</v>
      </c>
      <c r="M76" s="181"/>
    </row>
    <row r="77" spans="2:13" ht="15" customHeight="1">
      <c r="B77" s="104" t="s">
        <v>231</v>
      </c>
      <c r="C77" s="174" t="s">
        <v>247</v>
      </c>
      <c r="D77" s="174" t="s">
        <v>262</v>
      </c>
      <c r="E77" s="174" t="s">
        <v>260</v>
      </c>
      <c r="F77" s="174">
        <v>777.99723600000004</v>
      </c>
      <c r="G77" s="174">
        <v>191.56460200000001</v>
      </c>
      <c r="H77" s="174">
        <v>193.44981799999999</v>
      </c>
      <c r="I77" s="174">
        <v>107.46550999999999</v>
      </c>
      <c r="J77" s="179">
        <v>1.80091</v>
      </c>
      <c r="K77" s="180">
        <v>7</v>
      </c>
      <c r="L77" s="180">
        <v>5</v>
      </c>
      <c r="M77" s="181"/>
    </row>
    <row r="78" spans="2:13" ht="15" customHeight="1">
      <c r="B78" s="104" t="s">
        <v>231</v>
      </c>
      <c r="C78" s="174" t="s">
        <v>247</v>
      </c>
      <c r="D78" s="174" t="s">
        <v>263</v>
      </c>
      <c r="E78" s="174" t="s">
        <v>260</v>
      </c>
      <c r="F78" s="174">
        <v>867.82042899999999</v>
      </c>
      <c r="G78" s="174">
        <v>213.68157500000001</v>
      </c>
      <c r="H78" s="174">
        <v>215.784448</v>
      </c>
      <c r="I78" s="174">
        <v>124.56988</v>
      </c>
      <c r="J78" s="179">
        <v>2.0433300000000001</v>
      </c>
      <c r="K78" s="180">
        <v>3</v>
      </c>
      <c r="L78" s="180">
        <v>3</v>
      </c>
      <c r="M78" s="181"/>
    </row>
    <row r="79" spans="2:13" ht="15" customHeight="1">
      <c r="B79" s="104" t="s">
        <v>231</v>
      </c>
      <c r="C79" s="174" t="s">
        <v>247</v>
      </c>
      <c r="D79" s="174" t="s">
        <v>264</v>
      </c>
      <c r="E79" s="174" t="s">
        <v>260</v>
      </c>
      <c r="F79" s="174">
        <v>936</v>
      </c>
      <c r="G79" s="174">
        <v>230.46928600000001</v>
      </c>
      <c r="H79" s="174">
        <v>232.737369</v>
      </c>
      <c r="I79" s="174">
        <v>137.32601399999999</v>
      </c>
      <c r="J79" s="179">
        <v>2.29</v>
      </c>
      <c r="K79" s="180">
        <v>2</v>
      </c>
      <c r="L79" s="180">
        <v>1</v>
      </c>
      <c r="M79" s="181"/>
    </row>
    <row r="80" spans="2:13" ht="15" customHeight="1">
      <c r="B80" s="104" t="s">
        <v>231</v>
      </c>
      <c r="C80" s="174" t="s">
        <v>247</v>
      </c>
      <c r="D80" s="174" t="s">
        <v>265</v>
      </c>
      <c r="E80" s="174" t="s">
        <v>260</v>
      </c>
      <c r="F80" s="174">
        <v>1026</v>
      </c>
      <c r="G80" s="174">
        <v>252.629794</v>
      </c>
      <c r="H80" s="174">
        <v>255.115962</v>
      </c>
      <c r="I80" s="174">
        <v>151.71825999999999</v>
      </c>
      <c r="J80" s="179">
        <v>2.5299999999999998</v>
      </c>
      <c r="K80" s="180">
        <v>1</v>
      </c>
      <c r="L80" s="180">
        <v>1</v>
      </c>
      <c r="M80" s="181"/>
    </row>
    <row r="81" spans="2:13" ht="15" customHeight="1">
      <c r="B81" s="104" t="s">
        <v>232</v>
      </c>
      <c r="C81" s="174" t="s">
        <v>248</v>
      </c>
      <c r="D81" s="174" t="s">
        <v>259</v>
      </c>
      <c r="E81" s="174" t="s">
        <v>260</v>
      </c>
      <c r="F81" s="174">
        <v>63472.792761999997</v>
      </c>
      <c r="G81" s="174">
        <v>23791.927286999999</v>
      </c>
      <c r="H81" s="174">
        <v>17476.338401000001</v>
      </c>
      <c r="I81" s="174">
        <v>8462.7494220000008</v>
      </c>
      <c r="J81" s="179">
        <v>4.26546</v>
      </c>
      <c r="K81" s="180">
        <v>15</v>
      </c>
      <c r="L81" s="180">
        <v>8</v>
      </c>
      <c r="M81" s="181"/>
    </row>
    <row r="82" spans="2:13" ht="15" customHeight="1">
      <c r="B82" s="104" t="s">
        <v>232</v>
      </c>
      <c r="C82" s="174" t="s">
        <v>248</v>
      </c>
      <c r="D82" s="174" t="s">
        <v>262</v>
      </c>
      <c r="E82" s="174" t="s">
        <v>260</v>
      </c>
      <c r="F82" s="174">
        <v>65770.825849000001</v>
      </c>
      <c r="G82" s="174">
        <v>24653.314247999999</v>
      </c>
      <c r="H82" s="174">
        <v>18109.069404999998</v>
      </c>
      <c r="I82" s="174">
        <v>9449.3618939999997</v>
      </c>
      <c r="J82" s="179">
        <v>4.76274</v>
      </c>
      <c r="K82" s="180">
        <v>15</v>
      </c>
      <c r="L82" s="180">
        <v>8</v>
      </c>
      <c r="M82" s="181"/>
    </row>
    <row r="83" spans="2:13" ht="15" customHeight="1">
      <c r="B83" s="104" t="s">
        <v>232</v>
      </c>
      <c r="C83" s="174" t="s">
        <v>248</v>
      </c>
      <c r="D83" s="174" t="s">
        <v>263</v>
      </c>
      <c r="E83" s="174" t="s">
        <v>260</v>
      </c>
      <c r="F83" s="174">
        <v>68107.741372999997</v>
      </c>
      <c r="G83" s="174">
        <v>25529.275771000001</v>
      </c>
      <c r="H83" s="174">
        <v>18752.506140000001</v>
      </c>
      <c r="I83" s="174">
        <v>10562.217430999999</v>
      </c>
      <c r="J83" s="179">
        <v>5.3236499999999998</v>
      </c>
      <c r="K83" s="180">
        <v>6</v>
      </c>
      <c r="L83" s="180">
        <v>7</v>
      </c>
      <c r="M83" s="181"/>
    </row>
    <row r="84" spans="2:13" ht="15" customHeight="1">
      <c r="B84" s="104" t="s">
        <v>232</v>
      </c>
      <c r="C84" s="174" t="s">
        <v>248</v>
      </c>
      <c r="D84" s="174" t="s">
        <v>264</v>
      </c>
      <c r="E84" s="174" t="s">
        <v>260</v>
      </c>
      <c r="F84" s="174">
        <v>72413.171629000004</v>
      </c>
      <c r="G84" s="174">
        <v>27143.108709</v>
      </c>
      <c r="H84" s="174">
        <v>19937.945646</v>
      </c>
      <c r="I84" s="174">
        <v>11830.302535999999</v>
      </c>
      <c r="J84" s="179">
        <v>5.9627999999999997</v>
      </c>
      <c r="K84" s="180">
        <v>11</v>
      </c>
      <c r="L84" s="180">
        <v>6</v>
      </c>
      <c r="M84" s="181"/>
    </row>
    <row r="85" spans="2:13" ht="15" customHeight="1">
      <c r="B85" s="170" t="s">
        <v>232</v>
      </c>
      <c r="C85" s="172" t="s">
        <v>248</v>
      </c>
      <c r="D85" s="172" t="s">
        <v>265</v>
      </c>
      <c r="E85" s="172" t="s">
        <v>260</v>
      </c>
      <c r="F85" s="172">
        <v>75480.733919999999</v>
      </c>
      <c r="G85" s="172">
        <v>28292.943399</v>
      </c>
      <c r="H85" s="172">
        <v>20782.555665</v>
      </c>
      <c r="I85" s="172">
        <v>14139.699489000001</v>
      </c>
      <c r="J85" s="182">
        <v>7.1268000000000002</v>
      </c>
      <c r="K85" s="183">
        <v>7</v>
      </c>
      <c r="L85" s="183">
        <v>6</v>
      </c>
      <c r="M85" s="184"/>
    </row>
    <row r="87" spans="2:13" ht="52" customHeight="1">
      <c r="B87" s="117" t="s">
        <v>277</v>
      </c>
      <c r="C87" s="117"/>
      <c r="D87" s="117"/>
      <c r="E87" s="116"/>
    </row>
    <row r="88" spans="2:13" ht="48" customHeight="1">
      <c r="C88" s="53"/>
      <c r="D88" s="53"/>
      <c r="E88" s="53"/>
    </row>
  </sheetData>
  <pageMargins left="0.75" right="0.75" top="1" bottom="1" header="0.5" footer="0.5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A1:H29"/>
  <sheetViews>
    <sheetView showGridLines="0" workbookViewId="0">
      <pane ySplit="3" topLeftCell="A4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12" customWidth="1"/>
    <col min="3" max="4" width="22" customWidth="1"/>
    <col min="5" max="5" width="14" customWidth="1"/>
    <col min="6" max="7" width="12" customWidth="1"/>
    <col min="8" max="8" width="14.140625" customWidth="1"/>
  </cols>
  <sheetData>
    <row r="1" spans="1:8" ht="9" customHeight="1">
      <c r="A1" s="341"/>
      <c r="B1" s="24"/>
      <c r="C1" s="24"/>
      <c r="D1" s="24"/>
      <c r="E1" s="24"/>
      <c r="F1" s="24"/>
      <c r="G1" s="24"/>
      <c r="H1" s="24"/>
    </row>
    <row r="2" spans="1:8" ht="22" customHeight="1">
      <c r="A2" s="24"/>
      <c r="B2" s="304" t="s">
        <v>278</v>
      </c>
      <c r="C2" s="86"/>
      <c r="D2" s="86"/>
      <c r="E2" s="86"/>
      <c r="F2" s="24"/>
      <c r="G2" s="24"/>
      <c r="H2" s="24"/>
    </row>
    <row r="3" spans="1:8" ht="15" customHeight="1">
      <c r="A3" s="24"/>
      <c r="B3" s="305" t="s">
        <v>279</v>
      </c>
      <c r="C3" s="24"/>
      <c r="D3" s="24"/>
      <c r="E3" s="24"/>
      <c r="F3" s="24"/>
      <c r="G3" s="24"/>
      <c r="H3" s="24"/>
    </row>
    <row r="4" spans="1:8" ht="9" customHeight="1">
      <c r="A4" s="24"/>
      <c r="B4" s="24"/>
      <c r="C4" s="24"/>
      <c r="D4" s="24"/>
      <c r="E4" s="24"/>
      <c r="F4" s="24"/>
      <c r="G4" s="24"/>
      <c r="H4" s="24"/>
    </row>
    <row r="5" spans="1:8" ht="18" customHeight="1">
      <c r="A5" s="24"/>
      <c r="B5" s="312" t="s">
        <v>280</v>
      </c>
      <c r="C5" s="322" t="s">
        <v>4</v>
      </c>
      <c r="D5" s="322" t="s">
        <v>6</v>
      </c>
      <c r="E5" s="322" t="s">
        <v>281</v>
      </c>
      <c r="F5" s="312" t="s">
        <v>282</v>
      </c>
      <c r="G5" s="322" t="s">
        <v>283</v>
      </c>
      <c r="H5" s="322" t="s">
        <v>284</v>
      </c>
    </row>
    <row r="6" spans="1:8" ht="15" customHeight="1">
      <c r="A6" s="24"/>
      <c r="B6" s="346" t="s">
        <v>285</v>
      </c>
      <c r="C6" s="98" t="s">
        <v>286</v>
      </c>
      <c r="D6" s="98" t="s">
        <v>287</v>
      </c>
      <c r="E6" s="92">
        <v>52177.661999999997</v>
      </c>
      <c r="F6" s="93">
        <v>3.55</v>
      </c>
      <c r="G6" s="93">
        <v>20.683</v>
      </c>
      <c r="H6" s="99">
        <v>0.379</v>
      </c>
    </row>
    <row r="7" spans="1:8" ht="15" customHeight="1">
      <c r="A7" s="24"/>
      <c r="B7" s="347" t="s">
        <v>288</v>
      </c>
      <c r="C7" s="150" t="s">
        <v>289</v>
      </c>
      <c r="D7" s="150" t="s">
        <v>290</v>
      </c>
      <c r="E7" s="174">
        <v>25065.207999999999</v>
      </c>
      <c r="F7" s="175">
        <v>2.7149999999999999</v>
      </c>
      <c r="G7" s="175">
        <v>17.390999999999998</v>
      </c>
      <c r="H7" s="185">
        <v>0.53280000000000005</v>
      </c>
    </row>
    <row r="8" spans="1:8" ht="15" customHeight="1">
      <c r="A8" s="24"/>
      <c r="B8" s="347" t="s">
        <v>291</v>
      </c>
      <c r="C8" s="150" t="s">
        <v>292</v>
      </c>
      <c r="D8" s="150" t="s">
        <v>293</v>
      </c>
      <c r="E8" s="174">
        <v>23038.048999999999</v>
      </c>
      <c r="F8" s="175">
        <v>3.4940000000000002</v>
      </c>
      <c r="G8" s="175">
        <v>18.210999999999999</v>
      </c>
      <c r="H8" s="185">
        <v>0.1535</v>
      </c>
    </row>
    <row r="9" spans="1:8" ht="15" customHeight="1">
      <c r="A9" s="24"/>
      <c r="B9" s="347" t="s">
        <v>294</v>
      </c>
      <c r="C9" s="150" t="s">
        <v>295</v>
      </c>
      <c r="D9" s="150" t="s">
        <v>296</v>
      </c>
      <c r="E9" s="174">
        <v>19274.546999999999</v>
      </c>
      <c r="F9" s="175">
        <v>2.282</v>
      </c>
      <c r="G9" s="175">
        <v>21.177</v>
      </c>
      <c r="H9" s="185">
        <v>0.17960000000000001</v>
      </c>
    </row>
    <row r="10" spans="1:8" ht="15" customHeight="1">
      <c r="A10" s="24"/>
      <c r="B10" s="347" t="s">
        <v>297</v>
      </c>
      <c r="C10" s="150" t="s">
        <v>298</v>
      </c>
      <c r="D10" s="150" t="s">
        <v>299</v>
      </c>
      <c r="E10" s="174">
        <v>17742.935000000001</v>
      </c>
      <c r="F10" s="175">
        <v>4.7350000000000003</v>
      </c>
      <c r="G10" s="175">
        <v>20.530999999999999</v>
      </c>
      <c r="H10" s="185">
        <v>0.25380000000000003</v>
      </c>
    </row>
    <row r="11" spans="1:8" ht="15" customHeight="1">
      <c r="A11" s="24"/>
      <c r="B11" s="347" t="s">
        <v>300</v>
      </c>
      <c r="C11" s="150" t="s">
        <v>301</v>
      </c>
      <c r="D11" s="150" t="s">
        <v>302</v>
      </c>
      <c r="E11" s="174">
        <v>14391.716</v>
      </c>
      <c r="F11" s="175">
        <v>2.8650000000000002</v>
      </c>
      <c r="G11" s="175">
        <v>18.579000000000001</v>
      </c>
      <c r="H11" s="185">
        <v>0.28239999999999998</v>
      </c>
    </row>
    <row r="12" spans="1:8" ht="15" customHeight="1">
      <c r="A12" s="24"/>
      <c r="B12" s="347" t="s">
        <v>303</v>
      </c>
      <c r="C12" s="150" t="s">
        <v>304</v>
      </c>
      <c r="D12" s="150" t="s">
        <v>305</v>
      </c>
      <c r="E12" s="174">
        <v>13561.397999999999</v>
      </c>
      <c r="F12" s="175">
        <v>0.85499999999999998</v>
      </c>
      <c r="G12" s="175">
        <v>17.187999999999999</v>
      </c>
      <c r="H12" s="185">
        <v>0.45079999999999998</v>
      </c>
    </row>
    <row r="13" spans="1:8" ht="15" customHeight="1">
      <c r="A13" s="24"/>
      <c r="B13" s="347" t="s">
        <v>306</v>
      </c>
      <c r="C13" s="150" t="s">
        <v>307</v>
      </c>
      <c r="D13" s="150" t="s">
        <v>308</v>
      </c>
      <c r="E13" s="174">
        <v>12890.422</v>
      </c>
      <c r="F13" s="175">
        <v>1.2130000000000001</v>
      </c>
      <c r="G13" s="175">
        <v>26.667000000000002</v>
      </c>
      <c r="H13" s="185">
        <v>0.16589999999999999</v>
      </c>
    </row>
    <row r="14" spans="1:8" ht="15" customHeight="1">
      <c r="A14" s="24"/>
      <c r="B14" s="347" t="s">
        <v>309</v>
      </c>
      <c r="C14" s="150" t="s">
        <v>310</v>
      </c>
      <c r="D14" s="150" t="s">
        <v>311</v>
      </c>
      <c r="E14" s="174">
        <v>11864.608</v>
      </c>
      <c r="F14" s="175">
        <v>0.61199999999999999</v>
      </c>
      <c r="G14" s="175">
        <v>14.965999999999999</v>
      </c>
      <c r="H14" s="185">
        <v>0.26</v>
      </c>
    </row>
    <row r="15" spans="1:8" ht="15" customHeight="1">
      <c r="A15" s="24"/>
      <c r="B15" s="347" t="s">
        <v>294</v>
      </c>
      <c r="C15" s="150" t="s">
        <v>312</v>
      </c>
      <c r="D15" s="150" t="s">
        <v>313</v>
      </c>
      <c r="E15" s="174">
        <v>11065.463</v>
      </c>
      <c r="F15" s="175">
        <v>1.659</v>
      </c>
      <c r="G15" s="175">
        <v>15.531000000000001</v>
      </c>
      <c r="H15" s="185"/>
    </row>
    <row r="16" spans="1:8" ht="15" customHeight="1">
      <c r="A16" s="24"/>
      <c r="B16" s="347" t="s">
        <v>314</v>
      </c>
      <c r="C16" s="150" t="s">
        <v>315</v>
      </c>
      <c r="D16" s="150" t="s">
        <v>316</v>
      </c>
      <c r="E16" s="174">
        <v>10528.66</v>
      </c>
      <c r="F16" s="175">
        <v>1.0229999999999999</v>
      </c>
      <c r="G16" s="175"/>
      <c r="H16" s="185"/>
    </row>
    <row r="17" spans="1:8" ht="15" customHeight="1">
      <c r="A17" s="24"/>
      <c r="B17" s="347" t="s">
        <v>317</v>
      </c>
      <c r="C17" s="150" t="s">
        <v>318</v>
      </c>
      <c r="D17" s="150" t="s">
        <v>319</v>
      </c>
      <c r="E17" s="174">
        <v>10479.411</v>
      </c>
      <c r="F17" s="175">
        <v>5.6840000000000002</v>
      </c>
      <c r="G17" s="175">
        <v>32.622999999999998</v>
      </c>
      <c r="H17" s="185">
        <v>0.30409999999999998</v>
      </c>
    </row>
    <row r="18" spans="1:8" ht="15" customHeight="1">
      <c r="A18" s="24"/>
      <c r="B18" s="347" t="s">
        <v>320</v>
      </c>
      <c r="C18" s="150" t="s">
        <v>321</v>
      </c>
      <c r="D18" s="150" t="s">
        <v>322</v>
      </c>
      <c r="E18" s="174">
        <v>10355.634</v>
      </c>
      <c r="F18" s="175">
        <v>3.0030000000000001</v>
      </c>
      <c r="G18" s="175">
        <v>33.460999999999999</v>
      </c>
      <c r="H18" s="185">
        <v>0.22389999999999999</v>
      </c>
    </row>
    <row r="19" spans="1:8" ht="15" customHeight="1">
      <c r="A19" s="24"/>
      <c r="B19" s="348" t="s">
        <v>323</v>
      </c>
      <c r="C19" s="154" t="s">
        <v>324</v>
      </c>
      <c r="D19" s="154" t="s">
        <v>313</v>
      </c>
      <c r="E19" s="172">
        <v>8413.0669999999991</v>
      </c>
      <c r="F19" s="173">
        <v>2.1869999999999998</v>
      </c>
      <c r="G19" s="173">
        <v>23.670999999999999</v>
      </c>
      <c r="H19" s="186">
        <v>2.3182999999999998</v>
      </c>
    </row>
    <row r="20" spans="1:8" ht="15" customHeight="1">
      <c r="A20" s="24"/>
      <c r="B20" s="346" t="s">
        <v>325</v>
      </c>
      <c r="C20" s="98" t="s">
        <v>326</v>
      </c>
      <c r="D20" s="98" t="s">
        <v>327</v>
      </c>
      <c r="E20" s="92">
        <v>8150.165</v>
      </c>
      <c r="F20" s="93">
        <v>3.4289999999999998</v>
      </c>
      <c r="G20" s="93">
        <v>20.542000000000002</v>
      </c>
      <c r="H20" s="99">
        <v>0.16950000000000001</v>
      </c>
    </row>
    <row r="21" spans="1:8" ht="15" customHeight="1">
      <c r="A21" s="24"/>
      <c r="B21" s="151"/>
      <c r="C21" s="151"/>
      <c r="D21" s="151"/>
      <c r="E21" s="151"/>
      <c r="F21" s="151"/>
      <c r="G21" s="151"/>
      <c r="H21" s="151"/>
    </row>
    <row r="22" spans="1:8" ht="15" customHeight="1">
      <c r="A22" s="24"/>
      <c r="B22" s="104" t="s">
        <v>328</v>
      </c>
      <c r="C22" s="151"/>
      <c r="D22" s="151"/>
      <c r="E22" s="151"/>
      <c r="F22" s="175">
        <v>2.7149999999999999</v>
      </c>
      <c r="G22" s="175">
        <v>20.5365</v>
      </c>
      <c r="H22" s="185">
        <v>0.26</v>
      </c>
    </row>
    <row r="23" spans="1:8" ht="15" customHeight="1">
      <c r="A23" s="24"/>
      <c r="B23" s="104" t="s">
        <v>329</v>
      </c>
      <c r="C23" s="151"/>
      <c r="D23" s="151"/>
      <c r="E23" s="151"/>
      <c r="F23" s="175">
        <v>2.6204000000000001</v>
      </c>
      <c r="G23" s="175">
        <v>21.515785714285709</v>
      </c>
      <c r="H23" s="185">
        <v>0.43643076923076918</v>
      </c>
    </row>
    <row r="24" spans="1:8">
      <c r="A24" s="24"/>
      <c r="B24" s="156"/>
      <c r="C24" s="156"/>
      <c r="D24" s="156"/>
      <c r="E24" s="156"/>
      <c r="F24" s="156"/>
      <c r="G24" s="156"/>
      <c r="H24" s="156"/>
    </row>
    <row r="25" spans="1:8" ht="18" customHeight="1" thickBot="1">
      <c r="A25" s="24"/>
      <c r="B25" s="349" t="s">
        <v>235</v>
      </c>
      <c r="C25" s="350" t="s">
        <v>282</v>
      </c>
      <c r="D25" s="350" t="s">
        <v>283</v>
      </c>
      <c r="E25" s="24"/>
      <c r="F25" s="24"/>
      <c r="G25" s="24"/>
      <c r="H25" s="24"/>
    </row>
    <row r="26" spans="1:8" ht="15" customHeight="1" thickBot="1">
      <c r="A26" s="24"/>
      <c r="B26" s="88" t="s">
        <v>330</v>
      </c>
      <c r="C26" s="100">
        <v>45077.144999999997</v>
      </c>
      <c r="D26" s="100">
        <v>70666.0965</v>
      </c>
      <c r="E26" s="24"/>
      <c r="F26" s="24"/>
      <c r="G26" s="24"/>
      <c r="H26" s="24"/>
    </row>
    <row r="27" spans="1:8" ht="15" customHeight="1">
      <c r="A27" s="24"/>
      <c r="B27" s="90" t="s">
        <v>161</v>
      </c>
      <c r="C27" s="101">
        <v>21.985724244203109</v>
      </c>
      <c r="D27" s="101">
        <v>40.762471749339603</v>
      </c>
      <c r="E27" s="24"/>
      <c r="F27" s="24"/>
      <c r="G27" s="24"/>
      <c r="H27" s="24"/>
    </row>
    <row r="28" spans="1:8">
      <c r="A28" s="24"/>
      <c r="B28" s="24"/>
      <c r="C28" s="24"/>
      <c r="D28" s="24"/>
      <c r="E28" s="24"/>
      <c r="F28" s="24"/>
      <c r="G28" s="24"/>
      <c r="H28" s="24"/>
    </row>
    <row r="29" spans="1:8">
      <c r="A29" s="24"/>
      <c r="B29" s="115" t="s">
        <v>331</v>
      </c>
      <c r="C29" s="24"/>
      <c r="D29" s="24"/>
      <c r="E29" s="24"/>
      <c r="F29" s="24"/>
      <c r="G29" s="24"/>
      <c r="H29" s="24"/>
    </row>
  </sheetData>
  <pageMargins left="0.75" right="0.75" top="1" bottom="1" header="0.5" footer="0.5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H32"/>
  <sheetViews>
    <sheetView showGridLines="0" workbookViewId="0">
      <pane ySplit="4" topLeftCell="A5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0" customWidth="1"/>
    <col min="3" max="8" width="14" customWidth="1"/>
  </cols>
  <sheetData>
    <row r="1" spans="1:8" ht="9" customHeight="1">
      <c r="A1" s="341"/>
      <c r="B1" s="24"/>
      <c r="C1" s="24"/>
      <c r="D1" s="24"/>
      <c r="E1" s="24"/>
      <c r="F1" s="24"/>
      <c r="G1" s="24"/>
      <c r="H1" s="24"/>
    </row>
    <row r="2" spans="1:8" ht="22" customHeight="1">
      <c r="A2" s="24"/>
      <c r="B2" s="304" t="s">
        <v>332</v>
      </c>
      <c r="C2" s="86"/>
      <c r="D2" s="86"/>
      <c r="E2" s="86"/>
      <c r="F2" s="24"/>
      <c r="G2" s="24"/>
      <c r="H2" s="24"/>
    </row>
    <row r="3" spans="1:8" ht="15" customHeight="1">
      <c r="A3" s="24"/>
      <c r="B3" s="305" t="s">
        <v>333</v>
      </c>
      <c r="C3" s="24"/>
      <c r="D3" s="24"/>
      <c r="E3" s="24"/>
      <c r="F3" s="24"/>
      <c r="G3" s="24"/>
      <c r="H3" s="24"/>
    </row>
    <row r="4" spans="1:8" ht="15" customHeight="1">
      <c r="A4" s="24"/>
      <c r="B4" s="24"/>
      <c r="C4" s="351" t="s">
        <v>334</v>
      </c>
      <c r="D4" s="351" t="s">
        <v>335</v>
      </c>
      <c r="E4" s="351" t="s">
        <v>336</v>
      </c>
      <c r="F4" s="351" t="s">
        <v>337</v>
      </c>
      <c r="G4" s="351" t="s">
        <v>338</v>
      </c>
      <c r="H4" s="351" t="s">
        <v>122</v>
      </c>
    </row>
    <row r="5" spans="1:8" ht="18" customHeight="1">
      <c r="A5" s="24"/>
      <c r="B5" s="312" t="s">
        <v>339</v>
      </c>
      <c r="C5" s="312"/>
      <c r="D5" s="312"/>
      <c r="E5" s="312"/>
      <c r="F5" s="312"/>
      <c r="G5" s="312"/>
      <c r="H5" s="312"/>
    </row>
    <row r="6" spans="1:8" ht="15" customHeight="1">
      <c r="A6" s="24"/>
      <c r="B6" s="88" t="s">
        <v>340</v>
      </c>
      <c r="C6" s="102">
        <v>0.55827164744362201</v>
      </c>
      <c r="D6" s="102">
        <v>0.55010644169360556</v>
      </c>
      <c r="E6" s="102">
        <v>0.52095041616276583</v>
      </c>
      <c r="F6" s="102">
        <v>0.5454299986499257</v>
      </c>
      <c r="G6" s="102">
        <v>0.5555989837795583</v>
      </c>
      <c r="H6" s="102">
        <v>0.52406191652111067</v>
      </c>
    </row>
    <row r="7" spans="1:8" ht="15" customHeight="1">
      <c r="A7" s="24"/>
      <c r="B7" s="104" t="s">
        <v>80</v>
      </c>
      <c r="C7" s="105">
        <v>0.25908073678774318</v>
      </c>
      <c r="D7" s="105">
        <v>0.3158558700622881</v>
      </c>
      <c r="E7" s="105">
        <v>0.22202461407128121</v>
      </c>
      <c r="F7" s="105">
        <v>0.26819225057378149</v>
      </c>
      <c r="G7" s="105">
        <v>0.2203113803660999</v>
      </c>
      <c r="H7" s="105">
        <v>0.25260495091248569</v>
      </c>
    </row>
    <row r="8" spans="1:8" ht="15" customHeight="1">
      <c r="A8" s="24"/>
      <c r="B8" s="104" t="s">
        <v>341</v>
      </c>
      <c r="C8" s="105">
        <v>0.2028748493716647</v>
      </c>
      <c r="D8" s="105">
        <v>0.2600331151935662</v>
      </c>
      <c r="E8" s="105">
        <v>0.17158710962509779</v>
      </c>
      <c r="F8" s="105">
        <v>0.2195895774267585</v>
      </c>
      <c r="G8" s="105">
        <v>0.17256204807504399</v>
      </c>
      <c r="H8" s="105">
        <v>0.20725170149972899</v>
      </c>
    </row>
    <row r="9" spans="1:8" ht="15" customHeight="1">
      <c r="A9" s="24"/>
      <c r="B9" s="170" t="s">
        <v>342</v>
      </c>
      <c r="C9" s="187">
        <v>0.1140471681872956</v>
      </c>
      <c r="D9" s="187">
        <v>0.16920286998344239</v>
      </c>
      <c r="E9" s="187">
        <v>0.1021555097104645</v>
      </c>
      <c r="F9" s="187">
        <v>0.1472255974078574</v>
      </c>
      <c r="G9" s="187">
        <v>9.3870106182007682E-2</v>
      </c>
      <c r="H9" s="187">
        <v>0.12521833403601759</v>
      </c>
    </row>
    <row r="10" spans="1:8" ht="6" customHeight="1">
      <c r="A10" s="24"/>
      <c r="B10" s="24"/>
      <c r="C10" s="24"/>
      <c r="D10" s="24"/>
      <c r="E10" s="24"/>
      <c r="F10" s="24"/>
      <c r="G10" s="24"/>
      <c r="H10" s="24"/>
    </row>
    <row r="11" spans="1:8" ht="18" customHeight="1">
      <c r="A11" s="24"/>
      <c r="B11" s="312" t="s">
        <v>343</v>
      </c>
      <c r="C11" s="312"/>
      <c r="D11" s="312"/>
      <c r="E11" s="312"/>
      <c r="F11" s="312"/>
      <c r="G11" s="312"/>
      <c r="H11" s="312"/>
    </row>
    <row r="12" spans="1:8" ht="15" customHeight="1">
      <c r="A12" s="24"/>
      <c r="B12" s="88" t="s">
        <v>344</v>
      </c>
      <c r="C12" s="102">
        <v>5.5604515506315837E-2</v>
      </c>
      <c r="D12" s="102">
        <v>8.5936248598430243E-2</v>
      </c>
      <c r="E12" s="102">
        <v>5.7151954151078557E-2</v>
      </c>
      <c r="F12" s="102">
        <v>8.4943137560367657E-2</v>
      </c>
      <c r="G12" s="102">
        <v>5.9439838303840281E-2</v>
      </c>
      <c r="H12" s="102">
        <v>8.14782881329362E-2</v>
      </c>
    </row>
    <row r="13" spans="1:8" ht="15" customHeight="1">
      <c r="A13" s="24"/>
      <c r="B13" s="104" t="s">
        <v>345</v>
      </c>
      <c r="C13" s="105">
        <v>2.6617650013057711E-2</v>
      </c>
      <c r="D13" s="105">
        <v>4.2412743586703029E-2</v>
      </c>
      <c r="E13" s="105">
        <v>2.7702220421706499E-2</v>
      </c>
      <c r="F13" s="105">
        <v>4.1837713408785733E-2</v>
      </c>
      <c r="G13" s="105">
        <v>2.696986711585252E-2</v>
      </c>
      <c r="H13" s="105">
        <v>3.7487152671342797E-2</v>
      </c>
    </row>
    <row r="14" spans="1:8" ht="15" customHeight="1">
      <c r="A14" s="24"/>
      <c r="B14" s="170" t="s">
        <v>346</v>
      </c>
      <c r="C14" s="187">
        <v>4.2080116187221843E-2</v>
      </c>
      <c r="D14" s="187">
        <v>4.9775541265902112E-2</v>
      </c>
      <c r="E14" s="187">
        <v>4.8485471297899332E-2</v>
      </c>
      <c r="F14" s="187">
        <v>5.409422894562381E-2</v>
      </c>
      <c r="G14" s="187">
        <v>4.0438977617207397E-2</v>
      </c>
      <c r="H14" s="187">
        <v>5.6143335637194959E-2</v>
      </c>
    </row>
    <row r="15" spans="1:8" ht="6" customHeight="1">
      <c r="A15" s="24"/>
      <c r="B15" s="24"/>
      <c r="C15" s="24"/>
      <c r="D15" s="24"/>
      <c r="E15" s="24"/>
      <c r="F15" s="24"/>
      <c r="G15" s="24"/>
      <c r="H15" s="24"/>
    </row>
    <row r="16" spans="1:8" ht="18" customHeight="1">
      <c r="A16" s="24"/>
      <c r="B16" s="312" t="s">
        <v>347</v>
      </c>
      <c r="C16" s="312"/>
      <c r="D16" s="312"/>
      <c r="E16" s="312"/>
      <c r="F16" s="312"/>
      <c r="G16" s="312"/>
      <c r="H16" s="312"/>
    </row>
    <row r="17" spans="1:8" ht="15" customHeight="1">
      <c r="A17" s="24"/>
      <c r="B17" s="88" t="s">
        <v>348</v>
      </c>
      <c r="C17" s="103">
        <v>0.607746863066012</v>
      </c>
      <c r="D17" s="103">
        <v>0.53123498318116291</v>
      </c>
      <c r="E17" s="103">
        <v>0.54059539918809196</v>
      </c>
      <c r="F17" s="103">
        <v>0.57734849665056864</v>
      </c>
      <c r="G17" s="103">
        <v>0.71253557728003958</v>
      </c>
      <c r="H17" s="103">
        <v>0.63258347703401785</v>
      </c>
    </row>
    <row r="18" spans="1:8" ht="15" customHeight="1">
      <c r="A18" s="24"/>
      <c r="B18" s="104" t="s">
        <v>349</v>
      </c>
      <c r="C18" s="175">
        <v>4.73156146179402</v>
      </c>
      <c r="D18" s="175">
        <v>3.1699950074887671</v>
      </c>
      <c r="E18" s="175">
        <v>4.1807113104774114</v>
      </c>
      <c r="F18" s="175">
        <v>3.6639818776743009</v>
      </c>
      <c r="G18" s="175">
        <v>4.9568302779420463</v>
      </c>
      <c r="H18" s="175">
        <v>3.6039580352885068</v>
      </c>
    </row>
    <row r="19" spans="1:8" ht="15" customHeight="1">
      <c r="A19" s="24"/>
      <c r="B19" s="104" t="s">
        <v>350</v>
      </c>
      <c r="C19" s="188">
        <v>4.1541038525963154</v>
      </c>
      <c r="D19" s="188">
        <v>5.5123809523809522</v>
      </c>
      <c r="E19" s="188">
        <v>5.566239316239316</v>
      </c>
      <c r="F19" s="188">
        <v>5.3557046979865772</v>
      </c>
      <c r="G19" s="188">
        <v>3.7880116959064329</v>
      </c>
      <c r="H19" s="188">
        <v>4.8381962864721482</v>
      </c>
    </row>
    <row r="20" spans="1:8" ht="15" customHeight="1">
      <c r="A20" s="24"/>
      <c r="B20" s="170" t="s">
        <v>351</v>
      </c>
      <c r="C20" s="189">
        <v>0.31037171822199122</v>
      </c>
      <c r="D20" s="189">
        <v>0.47139552814186592</v>
      </c>
      <c r="E20" s="189">
        <v>0.47102526002971767</v>
      </c>
      <c r="F20" s="189">
        <v>0.37853297442799461</v>
      </c>
      <c r="G20" s="189">
        <v>0.49425003091381231</v>
      </c>
      <c r="H20" s="189">
        <v>0.63522316043425819</v>
      </c>
    </row>
    <row r="21" spans="1:8" ht="6" customHeight="1">
      <c r="A21" s="24"/>
      <c r="B21" s="24"/>
      <c r="C21" s="24"/>
      <c r="D21" s="24"/>
      <c r="E21" s="24"/>
      <c r="F21" s="24"/>
      <c r="G21" s="24"/>
      <c r="H21" s="24"/>
    </row>
    <row r="22" spans="1:8" ht="18" customHeight="1">
      <c r="A22" s="24"/>
      <c r="B22" s="312" t="s">
        <v>352</v>
      </c>
      <c r="C22" s="312"/>
      <c r="D22" s="312"/>
      <c r="E22" s="312"/>
      <c r="F22" s="312"/>
      <c r="G22" s="312"/>
      <c r="H22" s="312"/>
    </row>
    <row r="23" spans="1:8" ht="15" customHeight="1">
      <c r="A23" s="24"/>
      <c r="B23" s="88" t="s">
        <v>353</v>
      </c>
      <c r="C23" s="103">
        <v>0.23339159083147509</v>
      </c>
      <c r="D23" s="103">
        <v>0.25066208150519781</v>
      </c>
      <c r="E23" s="103">
        <v>0.27117695854312562</v>
      </c>
      <c r="F23" s="103">
        <v>0.28417417993477839</v>
      </c>
      <c r="G23" s="103">
        <v>0.28731049971925882</v>
      </c>
      <c r="H23" s="103">
        <v>0.29937431255522101</v>
      </c>
    </row>
    <row r="24" spans="1:8" ht="15" customHeight="1">
      <c r="A24" s="24"/>
      <c r="B24" s="104" t="s">
        <v>354</v>
      </c>
      <c r="C24" s="188">
        <v>10.1555944055944</v>
      </c>
      <c r="D24" s="188">
        <v>9.9552590266875978</v>
      </c>
      <c r="E24" s="188">
        <v>8.4274580335731422</v>
      </c>
      <c r="F24" s="188">
        <v>9.752468729427255</v>
      </c>
      <c r="G24" s="188">
        <v>8.9094602437608827</v>
      </c>
      <c r="H24" s="188">
        <v>9.9359664871334523</v>
      </c>
    </row>
    <row r="25" spans="1:8" ht="15" customHeight="1">
      <c r="A25" s="24"/>
      <c r="B25" s="170" t="s">
        <v>82</v>
      </c>
      <c r="C25" s="187">
        <v>4.4499913926665517E-2</v>
      </c>
      <c r="D25" s="187">
        <v>3.5874793030040208E-2</v>
      </c>
      <c r="E25" s="187">
        <v>2.696165611439141E-2</v>
      </c>
      <c r="F25" s="187">
        <v>3.2469285810719589E-2</v>
      </c>
      <c r="G25" s="187">
        <v>3.6675135170347213E-2</v>
      </c>
      <c r="H25" s="187">
        <v>2.9271818346082029E-2</v>
      </c>
    </row>
    <row r="26" spans="1:8" ht="6" customHeight="1">
      <c r="A26" s="24"/>
      <c r="B26" s="24"/>
      <c r="C26" s="24"/>
      <c r="D26" s="24"/>
      <c r="E26" s="24"/>
      <c r="F26" s="24"/>
      <c r="G26" s="24"/>
      <c r="H26" s="24"/>
    </row>
    <row r="27" spans="1:8" ht="18" customHeight="1">
      <c r="A27" s="24"/>
      <c r="B27" s="312" t="s">
        <v>355</v>
      </c>
      <c r="C27" s="312"/>
      <c r="D27" s="312"/>
      <c r="E27" s="312"/>
      <c r="F27" s="312"/>
      <c r="G27" s="312"/>
      <c r="H27" s="312"/>
    </row>
    <row r="28" spans="1:8" ht="15" customHeight="1">
      <c r="A28" s="24"/>
      <c r="B28" s="88" t="s">
        <v>356</v>
      </c>
      <c r="C28" s="190" t="s">
        <v>127</v>
      </c>
      <c r="D28" s="102">
        <v>9.1668101222241352E-2</v>
      </c>
      <c r="E28" s="102">
        <v>0.1083339903808247</v>
      </c>
      <c r="F28" s="102">
        <v>5.3852173294444049E-2</v>
      </c>
      <c r="G28" s="102">
        <v>3.6249493722154719E-2</v>
      </c>
      <c r="H28" s="102">
        <v>8.155820467721972E-2</v>
      </c>
    </row>
    <row r="29" spans="1:8" ht="15" customHeight="1">
      <c r="A29" s="24"/>
      <c r="B29" s="104" t="s">
        <v>357</v>
      </c>
      <c r="C29" s="106" t="s">
        <v>127</v>
      </c>
      <c r="D29" s="105">
        <v>0.3308970099667774</v>
      </c>
      <c r="E29" s="105">
        <v>-0.22091862206689969</v>
      </c>
      <c r="F29" s="105">
        <v>0.27298942646587632</v>
      </c>
      <c r="G29" s="105">
        <v>-0.1487540901082306</v>
      </c>
      <c r="H29" s="105">
        <v>0.24009461856889411</v>
      </c>
    </row>
    <row r="30" spans="1:8" ht="15" customHeight="1">
      <c r="A30" s="24"/>
      <c r="B30" s="170" t="s">
        <v>358</v>
      </c>
      <c r="C30" s="191" t="s">
        <v>127</v>
      </c>
      <c r="D30" s="187">
        <v>0.61962264150943391</v>
      </c>
      <c r="E30" s="187">
        <v>-0.33084808946877908</v>
      </c>
      <c r="F30" s="187">
        <v>0.51880222841225632</v>
      </c>
      <c r="G30" s="187">
        <v>-0.33929390187987157</v>
      </c>
      <c r="H30" s="187">
        <v>0.44274809160305351</v>
      </c>
    </row>
    <row r="31" spans="1:8">
      <c r="A31" s="24"/>
      <c r="B31" s="24"/>
      <c r="C31" s="24"/>
      <c r="D31" s="24"/>
      <c r="E31" s="24"/>
      <c r="F31" s="24"/>
      <c r="G31" s="24"/>
      <c r="H31" s="24"/>
    </row>
    <row r="32" spans="1:8">
      <c r="A32" s="24"/>
      <c r="B32" s="115" t="s">
        <v>359</v>
      </c>
      <c r="C32" s="24"/>
      <c r="D32" s="24"/>
      <c r="E32" s="24"/>
      <c r="F32" s="24"/>
      <c r="G32" s="24"/>
      <c r="H32" s="24"/>
    </row>
  </sheetData>
  <pageMargins left="0.75" right="0.75" top="1" bottom="1" header="0.5" footer="0.5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H52"/>
  <sheetViews>
    <sheetView showGridLines="0" workbookViewId="0">
      <pane ySplit="4" topLeftCell="A5" activePane="bottomLeft" state="frozen"/>
      <selection pane="bottomLeft"/>
    </sheetView>
  </sheetViews>
  <sheetFormatPr baseColWidth="10" defaultColWidth="8.85546875" defaultRowHeight="15"/>
  <cols>
    <col min="1" max="1" width="2.42578125" customWidth="1"/>
    <col min="2" max="2" width="30" customWidth="1"/>
    <col min="3" max="5" width="15.140625" bestFit="1" customWidth="1"/>
    <col min="6" max="6" width="16.28515625" bestFit="1" customWidth="1"/>
    <col min="7" max="7" width="15.140625" bestFit="1" customWidth="1"/>
    <col min="8" max="8" width="16.28515625" bestFit="1" customWidth="1"/>
  </cols>
  <sheetData>
    <row r="1" spans="1:8" ht="9" customHeight="1">
      <c r="A1" s="112"/>
      <c r="B1" s="24"/>
      <c r="C1" s="24"/>
      <c r="D1" s="24"/>
      <c r="E1" s="24"/>
      <c r="F1" s="24"/>
      <c r="G1" s="24"/>
      <c r="H1" s="24"/>
    </row>
    <row r="2" spans="1:8" ht="22" customHeight="1">
      <c r="A2" s="24"/>
      <c r="B2" s="304" t="s">
        <v>360</v>
      </c>
      <c r="C2" s="86"/>
      <c r="D2" s="86"/>
      <c r="E2" s="86"/>
      <c r="F2" s="24"/>
      <c r="G2" s="24"/>
      <c r="H2" s="24"/>
    </row>
    <row r="3" spans="1:8" ht="15" customHeight="1">
      <c r="A3" s="24"/>
      <c r="B3" s="305" t="s">
        <v>361</v>
      </c>
      <c r="C3" s="24"/>
      <c r="D3" s="24"/>
      <c r="E3" s="24"/>
      <c r="F3" s="24"/>
      <c r="G3" s="24"/>
      <c r="H3" s="24"/>
    </row>
    <row r="4" spans="1:8" ht="15" customHeight="1">
      <c r="A4" s="24"/>
      <c r="B4" s="24"/>
      <c r="C4" s="351" t="s">
        <v>334</v>
      </c>
      <c r="D4" s="351" t="s">
        <v>335</v>
      </c>
      <c r="E4" s="351" t="s">
        <v>336</v>
      </c>
      <c r="F4" s="351" t="s">
        <v>337</v>
      </c>
      <c r="G4" s="351" t="s">
        <v>338</v>
      </c>
      <c r="H4" s="351" t="s">
        <v>122</v>
      </c>
    </row>
    <row r="5" spans="1:8" ht="18" customHeight="1">
      <c r="A5" s="24"/>
      <c r="B5" s="312" t="s">
        <v>362</v>
      </c>
      <c r="C5" s="312"/>
      <c r="D5" s="312"/>
      <c r="E5" s="312"/>
      <c r="F5" s="312"/>
      <c r="G5" s="312"/>
      <c r="H5" s="312"/>
    </row>
    <row r="6" spans="1:8" ht="15" customHeight="1">
      <c r="A6" s="24"/>
      <c r="B6" s="4" t="s">
        <v>138</v>
      </c>
      <c r="C6" s="280">
        <v>70372000000</v>
      </c>
      <c r="D6" s="280">
        <v>79474000000</v>
      </c>
      <c r="E6" s="280">
        <v>86392000000</v>
      </c>
      <c r="F6" s="280">
        <v>91471000000</v>
      </c>
      <c r="G6" s="280">
        <v>91854000000</v>
      </c>
      <c r="H6" s="280">
        <v>93925000000</v>
      </c>
    </row>
    <row r="7" spans="1:8" ht="15" customHeight="1">
      <c r="A7" s="24"/>
      <c r="B7" s="192" t="s">
        <v>363</v>
      </c>
      <c r="C7" s="281">
        <v>31797000000</v>
      </c>
      <c r="D7" s="281">
        <v>37075000000</v>
      </c>
      <c r="E7" s="281">
        <v>40576000000</v>
      </c>
      <c r="F7" s="281">
        <v>41881000000</v>
      </c>
      <c r="G7" s="281">
        <v>41744000000</v>
      </c>
      <c r="H7" s="281">
        <v>43066000000</v>
      </c>
    </row>
    <row r="8" spans="1:8" ht="15" customHeight="1">
      <c r="A8" s="24"/>
      <c r="B8" s="192" t="s">
        <v>364</v>
      </c>
      <c r="C8" s="282">
        <v>38575000000</v>
      </c>
      <c r="D8" s="282">
        <v>42399000000</v>
      </c>
      <c r="E8" s="282">
        <v>45816000000</v>
      </c>
      <c r="F8" s="282">
        <v>49590000000</v>
      </c>
      <c r="G8" s="282">
        <v>50110000000</v>
      </c>
      <c r="H8" s="282">
        <v>50859000000</v>
      </c>
    </row>
    <row r="9" spans="1:8" ht="15" customHeight="1">
      <c r="A9" s="24"/>
      <c r="B9" s="192" t="s">
        <v>365</v>
      </c>
      <c r="C9" s="281">
        <v>28453000000</v>
      </c>
      <c r="D9" s="281">
        <v>31237000000</v>
      </c>
      <c r="E9" s="281">
        <v>34459000000</v>
      </c>
      <c r="F9" s="281">
        <v>36677000000</v>
      </c>
      <c r="G9" s="281">
        <v>37190000000</v>
      </c>
      <c r="H9" s="281">
        <v>37368000000</v>
      </c>
    </row>
    <row r="10" spans="1:8" ht="15" customHeight="1">
      <c r="A10" s="24"/>
      <c r="B10" s="192" t="s">
        <v>366</v>
      </c>
      <c r="C10" s="281">
        <v>0</v>
      </c>
      <c r="D10" s="281">
        <v>0</v>
      </c>
      <c r="E10" s="281">
        <v>0</v>
      </c>
      <c r="F10" s="281">
        <v>0</v>
      </c>
      <c r="G10" s="281">
        <v>0</v>
      </c>
      <c r="H10" s="281">
        <v>0</v>
      </c>
    </row>
    <row r="11" spans="1:8" ht="15" customHeight="1">
      <c r="A11" s="24"/>
      <c r="B11" s="192" t="s">
        <v>367</v>
      </c>
      <c r="C11" s="281">
        <v>28495000000</v>
      </c>
      <c r="D11" s="281">
        <v>31237000000</v>
      </c>
      <c r="E11" s="281">
        <v>34304000000</v>
      </c>
      <c r="F11" s="281">
        <v>37604000000</v>
      </c>
      <c r="G11" s="281">
        <v>37223000000</v>
      </c>
      <c r="H11" s="281">
        <v>37368000000</v>
      </c>
    </row>
    <row r="12" spans="1:8" ht="15" customHeight="1">
      <c r="A12" s="24"/>
      <c r="B12" s="192" t="s">
        <v>368</v>
      </c>
      <c r="C12" s="282">
        <v>10080000000</v>
      </c>
      <c r="D12" s="282">
        <v>11162000000</v>
      </c>
      <c r="E12" s="282">
        <v>11512000000</v>
      </c>
      <c r="F12" s="282">
        <v>11986000000</v>
      </c>
      <c r="G12" s="282">
        <v>12887000000</v>
      </c>
      <c r="H12" s="282">
        <v>13491000000</v>
      </c>
    </row>
    <row r="13" spans="1:8" ht="15" customHeight="1">
      <c r="A13" s="24"/>
      <c r="B13" s="192" t="s">
        <v>369</v>
      </c>
      <c r="C13" s="281">
        <v>3026000000</v>
      </c>
      <c r="D13" s="281">
        <v>3215000000</v>
      </c>
      <c r="E13" s="281">
        <v>3280000000</v>
      </c>
      <c r="F13" s="281">
        <v>3518000000</v>
      </c>
      <c r="G13" s="281">
        <v>3815000000</v>
      </c>
      <c r="H13" s="281">
        <v>4178000000</v>
      </c>
    </row>
    <row r="14" spans="1:8" ht="15" customHeight="1">
      <c r="A14" s="24"/>
      <c r="B14" s="192" t="s">
        <v>139</v>
      </c>
      <c r="C14" s="282">
        <v>13223000000</v>
      </c>
      <c r="D14" s="282">
        <v>14899000000</v>
      </c>
      <c r="E14" s="282">
        <v>14924000000</v>
      </c>
      <c r="F14" s="282">
        <v>15754000000</v>
      </c>
      <c r="G14" s="282">
        <v>16680000000</v>
      </c>
      <c r="H14" s="282">
        <v>15543000000</v>
      </c>
    </row>
    <row r="15" spans="1:8" ht="15" customHeight="1">
      <c r="A15" s="24"/>
      <c r="B15" s="192" t="s">
        <v>370</v>
      </c>
      <c r="C15" s="281">
        <v>1128000000</v>
      </c>
      <c r="D15" s="281">
        <v>1863000000</v>
      </c>
      <c r="E15" s="281">
        <v>939000000</v>
      </c>
      <c r="F15" s="281">
        <v>819000000</v>
      </c>
      <c r="G15" s="281">
        <v>919000000</v>
      </c>
      <c r="H15" s="281">
        <v>1121000000</v>
      </c>
    </row>
    <row r="16" spans="1:8" ht="15" customHeight="1">
      <c r="A16" s="24"/>
      <c r="B16" s="194" t="s">
        <v>371</v>
      </c>
      <c r="C16" s="283">
        <v>9069000000</v>
      </c>
      <c r="D16" s="283">
        <v>9821000000</v>
      </c>
      <c r="E16" s="283">
        <v>10705000000</v>
      </c>
      <c r="F16" s="283">
        <v>11417000000</v>
      </c>
      <c r="G16" s="283">
        <v>11946000000</v>
      </c>
      <c r="H16" s="283">
        <v>10244000000</v>
      </c>
    </row>
    <row r="17" spans="1:8" ht="15" customHeight="1" thickBot="1">
      <c r="A17" s="24"/>
      <c r="B17" s="4" t="s">
        <v>372</v>
      </c>
      <c r="C17" s="280">
        <v>1894000000</v>
      </c>
      <c r="D17" s="280">
        <v>2142000000</v>
      </c>
      <c r="E17" s="280">
        <v>1727000000</v>
      </c>
      <c r="F17" s="280">
        <v>2262000000</v>
      </c>
      <c r="G17" s="280">
        <v>2320000000</v>
      </c>
      <c r="H17" s="280">
        <v>1949000000</v>
      </c>
    </row>
    <row r="18" spans="1:8" ht="15" customHeight="1" thickBot="1">
      <c r="A18" s="24"/>
      <c r="B18" s="16" t="s">
        <v>373</v>
      </c>
      <c r="C18" s="284">
        <v>7120000000</v>
      </c>
      <c r="D18" s="284">
        <v>7618000000</v>
      </c>
      <c r="E18" s="284">
        <v>8910000000</v>
      </c>
      <c r="F18" s="284">
        <v>9074000000</v>
      </c>
      <c r="G18" s="284">
        <v>9578000000</v>
      </c>
      <c r="H18" s="284">
        <v>8240000000</v>
      </c>
    </row>
    <row r="19" spans="1:8" ht="15" customHeight="1" thickTop="1">
      <c r="A19" s="24"/>
      <c r="B19" s="24"/>
      <c r="C19" s="24"/>
      <c r="D19" s="24"/>
      <c r="E19" s="24"/>
      <c r="F19" s="24"/>
      <c r="G19" s="24"/>
      <c r="H19" s="24"/>
    </row>
    <row r="20" spans="1:8" ht="15" customHeight="1">
      <c r="A20" s="24"/>
      <c r="B20" s="4" t="s">
        <v>374</v>
      </c>
      <c r="C20" s="17">
        <v>5.1100000000000003</v>
      </c>
      <c r="D20" s="17">
        <v>5.48</v>
      </c>
      <c r="E20" s="17">
        <v>6.42</v>
      </c>
      <c r="F20" s="17">
        <v>6.56</v>
      </c>
      <c r="G20" s="17">
        <v>6.95</v>
      </c>
      <c r="H20" s="17">
        <v>6</v>
      </c>
    </row>
    <row r="21" spans="1:8" ht="15" customHeight="1">
      <c r="A21" s="24"/>
      <c r="B21" s="4" t="s">
        <v>375</v>
      </c>
      <c r="C21" s="280">
        <v>1392000000</v>
      </c>
      <c r="D21" s="280">
        <v>1389000000</v>
      </c>
      <c r="E21" s="280">
        <v>1387000000</v>
      </c>
      <c r="F21" s="280">
        <v>1383000000</v>
      </c>
      <c r="G21" s="280">
        <v>1378000000</v>
      </c>
      <c r="H21" s="280">
        <v>1373000000</v>
      </c>
    </row>
    <row r="22" spans="1:8" ht="6" customHeight="1">
      <c r="A22" s="24"/>
      <c r="B22" s="24"/>
      <c r="C22" s="24"/>
      <c r="D22" s="24"/>
      <c r="E22" s="24"/>
      <c r="F22" s="24"/>
      <c r="G22" s="24"/>
      <c r="H22" s="24"/>
    </row>
    <row r="23" spans="1:8" ht="18" customHeight="1">
      <c r="A23" s="24"/>
      <c r="B23" s="312" t="s">
        <v>376</v>
      </c>
      <c r="C23" s="312"/>
      <c r="D23" s="312"/>
      <c r="E23" s="312"/>
      <c r="F23" s="312"/>
      <c r="G23" s="312"/>
      <c r="H23" s="312"/>
    </row>
    <row r="24" spans="1:8" ht="15" customHeight="1">
      <c r="A24" s="24"/>
      <c r="B24" s="4" t="s">
        <v>377</v>
      </c>
      <c r="C24" s="280">
        <v>8185000000</v>
      </c>
      <c r="D24" s="280">
        <v>5596000000</v>
      </c>
      <c r="E24" s="280">
        <v>4954000000</v>
      </c>
      <c r="F24" s="280">
        <v>9711000000</v>
      </c>
      <c r="G24" s="280">
        <v>8505000000</v>
      </c>
      <c r="H24" s="280">
        <v>9159000000</v>
      </c>
    </row>
    <row r="25" spans="1:8" ht="15" customHeight="1">
      <c r="A25" s="24"/>
      <c r="B25" s="192" t="s">
        <v>378</v>
      </c>
      <c r="C25" s="281">
        <v>8404000000</v>
      </c>
      <c r="D25" s="281">
        <v>8680000000</v>
      </c>
      <c r="E25" s="281">
        <v>10163000000</v>
      </c>
      <c r="F25" s="281">
        <v>10815000000</v>
      </c>
      <c r="G25" s="281">
        <v>10333000000</v>
      </c>
      <c r="H25" s="281">
        <v>11506000000</v>
      </c>
    </row>
    <row r="26" spans="1:8" ht="15" customHeight="1">
      <c r="A26" s="24"/>
      <c r="B26" s="192" t="s">
        <v>379</v>
      </c>
      <c r="C26" s="281">
        <v>4172000000</v>
      </c>
      <c r="D26" s="281">
        <v>4347000000</v>
      </c>
      <c r="E26" s="281">
        <v>5222000000</v>
      </c>
      <c r="F26" s="281">
        <v>5334000000</v>
      </c>
      <c r="G26" s="281">
        <v>5306000000</v>
      </c>
      <c r="H26" s="281">
        <v>5845000000</v>
      </c>
    </row>
    <row r="27" spans="1:8" ht="15" customHeight="1">
      <c r="A27" s="24"/>
      <c r="B27" s="192" t="s">
        <v>380</v>
      </c>
      <c r="C27" s="282">
        <v>23001000000</v>
      </c>
      <c r="D27" s="282">
        <v>21783000000</v>
      </c>
      <c r="E27" s="282">
        <v>21539000000</v>
      </c>
      <c r="F27" s="282">
        <v>26950000000</v>
      </c>
      <c r="G27" s="282">
        <v>25826000000</v>
      </c>
      <c r="H27" s="282">
        <v>27949000000</v>
      </c>
    </row>
    <row r="28" spans="1:8" ht="15" customHeight="1">
      <c r="A28" s="24"/>
      <c r="B28" s="194" t="s">
        <v>381</v>
      </c>
      <c r="C28" s="283">
        <v>23039000000</v>
      </c>
      <c r="D28" s="283">
        <v>24427000000</v>
      </c>
      <c r="E28" s="283">
        <v>26664000000</v>
      </c>
      <c r="F28" s="283">
        <v>29944000000</v>
      </c>
      <c r="G28" s="283">
        <v>31391000000</v>
      </c>
      <c r="H28" s="283">
        <v>33650000000</v>
      </c>
    </row>
    <row r="29" spans="1:8" ht="15" customHeight="1">
      <c r="A29" s="24"/>
      <c r="B29" s="4" t="s">
        <v>382</v>
      </c>
      <c r="C29" s="280">
        <v>18757000000</v>
      </c>
      <c r="D29" s="280">
        <v>18381000000</v>
      </c>
      <c r="E29" s="280">
        <v>18202000000</v>
      </c>
      <c r="F29" s="280">
        <v>17728000000</v>
      </c>
      <c r="G29" s="280">
        <v>17534000000</v>
      </c>
      <c r="H29" s="280">
        <v>18916000000</v>
      </c>
    </row>
    <row r="30" spans="1:8" ht="15" customHeight="1">
      <c r="A30" s="24"/>
      <c r="B30" s="16" t="s">
        <v>383</v>
      </c>
      <c r="C30" s="284">
        <v>92918000000</v>
      </c>
      <c r="D30" s="284">
        <v>92377000000</v>
      </c>
      <c r="E30" s="284">
        <v>92187000000</v>
      </c>
      <c r="F30" s="284">
        <v>100495000000</v>
      </c>
      <c r="G30" s="284">
        <v>99467000000</v>
      </c>
      <c r="H30" s="284">
        <v>107399000000</v>
      </c>
    </row>
    <row r="31" spans="1:8" ht="15" customHeight="1">
      <c r="A31" s="24"/>
      <c r="B31" s="24"/>
      <c r="C31" s="285"/>
      <c r="D31" s="285"/>
      <c r="E31" s="285"/>
      <c r="F31" s="285"/>
      <c r="G31" s="285"/>
      <c r="H31" s="285"/>
    </row>
    <row r="32" spans="1:8" ht="15" customHeight="1">
      <c r="A32" s="24"/>
      <c r="B32" s="2" t="s">
        <v>384</v>
      </c>
      <c r="C32" s="286">
        <v>8853000000</v>
      </c>
      <c r="D32" s="286">
        <v>9834000000</v>
      </c>
      <c r="E32" s="286">
        <v>10732000000</v>
      </c>
      <c r="F32" s="286">
        <v>11635000000</v>
      </c>
      <c r="G32" s="286">
        <v>10997000000</v>
      </c>
      <c r="H32" s="286">
        <v>11704000000</v>
      </c>
    </row>
    <row r="33" spans="1:8" ht="15" customHeight="1">
      <c r="A33" s="24"/>
      <c r="B33" s="4" t="s">
        <v>385</v>
      </c>
      <c r="C33" s="280">
        <v>3780000000</v>
      </c>
      <c r="D33" s="280">
        <v>4308000000</v>
      </c>
      <c r="E33" s="280">
        <v>3414000000</v>
      </c>
      <c r="F33" s="280">
        <v>6510000000</v>
      </c>
      <c r="G33" s="280">
        <v>7082000000</v>
      </c>
      <c r="H33" s="280">
        <v>6861000000</v>
      </c>
    </row>
    <row r="34" spans="1:8" ht="15" customHeight="1">
      <c r="A34" s="24"/>
      <c r="B34" s="192" t="s">
        <v>386</v>
      </c>
      <c r="C34" s="282">
        <v>23372000000</v>
      </c>
      <c r="D34" s="282">
        <v>26220000000</v>
      </c>
      <c r="E34" s="282">
        <v>26785000000</v>
      </c>
      <c r="F34" s="282">
        <v>31647000000</v>
      </c>
      <c r="G34" s="282">
        <v>31536000000</v>
      </c>
      <c r="H34" s="282">
        <v>32764000000</v>
      </c>
    </row>
    <row r="35" spans="1:8" ht="15" customHeight="1">
      <c r="A35" s="24"/>
      <c r="B35" s="194" t="s">
        <v>387</v>
      </c>
      <c r="C35" s="283">
        <v>40370000000</v>
      </c>
      <c r="D35" s="283">
        <v>36026000000</v>
      </c>
      <c r="E35" s="283">
        <v>35657000000</v>
      </c>
      <c r="F35" s="283">
        <v>37595000000</v>
      </c>
      <c r="G35" s="283">
        <v>37224000000</v>
      </c>
      <c r="H35" s="283">
        <v>42321000000</v>
      </c>
    </row>
    <row r="36" spans="1:8" ht="15" customHeight="1">
      <c r="A36" s="24"/>
      <c r="B36" s="2" t="s">
        <v>388</v>
      </c>
      <c r="C36" s="287">
        <v>79366000000</v>
      </c>
      <c r="D36" s="287">
        <v>76226000000</v>
      </c>
      <c r="E36" s="287">
        <v>74914000000</v>
      </c>
      <c r="F36" s="287">
        <v>81858000000</v>
      </c>
      <c r="G36" s="287">
        <v>81296000000</v>
      </c>
      <c r="H36" s="287">
        <v>86852000000</v>
      </c>
    </row>
    <row r="37" spans="1:8" ht="15" customHeight="1">
      <c r="A37" s="24"/>
      <c r="B37" s="16" t="s">
        <v>389</v>
      </c>
      <c r="C37" s="284">
        <v>13454000000</v>
      </c>
      <c r="D37" s="284">
        <v>16043000000</v>
      </c>
      <c r="E37" s="284">
        <v>17149000000</v>
      </c>
      <c r="F37" s="284">
        <v>18503000000</v>
      </c>
      <c r="G37" s="284">
        <v>18041000000</v>
      </c>
      <c r="H37" s="284">
        <v>20406000000</v>
      </c>
    </row>
    <row r="38" spans="1:8" ht="15" customHeight="1">
      <c r="A38" s="24"/>
      <c r="B38" s="4" t="s">
        <v>390</v>
      </c>
      <c r="C38" s="280">
        <v>44610000000</v>
      </c>
      <c r="D38" s="280">
        <v>40780000000</v>
      </c>
      <c r="E38" s="280">
        <v>39554000000</v>
      </c>
      <c r="F38" s="280">
        <v>44661000000</v>
      </c>
      <c r="G38" s="280">
        <v>44948000000</v>
      </c>
      <c r="H38" s="280">
        <v>49901000000</v>
      </c>
    </row>
    <row r="39" spans="1:8" ht="15" customHeight="1">
      <c r="A39" s="24"/>
      <c r="B39" s="4" t="s">
        <v>391</v>
      </c>
      <c r="C39" s="280">
        <v>36425000000</v>
      </c>
      <c r="D39" s="280">
        <v>35184000000</v>
      </c>
      <c r="E39" s="280">
        <v>34600000000</v>
      </c>
      <c r="F39" s="280">
        <v>34950000000</v>
      </c>
      <c r="G39" s="280">
        <v>36443000000</v>
      </c>
      <c r="H39" s="280">
        <v>40742000000</v>
      </c>
    </row>
    <row r="40" spans="1:8" ht="6" customHeight="1">
      <c r="A40" s="24"/>
      <c r="B40" s="24"/>
      <c r="C40" s="24"/>
      <c r="D40" s="24"/>
      <c r="E40" s="24"/>
      <c r="F40" s="24"/>
      <c r="G40" s="24"/>
      <c r="H40" s="24"/>
    </row>
    <row r="41" spans="1:8" ht="18" customHeight="1">
      <c r="A41" s="24"/>
      <c r="B41" s="312" t="s">
        <v>392</v>
      </c>
      <c r="C41" s="312"/>
      <c r="D41" s="312"/>
      <c r="E41" s="312"/>
      <c r="F41" s="312"/>
      <c r="G41" s="312"/>
      <c r="H41" s="312"/>
    </row>
    <row r="42" spans="1:8" ht="15" customHeight="1">
      <c r="A42" s="24"/>
      <c r="B42" s="4" t="s">
        <v>373</v>
      </c>
      <c r="C42" s="280">
        <v>7175000000</v>
      </c>
      <c r="D42" s="280">
        <v>7679000000</v>
      </c>
      <c r="E42" s="280">
        <v>8978000000</v>
      </c>
      <c r="F42" s="280">
        <v>9155000000</v>
      </c>
      <c r="G42" s="280">
        <v>9626000000</v>
      </c>
      <c r="H42" s="280">
        <v>8295000000</v>
      </c>
    </row>
    <row r="43" spans="1:8" ht="15" customHeight="1">
      <c r="A43" s="24"/>
      <c r="B43" s="192" t="s">
        <v>369</v>
      </c>
      <c r="C43" s="281">
        <v>3026000000</v>
      </c>
      <c r="D43" s="281">
        <v>3215000000</v>
      </c>
      <c r="E43" s="281">
        <v>3280000000</v>
      </c>
      <c r="F43" s="281">
        <v>3518000000</v>
      </c>
      <c r="G43" s="281">
        <v>3815000000</v>
      </c>
      <c r="H43" s="281">
        <v>4178000000</v>
      </c>
    </row>
    <row r="44" spans="1:8" ht="15" customHeight="1">
      <c r="A44" s="24"/>
      <c r="B44" s="192" t="s">
        <v>393</v>
      </c>
      <c r="C44" s="281">
        <v>264000000</v>
      </c>
      <c r="D44" s="281">
        <v>301000000</v>
      </c>
      <c r="E44" s="281">
        <v>343000000</v>
      </c>
      <c r="F44" s="281">
        <v>380000000</v>
      </c>
      <c r="G44" s="281">
        <v>362000000</v>
      </c>
      <c r="H44" s="281">
        <v>288000000</v>
      </c>
    </row>
    <row r="45" spans="1:8" ht="15" customHeight="1">
      <c r="A45" s="24"/>
      <c r="B45" s="192" t="s">
        <v>394</v>
      </c>
      <c r="C45" s="281">
        <v>-303000000</v>
      </c>
      <c r="D45" s="281">
        <v>718000000</v>
      </c>
      <c r="E45" s="281">
        <v>-888000000</v>
      </c>
      <c r="F45" s="281">
        <v>-337000000</v>
      </c>
      <c r="G45" s="281">
        <v>-1696000000</v>
      </c>
      <c r="H45" s="281">
        <v>-1645000000</v>
      </c>
    </row>
    <row r="46" spans="1:8" ht="15" customHeight="1">
      <c r="A46" s="24"/>
      <c r="B46" s="194" t="s">
        <v>395</v>
      </c>
      <c r="C46" s="288">
        <v>10613000000</v>
      </c>
      <c r="D46" s="288">
        <v>11616000000</v>
      </c>
      <c r="E46" s="288">
        <v>10811000000</v>
      </c>
      <c r="F46" s="288">
        <v>13442000000</v>
      </c>
      <c r="G46" s="288">
        <v>12507000000</v>
      </c>
      <c r="H46" s="288">
        <v>12087000000</v>
      </c>
    </row>
    <row r="47" spans="1:8" ht="15" customHeight="1">
      <c r="A47" s="24"/>
      <c r="B47" s="4" t="s">
        <v>396</v>
      </c>
      <c r="C47" s="280">
        <v>-4240000000</v>
      </c>
      <c r="D47" s="280">
        <v>-4625000000</v>
      </c>
      <c r="E47" s="280">
        <v>-5207000000</v>
      </c>
      <c r="F47" s="280">
        <v>-5518000000</v>
      </c>
      <c r="G47" s="280">
        <v>-5318000000</v>
      </c>
      <c r="H47" s="280">
        <v>-4415000000</v>
      </c>
    </row>
    <row r="48" spans="1:8" ht="15" customHeight="1">
      <c r="A48" s="24"/>
      <c r="B48" s="16" t="s">
        <v>397</v>
      </c>
      <c r="C48" s="284">
        <v>6373000000</v>
      </c>
      <c r="D48" s="284">
        <v>6991000000</v>
      </c>
      <c r="E48" s="284">
        <v>5604000000</v>
      </c>
      <c r="F48" s="284">
        <v>7924000000</v>
      </c>
      <c r="G48" s="284">
        <v>7189000000</v>
      </c>
      <c r="H48" s="284">
        <v>7672000000</v>
      </c>
    </row>
    <row r="49" spans="1:8" ht="15" customHeight="1">
      <c r="A49" s="24"/>
      <c r="B49" s="4" t="s">
        <v>398</v>
      </c>
      <c r="C49" s="280">
        <v>-5509000000</v>
      </c>
      <c r="D49" s="280">
        <v>-5815000000</v>
      </c>
      <c r="E49" s="280">
        <v>-6172000000</v>
      </c>
      <c r="F49" s="280">
        <v>-6682000000</v>
      </c>
      <c r="G49" s="280">
        <v>-7229000000</v>
      </c>
      <c r="H49" s="280">
        <v>-7638000000</v>
      </c>
    </row>
    <row r="50" spans="1:8" ht="15" customHeight="1">
      <c r="A50" s="24"/>
      <c r="B50" s="4" t="s">
        <v>399</v>
      </c>
      <c r="C50" s="280">
        <v>-2000000000</v>
      </c>
      <c r="D50" s="280">
        <v>-106000000</v>
      </c>
      <c r="E50" s="280">
        <v>-1500000000</v>
      </c>
      <c r="F50" s="280">
        <v>-1000000000</v>
      </c>
      <c r="G50" s="280">
        <v>-1000000000</v>
      </c>
      <c r="H50" s="280">
        <v>-1000000000</v>
      </c>
    </row>
    <row r="51" spans="1:8">
      <c r="A51" s="24"/>
      <c r="B51" s="24"/>
      <c r="C51" s="24"/>
      <c r="D51" s="24"/>
      <c r="E51" s="24"/>
      <c r="F51" s="24"/>
      <c r="G51" s="24"/>
      <c r="H51" s="24"/>
    </row>
    <row r="52" spans="1:8">
      <c r="A52" s="24"/>
      <c r="B52" s="115" t="s">
        <v>359</v>
      </c>
      <c r="C52" s="24"/>
      <c r="D52" s="24"/>
      <c r="E52" s="24"/>
      <c r="F52" s="24"/>
      <c r="G52" s="24"/>
      <c r="H52" s="24"/>
    </row>
  </sheetData>
  <pageMargins left="0.75" right="0.75" top="1" bottom="1" header="0.5" footer="0.5"/>
  <pageSetup orientation="portrait" horizontalDpi="0" verticalDpi="0"/>
</worksheet>
</file>

<file path=docMetadata/LabelInfo.xml><?xml version="1.0" encoding="utf-8"?>
<clbl:labelList xmlns:clbl="http://schemas.microsoft.com/office/2020/mipLabelMetadata">
  <clbl:label id="{170051ed-867f-4092-a6af-8a42e27b7e09}" enabled="1" method="Standard" siteId="{5217e0e7-539d-4563-b1bf-7c6dcf074f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Cover</vt:lpstr>
      <vt:lpstr>Summary</vt:lpstr>
      <vt:lpstr>Assumptions</vt:lpstr>
      <vt:lpstr>DCF</vt:lpstr>
      <vt:lpstr>WACC</vt:lpstr>
      <vt:lpstr>Trading Comps</vt:lpstr>
      <vt:lpstr>Precedent Txns</vt:lpstr>
      <vt:lpstr>KDP Ratios</vt:lpstr>
      <vt:lpstr>PEP Historical</vt:lpstr>
      <vt:lpstr>KDP Historical</vt:lpstr>
      <vt:lpstr>Monte Carlo Snapshot</vt:lpstr>
      <vt:lpstr>EPS Assumptions</vt:lpstr>
      <vt:lpstr>Pro Forma EPS</vt:lpstr>
      <vt:lpstr>Sensitivity Analysis</vt:lpstr>
      <vt:lpstr>Contribution Summary</vt:lpstr>
      <vt:lpstr>Revenue Contribution</vt:lpstr>
      <vt:lpstr>EBITDA Contribution</vt:lpstr>
      <vt:lpstr>Net Income Contribution</vt:lpstr>
      <vt:lpstr>Ownership Bridge</vt:lpstr>
      <vt:lpstr>IRI Readme</vt:lpstr>
      <vt:lpstr>IRI Inputs</vt:lpstr>
      <vt:lpstr>IRI Model</vt:lpstr>
      <vt:lpstr>IRI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Day</dc:creator>
  <cp:lastModifiedBy>Darrell Day</cp:lastModifiedBy>
  <dcterms:created xsi:type="dcterms:W3CDTF">2026-04-12T14:54:29Z</dcterms:created>
  <dcterms:modified xsi:type="dcterms:W3CDTF">2026-07-07T20:47:10Z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0x010100EE5FE409319F8A46956C6C271AAA683B</vt:lpwstr>
  </property>
</Properties>
</file>