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drawings/drawing4.xml" ContentType="application/vnd.openxmlformats-officedocument.drawingml.chartshape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4.xml" ContentType="application/vnd.openxmlformats-officedocument.themeOverride+xml"/>
  <Override PartName="/xl/drawings/drawing5.xml" ContentType="application/vnd.openxmlformats-officedocument.drawingml.chartshape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drawings/drawing7.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8.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ml.chartsha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28"/>
  <workbookPr hidePivotFieldList="1"/>
  <mc:AlternateContent xmlns:mc="http://schemas.openxmlformats.org/markup-compatibility/2006">
    <mc:Choice Requires="x15">
      <x15ac:absPath xmlns:x15ac="http://schemas.microsoft.com/office/spreadsheetml/2010/11/ac" url="/Users/darrell/Desktop/intransit-agent/"/>
    </mc:Choice>
  </mc:AlternateContent>
  <xr:revisionPtr revIDLastSave="0" documentId="13_ncr:1_{E03072D5-91D9-B444-8F10-9E112B38A80E}" xr6:coauthVersionLast="47" xr6:coauthVersionMax="47" xr10:uidLastSave="{00000000-0000-0000-0000-000000000000}"/>
  <bookViews>
    <workbookView xWindow="0" yWindow="600" windowWidth="51840" windowHeight="21840" xr2:uid="{5E5221D6-5DF7-4FD6-9A1B-B30BA935CB77}"/>
  </bookViews>
  <sheets>
    <sheet name="Dashboard" sheetId="20" r:id="rId1"/>
    <sheet name="Data" sheetId="11" r:id="rId2"/>
    <sheet name="List" sheetId="1" r:id="rId3"/>
    <sheet name="G&amp;A" sheetId="2" r:id="rId4"/>
    <sheet name="R&amp;D" sheetId="4" r:id="rId5"/>
    <sheet name="CS" sheetId="5" r:id="rId6"/>
    <sheet name="S&amp;M" sheetId="6" r:id="rId7"/>
    <sheet name="G&amp;A_Budget" sheetId="7" r:id="rId8"/>
    <sheet name="R&amp;D_Budget" sheetId="8" r:id="rId9"/>
    <sheet name="CS_Budget" sheetId="9" r:id="rId10"/>
    <sheet name="S&amp;M_Budget" sheetId="10" r:id="rId11"/>
  </sheets>
  <definedNames>
    <definedName name="_Order1" hidden="1">255</definedName>
    <definedName name="_xlcn.WorksheetConnection_Dashboard.xlsxDepartments" hidden="1">Departments[]</definedName>
    <definedName name="_xlcn.WorksheetConnection_Dashboard.xlsxMappings" hidden="1">Mappings[]</definedName>
    <definedName name="_xlcn.WorksheetConnection_Dashboard.xlsxPredefined_Dates" hidden="1">Predefined_Dates[]</definedName>
    <definedName name="_xlcn.WorksheetConnection_Dashboard.xlsxTableView" hidden="1">TableView[]</definedName>
    <definedName name="CompanyName">YourCFOGuy</definedName>
    <definedName name="CS" localSheetId="5">CS!$B$4:$AN$53</definedName>
    <definedName name="CS_Budget" localSheetId="9">CS_Budget!$B$4:$AN$53</definedName>
    <definedName name="CurrentMonth">List!$W$3</definedName>
    <definedName name="fafa" localSheetId="0" hidden="1">{"razones",#N/A,TRUE,"Razones";"balance",#N/A,TRUE,"Balance";"resultados",#N/A,TRUE,"Resultados";"flujo",#N/A,TRUE,"Flujo";"ingresos",#N/A,TRUE,"Ingresos";"costo",#N/A,TRUE,"Costo";"gastos",#N/A,TRUE,"Gastos";"datos",#N/A,TRUE,"Datos";"financieros",#N/A,TRUE,"Financieros"}</definedName>
    <definedName name="fafa" hidden="1">{"razones",#N/A,TRUE,"Razones";"balance",#N/A,TRUE,"Balance";"resultados",#N/A,TRUE,"Resultados";"flujo",#N/A,TRUE,"Flujo";"ingresos",#N/A,TRUE,"Ingresos";"costo",#N/A,TRUE,"Costo";"gastos",#N/A,TRUE,"Gastos";"datos",#N/A,TRUE,"Datos";"financieros",#N/A,TRUE,"Financieros"}</definedName>
    <definedName name="GandA">'G&amp;A'!$B$4:$AN$53</definedName>
    <definedName name="GandA_Budget" localSheetId="7">'G&amp;A_Budget'!$B$4:$AN$53</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RandD" localSheetId="4">'R&amp;D'!$B$4:$AN$53</definedName>
    <definedName name="RandD_Budget" localSheetId="8">'R&amp;D_Budget'!$B$4:$AN$53</definedName>
    <definedName name="SandM" localSheetId="6">'S&amp;M'!$B$4:$AN$53</definedName>
    <definedName name="SandM_Budget" localSheetId="10">'S&amp;M_Budget'!$B$4:$AN$53</definedName>
    <definedName name="Slicer_Period">#N/A</definedName>
    <definedName name="ss" localSheetId="0" hidden="1">{"razones",#N/A,TRUE,"Razones";"balance",#N/A,TRUE,"Balance";"resultados",#N/A,TRUE,"Resultados";"flujo",#N/A,TRUE,"Flujo";"ingresos",#N/A,TRUE,"Ingresos";"costo",#N/A,TRUE,"Costo";"gastos",#N/A,TRUE,"Gastos";"datos",#N/A,TRUE,"Datos";"financieros",#N/A,TRUE,"Financieros"}</definedName>
    <definedName name="ss" hidden="1">{"razones",#N/A,TRUE,"Razones";"balance",#N/A,TRUE,"Balance";"resultados",#N/A,TRUE,"Resultados";"flujo",#N/A,TRUE,"Flujo";"ingresos",#N/A,TRUE,"Ingresos";"costo",#N/A,TRUE,"Costo";"gastos",#N/A,TRUE,"Gastos";"datos",#N/A,TRUE,"Datos";"financieros",#N/A,TRUE,"Financieros"}</definedName>
    <definedName name="StartDate">44227</definedName>
    <definedName name="wrn.reporte." localSheetId="0" hidden="1">{"razones",#N/A,TRUE,"Razones";"balance",#N/A,TRUE,"Balance";"resultados",#N/A,TRUE,"Resultados";"flujo",#N/A,TRUE,"Flujo";"ingresos",#N/A,TRUE,"Ingresos";"costo",#N/A,TRUE,"Costo";"gastos",#N/A,TRUE,"Gastos";"datos",#N/A,TRUE,"Datos";"financieros",#N/A,TRUE,"Financieros"}</definedName>
    <definedName name="wrn.reporte." hidden="1">{"razones",#N/A,TRUE,"Razones";"balance",#N/A,TRUE,"Balance";"resultados",#N/A,TRUE,"Resultados";"flujo",#N/A,TRUE,"Flujo";"ingresos",#N/A,TRUE,"Ingresos";"costo",#N/A,TRUE,"Costo";"gastos",#N/A,TRUE,"Gastos";"datos",#N/A,TRUE,"Datos";"financieros",#N/A,TRUE,"Financieros"}</definedName>
  </definedNames>
  <calcPr calcId="191029"/>
  <pivotCaches>
    <pivotCache cacheId="60" r:id="rId12"/>
    <pivotCache cacheId="61" r:id="rId13"/>
    <pivotCache cacheId="62" r:id="rId14"/>
    <pivotCache cacheId="63" r:id="rId15"/>
    <pivotCache cacheId="64" r:id="rId16"/>
    <pivotCache cacheId="65" r:id="rId17"/>
    <pivotCache cacheId="66" r:id="rId18"/>
    <pivotCache cacheId="67" r:id="rId19"/>
    <pivotCache cacheId="68" r:id="rId20"/>
    <pivotCache cacheId="69" r:id="rId21"/>
    <pivotCache cacheId="70" r:id="rId22"/>
    <pivotCache cacheId="71" r:id="rId23"/>
    <pivotCache cacheId="72" r:id="rId24"/>
    <pivotCache cacheId="73" r:id="rId25"/>
    <pivotCache cacheId="74" r:id="rId26"/>
    <pivotCache cacheId="75" r:id="rId27"/>
    <pivotCache cacheId="76" r:id="rId28"/>
    <pivotCache cacheId="77" r:id="rId29"/>
    <pivotCache cacheId="78" r:id="rId30"/>
  </pivotCaches>
  <extLst>
    <ext xmlns:x14="http://schemas.microsoft.com/office/spreadsheetml/2009/9/main" uri="{876F7934-8845-4945-9796-88D515C7AA90}">
      <x14:pivotCaches>
        <pivotCache cacheId="79" r:id="rId31"/>
      </x14:pivotCaches>
    </ext>
    <ext xmlns:x14="http://schemas.microsoft.com/office/spreadsheetml/2009/9/main" uri="{BBE1A952-AA13-448e-AADC-164F8A28A991}">
      <x14:slicerCaches>
        <x14:slicerCache r:id="rId3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epartmental Profit   Loss_72469cf3-d374-4c6c-8d3f-44e6e4c89a0c" name="Departmental Profit   Loss" connection="Query - Departmental Profit &amp; Loss"/>
          <x15:modelTable id="Departmental Profit   Loss_Budget_5725de27-a7a3-4ab3-b0ba-d0f172ac636f" name="Departmental Profit   Loss_Budget" connection="Query - Departmental Profit &amp; Loss_Budget"/>
          <x15:modelTable id="TableView" name="TableView" connection="WorksheetConnection_Dashboard.xlsx!TableView"/>
          <x15:modelTable id="Predefined_Dates" name="Predefined_Dates" connection="WorksheetConnection_Dashboard.xlsx!Predefined_Dates"/>
          <x15:modelTable id="Mappings" name="Mappings" connection="WorksheetConnection_Dashboard.xlsx!Mappings"/>
          <x15:modelTable id="Departments 1" name="Departments" connection="WorksheetConnection_Dashboard.xlsx!Departments"/>
          <x15:modelTable id="Calendar" name="Calendar" connection="Connection"/>
        </x15:modelTables>
        <x15:modelRelationships>
          <x15:modelRelationship fromTable="Departmental Profit   Loss" fromColumn="Account" toTable="Mappings" toColumn="Account"/>
          <x15:modelRelationship fromTable="Departmental Profit   Loss" fromColumn="Date" toTable="Calendar" toColumn="Date"/>
          <x15:modelRelationship fromTable="Departmental Profit   Loss" fromColumn="Department" toTable="Departments" toColumn="Departments"/>
          <x15:modelRelationship fromTable="Departmental Profit   Loss_Budget" fromColumn="Account" toTable="Mappings" toColumn="Account"/>
          <x15:modelRelationship fromTable="Departmental Profit   Loss_Budget" fromColumn="Date" toTable="Calendar" toColumn="Date"/>
          <x15:modelRelationship fromTable="Departmental Profit   Loss_Budget" fromColumn="Department" toTable="Departments" toColumn="Department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 i="20" l="1"/>
  <c r="E22" i="20"/>
  <c r="AC47" i="20"/>
  <c r="AB47" i="20"/>
  <c r="AA47" i="20"/>
  <c r="V47" i="20"/>
  <c r="U47" i="20"/>
  <c r="T47" i="20"/>
  <c r="S47" i="20"/>
  <c r="AC45" i="20"/>
  <c r="AB45" i="20"/>
  <c r="AA45" i="20"/>
  <c r="V45" i="20"/>
  <c r="U45" i="20"/>
  <c r="T45" i="20"/>
  <c r="S45" i="20"/>
  <c r="AC43" i="20"/>
  <c r="AB43" i="20"/>
  <c r="AA43" i="20"/>
  <c r="V43" i="20"/>
  <c r="U43" i="20"/>
  <c r="T43" i="20"/>
  <c r="S43" i="20"/>
  <c r="AC41" i="20"/>
  <c r="AB41" i="20"/>
  <c r="AA41" i="20"/>
  <c r="V41" i="20"/>
  <c r="U41" i="20"/>
  <c r="T41" i="20"/>
  <c r="S41" i="20"/>
  <c r="AC36" i="20"/>
  <c r="AB36" i="20"/>
  <c r="AA36" i="20"/>
  <c r="V36" i="20"/>
  <c r="U36" i="20"/>
  <c r="T36" i="20"/>
  <c r="S36" i="20"/>
  <c r="AC34" i="20"/>
  <c r="AB34" i="20"/>
  <c r="AA34" i="20"/>
  <c r="V34" i="20"/>
  <c r="U34" i="20"/>
  <c r="T34" i="20"/>
  <c r="S34" i="20"/>
  <c r="AC32" i="20"/>
  <c r="AB32" i="20"/>
  <c r="AA32" i="20"/>
  <c r="V32" i="20"/>
  <c r="U32" i="20"/>
  <c r="T32" i="20"/>
  <c r="S32" i="20"/>
  <c r="AC30" i="20"/>
  <c r="AB30" i="20"/>
  <c r="AA30" i="20"/>
  <c r="V30" i="20"/>
  <c r="U30" i="20"/>
  <c r="T30" i="20"/>
  <c r="S30" i="20"/>
  <c r="AC25" i="20"/>
  <c r="AB25" i="20"/>
  <c r="AA25" i="20"/>
  <c r="V25" i="20"/>
  <c r="U25" i="20"/>
  <c r="T25" i="20"/>
  <c r="S25" i="20"/>
  <c r="AC23" i="20"/>
  <c r="AB23" i="20"/>
  <c r="AA23" i="20"/>
  <c r="V23" i="20"/>
  <c r="U23" i="20"/>
  <c r="T23" i="20"/>
  <c r="S23" i="20"/>
  <c r="AC21" i="20"/>
  <c r="AB21" i="20"/>
  <c r="AA21" i="20"/>
  <c r="V21" i="20"/>
  <c r="U21" i="20"/>
  <c r="T21" i="20"/>
  <c r="S21" i="20"/>
  <c r="AC19" i="20"/>
  <c r="AB19" i="20"/>
  <c r="AA19" i="20"/>
  <c r="V19" i="20"/>
  <c r="U19" i="20"/>
  <c r="T19" i="20"/>
  <c r="S19" i="20"/>
  <c r="R59" i="11"/>
  <c r="R64" i="11" s="1"/>
  <c r="Q59" i="11"/>
  <c r="Q64" i="11" s="1"/>
  <c r="R58" i="11"/>
  <c r="R63" i="11" s="1"/>
  <c r="Q58" i="11"/>
  <c r="Q63" i="11" s="1"/>
  <c r="R57" i="11"/>
  <c r="R62" i="11" s="1"/>
  <c r="Q57" i="11"/>
  <c r="Q62" i="11" s="1"/>
  <c r="P59" i="11"/>
  <c r="P64" i="11" s="1"/>
  <c r="P58" i="11"/>
  <c r="P63" i="11" s="1"/>
  <c r="P57" i="11"/>
  <c r="P62" i="11" s="1"/>
  <c r="R53" i="11"/>
  <c r="Q53" i="11"/>
  <c r="P53" i="11"/>
  <c r="R52" i="11"/>
  <c r="Q52" i="11"/>
  <c r="P52" i="11"/>
  <c r="R50" i="11"/>
  <c r="Q50" i="11"/>
  <c r="Q54" i="11" s="1"/>
  <c r="P50" i="11"/>
  <c r="P54" i="11" s="1"/>
  <c r="Q46" i="11"/>
  <c r="P46" i="11"/>
  <c r="R45" i="11"/>
  <c r="R46" i="11" s="1"/>
  <c r="Q45" i="11"/>
  <c r="P45" i="11"/>
  <c r="R43" i="11"/>
  <c r="R44" i="11" s="1"/>
  <c r="Q43" i="11"/>
  <c r="P43" i="11"/>
  <c r="P36" i="11"/>
  <c r="P37" i="11" s="1"/>
  <c r="R39" i="11"/>
  <c r="R38" i="11"/>
  <c r="Q38" i="11"/>
  <c r="Q39" i="11" s="1"/>
  <c r="P38" i="11"/>
  <c r="P39" i="11" s="1"/>
  <c r="Q37" i="11"/>
  <c r="R36" i="11"/>
  <c r="R37" i="11" s="1"/>
  <c r="Q36" i="11"/>
  <c r="F33" i="10"/>
  <c r="F17" i="10"/>
  <c r="F28" i="7"/>
  <c r="F25" i="7"/>
  <c r="G25" i="7" s="1"/>
  <c r="F21" i="7"/>
  <c r="F17" i="7"/>
  <c r="F14" i="6"/>
  <c r="F40" i="5"/>
  <c r="G40" i="5" s="1"/>
  <c r="H40" i="5" s="1"/>
  <c r="F35" i="4"/>
  <c r="G35" i="4" s="1"/>
  <c r="H35" i="4" s="1"/>
  <c r="I35" i="4" s="1"/>
  <c r="J35" i="4" s="1"/>
  <c r="K35" i="4" s="1"/>
  <c r="L35" i="4" s="1"/>
  <c r="M35" i="4" s="1"/>
  <c r="N35" i="4" s="1"/>
  <c r="O35" i="4" s="1"/>
  <c r="P35" i="4" s="1"/>
  <c r="Q35" i="4" s="1"/>
  <c r="R35" i="4" s="1"/>
  <c r="S35" i="4" s="1"/>
  <c r="T35" i="4" s="1"/>
  <c r="U35" i="4" s="1"/>
  <c r="V35" i="4" s="1"/>
  <c r="W35" i="4" s="1"/>
  <c r="X35" i="4" s="1"/>
  <c r="Y35" i="4" s="1"/>
  <c r="Z35" i="4" s="1"/>
  <c r="AA35" i="4" s="1"/>
  <c r="AB35" i="4" s="1"/>
  <c r="AC35" i="4" s="1"/>
  <c r="AD35" i="4" s="1"/>
  <c r="AE35" i="4" s="1"/>
  <c r="AF35" i="4" s="1"/>
  <c r="AG35" i="4" s="1"/>
  <c r="AH35" i="4" s="1"/>
  <c r="AI35" i="4" s="1"/>
  <c r="AJ35" i="4" s="1"/>
  <c r="AK35" i="4" s="1"/>
  <c r="AL35" i="4" s="1"/>
  <c r="AM35" i="4" s="1"/>
  <c r="AN35" i="4" s="1"/>
  <c r="F41" i="2"/>
  <c r="G41" i="2" s="1"/>
  <c r="H41" i="2" s="1"/>
  <c r="I41" i="2" s="1"/>
  <c r="J41" i="2" s="1"/>
  <c r="K41" i="2" s="1"/>
  <c r="L41" i="2" s="1"/>
  <c r="M41" i="2" s="1"/>
  <c r="N41" i="2" s="1"/>
  <c r="O41" i="2" s="1"/>
  <c r="P41" i="2" s="1"/>
  <c r="Q41" i="2" s="1"/>
  <c r="R41" i="2" s="1"/>
  <c r="S41" i="2" s="1"/>
  <c r="T41" i="2" s="1"/>
  <c r="U41" i="2" s="1"/>
  <c r="V41" i="2" s="1"/>
  <c r="W41" i="2" s="1"/>
  <c r="X41" i="2" s="1"/>
  <c r="Y41" i="2" s="1"/>
  <c r="Z41" i="2" s="1"/>
  <c r="AA41" i="2" s="1"/>
  <c r="AB41" i="2" s="1"/>
  <c r="AC41" i="2" s="1"/>
  <c r="AD41" i="2" s="1"/>
  <c r="AE41" i="2" s="1"/>
  <c r="AF41" i="2" s="1"/>
  <c r="AG41" i="2" s="1"/>
  <c r="AH41" i="2" s="1"/>
  <c r="AI41" i="2" s="1"/>
  <c r="AJ41" i="2" s="1"/>
  <c r="AK41" i="2" s="1"/>
  <c r="AL41" i="2" s="1"/>
  <c r="AM41" i="2" s="1"/>
  <c r="AN41" i="2" s="1"/>
  <c r="F40" i="2"/>
  <c r="G40" i="2" s="1"/>
  <c r="H40" i="2" s="1"/>
  <c r="I40" i="2" s="1"/>
  <c r="J40" i="2" s="1"/>
  <c r="K40" i="2" s="1"/>
  <c r="L40" i="2" s="1"/>
  <c r="M40" i="2" s="1"/>
  <c r="N40" i="2" s="1"/>
  <c r="O40" i="2" s="1"/>
  <c r="P40" i="2" s="1"/>
  <c r="Q40" i="2" s="1"/>
  <c r="R40" i="2" s="1"/>
  <c r="S40" i="2" s="1"/>
  <c r="T40" i="2" s="1"/>
  <c r="U40" i="2" s="1"/>
  <c r="V40" i="2" s="1"/>
  <c r="W40" i="2" s="1"/>
  <c r="X40" i="2" s="1"/>
  <c r="Y40" i="2" s="1"/>
  <c r="Z40" i="2" s="1"/>
  <c r="AA40" i="2" s="1"/>
  <c r="AB40" i="2" s="1"/>
  <c r="AC40" i="2" s="1"/>
  <c r="AD40" i="2" s="1"/>
  <c r="AE40" i="2" s="1"/>
  <c r="AF40" i="2" s="1"/>
  <c r="AG40" i="2" s="1"/>
  <c r="AH40" i="2" s="1"/>
  <c r="AI40" i="2" s="1"/>
  <c r="AJ40" i="2" s="1"/>
  <c r="AK40" i="2" s="1"/>
  <c r="AL40" i="2" s="1"/>
  <c r="AM40" i="2" s="1"/>
  <c r="AN40" i="2" s="1"/>
  <c r="F39" i="2"/>
  <c r="G39" i="2" s="1"/>
  <c r="H39" i="2" s="1"/>
  <c r="I39" i="2" s="1"/>
  <c r="J39" i="2" s="1"/>
  <c r="K39" i="2" s="1"/>
  <c r="L39" i="2" s="1"/>
  <c r="M39" i="2" s="1"/>
  <c r="N39" i="2" s="1"/>
  <c r="O39" i="2" s="1"/>
  <c r="P39" i="2" s="1"/>
  <c r="Q39" i="2" s="1"/>
  <c r="R39" i="2" s="1"/>
  <c r="S39" i="2" s="1"/>
  <c r="T39" i="2" s="1"/>
  <c r="U39" i="2" s="1"/>
  <c r="V39" i="2" s="1"/>
  <c r="W39" i="2" s="1"/>
  <c r="X39" i="2" s="1"/>
  <c r="Y39" i="2" s="1"/>
  <c r="Z39" i="2" s="1"/>
  <c r="AA39" i="2" s="1"/>
  <c r="AB39" i="2" s="1"/>
  <c r="AC39" i="2" s="1"/>
  <c r="AD39" i="2" s="1"/>
  <c r="AE39" i="2" s="1"/>
  <c r="AF39" i="2" s="1"/>
  <c r="AG39" i="2" s="1"/>
  <c r="AH39" i="2" s="1"/>
  <c r="AI39" i="2" s="1"/>
  <c r="AJ39" i="2" s="1"/>
  <c r="AK39" i="2" s="1"/>
  <c r="AL39" i="2" s="1"/>
  <c r="AM39" i="2" s="1"/>
  <c r="AN39" i="2" s="1"/>
  <c r="F38" i="2"/>
  <c r="G38" i="2" s="1"/>
  <c r="H38" i="2" s="1"/>
  <c r="I38" i="2" s="1"/>
  <c r="J38" i="2" s="1"/>
  <c r="K38" i="2" s="1"/>
  <c r="L38" i="2" s="1"/>
  <c r="M38" i="2" s="1"/>
  <c r="N38" i="2" s="1"/>
  <c r="O38" i="2" s="1"/>
  <c r="P38" i="2" s="1"/>
  <c r="Q38" i="2" s="1"/>
  <c r="R38" i="2" s="1"/>
  <c r="S38" i="2" s="1"/>
  <c r="T38" i="2" s="1"/>
  <c r="U38" i="2" s="1"/>
  <c r="V38" i="2" s="1"/>
  <c r="W38" i="2" s="1"/>
  <c r="X38" i="2" s="1"/>
  <c r="Y38" i="2" s="1"/>
  <c r="Z38" i="2" s="1"/>
  <c r="AA38" i="2" s="1"/>
  <c r="AB38" i="2" s="1"/>
  <c r="AC38" i="2" s="1"/>
  <c r="AD38" i="2" s="1"/>
  <c r="AE38" i="2" s="1"/>
  <c r="AF38" i="2" s="1"/>
  <c r="AG38" i="2" s="1"/>
  <c r="AH38" i="2" s="1"/>
  <c r="AI38" i="2" s="1"/>
  <c r="AJ38" i="2" s="1"/>
  <c r="AK38" i="2" s="1"/>
  <c r="AL38" i="2" s="1"/>
  <c r="AM38" i="2" s="1"/>
  <c r="AN38" i="2" s="1"/>
  <c r="F37" i="2"/>
  <c r="G37" i="2" s="1"/>
  <c r="H37" i="2" s="1"/>
  <c r="I37" i="2" s="1"/>
  <c r="J37" i="2" s="1"/>
  <c r="K37" i="2" s="1"/>
  <c r="L37" i="2" s="1"/>
  <c r="M37" i="2" s="1"/>
  <c r="N37" i="2" s="1"/>
  <c r="O37" i="2" s="1"/>
  <c r="P37" i="2" s="1"/>
  <c r="Q37" i="2" s="1"/>
  <c r="R37" i="2" s="1"/>
  <c r="S37" i="2" s="1"/>
  <c r="T37" i="2" s="1"/>
  <c r="U37" i="2" s="1"/>
  <c r="V37" i="2" s="1"/>
  <c r="W37" i="2" s="1"/>
  <c r="X37" i="2" s="1"/>
  <c r="Y37" i="2" s="1"/>
  <c r="Z37" i="2" s="1"/>
  <c r="AA37" i="2" s="1"/>
  <c r="AB37" i="2" s="1"/>
  <c r="AC37" i="2" s="1"/>
  <c r="AD37" i="2" s="1"/>
  <c r="AE37" i="2" s="1"/>
  <c r="AF37" i="2" s="1"/>
  <c r="AG37" i="2" s="1"/>
  <c r="AH37" i="2" s="1"/>
  <c r="AI37" i="2" s="1"/>
  <c r="AJ37" i="2" s="1"/>
  <c r="AK37" i="2" s="1"/>
  <c r="AL37" i="2" s="1"/>
  <c r="AM37" i="2" s="1"/>
  <c r="AN37" i="2" s="1"/>
  <c r="F35" i="2"/>
  <c r="G35" i="2" s="1"/>
  <c r="H35" i="2" s="1"/>
  <c r="I35" i="2" s="1"/>
  <c r="J35" i="2" s="1"/>
  <c r="K35" i="2" s="1"/>
  <c r="L35" i="2" s="1"/>
  <c r="M35" i="2" s="1"/>
  <c r="N35" i="2" s="1"/>
  <c r="O35" i="2" s="1"/>
  <c r="P35" i="2" s="1"/>
  <c r="Q35" i="2" s="1"/>
  <c r="R35" i="2" s="1"/>
  <c r="S35" i="2" s="1"/>
  <c r="T35" i="2" s="1"/>
  <c r="U35" i="2" s="1"/>
  <c r="V35" i="2" s="1"/>
  <c r="W35" i="2" s="1"/>
  <c r="X35" i="2" s="1"/>
  <c r="Y35" i="2" s="1"/>
  <c r="Z35" i="2" s="1"/>
  <c r="AA35" i="2" s="1"/>
  <c r="AB35" i="2" s="1"/>
  <c r="AC35" i="2" s="1"/>
  <c r="AD35" i="2" s="1"/>
  <c r="AE35" i="2" s="1"/>
  <c r="AF35" i="2" s="1"/>
  <c r="AG35" i="2" s="1"/>
  <c r="AH35" i="2" s="1"/>
  <c r="AI35" i="2" s="1"/>
  <c r="AJ35" i="2" s="1"/>
  <c r="AK35" i="2" s="1"/>
  <c r="AL35" i="2" s="1"/>
  <c r="AM35" i="2" s="1"/>
  <c r="AN35" i="2" s="1"/>
  <c r="F34" i="2"/>
  <c r="G34" i="2" s="1"/>
  <c r="H34" i="2" s="1"/>
  <c r="I34" i="2" s="1"/>
  <c r="J34" i="2" s="1"/>
  <c r="K34" i="2" s="1"/>
  <c r="L34" i="2" s="1"/>
  <c r="M34" i="2" s="1"/>
  <c r="N34" i="2" s="1"/>
  <c r="O34" i="2" s="1"/>
  <c r="P34" i="2" s="1"/>
  <c r="Q34" i="2" s="1"/>
  <c r="R34" i="2" s="1"/>
  <c r="S34" i="2" s="1"/>
  <c r="T34" i="2" s="1"/>
  <c r="U34" i="2" s="1"/>
  <c r="V34" i="2" s="1"/>
  <c r="W34" i="2" s="1"/>
  <c r="X34" i="2" s="1"/>
  <c r="Y34" i="2" s="1"/>
  <c r="Z34" i="2" s="1"/>
  <c r="AA34" i="2" s="1"/>
  <c r="AB34" i="2" s="1"/>
  <c r="AC34" i="2" s="1"/>
  <c r="AD34" i="2" s="1"/>
  <c r="AE34" i="2" s="1"/>
  <c r="AF34" i="2" s="1"/>
  <c r="AG34" i="2" s="1"/>
  <c r="AH34" i="2" s="1"/>
  <c r="AI34" i="2" s="1"/>
  <c r="AJ34" i="2" s="1"/>
  <c r="AK34" i="2" s="1"/>
  <c r="AL34" i="2" s="1"/>
  <c r="AM34" i="2" s="1"/>
  <c r="AN34" i="2" s="1"/>
  <c r="F33" i="2"/>
  <c r="G33" i="2" s="1"/>
  <c r="H33" i="2" s="1"/>
  <c r="I33" i="2" s="1"/>
  <c r="J33" i="2" s="1"/>
  <c r="K33" i="2" s="1"/>
  <c r="L33" i="2" s="1"/>
  <c r="M33" i="2" s="1"/>
  <c r="N33" i="2" s="1"/>
  <c r="O33" i="2" s="1"/>
  <c r="P33" i="2" s="1"/>
  <c r="Q33" i="2" s="1"/>
  <c r="R33" i="2" s="1"/>
  <c r="S33" i="2" s="1"/>
  <c r="T33" i="2" s="1"/>
  <c r="U33" i="2" s="1"/>
  <c r="V33" i="2" s="1"/>
  <c r="W33" i="2" s="1"/>
  <c r="X33" i="2" s="1"/>
  <c r="Y33" i="2" s="1"/>
  <c r="Z33" i="2" s="1"/>
  <c r="AA33" i="2" s="1"/>
  <c r="AB33" i="2" s="1"/>
  <c r="AC33" i="2" s="1"/>
  <c r="AD33" i="2" s="1"/>
  <c r="AE33" i="2" s="1"/>
  <c r="AF33" i="2" s="1"/>
  <c r="AG33" i="2" s="1"/>
  <c r="AH33" i="2" s="1"/>
  <c r="AI33" i="2" s="1"/>
  <c r="AJ33" i="2" s="1"/>
  <c r="AK33" i="2" s="1"/>
  <c r="AL33" i="2" s="1"/>
  <c r="AM33" i="2" s="1"/>
  <c r="AN33" i="2" s="1"/>
  <c r="F32" i="2"/>
  <c r="G32" i="2" s="1"/>
  <c r="H32" i="2" s="1"/>
  <c r="I32" i="2" s="1"/>
  <c r="J32" i="2" s="1"/>
  <c r="K32" i="2" s="1"/>
  <c r="L32" i="2" s="1"/>
  <c r="M32" i="2" s="1"/>
  <c r="N32" i="2" s="1"/>
  <c r="O32" i="2" s="1"/>
  <c r="P32" i="2" s="1"/>
  <c r="Q32" i="2" s="1"/>
  <c r="R32" i="2" s="1"/>
  <c r="S32" i="2" s="1"/>
  <c r="T32" i="2" s="1"/>
  <c r="U32" i="2" s="1"/>
  <c r="V32" i="2" s="1"/>
  <c r="W32" i="2" s="1"/>
  <c r="X32" i="2" s="1"/>
  <c r="Y32" i="2" s="1"/>
  <c r="Z32" i="2" s="1"/>
  <c r="AA32" i="2" s="1"/>
  <c r="AB32" i="2" s="1"/>
  <c r="AC32" i="2" s="1"/>
  <c r="AD32" i="2" s="1"/>
  <c r="AE32" i="2" s="1"/>
  <c r="AF32" i="2" s="1"/>
  <c r="AG32" i="2" s="1"/>
  <c r="AH32" i="2" s="1"/>
  <c r="AI32" i="2" s="1"/>
  <c r="AJ32" i="2" s="1"/>
  <c r="AK32" i="2" s="1"/>
  <c r="AL32" i="2" s="1"/>
  <c r="AM32" i="2" s="1"/>
  <c r="AN32" i="2" s="1"/>
  <c r="F31" i="2"/>
  <c r="G31" i="2" s="1"/>
  <c r="H31" i="2" s="1"/>
  <c r="I31" i="2" s="1"/>
  <c r="J31" i="2" s="1"/>
  <c r="F30" i="2"/>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AJ30" i="2" s="1"/>
  <c r="AK30" i="2" s="1"/>
  <c r="AL30" i="2" s="1"/>
  <c r="AM30" i="2" s="1"/>
  <c r="AN30" i="2" s="1"/>
  <c r="F28" i="2"/>
  <c r="G28" i="2" s="1"/>
  <c r="H28" i="2" s="1"/>
  <c r="I28" i="2" s="1"/>
  <c r="J28" i="2" s="1"/>
  <c r="K28" i="2" s="1"/>
  <c r="L28" i="2" s="1"/>
  <c r="M28" i="2" s="1"/>
  <c r="N28" i="2" s="1"/>
  <c r="O28" i="2" s="1"/>
  <c r="P28" i="2" s="1"/>
  <c r="Q28" i="2" s="1"/>
  <c r="R28" i="2" s="1"/>
  <c r="S28" i="2" s="1"/>
  <c r="T28" i="2" s="1"/>
  <c r="U28" i="2" s="1"/>
  <c r="V28" i="2" s="1"/>
  <c r="W28" i="2" s="1"/>
  <c r="X28" i="2" s="1"/>
  <c r="Y28" i="2" s="1"/>
  <c r="Z28" i="2" s="1"/>
  <c r="AA28" i="2" s="1"/>
  <c r="AB28" i="2" s="1"/>
  <c r="AC28" i="2" s="1"/>
  <c r="AD28" i="2" s="1"/>
  <c r="AE28" i="2" s="1"/>
  <c r="AF28" i="2" s="1"/>
  <c r="AG28" i="2" s="1"/>
  <c r="AH28" i="2" s="1"/>
  <c r="AI28" i="2" s="1"/>
  <c r="AJ28" i="2" s="1"/>
  <c r="AK28" i="2" s="1"/>
  <c r="AL28" i="2" s="1"/>
  <c r="AM28" i="2" s="1"/>
  <c r="AN28" i="2" s="1"/>
  <c r="F27" i="2"/>
  <c r="G27" i="2" s="1"/>
  <c r="H27" i="2" s="1"/>
  <c r="I27" i="2" s="1"/>
  <c r="J27" i="2" s="1"/>
  <c r="K27" i="2" s="1"/>
  <c r="L27" i="2" s="1"/>
  <c r="M27" i="2" s="1"/>
  <c r="N27" i="2" s="1"/>
  <c r="O27" i="2" s="1"/>
  <c r="P27" i="2" s="1"/>
  <c r="Q27" i="2" s="1"/>
  <c r="R27" i="2" s="1"/>
  <c r="S27" i="2" s="1"/>
  <c r="T27" i="2" s="1"/>
  <c r="U27" i="2" s="1"/>
  <c r="V27" i="2" s="1"/>
  <c r="W27" i="2" s="1"/>
  <c r="X27" i="2" s="1"/>
  <c r="Y27" i="2" s="1"/>
  <c r="Z27" i="2" s="1"/>
  <c r="AA27" i="2" s="1"/>
  <c r="AB27" i="2" s="1"/>
  <c r="AC27" i="2" s="1"/>
  <c r="AD27" i="2" s="1"/>
  <c r="AE27" i="2" s="1"/>
  <c r="AF27" i="2" s="1"/>
  <c r="AG27" i="2" s="1"/>
  <c r="AH27" i="2" s="1"/>
  <c r="AI27" i="2" s="1"/>
  <c r="AJ27" i="2" s="1"/>
  <c r="AK27" i="2" s="1"/>
  <c r="AL27" i="2" s="1"/>
  <c r="AM27" i="2" s="1"/>
  <c r="AN27" i="2" s="1"/>
  <c r="F26" i="2"/>
  <c r="G26" i="2" s="1"/>
  <c r="H26" i="2" s="1"/>
  <c r="I26" i="2" s="1"/>
  <c r="J26" i="2" s="1"/>
  <c r="K26" i="2" s="1"/>
  <c r="L26" i="2" s="1"/>
  <c r="M26" i="2" s="1"/>
  <c r="N26" i="2" s="1"/>
  <c r="O26" i="2" s="1"/>
  <c r="P26" i="2" s="1"/>
  <c r="Q26" i="2" s="1"/>
  <c r="R26" i="2" s="1"/>
  <c r="S26" i="2" s="1"/>
  <c r="T26" i="2" s="1"/>
  <c r="U26" i="2" s="1"/>
  <c r="V26" i="2" s="1"/>
  <c r="W26" i="2" s="1"/>
  <c r="X26" i="2" s="1"/>
  <c r="Y26" i="2" s="1"/>
  <c r="Z26" i="2" s="1"/>
  <c r="AA26" i="2" s="1"/>
  <c r="AB26" i="2" s="1"/>
  <c r="AC26" i="2" s="1"/>
  <c r="AD26" i="2" s="1"/>
  <c r="AE26" i="2" s="1"/>
  <c r="AF26" i="2" s="1"/>
  <c r="AG26" i="2" s="1"/>
  <c r="AH26" i="2" s="1"/>
  <c r="AI26" i="2" s="1"/>
  <c r="AJ26" i="2" s="1"/>
  <c r="AK26" i="2" s="1"/>
  <c r="AL26" i="2" s="1"/>
  <c r="AM26" i="2" s="1"/>
  <c r="AN26" i="2" s="1"/>
  <c r="F25" i="2"/>
  <c r="G25" i="2" s="1"/>
  <c r="H25" i="2" s="1"/>
  <c r="I25" i="2" s="1"/>
  <c r="J25" i="2" s="1"/>
  <c r="K25" i="2" s="1"/>
  <c r="L25" i="2" s="1"/>
  <c r="M25" i="2" s="1"/>
  <c r="N25" i="2" s="1"/>
  <c r="O25" i="2" s="1"/>
  <c r="P25" i="2" s="1"/>
  <c r="Q25" i="2" s="1"/>
  <c r="R25" i="2" s="1"/>
  <c r="S25" i="2" s="1"/>
  <c r="T25" i="2" s="1"/>
  <c r="U25" i="2" s="1"/>
  <c r="V25" i="2" s="1"/>
  <c r="W25" i="2" s="1"/>
  <c r="X25" i="2" s="1"/>
  <c r="Y25" i="2" s="1"/>
  <c r="Z25" i="2" s="1"/>
  <c r="AA25" i="2" s="1"/>
  <c r="AB25" i="2" s="1"/>
  <c r="AC25" i="2" s="1"/>
  <c r="AD25" i="2" s="1"/>
  <c r="AE25" i="2" s="1"/>
  <c r="AF25" i="2" s="1"/>
  <c r="AG25" i="2" s="1"/>
  <c r="AH25" i="2" s="1"/>
  <c r="AI25" i="2" s="1"/>
  <c r="AJ25" i="2" s="1"/>
  <c r="AK25" i="2" s="1"/>
  <c r="AL25" i="2" s="1"/>
  <c r="AM25" i="2" s="1"/>
  <c r="AN25" i="2" s="1"/>
  <c r="F24" i="2"/>
  <c r="G24" i="2" s="1"/>
  <c r="H24" i="2" s="1"/>
  <c r="I24" i="2" s="1"/>
  <c r="J24" i="2" s="1"/>
  <c r="K24" i="2" s="1"/>
  <c r="L24" i="2" s="1"/>
  <c r="M24" i="2" s="1"/>
  <c r="N24" i="2" s="1"/>
  <c r="O24" i="2" s="1"/>
  <c r="P24" i="2" s="1"/>
  <c r="Q24" i="2" s="1"/>
  <c r="R24" i="2" s="1"/>
  <c r="S24" i="2" s="1"/>
  <c r="T24" i="2" s="1"/>
  <c r="U24" i="2" s="1"/>
  <c r="V24" i="2" s="1"/>
  <c r="W24" i="2" s="1"/>
  <c r="X24" i="2" s="1"/>
  <c r="Y24" i="2" s="1"/>
  <c r="Z24" i="2" s="1"/>
  <c r="AA24" i="2" s="1"/>
  <c r="AB24" i="2" s="1"/>
  <c r="AC24" i="2" s="1"/>
  <c r="AD24" i="2" s="1"/>
  <c r="AE24" i="2" s="1"/>
  <c r="AF24" i="2" s="1"/>
  <c r="AG24" i="2" s="1"/>
  <c r="AH24" i="2" s="1"/>
  <c r="AI24" i="2" s="1"/>
  <c r="AJ24" i="2" s="1"/>
  <c r="AK24" i="2" s="1"/>
  <c r="AL24" i="2" s="1"/>
  <c r="AM24" i="2" s="1"/>
  <c r="AN24" i="2" s="1"/>
  <c r="F22" i="2"/>
  <c r="G22" i="2" s="1"/>
  <c r="H22" i="2" s="1"/>
  <c r="I22" i="2" s="1"/>
  <c r="J22" i="2" s="1"/>
  <c r="K22" i="2" s="1"/>
  <c r="L22" i="2" s="1"/>
  <c r="M22" i="2" s="1"/>
  <c r="N22" i="2" s="1"/>
  <c r="O22" i="2" s="1"/>
  <c r="P22" i="2" s="1"/>
  <c r="Q22" i="2" s="1"/>
  <c r="R22" i="2" s="1"/>
  <c r="S22" i="2" s="1"/>
  <c r="T22" i="2" s="1"/>
  <c r="U22" i="2" s="1"/>
  <c r="V22" i="2" s="1"/>
  <c r="W22" i="2" s="1"/>
  <c r="X22" i="2" s="1"/>
  <c r="Y22" i="2" s="1"/>
  <c r="Z22" i="2" s="1"/>
  <c r="AA22" i="2" s="1"/>
  <c r="AB22" i="2" s="1"/>
  <c r="AC22" i="2" s="1"/>
  <c r="AD22" i="2" s="1"/>
  <c r="AE22" i="2" s="1"/>
  <c r="AF22" i="2" s="1"/>
  <c r="AG22" i="2" s="1"/>
  <c r="AH22" i="2" s="1"/>
  <c r="AI22" i="2" s="1"/>
  <c r="AJ22" i="2" s="1"/>
  <c r="AK22" i="2" s="1"/>
  <c r="AL22" i="2" s="1"/>
  <c r="AM22" i="2" s="1"/>
  <c r="AN22" i="2" s="1"/>
  <c r="F21" i="2"/>
  <c r="G21" i="2" s="1"/>
  <c r="H21" i="2" s="1"/>
  <c r="I21" i="2" s="1"/>
  <c r="J21" i="2" s="1"/>
  <c r="K21" i="2" s="1"/>
  <c r="L21" i="2" s="1"/>
  <c r="M21" i="2" s="1"/>
  <c r="N21" i="2" s="1"/>
  <c r="O21" i="2" s="1"/>
  <c r="P21" i="2" s="1"/>
  <c r="Q21" i="2" s="1"/>
  <c r="R21" i="2" s="1"/>
  <c r="S21" i="2" s="1"/>
  <c r="T21" i="2" s="1"/>
  <c r="U21" i="2" s="1"/>
  <c r="V21" i="2" s="1"/>
  <c r="W21" i="2" s="1"/>
  <c r="X21" i="2" s="1"/>
  <c r="Y21" i="2" s="1"/>
  <c r="Z21" i="2" s="1"/>
  <c r="AA21" i="2" s="1"/>
  <c r="AB21" i="2" s="1"/>
  <c r="AC21" i="2" s="1"/>
  <c r="AD21" i="2" s="1"/>
  <c r="AE21" i="2" s="1"/>
  <c r="AF21" i="2" s="1"/>
  <c r="AG21" i="2" s="1"/>
  <c r="F20" i="2"/>
  <c r="G20" i="2" s="1"/>
  <c r="H20" i="2" s="1"/>
  <c r="I20" i="2" s="1"/>
  <c r="J20" i="2" s="1"/>
  <c r="K20" i="2" s="1"/>
  <c r="L20" i="2" s="1"/>
  <c r="M20" i="2" s="1"/>
  <c r="N20" i="2" s="1"/>
  <c r="O20" i="2" s="1"/>
  <c r="P20" i="2" s="1"/>
  <c r="Q20" i="2" s="1"/>
  <c r="R20" i="2" s="1"/>
  <c r="S20" i="2" s="1"/>
  <c r="T20" i="2" s="1"/>
  <c r="U20" i="2" s="1"/>
  <c r="V20" i="2" s="1"/>
  <c r="W20" i="2" s="1"/>
  <c r="X20" i="2" s="1"/>
  <c r="Y20" i="2" s="1"/>
  <c r="Z20" i="2" s="1"/>
  <c r="AA20" i="2" s="1"/>
  <c r="AB20" i="2" s="1"/>
  <c r="AC20" i="2" s="1"/>
  <c r="AD20" i="2" s="1"/>
  <c r="AE20" i="2" s="1"/>
  <c r="AF20" i="2" s="1"/>
  <c r="AG20" i="2" s="1"/>
  <c r="AH20" i="2" s="1"/>
  <c r="AI20" i="2" s="1"/>
  <c r="AJ20" i="2" s="1"/>
  <c r="AK20" i="2" s="1"/>
  <c r="AL20" i="2" s="1"/>
  <c r="AM20" i="2" s="1"/>
  <c r="AN20" i="2" s="1"/>
  <c r="F19" i="2"/>
  <c r="G19" i="2" s="1"/>
  <c r="H19" i="2" s="1"/>
  <c r="I19" i="2" s="1"/>
  <c r="J19" i="2" s="1"/>
  <c r="K19" i="2" s="1"/>
  <c r="L19" i="2" s="1"/>
  <c r="M19" i="2" s="1"/>
  <c r="N19" i="2" s="1"/>
  <c r="O19" i="2" s="1"/>
  <c r="P19" i="2" s="1"/>
  <c r="Q19" i="2" s="1"/>
  <c r="R19" i="2" s="1"/>
  <c r="S19" i="2" s="1"/>
  <c r="T19" i="2" s="1"/>
  <c r="U19" i="2" s="1"/>
  <c r="V19" i="2" s="1"/>
  <c r="W19" i="2" s="1"/>
  <c r="X19" i="2" s="1"/>
  <c r="Y19" i="2" s="1"/>
  <c r="Z19" i="2" s="1"/>
  <c r="AA19" i="2" s="1"/>
  <c r="AB19" i="2" s="1"/>
  <c r="AC19" i="2" s="1"/>
  <c r="AD19" i="2" s="1"/>
  <c r="AE19" i="2" s="1"/>
  <c r="AF19" i="2" s="1"/>
  <c r="AG19" i="2" s="1"/>
  <c r="AH19" i="2" s="1"/>
  <c r="AI19" i="2" s="1"/>
  <c r="AJ19" i="2" s="1"/>
  <c r="AK19" i="2" s="1"/>
  <c r="AL19" i="2" s="1"/>
  <c r="AM19" i="2" s="1"/>
  <c r="AN19" i="2" s="1"/>
  <c r="F18" i="2"/>
  <c r="G18" i="2" s="1"/>
  <c r="H18" i="2" s="1"/>
  <c r="I18" i="2" s="1"/>
  <c r="J18" i="2" s="1"/>
  <c r="K18" i="2" s="1"/>
  <c r="L18" i="2" s="1"/>
  <c r="M18" i="2" s="1"/>
  <c r="N18" i="2" s="1"/>
  <c r="O18" i="2" s="1"/>
  <c r="P18" i="2" s="1"/>
  <c r="Q18" i="2" s="1"/>
  <c r="R18" i="2" s="1"/>
  <c r="S18" i="2" s="1"/>
  <c r="T18" i="2" s="1"/>
  <c r="U18" i="2" s="1"/>
  <c r="V18" i="2" s="1"/>
  <c r="W18" i="2" s="1"/>
  <c r="X18" i="2" s="1"/>
  <c r="Y18" i="2" s="1"/>
  <c r="Z18" i="2" s="1"/>
  <c r="AA18" i="2" s="1"/>
  <c r="AB18" i="2" s="1"/>
  <c r="AC18" i="2" s="1"/>
  <c r="AD18" i="2" s="1"/>
  <c r="AE18" i="2" s="1"/>
  <c r="AF18" i="2" s="1"/>
  <c r="AG18" i="2" s="1"/>
  <c r="AH18" i="2" s="1"/>
  <c r="AI18" i="2" s="1"/>
  <c r="AJ18" i="2" s="1"/>
  <c r="AK18" i="2" s="1"/>
  <c r="AL18" i="2" s="1"/>
  <c r="AM18" i="2" s="1"/>
  <c r="AN18" i="2" s="1"/>
  <c r="F17" i="2"/>
  <c r="G17" i="2" s="1"/>
  <c r="H17" i="2" s="1"/>
  <c r="I17" i="2" s="1"/>
  <c r="J17" i="2" s="1"/>
  <c r="K17" i="2" s="1"/>
  <c r="L17" i="2" s="1"/>
  <c r="M17" i="2" s="1"/>
  <c r="N17" i="2" s="1"/>
  <c r="O17" i="2" s="1"/>
  <c r="P17" i="2" s="1"/>
  <c r="Q17" i="2" s="1"/>
  <c r="R17" i="2" s="1"/>
  <c r="S17" i="2" s="1"/>
  <c r="T17" i="2" s="1"/>
  <c r="U17" i="2" s="1"/>
  <c r="V17" i="2" s="1"/>
  <c r="W17" i="2" s="1"/>
  <c r="X17" i="2" s="1"/>
  <c r="Y17" i="2" s="1"/>
  <c r="Z17" i="2" s="1"/>
  <c r="AA17" i="2" s="1"/>
  <c r="AB17" i="2" s="1"/>
  <c r="AC17" i="2" s="1"/>
  <c r="AD17" i="2" s="1"/>
  <c r="AE17" i="2" s="1"/>
  <c r="AF17" i="2" s="1"/>
  <c r="AG17" i="2" s="1"/>
  <c r="AH17" i="2" s="1"/>
  <c r="AI17" i="2" s="1"/>
  <c r="AJ17" i="2" s="1"/>
  <c r="AK17" i="2" s="1"/>
  <c r="AL17" i="2" s="1"/>
  <c r="AM17" i="2" s="1"/>
  <c r="AN17" i="2" s="1"/>
  <c r="F16" i="2"/>
  <c r="G16" i="2" s="1"/>
  <c r="R54" i="11" l="1"/>
  <c r="B24" i="20"/>
  <c r="E24" i="20"/>
  <c r="H24" i="20"/>
  <c r="H16" i="2"/>
  <c r="I16" i="2" s="1"/>
  <c r="J16" i="2" s="1"/>
  <c r="K16" i="2" s="1"/>
  <c r="L16" i="2" s="1"/>
  <c r="M16" i="2" s="1"/>
  <c r="N16" i="2" s="1"/>
  <c r="O16" i="2" s="1"/>
  <c r="P16" i="2" s="1"/>
  <c r="Q16" i="2" s="1"/>
  <c r="R16" i="2" s="1"/>
  <c r="S16" i="2" s="1"/>
  <c r="T16" i="2" s="1"/>
  <c r="U16" i="2" s="1"/>
  <c r="V16" i="2" s="1"/>
  <c r="W16" i="2" s="1"/>
  <c r="X16" i="2" s="1"/>
  <c r="Y16" i="2" s="1"/>
  <c r="Z16" i="2" s="1"/>
  <c r="AA16" i="2" s="1"/>
  <c r="AB16" i="2" s="1"/>
  <c r="AC16" i="2" s="1"/>
  <c r="AD16" i="2" s="1"/>
  <c r="AE16" i="2" s="1"/>
  <c r="AF16" i="2" s="1"/>
  <c r="AG16" i="2" s="1"/>
  <c r="AH16" i="2" s="1"/>
  <c r="AI16" i="2" s="1"/>
  <c r="AJ16" i="2" s="1"/>
  <c r="AK16" i="2" s="1"/>
  <c r="AL16" i="2" s="1"/>
  <c r="AM16" i="2" s="1"/>
  <c r="AN16" i="2" s="1"/>
  <c r="AD25" i="20"/>
  <c r="T38" i="20"/>
  <c r="U27" i="20"/>
  <c r="T27" i="20"/>
  <c r="AD23" i="20"/>
  <c r="AA49" i="20"/>
  <c r="AD45" i="20"/>
  <c r="S49" i="20"/>
  <c r="AB38" i="20"/>
  <c r="T49" i="20"/>
  <c r="AB27" i="20"/>
  <c r="AD21" i="20"/>
  <c r="AD19" i="20"/>
  <c r="U38" i="20"/>
  <c r="AB49" i="20"/>
  <c r="AD43" i="20"/>
  <c r="AD36" i="20"/>
  <c r="AD41" i="20"/>
  <c r="S27" i="20"/>
  <c r="AA38" i="20"/>
  <c r="AD34" i="20"/>
  <c r="AD32" i="20"/>
  <c r="AD30" i="20"/>
  <c r="U49" i="20"/>
  <c r="AA27" i="20"/>
  <c r="S38" i="20"/>
  <c r="AD47" i="20"/>
  <c r="AC27" i="20"/>
  <c r="AC38" i="20"/>
  <c r="AC49" i="20"/>
  <c r="P47" i="11"/>
  <c r="Q47" i="11"/>
  <c r="R47" i="11"/>
  <c r="P51" i="11"/>
  <c r="Q51" i="11"/>
  <c r="R51" i="11"/>
  <c r="P44" i="11"/>
  <c r="Q44" i="11"/>
  <c r="Q40" i="11"/>
  <c r="P40" i="11"/>
  <c r="R40" i="11"/>
  <c r="AH21" i="2"/>
  <c r="AI21" i="2" s="1"/>
  <c r="AJ21" i="2" s="1"/>
  <c r="AK21" i="2" s="1"/>
  <c r="AL21" i="2" s="1"/>
  <c r="AM21" i="2" s="1"/>
  <c r="AN21" i="2" s="1"/>
  <c r="K31" i="2"/>
  <c r="L31" i="2" s="1"/>
  <c r="M31" i="2" s="1"/>
  <c r="N31" i="2" s="1"/>
  <c r="O31" i="2" s="1"/>
  <c r="P31" i="2" s="1"/>
  <c r="Q31" i="2" s="1"/>
  <c r="R31" i="2" s="1"/>
  <c r="AD49" i="20" l="1"/>
  <c r="V49" i="20"/>
  <c r="V27" i="20"/>
  <c r="S31" i="2"/>
  <c r="T31" i="2" s="1"/>
  <c r="U31" i="2" s="1"/>
  <c r="V31" i="2" s="1"/>
  <c r="W31" i="2" s="1"/>
  <c r="X31" i="2" s="1"/>
  <c r="Y31" i="2" s="1"/>
  <c r="V38" i="20"/>
  <c r="AD38" i="20"/>
  <c r="AD27" i="20"/>
  <c r="Z31" i="2" l="1"/>
  <c r="AA31" i="2" s="1"/>
  <c r="AB31" i="2" s="1"/>
  <c r="AC31" i="2" s="1"/>
  <c r="AD31" i="2" s="1"/>
  <c r="AE31" i="2" s="1"/>
  <c r="AF31" i="2" s="1"/>
  <c r="AG31" i="2" s="1"/>
  <c r="AH31" i="2" l="1"/>
  <c r="AI31" i="2" s="1"/>
  <c r="AJ31" i="2" s="1"/>
  <c r="AK31" i="2" s="1"/>
  <c r="AL31" i="2" s="1"/>
  <c r="AM31" i="2" s="1"/>
  <c r="AN31" i="2" s="1"/>
  <c r="E32" i="9" l="1"/>
  <c r="F32" i="9" s="1"/>
  <c r="G32" i="9" s="1"/>
  <c r="H32" i="9" s="1"/>
  <c r="I32" i="9" s="1"/>
  <c r="J32" i="9" s="1"/>
  <c r="K32" i="9" s="1"/>
  <c r="L32" i="9" s="1"/>
  <c r="M32" i="9" s="1"/>
  <c r="N32" i="9" s="1"/>
  <c r="O32" i="9" s="1"/>
  <c r="P32" i="9" s="1"/>
  <c r="Q32" i="9" s="1"/>
  <c r="R32" i="9" s="1"/>
  <c r="S32" i="9" s="1"/>
  <c r="T32" i="9" s="1"/>
  <c r="U32" i="9" s="1"/>
  <c r="V32" i="9" s="1"/>
  <c r="W32" i="9" s="1"/>
  <c r="X32" i="9" s="1"/>
  <c r="Y32" i="9" s="1"/>
  <c r="Z32" i="9" s="1"/>
  <c r="AA32" i="9" s="1"/>
  <c r="AB32" i="9" s="1"/>
  <c r="AC32" i="9" s="1"/>
  <c r="AD32" i="9" s="1"/>
  <c r="AE32" i="9" s="1"/>
  <c r="AF32" i="9" s="1"/>
  <c r="AG32" i="9" s="1"/>
  <c r="AH32" i="9" s="1"/>
  <c r="AI32" i="9" s="1"/>
  <c r="AJ32" i="9" s="1"/>
  <c r="AK32" i="9" s="1"/>
  <c r="AL32" i="9" s="1"/>
  <c r="AM32" i="9" s="1"/>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F46" i="10"/>
  <c r="F47" i="10" s="1"/>
  <c r="F41" i="10"/>
  <c r="G41" i="10" s="1"/>
  <c r="F40" i="10"/>
  <c r="G40" i="10" s="1"/>
  <c r="H40" i="10" s="1"/>
  <c r="I40" i="10" s="1"/>
  <c r="J40" i="10" s="1"/>
  <c r="K40" i="10" s="1"/>
  <c r="L40" i="10" s="1"/>
  <c r="M40" i="10" s="1"/>
  <c r="N40" i="10" s="1"/>
  <c r="O40" i="10" s="1"/>
  <c r="P40" i="10" s="1"/>
  <c r="Q40" i="10" s="1"/>
  <c r="R40" i="10" s="1"/>
  <c r="S40" i="10" s="1"/>
  <c r="T40" i="10" s="1"/>
  <c r="U40" i="10" s="1"/>
  <c r="V40" i="10" s="1"/>
  <c r="W40" i="10" s="1"/>
  <c r="X40" i="10" s="1"/>
  <c r="Y40" i="10" s="1"/>
  <c r="Z40" i="10" s="1"/>
  <c r="AA40" i="10" s="1"/>
  <c r="AB40" i="10" s="1"/>
  <c r="AC40" i="10" s="1"/>
  <c r="AD40" i="10" s="1"/>
  <c r="AE40" i="10" s="1"/>
  <c r="AF40" i="10" s="1"/>
  <c r="F39" i="10"/>
  <c r="G39" i="10" s="1"/>
  <c r="H39" i="10" s="1"/>
  <c r="I39" i="10" s="1"/>
  <c r="J39" i="10" s="1"/>
  <c r="K39" i="10" s="1"/>
  <c r="L39" i="10" s="1"/>
  <c r="M39" i="10" s="1"/>
  <c r="F38" i="10"/>
  <c r="G38" i="10" s="1"/>
  <c r="H38" i="10" s="1"/>
  <c r="I38" i="10" s="1"/>
  <c r="J38" i="10" s="1"/>
  <c r="K38" i="10" s="1"/>
  <c r="L38" i="10" s="1"/>
  <c r="M38" i="10" s="1"/>
  <c r="N38" i="10" s="1"/>
  <c r="O38" i="10" s="1"/>
  <c r="P38" i="10" s="1"/>
  <c r="Q38" i="10" s="1"/>
  <c r="R38" i="10" s="1"/>
  <c r="S38" i="10" s="1"/>
  <c r="T38" i="10" s="1"/>
  <c r="U38" i="10" s="1"/>
  <c r="V38" i="10" s="1"/>
  <c r="W38" i="10" s="1"/>
  <c r="X38" i="10" s="1"/>
  <c r="Y38" i="10" s="1"/>
  <c r="Z38" i="10" s="1"/>
  <c r="AA38" i="10" s="1"/>
  <c r="AB38" i="10" s="1"/>
  <c r="AC38" i="10" s="1"/>
  <c r="AD38" i="10" s="1"/>
  <c r="AE38" i="10" s="1"/>
  <c r="AF38" i="10" s="1"/>
  <c r="AG38" i="10" s="1"/>
  <c r="AH38" i="10" s="1"/>
  <c r="AI38" i="10" s="1"/>
  <c r="AJ38" i="10" s="1"/>
  <c r="AK38" i="10" s="1"/>
  <c r="AL38" i="10" s="1"/>
  <c r="AM38" i="10" s="1"/>
  <c r="F35" i="10"/>
  <c r="G35" i="10" s="1"/>
  <c r="H35" i="10" s="1"/>
  <c r="I35" i="10" s="1"/>
  <c r="J35" i="10" s="1"/>
  <c r="K35" i="10" s="1"/>
  <c r="L35" i="10" s="1"/>
  <c r="M35" i="10" s="1"/>
  <c r="N35" i="10" s="1"/>
  <c r="O35" i="10" s="1"/>
  <c r="P35" i="10" s="1"/>
  <c r="Q35" i="10" s="1"/>
  <c r="R35" i="10" s="1"/>
  <c r="S35" i="10" s="1"/>
  <c r="T35" i="10" s="1"/>
  <c r="U35" i="10" s="1"/>
  <c r="V35" i="10" s="1"/>
  <c r="W35" i="10" s="1"/>
  <c r="X35" i="10" s="1"/>
  <c r="Y35" i="10" s="1"/>
  <c r="Z35" i="10" s="1"/>
  <c r="AA35" i="10" s="1"/>
  <c r="AB35" i="10" s="1"/>
  <c r="AC35" i="10" s="1"/>
  <c r="AD35" i="10" s="1"/>
  <c r="AE35" i="10" s="1"/>
  <c r="AF35" i="10" s="1"/>
  <c r="AG35" i="10" s="1"/>
  <c r="AH35" i="10" s="1"/>
  <c r="AI35" i="10" s="1"/>
  <c r="AJ35" i="10" s="1"/>
  <c r="AK35" i="10" s="1"/>
  <c r="AL35" i="10" s="1"/>
  <c r="AM35" i="10" s="1"/>
  <c r="F34" i="10"/>
  <c r="G34" i="10" s="1"/>
  <c r="H34" i="10" s="1"/>
  <c r="I34" i="10" s="1"/>
  <c r="J34" i="10" s="1"/>
  <c r="K34" i="10" s="1"/>
  <c r="L34" i="10" s="1"/>
  <c r="M34" i="10" s="1"/>
  <c r="N34" i="10" s="1"/>
  <c r="O34" i="10" s="1"/>
  <c r="P34" i="10" s="1"/>
  <c r="Q34" i="10" s="1"/>
  <c r="R34" i="10" s="1"/>
  <c r="S34" i="10" s="1"/>
  <c r="T34" i="10" s="1"/>
  <c r="U34" i="10" s="1"/>
  <c r="V34" i="10" s="1"/>
  <c r="W34" i="10" s="1"/>
  <c r="X34" i="10" s="1"/>
  <c r="Y34" i="10" s="1"/>
  <c r="Z34" i="10" s="1"/>
  <c r="AA34" i="10" s="1"/>
  <c r="AB34" i="10" s="1"/>
  <c r="AC34" i="10" s="1"/>
  <c r="AD34" i="10" s="1"/>
  <c r="AE34" i="10" s="1"/>
  <c r="AF34" i="10" s="1"/>
  <c r="AG34" i="10" s="1"/>
  <c r="AH34" i="10" s="1"/>
  <c r="AI34" i="10" s="1"/>
  <c r="AJ34" i="10" s="1"/>
  <c r="AK34" i="10" s="1"/>
  <c r="AL34" i="10" s="1"/>
  <c r="AM34" i="10" s="1"/>
  <c r="G33" i="10"/>
  <c r="H33" i="10" s="1"/>
  <c r="I33" i="10" s="1"/>
  <c r="J33" i="10" s="1"/>
  <c r="K33" i="10" s="1"/>
  <c r="L33" i="10" s="1"/>
  <c r="F32" i="10"/>
  <c r="G32" i="10" s="1"/>
  <c r="H32" i="10" s="1"/>
  <c r="I32" i="10" s="1"/>
  <c r="J32" i="10" s="1"/>
  <c r="F31" i="10"/>
  <c r="G31" i="10" s="1"/>
  <c r="H31" i="10" s="1"/>
  <c r="F30" i="10"/>
  <c r="G30" i="10" s="1"/>
  <c r="H30" i="10" s="1"/>
  <c r="I30" i="10" s="1"/>
  <c r="J30" i="10" s="1"/>
  <c r="K30" i="10" s="1"/>
  <c r="L30" i="10" s="1"/>
  <c r="M30" i="10" s="1"/>
  <c r="N30" i="10" s="1"/>
  <c r="O30" i="10" s="1"/>
  <c r="P30" i="10" s="1"/>
  <c r="Q30" i="10" s="1"/>
  <c r="R30" i="10" s="1"/>
  <c r="S30" i="10" s="1"/>
  <c r="T30" i="10" s="1"/>
  <c r="U30" i="10" s="1"/>
  <c r="V30" i="10" s="1"/>
  <c r="W30" i="10" s="1"/>
  <c r="X30" i="10" s="1"/>
  <c r="Y30" i="10" s="1"/>
  <c r="Z30" i="10" s="1"/>
  <c r="AA30" i="10" s="1"/>
  <c r="AB30" i="10" s="1"/>
  <c r="AC30" i="10" s="1"/>
  <c r="AD30" i="10" s="1"/>
  <c r="AE30" i="10" s="1"/>
  <c r="AF30" i="10" s="1"/>
  <c r="AG30" i="10" s="1"/>
  <c r="AH30" i="10" s="1"/>
  <c r="AI30" i="10" s="1"/>
  <c r="AJ30" i="10" s="1"/>
  <c r="AK30" i="10" s="1"/>
  <c r="AL30" i="10" s="1"/>
  <c r="AM30" i="10" s="1"/>
  <c r="F28" i="10"/>
  <c r="G28" i="10" s="1"/>
  <c r="H28" i="10" s="1"/>
  <c r="I28" i="10" s="1"/>
  <c r="J28" i="10" s="1"/>
  <c r="K28" i="10" s="1"/>
  <c r="L28" i="10" s="1"/>
  <c r="M28" i="10" s="1"/>
  <c r="N28" i="10" s="1"/>
  <c r="O28" i="10" s="1"/>
  <c r="P28" i="10" s="1"/>
  <c r="Q28" i="10" s="1"/>
  <c r="R28" i="10" s="1"/>
  <c r="S28" i="10" s="1"/>
  <c r="T28" i="10" s="1"/>
  <c r="U28" i="10" s="1"/>
  <c r="V28" i="10" s="1"/>
  <c r="W28" i="10" s="1"/>
  <c r="X28" i="10" s="1"/>
  <c r="Y28" i="10" s="1"/>
  <c r="Z28" i="10" s="1"/>
  <c r="AA28" i="10" s="1"/>
  <c r="AB28" i="10" s="1"/>
  <c r="AC28" i="10" s="1"/>
  <c r="AD28" i="10" s="1"/>
  <c r="AE28" i="10" s="1"/>
  <c r="AF28" i="10" s="1"/>
  <c r="AG28" i="10" s="1"/>
  <c r="AH28" i="10" s="1"/>
  <c r="AI28" i="10" s="1"/>
  <c r="AJ28" i="10" s="1"/>
  <c r="AK28" i="10" s="1"/>
  <c r="AL28" i="10" s="1"/>
  <c r="AM28" i="10" s="1"/>
  <c r="F24" i="10"/>
  <c r="F20" i="10"/>
  <c r="F19" i="10"/>
  <c r="G19" i="10" s="1"/>
  <c r="H19" i="10" s="1"/>
  <c r="I19" i="10" s="1"/>
  <c r="J19" i="10" s="1"/>
  <c r="K19" i="10" s="1"/>
  <c r="L19" i="10" s="1"/>
  <c r="M19" i="10" s="1"/>
  <c r="N19" i="10" s="1"/>
  <c r="O19" i="10" s="1"/>
  <c r="P19" i="10" s="1"/>
  <c r="Q19" i="10" s="1"/>
  <c r="R19" i="10" s="1"/>
  <c r="S19" i="10" s="1"/>
  <c r="T19" i="10" s="1"/>
  <c r="U19" i="10" s="1"/>
  <c r="V19" i="10" s="1"/>
  <c r="W19" i="10" s="1"/>
  <c r="X19" i="10" s="1"/>
  <c r="Y19" i="10" s="1"/>
  <c r="Z19" i="10" s="1"/>
  <c r="AA19" i="10" s="1"/>
  <c r="AB19" i="10" s="1"/>
  <c r="AC19" i="10" s="1"/>
  <c r="AD19" i="10" s="1"/>
  <c r="AE19" i="10" s="1"/>
  <c r="AF19" i="10" s="1"/>
  <c r="AG19" i="10" s="1"/>
  <c r="AH19" i="10" s="1"/>
  <c r="AI19" i="10" s="1"/>
  <c r="AJ19" i="10" s="1"/>
  <c r="AK19" i="10" s="1"/>
  <c r="AL19" i="10" s="1"/>
  <c r="AM19" i="10" s="1"/>
  <c r="G17" i="10"/>
  <c r="H17" i="10" s="1"/>
  <c r="I17" i="10" s="1"/>
  <c r="J17" i="10" s="1"/>
  <c r="K17" i="10" s="1"/>
  <c r="L17" i="10" s="1"/>
  <c r="M17" i="10" s="1"/>
  <c r="N17" i="10" s="1"/>
  <c r="O17" i="10" s="1"/>
  <c r="P17" i="10" s="1"/>
  <c r="Q17" i="10" s="1"/>
  <c r="R17" i="10" s="1"/>
  <c r="S17" i="10" s="1"/>
  <c r="F16" i="10"/>
  <c r="F14" i="10"/>
  <c r="G14" i="10" s="1"/>
  <c r="H14" i="10" s="1"/>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AM7" i="10"/>
  <c r="AL7" i="10"/>
  <c r="AK7" i="10"/>
  <c r="AJ7" i="10"/>
  <c r="AI7" i="10"/>
  <c r="AH7" i="10"/>
  <c r="AG7" i="10"/>
  <c r="AF7" i="10"/>
  <c r="AE7" i="10"/>
  <c r="AD7" i="10"/>
  <c r="AC7" i="10"/>
  <c r="AB7" i="10"/>
  <c r="AA7" i="10"/>
  <c r="Z7" i="10"/>
  <c r="Y7" i="10"/>
  <c r="X7" i="10"/>
  <c r="W7" i="10"/>
  <c r="V7" i="10"/>
  <c r="U7" i="10"/>
  <c r="T7" i="10"/>
  <c r="S7" i="10"/>
  <c r="R7" i="10"/>
  <c r="Q7" i="10"/>
  <c r="P7" i="10"/>
  <c r="O7" i="10"/>
  <c r="N7" i="10"/>
  <c r="M7" i="10"/>
  <c r="L7" i="10"/>
  <c r="K7" i="10"/>
  <c r="J7" i="10"/>
  <c r="I7" i="10"/>
  <c r="H7" i="10"/>
  <c r="G7" i="10"/>
  <c r="F7" i="10"/>
  <c r="F4" i="10"/>
  <c r="G4" i="10" s="1"/>
  <c r="H4" i="10" s="1"/>
  <c r="I4" i="10" s="1"/>
  <c r="J4" i="10" s="1"/>
  <c r="K4" i="10" s="1"/>
  <c r="L4" i="10" s="1"/>
  <c r="M4" i="10" s="1"/>
  <c r="N4" i="10" s="1"/>
  <c r="O4" i="10" s="1"/>
  <c r="P4" i="10" s="1"/>
  <c r="Q4" i="10" s="1"/>
  <c r="R4" i="10" s="1"/>
  <c r="S4" i="10" s="1"/>
  <c r="T4" i="10" s="1"/>
  <c r="U4" i="10" s="1"/>
  <c r="V4" i="10" s="1"/>
  <c r="W4" i="10" s="1"/>
  <c r="X4" i="10" s="1"/>
  <c r="Y4" i="10" s="1"/>
  <c r="Z4" i="10" s="1"/>
  <c r="AA4" i="10" s="1"/>
  <c r="AB4" i="10" s="1"/>
  <c r="AC4" i="10" s="1"/>
  <c r="AD4" i="10" s="1"/>
  <c r="AE4" i="10" s="1"/>
  <c r="AF4" i="10" s="1"/>
  <c r="AG4" i="10" s="1"/>
  <c r="AH4" i="10" s="1"/>
  <c r="AI4" i="10" s="1"/>
  <c r="AJ4" i="10" s="1"/>
  <c r="AK4" i="10" s="1"/>
  <c r="AL4" i="10" s="1"/>
  <c r="AM4" i="10" s="1"/>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F46" i="9"/>
  <c r="G46" i="9" s="1"/>
  <c r="G47" i="9" s="1"/>
  <c r="F41" i="9"/>
  <c r="G41" i="9" s="1"/>
  <c r="H41" i="9" s="1"/>
  <c r="I41" i="9" s="1"/>
  <c r="F40" i="9"/>
  <c r="G40" i="9" s="1"/>
  <c r="F39" i="9"/>
  <c r="G39" i="9" s="1"/>
  <c r="H39" i="9" s="1"/>
  <c r="I39" i="9" s="1"/>
  <c r="J39" i="9" s="1"/>
  <c r="K39" i="9" s="1"/>
  <c r="L39" i="9" s="1"/>
  <c r="M39" i="9" s="1"/>
  <c r="N39" i="9" s="1"/>
  <c r="O39" i="9" s="1"/>
  <c r="P39" i="9" s="1"/>
  <c r="Q39" i="9" s="1"/>
  <c r="R39" i="9" s="1"/>
  <c r="S39" i="9" s="1"/>
  <c r="T39" i="9" s="1"/>
  <c r="U39" i="9" s="1"/>
  <c r="V39" i="9" s="1"/>
  <c r="W39" i="9" s="1"/>
  <c r="X39" i="9" s="1"/>
  <c r="Y39" i="9" s="1"/>
  <c r="Z39" i="9" s="1"/>
  <c r="AA39" i="9" s="1"/>
  <c r="AB39" i="9" s="1"/>
  <c r="AC39" i="9" s="1"/>
  <c r="AD39" i="9" s="1"/>
  <c r="AE39" i="9" s="1"/>
  <c r="AF39" i="9" s="1"/>
  <c r="AG39" i="9" s="1"/>
  <c r="AH39" i="9" s="1"/>
  <c r="AI39" i="9" s="1"/>
  <c r="AJ39" i="9" s="1"/>
  <c r="AK39" i="9" s="1"/>
  <c r="AL39" i="9" s="1"/>
  <c r="AM39" i="9" s="1"/>
  <c r="F38" i="9"/>
  <c r="G38" i="9" s="1"/>
  <c r="H38" i="9" s="1"/>
  <c r="I38" i="9" s="1"/>
  <c r="J38" i="9" s="1"/>
  <c r="K38" i="9" s="1"/>
  <c r="L38" i="9" s="1"/>
  <c r="M38" i="9" s="1"/>
  <c r="N38" i="9" s="1"/>
  <c r="O38" i="9" s="1"/>
  <c r="P38" i="9" s="1"/>
  <c r="Q38" i="9" s="1"/>
  <c r="R38" i="9" s="1"/>
  <c r="S38" i="9" s="1"/>
  <c r="T38" i="9" s="1"/>
  <c r="U38" i="9" s="1"/>
  <c r="V38" i="9" s="1"/>
  <c r="W38" i="9" s="1"/>
  <c r="X38" i="9" s="1"/>
  <c r="Y38" i="9" s="1"/>
  <c r="Z38" i="9" s="1"/>
  <c r="AA38" i="9" s="1"/>
  <c r="AB38" i="9" s="1"/>
  <c r="AC38" i="9" s="1"/>
  <c r="AD38" i="9" s="1"/>
  <c r="AE38" i="9" s="1"/>
  <c r="AF38" i="9" s="1"/>
  <c r="AG38" i="9" s="1"/>
  <c r="AH38" i="9" s="1"/>
  <c r="AI38" i="9" s="1"/>
  <c r="AJ38" i="9" s="1"/>
  <c r="AK38" i="9" s="1"/>
  <c r="AL38" i="9" s="1"/>
  <c r="AM38" i="9" s="1"/>
  <c r="F35" i="9"/>
  <c r="G35" i="9" s="1"/>
  <c r="H35" i="9" s="1"/>
  <c r="I35" i="9" s="1"/>
  <c r="J35" i="9" s="1"/>
  <c r="K35" i="9" s="1"/>
  <c r="L35" i="9" s="1"/>
  <c r="M35" i="9" s="1"/>
  <c r="N35" i="9" s="1"/>
  <c r="O35" i="9" s="1"/>
  <c r="P35" i="9" s="1"/>
  <c r="Q35" i="9" s="1"/>
  <c r="R35" i="9" s="1"/>
  <c r="S35" i="9" s="1"/>
  <c r="T35" i="9" s="1"/>
  <c r="U35" i="9" s="1"/>
  <c r="V35" i="9" s="1"/>
  <c r="W35" i="9" s="1"/>
  <c r="X35" i="9" s="1"/>
  <c r="Y35" i="9" s="1"/>
  <c r="Z35" i="9" s="1"/>
  <c r="AA35" i="9" s="1"/>
  <c r="AB35" i="9" s="1"/>
  <c r="AC35" i="9" s="1"/>
  <c r="AD35" i="9" s="1"/>
  <c r="AE35" i="9" s="1"/>
  <c r="AF35" i="9" s="1"/>
  <c r="AG35" i="9" s="1"/>
  <c r="AH35" i="9" s="1"/>
  <c r="AI35" i="9" s="1"/>
  <c r="AJ35" i="9" s="1"/>
  <c r="AK35" i="9" s="1"/>
  <c r="AL35" i="9" s="1"/>
  <c r="AM35" i="9" s="1"/>
  <c r="F34" i="9"/>
  <c r="G34" i="9" s="1"/>
  <c r="H34" i="9" s="1"/>
  <c r="I34" i="9" s="1"/>
  <c r="J34" i="9" s="1"/>
  <c r="K34" i="9" s="1"/>
  <c r="L34" i="9" s="1"/>
  <c r="M34" i="9" s="1"/>
  <c r="N34" i="9" s="1"/>
  <c r="O34" i="9" s="1"/>
  <c r="P34" i="9" s="1"/>
  <c r="Q34" i="9" s="1"/>
  <c r="R34" i="9" s="1"/>
  <c r="S34" i="9" s="1"/>
  <c r="T34" i="9" s="1"/>
  <c r="U34" i="9" s="1"/>
  <c r="V34" i="9" s="1"/>
  <c r="W34" i="9" s="1"/>
  <c r="X34" i="9" s="1"/>
  <c r="Y34" i="9" s="1"/>
  <c r="Z34" i="9" s="1"/>
  <c r="AA34" i="9" s="1"/>
  <c r="AB34" i="9" s="1"/>
  <c r="AC34" i="9" s="1"/>
  <c r="AD34" i="9" s="1"/>
  <c r="AE34" i="9" s="1"/>
  <c r="AF34" i="9" s="1"/>
  <c r="AG34" i="9" s="1"/>
  <c r="AH34" i="9" s="1"/>
  <c r="AI34" i="9" s="1"/>
  <c r="AJ34" i="9" s="1"/>
  <c r="AK34" i="9" s="1"/>
  <c r="AL34" i="9" s="1"/>
  <c r="AM34" i="9" s="1"/>
  <c r="F33" i="9"/>
  <c r="G33" i="9" s="1"/>
  <c r="H33" i="9" s="1"/>
  <c r="I33" i="9" s="1"/>
  <c r="J33" i="9" s="1"/>
  <c r="K33" i="9" s="1"/>
  <c r="L33" i="9" s="1"/>
  <c r="M33" i="9" s="1"/>
  <c r="N33" i="9" s="1"/>
  <c r="O33" i="9" s="1"/>
  <c r="P33" i="9" s="1"/>
  <c r="Q33" i="9" s="1"/>
  <c r="R33" i="9" s="1"/>
  <c r="S33" i="9" s="1"/>
  <c r="T33" i="9" s="1"/>
  <c r="U33" i="9" s="1"/>
  <c r="V33" i="9" s="1"/>
  <c r="W33" i="9" s="1"/>
  <c r="X33" i="9" s="1"/>
  <c r="Y33" i="9" s="1"/>
  <c r="Z33" i="9" s="1"/>
  <c r="AA33" i="9" s="1"/>
  <c r="AB33" i="9" s="1"/>
  <c r="AC33" i="9" s="1"/>
  <c r="AD33" i="9" s="1"/>
  <c r="AE33" i="9" s="1"/>
  <c r="AF33" i="9" s="1"/>
  <c r="AG33" i="9" s="1"/>
  <c r="AH33" i="9" s="1"/>
  <c r="AI33" i="9" s="1"/>
  <c r="AJ33" i="9" s="1"/>
  <c r="AK33" i="9" s="1"/>
  <c r="AL33" i="9" s="1"/>
  <c r="AM33" i="9" s="1"/>
  <c r="F31" i="9"/>
  <c r="G31" i="9" s="1"/>
  <c r="F30" i="9"/>
  <c r="G30" i="9" s="1"/>
  <c r="H30" i="9" s="1"/>
  <c r="I30" i="9" s="1"/>
  <c r="J30" i="9" s="1"/>
  <c r="K30" i="9" s="1"/>
  <c r="L30" i="9" s="1"/>
  <c r="M30" i="9" s="1"/>
  <c r="N30" i="9" s="1"/>
  <c r="O30" i="9" s="1"/>
  <c r="P30" i="9" s="1"/>
  <c r="Q30" i="9" s="1"/>
  <c r="R30" i="9" s="1"/>
  <c r="S30" i="9" s="1"/>
  <c r="T30" i="9" s="1"/>
  <c r="U30" i="9" s="1"/>
  <c r="V30" i="9" s="1"/>
  <c r="W30" i="9" s="1"/>
  <c r="X30" i="9" s="1"/>
  <c r="Y30" i="9" s="1"/>
  <c r="Z30" i="9" s="1"/>
  <c r="AA30" i="9" s="1"/>
  <c r="AB30" i="9" s="1"/>
  <c r="AC30" i="9" s="1"/>
  <c r="AD30" i="9" s="1"/>
  <c r="AE30" i="9" s="1"/>
  <c r="AF30" i="9" s="1"/>
  <c r="AG30" i="9" s="1"/>
  <c r="AH30" i="9" s="1"/>
  <c r="AI30" i="9" s="1"/>
  <c r="AJ30" i="9" s="1"/>
  <c r="AK30" i="9" s="1"/>
  <c r="AL30" i="9" s="1"/>
  <c r="AM30" i="9" s="1"/>
  <c r="F28" i="9"/>
  <c r="G28" i="9" s="1"/>
  <c r="H28" i="9" s="1"/>
  <c r="I28" i="9" s="1"/>
  <c r="J28" i="9" s="1"/>
  <c r="K28" i="9" s="1"/>
  <c r="L28" i="9" s="1"/>
  <c r="M28" i="9" s="1"/>
  <c r="N28" i="9" s="1"/>
  <c r="O28" i="9" s="1"/>
  <c r="P28" i="9" s="1"/>
  <c r="Q28" i="9" s="1"/>
  <c r="R28" i="9" s="1"/>
  <c r="S28" i="9" s="1"/>
  <c r="T28" i="9" s="1"/>
  <c r="U28" i="9" s="1"/>
  <c r="V28" i="9" s="1"/>
  <c r="W28" i="9" s="1"/>
  <c r="X28" i="9" s="1"/>
  <c r="Y28" i="9" s="1"/>
  <c r="Z28" i="9" s="1"/>
  <c r="AA28" i="9" s="1"/>
  <c r="AB28" i="9" s="1"/>
  <c r="AC28" i="9" s="1"/>
  <c r="AD28" i="9" s="1"/>
  <c r="AE28" i="9" s="1"/>
  <c r="AF28" i="9" s="1"/>
  <c r="AG28" i="9" s="1"/>
  <c r="AH28" i="9" s="1"/>
  <c r="AI28" i="9" s="1"/>
  <c r="AJ28" i="9" s="1"/>
  <c r="AK28" i="9" s="1"/>
  <c r="AL28" i="9" s="1"/>
  <c r="AM28" i="9" s="1"/>
  <c r="F24" i="9"/>
  <c r="F20" i="9"/>
  <c r="G20" i="9" s="1"/>
  <c r="F19" i="9"/>
  <c r="G19" i="9" s="1"/>
  <c r="H19" i="9" s="1"/>
  <c r="I19" i="9" s="1"/>
  <c r="J19" i="9" s="1"/>
  <c r="K19" i="9" s="1"/>
  <c r="L19" i="9" s="1"/>
  <c r="M19" i="9" s="1"/>
  <c r="N19" i="9" s="1"/>
  <c r="O19" i="9" s="1"/>
  <c r="P19" i="9" s="1"/>
  <c r="Q19" i="9" s="1"/>
  <c r="R19" i="9" s="1"/>
  <c r="S19" i="9" s="1"/>
  <c r="T19" i="9" s="1"/>
  <c r="U19" i="9" s="1"/>
  <c r="V19" i="9" s="1"/>
  <c r="W19" i="9" s="1"/>
  <c r="X19" i="9" s="1"/>
  <c r="Y19" i="9" s="1"/>
  <c r="Z19" i="9" s="1"/>
  <c r="AA19" i="9" s="1"/>
  <c r="AB19" i="9" s="1"/>
  <c r="AC19" i="9" s="1"/>
  <c r="AD19" i="9" s="1"/>
  <c r="AE19" i="9" s="1"/>
  <c r="AF19" i="9" s="1"/>
  <c r="AG19" i="9" s="1"/>
  <c r="AH19" i="9" s="1"/>
  <c r="AI19" i="9" s="1"/>
  <c r="AJ19" i="9" s="1"/>
  <c r="AK19" i="9" s="1"/>
  <c r="AL19" i="9" s="1"/>
  <c r="AM19" i="9" s="1"/>
  <c r="F17" i="9"/>
  <c r="G17" i="9" s="1"/>
  <c r="F16" i="9"/>
  <c r="G16" i="9" s="1"/>
  <c r="H16" i="9" s="1"/>
  <c r="I16" i="9" s="1"/>
  <c r="J16" i="9" s="1"/>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AM7" i="9"/>
  <c r="AL7" i="9"/>
  <c r="AK7" i="9"/>
  <c r="AJ7" i="9"/>
  <c r="AI7" i="9"/>
  <c r="AH7" i="9"/>
  <c r="AG7" i="9"/>
  <c r="AF7" i="9"/>
  <c r="AE7" i="9"/>
  <c r="AD7" i="9"/>
  <c r="AC7" i="9"/>
  <c r="AB7" i="9"/>
  <c r="AA7" i="9"/>
  <c r="Z7" i="9"/>
  <c r="Y7" i="9"/>
  <c r="X7" i="9"/>
  <c r="W7" i="9"/>
  <c r="V7" i="9"/>
  <c r="U7" i="9"/>
  <c r="T7" i="9"/>
  <c r="S7" i="9"/>
  <c r="R7" i="9"/>
  <c r="Q7" i="9"/>
  <c r="P7" i="9"/>
  <c r="O7" i="9"/>
  <c r="N7" i="9"/>
  <c r="M7" i="9"/>
  <c r="L7" i="9"/>
  <c r="L12" i="9" s="1"/>
  <c r="K7" i="9"/>
  <c r="J7" i="9"/>
  <c r="I7" i="9"/>
  <c r="H7" i="9"/>
  <c r="G7" i="9"/>
  <c r="F7" i="9"/>
  <c r="F4" i="9"/>
  <c r="G4" i="9" s="1"/>
  <c r="H4" i="9" s="1"/>
  <c r="I4" i="9" s="1"/>
  <c r="J4" i="9" s="1"/>
  <c r="K4" i="9" s="1"/>
  <c r="L4" i="9" s="1"/>
  <c r="M4" i="9" s="1"/>
  <c r="N4" i="9" s="1"/>
  <c r="O4" i="9" s="1"/>
  <c r="P4" i="9" s="1"/>
  <c r="Q4" i="9" s="1"/>
  <c r="R4" i="9" s="1"/>
  <c r="S4" i="9" s="1"/>
  <c r="T4" i="9" s="1"/>
  <c r="U4" i="9" s="1"/>
  <c r="V4" i="9" s="1"/>
  <c r="W4" i="9" s="1"/>
  <c r="X4" i="9" s="1"/>
  <c r="Y4" i="9" s="1"/>
  <c r="Z4" i="9" s="1"/>
  <c r="AA4" i="9" s="1"/>
  <c r="AB4" i="9" s="1"/>
  <c r="AC4" i="9" s="1"/>
  <c r="AD4" i="9" s="1"/>
  <c r="AE4" i="9" s="1"/>
  <c r="AF4" i="9" s="1"/>
  <c r="AG4" i="9" s="1"/>
  <c r="AH4" i="9" s="1"/>
  <c r="AI4" i="9" s="1"/>
  <c r="AJ4" i="9" s="1"/>
  <c r="AK4" i="9" s="1"/>
  <c r="AL4" i="9" s="1"/>
  <c r="AM4" i="9" s="1"/>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F46" i="8"/>
  <c r="F47" i="8" s="1"/>
  <c r="F41" i="8"/>
  <c r="G41" i="8" s="1"/>
  <c r="F40" i="8"/>
  <c r="G40" i="8" s="1"/>
  <c r="H40" i="8" s="1"/>
  <c r="I40" i="8" s="1"/>
  <c r="J40" i="8" s="1"/>
  <c r="K40" i="8" s="1"/>
  <c r="L40" i="8" s="1"/>
  <c r="M40" i="8" s="1"/>
  <c r="N40" i="8" s="1"/>
  <c r="O40" i="8" s="1"/>
  <c r="P40" i="8" s="1"/>
  <c r="Q40" i="8" s="1"/>
  <c r="R40" i="8" s="1"/>
  <c r="S40" i="8" s="1"/>
  <c r="T40" i="8" s="1"/>
  <c r="U40" i="8" s="1"/>
  <c r="V40" i="8" s="1"/>
  <c r="W40" i="8" s="1"/>
  <c r="X40" i="8" s="1"/>
  <c r="Y40" i="8" s="1"/>
  <c r="Z40" i="8" s="1"/>
  <c r="AA40" i="8" s="1"/>
  <c r="AB40" i="8" s="1"/>
  <c r="AC40" i="8" s="1"/>
  <c r="AD40" i="8" s="1"/>
  <c r="AE40" i="8" s="1"/>
  <c r="AF40" i="8" s="1"/>
  <c r="AG40" i="8" s="1"/>
  <c r="AH40" i="8" s="1"/>
  <c r="AI40" i="8" s="1"/>
  <c r="AJ40" i="8" s="1"/>
  <c r="AK40" i="8" s="1"/>
  <c r="AL40" i="8" s="1"/>
  <c r="AM40" i="8" s="1"/>
  <c r="F39" i="8"/>
  <c r="G39" i="8" s="1"/>
  <c r="H39" i="8" s="1"/>
  <c r="F38" i="8"/>
  <c r="G38" i="8" s="1"/>
  <c r="H38" i="8" s="1"/>
  <c r="I38" i="8" s="1"/>
  <c r="J38" i="8" s="1"/>
  <c r="K38" i="8" s="1"/>
  <c r="L38" i="8" s="1"/>
  <c r="M38" i="8" s="1"/>
  <c r="N38" i="8" s="1"/>
  <c r="O38" i="8" s="1"/>
  <c r="P38" i="8" s="1"/>
  <c r="Q38" i="8" s="1"/>
  <c r="R38" i="8" s="1"/>
  <c r="S38" i="8" s="1"/>
  <c r="T38" i="8" s="1"/>
  <c r="U38" i="8" s="1"/>
  <c r="V38" i="8" s="1"/>
  <c r="W38" i="8" s="1"/>
  <c r="X38" i="8" s="1"/>
  <c r="Y38" i="8" s="1"/>
  <c r="Z38" i="8" s="1"/>
  <c r="AA38" i="8" s="1"/>
  <c r="AB38" i="8" s="1"/>
  <c r="AC38" i="8" s="1"/>
  <c r="AD38" i="8" s="1"/>
  <c r="AE38" i="8" s="1"/>
  <c r="AF38" i="8" s="1"/>
  <c r="AG38" i="8" s="1"/>
  <c r="AH38" i="8" s="1"/>
  <c r="AI38" i="8" s="1"/>
  <c r="AJ38" i="8" s="1"/>
  <c r="AK38" i="8" s="1"/>
  <c r="AL38" i="8" s="1"/>
  <c r="AM38" i="8" s="1"/>
  <c r="F35" i="8"/>
  <c r="G35" i="8" s="1"/>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AJ35" i="8" s="1"/>
  <c r="AK35" i="8" s="1"/>
  <c r="AL35" i="8" s="1"/>
  <c r="AM35" i="8" s="1"/>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AJ34" i="8" s="1"/>
  <c r="AK34" i="8" s="1"/>
  <c r="AL34" i="8" s="1"/>
  <c r="AM34" i="8" s="1"/>
  <c r="F33" i="8"/>
  <c r="G33" i="8" s="1"/>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AJ33" i="8" s="1"/>
  <c r="AK33" i="8" s="1"/>
  <c r="AL33" i="8" s="1"/>
  <c r="AM33" i="8" s="1"/>
  <c r="F32" i="8"/>
  <c r="G32" i="8" s="1"/>
  <c r="F31" i="8"/>
  <c r="G31" i="8" s="1"/>
  <c r="H31" i="8" s="1"/>
  <c r="F30" i="8"/>
  <c r="G30" i="8" s="1"/>
  <c r="F28" i="8"/>
  <c r="G28" i="8" s="1"/>
  <c r="H28" i="8" s="1"/>
  <c r="I28" i="8" s="1"/>
  <c r="J28" i="8" s="1"/>
  <c r="K28" i="8" s="1"/>
  <c r="L28" i="8" s="1"/>
  <c r="M28" i="8" s="1"/>
  <c r="F24"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F17" i="8"/>
  <c r="G17" i="8" s="1"/>
  <c r="F16" i="8"/>
  <c r="F9" i="8"/>
  <c r="F11" i="8" s="1"/>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F4" i="8"/>
  <c r="G4" i="8" s="1"/>
  <c r="H4" i="8" s="1"/>
  <c r="I4" i="8" s="1"/>
  <c r="J4" i="8" s="1"/>
  <c r="K4" i="8" s="1"/>
  <c r="L4" i="8" s="1"/>
  <c r="M4" i="8" s="1"/>
  <c r="N4" i="8" s="1"/>
  <c r="O4" i="8" s="1"/>
  <c r="P4" i="8" s="1"/>
  <c r="Q4" i="8" s="1"/>
  <c r="R4" i="8" s="1"/>
  <c r="S4" i="8" s="1"/>
  <c r="T4" i="8" s="1"/>
  <c r="U4" i="8" s="1"/>
  <c r="V4" i="8" s="1"/>
  <c r="W4" i="8" s="1"/>
  <c r="X4" i="8" s="1"/>
  <c r="Y4" i="8" s="1"/>
  <c r="Z4" i="8" s="1"/>
  <c r="AA4" i="8" s="1"/>
  <c r="AB4" i="8" s="1"/>
  <c r="AC4" i="8" s="1"/>
  <c r="AD4" i="8" s="1"/>
  <c r="AE4" i="8" s="1"/>
  <c r="AF4" i="8" s="1"/>
  <c r="AG4" i="8" s="1"/>
  <c r="AH4" i="8" s="1"/>
  <c r="AI4" i="8" s="1"/>
  <c r="AJ4" i="8" s="1"/>
  <c r="AK4" i="8" s="1"/>
  <c r="AL4" i="8" s="1"/>
  <c r="AM4" i="8" s="1"/>
  <c r="F50" i="7"/>
  <c r="G50" i="7" s="1"/>
  <c r="H50" i="7" s="1"/>
  <c r="I50" i="7" s="1"/>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AK50" i="7" s="1"/>
  <c r="AL50" i="7" s="1"/>
  <c r="AM50" i="7" s="1"/>
  <c r="F49" i="7"/>
  <c r="F46" i="7"/>
  <c r="G46" i="7" s="1"/>
  <c r="F41" i="7"/>
  <c r="F40" i="7"/>
  <c r="G40" i="7" s="1"/>
  <c r="H40" i="7" s="1"/>
  <c r="I40" i="7" s="1"/>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AM40" i="7" s="1"/>
  <c r="F39" i="7"/>
  <c r="G39" i="7" s="1"/>
  <c r="H39" i="7" s="1"/>
  <c r="I39" i="7" s="1"/>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AM39" i="7" s="1"/>
  <c r="F38" i="7"/>
  <c r="G38" i="7" s="1"/>
  <c r="H38" i="7" s="1"/>
  <c r="I38" i="7" s="1"/>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F37" i="7"/>
  <c r="G37" i="7" s="1"/>
  <c r="H37" i="7" s="1"/>
  <c r="I37" i="7" s="1"/>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AM37" i="7" s="1"/>
  <c r="F35" i="7"/>
  <c r="G35" i="7" s="1"/>
  <c r="H35" i="7" s="1"/>
  <c r="I35" i="7" s="1"/>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AK35" i="7" s="1"/>
  <c r="AL35" i="7" s="1"/>
  <c r="AM35" i="7" s="1"/>
  <c r="F34" i="7"/>
  <c r="G34" i="7" s="1"/>
  <c r="H34" i="7" s="1"/>
  <c r="I34" i="7" s="1"/>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AK34" i="7" s="1"/>
  <c r="AL34" i="7" s="1"/>
  <c r="AM34" i="7" s="1"/>
  <c r="F33" i="7"/>
  <c r="G33" i="7" s="1"/>
  <c r="H33" i="7" s="1"/>
  <c r="I33" i="7" s="1"/>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F32" i="7"/>
  <c r="G32" i="7" s="1"/>
  <c r="H32" i="7" s="1"/>
  <c r="I32" i="7" s="1"/>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AK32" i="7" s="1"/>
  <c r="AL32" i="7" s="1"/>
  <c r="AM32" i="7" s="1"/>
  <c r="F31" i="7"/>
  <c r="F30" i="7"/>
  <c r="G30" i="7" s="1"/>
  <c r="G28" i="7"/>
  <c r="F27" i="7"/>
  <c r="G27" i="7" s="1"/>
  <c r="H27" i="7" s="1"/>
  <c r="I27" i="7" s="1"/>
  <c r="F26" i="7"/>
  <c r="G26" i="7" s="1"/>
  <c r="H26" i="7" s="1"/>
  <c r="I26" i="7" s="1"/>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AM26" i="7" s="1"/>
  <c r="H25" i="7"/>
  <c r="I25" i="7" s="1"/>
  <c r="J25" i="7" s="1"/>
  <c r="K25" i="7" s="1"/>
  <c r="F24" i="7"/>
  <c r="G24" i="7" s="1"/>
  <c r="H24" i="7" s="1"/>
  <c r="I24" i="7" s="1"/>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AK24" i="7" s="1"/>
  <c r="AL24" i="7" s="1"/>
  <c r="AM24" i="7" s="1"/>
  <c r="F22" i="7"/>
  <c r="G22" i="7" s="1"/>
  <c r="H22" i="7" s="1"/>
  <c r="I22" i="7" s="1"/>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AK22" i="7" s="1"/>
  <c r="AL22" i="7" s="1"/>
  <c r="AM22" i="7" s="1"/>
  <c r="G21" i="7"/>
  <c r="H21" i="7" s="1"/>
  <c r="I21" i="7" s="1"/>
  <c r="J21" i="7" s="1"/>
  <c r="F20" i="7"/>
  <c r="G20" i="7" s="1"/>
  <c r="F19" i="7"/>
  <c r="G19" i="7" s="1"/>
  <c r="H19" i="7" s="1"/>
  <c r="I19" i="7" s="1"/>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AK19" i="7" s="1"/>
  <c r="AL19" i="7" s="1"/>
  <c r="AM19" i="7" s="1"/>
  <c r="F18" i="7"/>
  <c r="G18" i="7" s="1"/>
  <c r="H18" i="7" s="1"/>
  <c r="I18" i="7" s="1"/>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AK18" i="7" s="1"/>
  <c r="AL18" i="7" s="1"/>
  <c r="AM18" i="7" s="1"/>
  <c r="G17" i="7"/>
  <c r="H17" i="7" s="1"/>
  <c r="I17" i="7" s="1"/>
  <c r="J17" i="7" s="1"/>
  <c r="K17" i="7" s="1"/>
  <c r="F16" i="7"/>
  <c r="F15" i="7"/>
  <c r="G15" i="7" s="1"/>
  <c r="H15" i="7" s="1"/>
  <c r="I15" i="7" s="1"/>
  <c r="J15" i="7" s="1"/>
  <c r="K15" i="7" s="1"/>
  <c r="L15" i="7" s="1"/>
  <c r="M15" i="7" s="1"/>
  <c r="N15" i="7" s="1"/>
  <c r="O15" i="7" s="1"/>
  <c r="P15" i="7" s="1"/>
  <c r="Q15" i="7" s="1"/>
  <c r="R15" i="7" s="1"/>
  <c r="S15" i="7" s="1"/>
  <c r="T15" i="7" s="1"/>
  <c r="U15" i="7" s="1"/>
  <c r="V15" i="7" s="1"/>
  <c r="W15" i="7" s="1"/>
  <c r="X15" i="7" s="1"/>
  <c r="Y15" i="7" s="1"/>
  <c r="Z15" i="7" s="1"/>
  <c r="AA15" i="7" s="1"/>
  <c r="AB15" i="7" s="1"/>
  <c r="AC15" i="7" s="1"/>
  <c r="AD15" i="7" s="1"/>
  <c r="AE15" i="7" s="1"/>
  <c r="AF15" i="7" s="1"/>
  <c r="AG15" i="7" s="1"/>
  <c r="AH15" i="7" s="1"/>
  <c r="AI15" i="7" s="1"/>
  <c r="AJ15" i="7" s="1"/>
  <c r="AK15" i="7" s="1"/>
  <c r="AL15" i="7" s="1"/>
  <c r="AM15" i="7" s="1"/>
  <c r="F10" i="7"/>
  <c r="G10" i="7" s="1"/>
  <c r="H10" i="7" s="1"/>
  <c r="I10" i="7" s="1"/>
  <c r="J10" i="7" s="1"/>
  <c r="K10" i="7" s="1"/>
  <c r="L10" i="7" s="1"/>
  <c r="M10" i="7" s="1"/>
  <c r="N10" i="7" s="1"/>
  <c r="O10" i="7" s="1"/>
  <c r="P10" i="7" s="1"/>
  <c r="Q10" i="7" s="1"/>
  <c r="R10" i="7" s="1"/>
  <c r="S10" i="7" s="1"/>
  <c r="T10" i="7" s="1"/>
  <c r="U10" i="7" s="1"/>
  <c r="V10" i="7" s="1"/>
  <c r="W10" i="7" s="1"/>
  <c r="X10" i="7" s="1"/>
  <c r="Y10" i="7" s="1"/>
  <c r="Z10" i="7" s="1"/>
  <c r="AA10" i="7" s="1"/>
  <c r="AB10" i="7" s="1"/>
  <c r="AC10" i="7" s="1"/>
  <c r="AD10" i="7" s="1"/>
  <c r="AE10" i="7" s="1"/>
  <c r="AF10" i="7" s="1"/>
  <c r="AG10" i="7" s="1"/>
  <c r="AH10" i="7" s="1"/>
  <c r="AI10" i="7" s="1"/>
  <c r="AJ10" i="7" s="1"/>
  <c r="AK10" i="7" s="1"/>
  <c r="AL10" i="7" s="1"/>
  <c r="AM10" i="7" s="1"/>
  <c r="F9" i="7"/>
  <c r="G9" i="7" s="1"/>
  <c r="F6" i="7"/>
  <c r="F4" i="7"/>
  <c r="G4" i="7" s="1"/>
  <c r="H4" i="7" s="1"/>
  <c r="I4" i="7" s="1"/>
  <c r="J4" i="7" s="1"/>
  <c r="K4" i="7" s="1"/>
  <c r="L4" i="7" s="1"/>
  <c r="M4" i="7" s="1"/>
  <c r="N4" i="7" s="1"/>
  <c r="O4" i="7" s="1"/>
  <c r="P4" i="7" s="1"/>
  <c r="Q4" i="7" s="1"/>
  <c r="R4" i="7" s="1"/>
  <c r="S4" i="7" s="1"/>
  <c r="T4" i="7" s="1"/>
  <c r="U4" i="7" s="1"/>
  <c r="V4" i="7" s="1"/>
  <c r="W4" i="7" s="1"/>
  <c r="X4" i="7" s="1"/>
  <c r="Y4" i="7" s="1"/>
  <c r="Z4" i="7" s="1"/>
  <c r="AA4" i="7" s="1"/>
  <c r="AB4" i="7" s="1"/>
  <c r="AC4" i="7" s="1"/>
  <c r="AD4" i="7" s="1"/>
  <c r="AE4" i="7" s="1"/>
  <c r="AF4" i="7" s="1"/>
  <c r="AG4" i="7" s="1"/>
  <c r="AH4" i="7" s="1"/>
  <c r="AI4" i="7" s="1"/>
  <c r="AJ4" i="7" s="1"/>
  <c r="AK4" i="7" s="1"/>
  <c r="AL4" i="7" s="1"/>
  <c r="AM4" i="7" s="1"/>
  <c r="F50" i="2"/>
  <c r="G50" i="2" s="1"/>
  <c r="H50" i="2" s="1"/>
  <c r="I50" i="2" s="1"/>
  <c r="J50" i="2" s="1"/>
  <c r="K50" i="2" s="1"/>
  <c r="L50" i="2" s="1"/>
  <c r="M50" i="2" s="1"/>
  <c r="N50" i="2" s="1"/>
  <c r="O50" i="2" s="1"/>
  <c r="P50" i="2" s="1"/>
  <c r="Q50" i="2" s="1"/>
  <c r="R50" i="2" s="1"/>
  <c r="S50" i="2" s="1"/>
  <c r="T50" i="2" s="1"/>
  <c r="U50" i="2" s="1"/>
  <c r="V50" i="2" s="1"/>
  <c r="W50" i="2" s="1"/>
  <c r="X50" i="2" s="1"/>
  <c r="Y50" i="2" s="1"/>
  <c r="Z50" i="2" s="1"/>
  <c r="AA50" i="2" s="1"/>
  <c r="AB50" i="2" s="1"/>
  <c r="AC50" i="2" s="1"/>
  <c r="AD50" i="2" s="1"/>
  <c r="AE50" i="2" s="1"/>
  <c r="AF50" i="2" s="1"/>
  <c r="AG50" i="2" s="1"/>
  <c r="AH50" i="2" s="1"/>
  <c r="AI50" i="2" s="1"/>
  <c r="AJ50" i="2" s="1"/>
  <c r="AK50" i="2" s="1"/>
  <c r="AL50" i="2" s="1"/>
  <c r="AM50" i="2" s="1"/>
  <c r="F49" i="2"/>
  <c r="F46" i="2"/>
  <c r="F47" i="2" s="1"/>
  <c r="F15" i="2"/>
  <c r="F10" i="2"/>
  <c r="G10" i="2" s="1"/>
  <c r="H10" i="2" s="1"/>
  <c r="I10" i="2" s="1"/>
  <c r="J10" i="2" s="1"/>
  <c r="K10" i="2" s="1"/>
  <c r="L10" i="2" s="1"/>
  <c r="M10" i="2" s="1"/>
  <c r="N10" i="2" s="1"/>
  <c r="O10" i="2" s="1"/>
  <c r="P10" i="2" s="1"/>
  <c r="Q10" i="2" s="1"/>
  <c r="R10" i="2" s="1"/>
  <c r="S10" i="2" s="1"/>
  <c r="T10" i="2" s="1"/>
  <c r="U10" i="2" s="1"/>
  <c r="V10" i="2" s="1"/>
  <c r="W10" i="2" s="1"/>
  <c r="X10" i="2" s="1"/>
  <c r="Y10" i="2" s="1"/>
  <c r="Z10" i="2" s="1"/>
  <c r="AA10" i="2" s="1"/>
  <c r="AB10" i="2" s="1"/>
  <c r="AC10" i="2" s="1"/>
  <c r="AD10" i="2" s="1"/>
  <c r="AE10" i="2" s="1"/>
  <c r="AF10" i="2" s="1"/>
  <c r="AG10" i="2" s="1"/>
  <c r="AH10" i="2" s="1"/>
  <c r="AI10" i="2" s="1"/>
  <c r="AJ10" i="2" s="1"/>
  <c r="AK10" i="2" s="1"/>
  <c r="AL10" i="2" s="1"/>
  <c r="AM10" i="2" s="1"/>
  <c r="F6" i="2"/>
  <c r="G6" i="2" s="1"/>
  <c r="F4" i="2"/>
  <c r="G4" i="2" s="1"/>
  <c r="H4" i="2" s="1"/>
  <c r="I4" i="2" s="1"/>
  <c r="J4" i="2" s="1"/>
  <c r="K4" i="2" s="1"/>
  <c r="L4" i="2" s="1"/>
  <c r="M4" i="2" s="1"/>
  <c r="N4" i="2" s="1"/>
  <c r="O4" i="2" s="1"/>
  <c r="P4" i="2" s="1"/>
  <c r="Q4" i="2" s="1"/>
  <c r="R4" i="2" s="1"/>
  <c r="S4" i="2" s="1"/>
  <c r="T4" i="2" s="1"/>
  <c r="U4" i="2" s="1"/>
  <c r="V4" i="2" s="1"/>
  <c r="W4" i="2" s="1"/>
  <c r="X4" i="2" s="1"/>
  <c r="Y4" i="2" s="1"/>
  <c r="Z4" i="2" s="1"/>
  <c r="AA4" i="2" s="1"/>
  <c r="AB4" i="2" s="1"/>
  <c r="AC4" i="2" s="1"/>
  <c r="AD4" i="2" s="1"/>
  <c r="AE4" i="2" s="1"/>
  <c r="AF4" i="2" s="1"/>
  <c r="AG4" i="2" s="1"/>
  <c r="AH4" i="2" s="1"/>
  <c r="AI4" i="2" s="1"/>
  <c r="AJ4" i="2" s="1"/>
  <c r="AK4" i="2" s="1"/>
  <c r="AL4" i="2" s="1"/>
  <c r="AM4" i="2" s="1"/>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F46" i="6"/>
  <c r="F47" i="6" s="1"/>
  <c r="F41" i="6"/>
  <c r="G41" i="6" s="1"/>
  <c r="H41" i="6" s="1"/>
  <c r="I41" i="6" s="1"/>
  <c r="J41" i="6" s="1"/>
  <c r="K41" i="6" s="1"/>
  <c r="L41" i="6" s="1"/>
  <c r="M41" i="6" s="1"/>
  <c r="N41" i="6" s="1"/>
  <c r="O41" i="6" s="1"/>
  <c r="P41" i="6" s="1"/>
  <c r="Q41" i="6" s="1"/>
  <c r="R41" i="6" s="1"/>
  <c r="S41" i="6" s="1"/>
  <c r="T41" i="6" s="1"/>
  <c r="U41" i="6" s="1"/>
  <c r="V41" i="6" s="1"/>
  <c r="W41" i="6" s="1"/>
  <c r="X41" i="6" s="1"/>
  <c r="Y41" i="6" s="1"/>
  <c r="Z41" i="6" s="1"/>
  <c r="AA41" i="6" s="1"/>
  <c r="AB41" i="6" s="1"/>
  <c r="AC41" i="6" s="1"/>
  <c r="AD41" i="6" s="1"/>
  <c r="AE41" i="6" s="1"/>
  <c r="AF41" i="6" s="1"/>
  <c r="AG41" i="6" s="1"/>
  <c r="AH41" i="6" s="1"/>
  <c r="AI41" i="6" s="1"/>
  <c r="AJ41" i="6" s="1"/>
  <c r="AK41" i="6" s="1"/>
  <c r="AL41" i="6" s="1"/>
  <c r="AM41" i="6" s="1"/>
  <c r="F40" i="6"/>
  <c r="G40" i="6" s="1"/>
  <c r="H40" i="6" s="1"/>
  <c r="I40" i="6" s="1"/>
  <c r="J40" i="6" s="1"/>
  <c r="K40" i="6" s="1"/>
  <c r="L40" i="6" s="1"/>
  <c r="M40" i="6" s="1"/>
  <c r="N40" i="6" s="1"/>
  <c r="O40" i="6" s="1"/>
  <c r="P40" i="6" s="1"/>
  <c r="Q40" i="6" s="1"/>
  <c r="R40" i="6" s="1"/>
  <c r="S40" i="6" s="1"/>
  <c r="T40" i="6" s="1"/>
  <c r="U40" i="6" s="1"/>
  <c r="V40" i="6" s="1"/>
  <c r="W40" i="6" s="1"/>
  <c r="X40" i="6" s="1"/>
  <c r="Y40" i="6" s="1"/>
  <c r="Z40" i="6" s="1"/>
  <c r="AA40" i="6" s="1"/>
  <c r="AB40" i="6" s="1"/>
  <c r="AC40" i="6" s="1"/>
  <c r="AD40" i="6" s="1"/>
  <c r="AE40" i="6" s="1"/>
  <c r="AF40" i="6" s="1"/>
  <c r="AG40" i="6" s="1"/>
  <c r="AH40" i="6" s="1"/>
  <c r="AI40" i="6" s="1"/>
  <c r="AJ40" i="6" s="1"/>
  <c r="AK40" i="6" s="1"/>
  <c r="AL40" i="6" s="1"/>
  <c r="AM40" i="6" s="1"/>
  <c r="F39" i="6"/>
  <c r="G39" i="6" s="1"/>
  <c r="H39" i="6" s="1"/>
  <c r="I39" i="6" s="1"/>
  <c r="J39" i="6" s="1"/>
  <c r="K39" i="6" s="1"/>
  <c r="L39" i="6" s="1"/>
  <c r="M39" i="6" s="1"/>
  <c r="N39" i="6" s="1"/>
  <c r="O39" i="6" s="1"/>
  <c r="P39" i="6" s="1"/>
  <c r="Q39" i="6" s="1"/>
  <c r="R39" i="6" s="1"/>
  <c r="S39" i="6" s="1"/>
  <c r="T39" i="6" s="1"/>
  <c r="U39" i="6" s="1"/>
  <c r="V39" i="6" s="1"/>
  <c r="W39" i="6" s="1"/>
  <c r="X39" i="6" s="1"/>
  <c r="Y39" i="6" s="1"/>
  <c r="Z39" i="6" s="1"/>
  <c r="AA39" i="6" s="1"/>
  <c r="AB39" i="6" s="1"/>
  <c r="AC39" i="6" s="1"/>
  <c r="AD39" i="6" s="1"/>
  <c r="AE39" i="6" s="1"/>
  <c r="AF39" i="6" s="1"/>
  <c r="AG39" i="6" s="1"/>
  <c r="AH39" i="6" s="1"/>
  <c r="AI39" i="6" s="1"/>
  <c r="AJ39" i="6" s="1"/>
  <c r="AK39" i="6" s="1"/>
  <c r="AL39" i="6" s="1"/>
  <c r="AM39" i="6" s="1"/>
  <c r="F38" i="6"/>
  <c r="G38" i="6" s="1"/>
  <c r="H38" i="6" s="1"/>
  <c r="I38" i="6" s="1"/>
  <c r="J38" i="6" s="1"/>
  <c r="K38" i="6" s="1"/>
  <c r="L38" i="6" s="1"/>
  <c r="M38" i="6" s="1"/>
  <c r="N38" i="6" s="1"/>
  <c r="O38" i="6" s="1"/>
  <c r="P38" i="6" s="1"/>
  <c r="Q38" i="6" s="1"/>
  <c r="R38" i="6" s="1"/>
  <c r="S38" i="6" s="1"/>
  <c r="T38" i="6" s="1"/>
  <c r="U38" i="6" s="1"/>
  <c r="V38" i="6" s="1"/>
  <c r="W38" i="6" s="1"/>
  <c r="X38" i="6" s="1"/>
  <c r="Y38" i="6" s="1"/>
  <c r="Z38" i="6" s="1"/>
  <c r="AA38" i="6" s="1"/>
  <c r="AB38" i="6" s="1"/>
  <c r="AC38" i="6" s="1"/>
  <c r="AD38" i="6" s="1"/>
  <c r="AE38" i="6" s="1"/>
  <c r="AF38" i="6" s="1"/>
  <c r="AG38" i="6" s="1"/>
  <c r="AH38" i="6" s="1"/>
  <c r="AI38" i="6" s="1"/>
  <c r="AJ38" i="6" s="1"/>
  <c r="AK38" i="6" s="1"/>
  <c r="AL38" i="6" s="1"/>
  <c r="AM38" i="6" s="1"/>
  <c r="F35" i="6"/>
  <c r="F34" i="6"/>
  <c r="G34" i="6" s="1"/>
  <c r="H34" i="6" s="1"/>
  <c r="I34" i="6" s="1"/>
  <c r="J34" i="6" s="1"/>
  <c r="K34" i="6" s="1"/>
  <c r="L34" i="6" s="1"/>
  <c r="M34" i="6" s="1"/>
  <c r="N34" i="6" s="1"/>
  <c r="O34" i="6" s="1"/>
  <c r="P34" i="6" s="1"/>
  <c r="Q34" i="6" s="1"/>
  <c r="R34" i="6" s="1"/>
  <c r="S34" i="6" s="1"/>
  <c r="T34" i="6" s="1"/>
  <c r="U34" i="6" s="1"/>
  <c r="V34" i="6" s="1"/>
  <c r="W34" i="6" s="1"/>
  <c r="X34" i="6" s="1"/>
  <c r="Y34" i="6" s="1"/>
  <c r="Z34" i="6" s="1"/>
  <c r="AA34" i="6" s="1"/>
  <c r="AB34" i="6" s="1"/>
  <c r="AC34" i="6" s="1"/>
  <c r="AD34" i="6" s="1"/>
  <c r="AE34" i="6" s="1"/>
  <c r="AF34" i="6" s="1"/>
  <c r="AG34" i="6" s="1"/>
  <c r="AH34" i="6" s="1"/>
  <c r="AI34" i="6" s="1"/>
  <c r="AJ34" i="6" s="1"/>
  <c r="AK34" i="6" s="1"/>
  <c r="AL34" i="6" s="1"/>
  <c r="AM34" i="6" s="1"/>
  <c r="F33" i="6"/>
  <c r="F32" i="6"/>
  <c r="G32" i="6" s="1"/>
  <c r="H32" i="6" s="1"/>
  <c r="F31" i="6"/>
  <c r="F30" i="6"/>
  <c r="G30" i="6" s="1"/>
  <c r="H30" i="6" s="1"/>
  <c r="I30" i="6" s="1"/>
  <c r="J30" i="6" s="1"/>
  <c r="K30" i="6" s="1"/>
  <c r="L30" i="6" s="1"/>
  <c r="M30" i="6" s="1"/>
  <c r="N30" i="6" s="1"/>
  <c r="O30" i="6" s="1"/>
  <c r="P30" i="6" s="1"/>
  <c r="Q30" i="6" s="1"/>
  <c r="R30" i="6" s="1"/>
  <c r="S30" i="6" s="1"/>
  <c r="T30" i="6" s="1"/>
  <c r="U30" i="6" s="1"/>
  <c r="V30" i="6" s="1"/>
  <c r="W30" i="6" s="1"/>
  <c r="X30" i="6" s="1"/>
  <c r="Y30" i="6" s="1"/>
  <c r="Z30" i="6" s="1"/>
  <c r="AA30" i="6" s="1"/>
  <c r="AB30" i="6" s="1"/>
  <c r="AC30" i="6" s="1"/>
  <c r="AD30" i="6" s="1"/>
  <c r="AE30" i="6" s="1"/>
  <c r="AF30" i="6" s="1"/>
  <c r="AG30" i="6" s="1"/>
  <c r="AH30" i="6" s="1"/>
  <c r="AI30" i="6" s="1"/>
  <c r="AJ30" i="6" s="1"/>
  <c r="AK30" i="6" s="1"/>
  <c r="AL30" i="6" s="1"/>
  <c r="AM30" i="6" s="1"/>
  <c r="F28" i="6"/>
  <c r="G28" i="6" s="1"/>
  <c r="H28" i="6" s="1"/>
  <c r="F26" i="6"/>
  <c r="G26" i="6" s="1"/>
  <c r="H26" i="6" s="1"/>
  <c r="I26" i="6" s="1"/>
  <c r="J26" i="6" s="1"/>
  <c r="K26" i="6" s="1"/>
  <c r="L26" i="6" s="1"/>
  <c r="M26" i="6" s="1"/>
  <c r="N26" i="6" s="1"/>
  <c r="O26" i="6" s="1"/>
  <c r="P26" i="6" s="1"/>
  <c r="Q26" i="6" s="1"/>
  <c r="R26" i="6" s="1"/>
  <c r="S26" i="6" s="1"/>
  <c r="T26" i="6" s="1"/>
  <c r="U26" i="6" s="1"/>
  <c r="V26" i="6" s="1"/>
  <c r="W26" i="6" s="1"/>
  <c r="X26" i="6" s="1"/>
  <c r="Y26" i="6" s="1"/>
  <c r="Z26" i="6" s="1"/>
  <c r="AA26" i="6" s="1"/>
  <c r="AB26" i="6" s="1"/>
  <c r="AC26" i="6" s="1"/>
  <c r="AD26" i="6" s="1"/>
  <c r="AE26" i="6" s="1"/>
  <c r="AF26" i="6" s="1"/>
  <c r="AG26" i="6" s="1"/>
  <c r="AH26" i="6" s="1"/>
  <c r="AI26" i="6" s="1"/>
  <c r="AJ26" i="6" s="1"/>
  <c r="AK26" i="6" s="1"/>
  <c r="AL26" i="6" s="1"/>
  <c r="AM26" i="6" s="1"/>
  <c r="F24" i="6"/>
  <c r="F20" i="6"/>
  <c r="G20" i="6" s="1"/>
  <c r="F19" i="6"/>
  <c r="G19" i="6" s="1"/>
  <c r="H19" i="6" s="1"/>
  <c r="I19" i="6" s="1"/>
  <c r="J19" i="6" s="1"/>
  <c r="K19" i="6" s="1"/>
  <c r="L19" i="6" s="1"/>
  <c r="M19" i="6" s="1"/>
  <c r="N19" i="6" s="1"/>
  <c r="O19" i="6" s="1"/>
  <c r="P19" i="6" s="1"/>
  <c r="Q19" i="6" s="1"/>
  <c r="R19" i="6" s="1"/>
  <c r="S19" i="6" s="1"/>
  <c r="T19" i="6" s="1"/>
  <c r="U19" i="6" s="1"/>
  <c r="V19" i="6" s="1"/>
  <c r="W19" i="6" s="1"/>
  <c r="X19" i="6" s="1"/>
  <c r="Y19" i="6" s="1"/>
  <c r="Z19" i="6" s="1"/>
  <c r="AA19" i="6" s="1"/>
  <c r="AB19" i="6" s="1"/>
  <c r="AC19" i="6" s="1"/>
  <c r="AD19" i="6" s="1"/>
  <c r="AE19" i="6" s="1"/>
  <c r="AF19" i="6" s="1"/>
  <c r="AG19" i="6" s="1"/>
  <c r="AH19" i="6" s="1"/>
  <c r="AI19" i="6" s="1"/>
  <c r="AJ19" i="6" s="1"/>
  <c r="AK19" i="6" s="1"/>
  <c r="AL19" i="6" s="1"/>
  <c r="AM19" i="6" s="1"/>
  <c r="F17" i="6"/>
  <c r="F16" i="6"/>
  <c r="G16" i="6" s="1"/>
  <c r="G14"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G11" i="6"/>
  <c r="F11"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F7" i="6"/>
  <c r="F4" i="6"/>
  <c r="G4" i="6" s="1"/>
  <c r="H4" i="6" s="1"/>
  <c r="I4" i="6" s="1"/>
  <c r="J4" i="6" s="1"/>
  <c r="K4" i="6" s="1"/>
  <c r="L4" i="6" s="1"/>
  <c r="M4" i="6" s="1"/>
  <c r="N4" i="6" s="1"/>
  <c r="O4" i="6" s="1"/>
  <c r="P4" i="6" s="1"/>
  <c r="Q4" i="6" s="1"/>
  <c r="R4" i="6" s="1"/>
  <c r="S4" i="6" s="1"/>
  <c r="T4" i="6" s="1"/>
  <c r="U4" i="6" s="1"/>
  <c r="V4" i="6" s="1"/>
  <c r="W4" i="6" s="1"/>
  <c r="X4" i="6" s="1"/>
  <c r="Y4" i="6" s="1"/>
  <c r="Z4" i="6" s="1"/>
  <c r="AA4" i="6" s="1"/>
  <c r="AB4" i="6" s="1"/>
  <c r="AC4" i="6" s="1"/>
  <c r="AD4" i="6" s="1"/>
  <c r="AE4" i="6" s="1"/>
  <c r="AF4" i="6" s="1"/>
  <c r="AG4" i="6" s="1"/>
  <c r="AH4" i="6" s="1"/>
  <c r="AI4" i="6" s="1"/>
  <c r="AJ4" i="6" s="1"/>
  <c r="AK4" i="6" s="1"/>
  <c r="AL4" i="6" s="1"/>
  <c r="AM4" i="6" s="1"/>
  <c r="F16" i="5"/>
  <c r="G16" i="5" s="1"/>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F46" i="5"/>
  <c r="F47" i="5" s="1"/>
  <c r="F41" i="5"/>
  <c r="G41" i="5" s="1"/>
  <c r="I40" i="5"/>
  <c r="J40" i="5" s="1"/>
  <c r="K40" i="5" s="1"/>
  <c r="L40" i="5" s="1"/>
  <c r="M40" i="5" s="1"/>
  <c r="N40" i="5" s="1"/>
  <c r="O40" i="5" s="1"/>
  <c r="P40" i="5" s="1"/>
  <c r="Q40" i="5" s="1"/>
  <c r="R40" i="5" s="1"/>
  <c r="S40" i="5" s="1"/>
  <c r="T40" i="5" s="1"/>
  <c r="U40" i="5" s="1"/>
  <c r="V40" i="5" s="1"/>
  <c r="W40" i="5" s="1"/>
  <c r="X40" i="5" s="1"/>
  <c r="Y40" i="5" s="1"/>
  <c r="Z40" i="5" s="1"/>
  <c r="AA40" i="5" s="1"/>
  <c r="AB40" i="5" s="1"/>
  <c r="AC40" i="5" s="1"/>
  <c r="AD40" i="5" s="1"/>
  <c r="AE40" i="5" s="1"/>
  <c r="AF40" i="5" s="1"/>
  <c r="AG40" i="5" s="1"/>
  <c r="AH40" i="5" s="1"/>
  <c r="AI40" i="5" s="1"/>
  <c r="AJ40" i="5" s="1"/>
  <c r="AK40" i="5" s="1"/>
  <c r="AL40" i="5" s="1"/>
  <c r="AM40" i="5" s="1"/>
  <c r="F39" i="5"/>
  <c r="G39" i="5" s="1"/>
  <c r="H39" i="5" s="1"/>
  <c r="I39" i="5" s="1"/>
  <c r="J39" i="5" s="1"/>
  <c r="K39" i="5" s="1"/>
  <c r="L39" i="5" s="1"/>
  <c r="M39" i="5" s="1"/>
  <c r="N39" i="5" s="1"/>
  <c r="O39" i="5" s="1"/>
  <c r="P39" i="5" s="1"/>
  <c r="Q39" i="5" s="1"/>
  <c r="R39" i="5" s="1"/>
  <c r="S39" i="5" s="1"/>
  <c r="T39" i="5" s="1"/>
  <c r="U39" i="5" s="1"/>
  <c r="V39" i="5" s="1"/>
  <c r="W39" i="5" s="1"/>
  <c r="X39" i="5" s="1"/>
  <c r="Y39" i="5" s="1"/>
  <c r="Z39" i="5" s="1"/>
  <c r="AA39" i="5" s="1"/>
  <c r="AB39" i="5" s="1"/>
  <c r="AC39" i="5" s="1"/>
  <c r="AD39" i="5" s="1"/>
  <c r="AE39" i="5" s="1"/>
  <c r="AF39" i="5" s="1"/>
  <c r="AG39" i="5" s="1"/>
  <c r="AH39" i="5" s="1"/>
  <c r="AI39" i="5" s="1"/>
  <c r="AJ39" i="5" s="1"/>
  <c r="AK39" i="5" s="1"/>
  <c r="AL39" i="5" s="1"/>
  <c r="AM39" i="5" s="1"/>
  <c r="F38" i="5"/>
  <c r="G38" i="5" s="1"/>
  <c r="H38" i="5" s="1"/>
  <c r="I38" i="5" s="1"/>
  <c r="J38" i="5" s="1"/>
  <c r="K38" i="5" s="1"/>
  <c r="L38" i="5" s="1"/>
  <c r="M38" i="5" s="1"/>
  <c r="N38" i="5" s="1"/>
  <c r="O38" i="5" s="1"/>
  <c r="P38" i="5" s="1"/>
  <c r="Q38" i="5" s="1"/>
  <c r="R38" i="5" s="1"/>
  <c r="S38" i="5" s="1"/>
  <c r="T38" i="5" s="1"/>
  <c r="U38" i="5" s="1"/>
  <c r="V38" i="5" s="1"/>
  <c r="W38" i="5" s="1"/>
  <c r="X38" i="5" s="1"/>
  <c r="Y38" i="5" s="1"/>
  <c r="Z38" i="5" s="1"/>
  <c r="AA38" i="5" s="1"/>
  <c r="AB38" i="5" s="1"/>
  <c r="AC38" i="5" s="1"/>
  <c r="AD38" i="5" s="1"/>
  <c r="AE38" i="5" s="1"/>
  <c r="AF38" i="5" s="1"/>
  <c r="AG38" i="5" s="1"/>
  <c r="AH38" i="5" s="1"/>
  <c r="AI38" i="5" s="1"/>
  <c r="AJ38" i="5" s="1"/>
  <c r="AK38" i="5" s="1"/>
  <c r="AL38" i="5" s="1"/>
  <c r="AM38" i="5" s="1"/>
  <c r="F35" i="5"/>
  <c r="G35" i="5" s="1"/>
  <c r="H35" i="5" s="1"/>
  <c r="I35" i="5" s="1"/>
  <c r="J35" i="5" s="1"/>
  <c r="K35" i="5" s="1"/>
  <c r="L35" i="5" s="1"/>
  <c r="M35" i="5" s="1"/>
  <c r="N35" i="5" s="1"/>
  <c r="O35" i="5" s="1"/>
  <c r="P35" i="5" s="1"/>
  <c r="Q35" i="5" s="1"/>
  <c r="R35" i="5" s="1"/>
  <c r="S35" i="5" s="1"/>
  <c r="T35" i="5" s="1"/>
  <c r="U35" i="5" s="1"/>
  <c r="V35" i="5" s="1"/>
  <c r="W35" i="5" s="1"/>
  <c r="X35" i="5" s="1"/>
  <c r="Y35" i="5" s="1"/>
  <c r="Z35" i="5" s="1"/>
  <c r="AA35" i="5" s="1"/>
  <c r="AB35" i="5" s="1"/>
  <c r="AC35" i="5" s="1"/>
  <c r="AD35" i="5" s="1"/>
  <c r="AE35" i="5" s="1"/>
  <c r="AF35" i="5" s="1"/>
  <c r="AG35" i="5" s="1"/>
  <c r="AH35" i="5" s="1"/>
  <c r="AI35" i="5" s="1"/>
  <c r="AJ35" i="5" s="1"/>
  <c r="AK35" i="5" s="1"/>
  <c r="AL35" i="5" s="1"/>
  <c r="AM35" i="5" s="1"/>
  <c r="F34" i="5"/>
  <c r="G34" i="5" s="1"/>
  <c r="H34" i="5" s="1"/>
  <c r="I34" i="5" s="1"/>
  <c r="J34" i="5" s="1"/>
  <c r="K34" i="5" s="1"/>
  <c r="L34" i="5" s="1"/>
  <c r="M34" i="5" s="1"/>
  <c r="N34" i="5" s="1"/>
  <c r="O34" i="5" s="1"/>
  <c r="P34" i="5" s="1"/>
  <c r="Q34" i="5" s="1"/>
  <c r="R34" i="5" s="1"/>
  <c r="S34" i="5" s="1"/>
  <c r="T34" i="5" s="1"/>
  <c r="U34" i="5" s="1"/>
  <c r="V34" i="5" s="1"/>
  <c r="W34" i="5" s="1"/>
  <c r="X34" i="5" s="1"/>
  <c r="Y34" i="5" s="1"/>
  <c r="Z34" i="5" s="1"/>
  <c r="AA34" i="5" s="1"/>
  <c r="AB34" i="5" s="1"/>
  <c r="AC34" i="5" s="1"/>
  <c r="AD34" i="5" s="1"/>
  <c r="AE34" i="5" s="1"/>
  <c r="AF34" i="5" s="1"/>
  <c r="AG34" i="5" s="1"/>
  <c r="AH34" i="5" s="1"/>
  <c r="AI34" i="5" s="1"/>
  <c r="AJ34" i="5" s="1"/>
  <c r="AK34" i="5" s="1"/>
  <c r="AL34" i="5" s="1"/>
  <c r="AM34" i="5" s="1"/>
  <c r="F33" i="5"/>
  <c r="G33" i="5" s="1"/>
  <c r="H33" i="5" s="1"/>
  <c r="I33" i="5" s="1"/>
  <c r="J33" i="5" s="1"/>
  <c r="K33" i="5" s="1"/>
  <c r="L33" i="5" s="1"/>
  <c r="M33" i="5" s="1"/>
  <c r="N33" i="5" s="1"/>
  <c r="O33" i="5" s="1"/>
  <c r="P33" i="5" s="1"/>
  <c r="Q33" i="5" s="1"/>
  <c r="R33" i="5" s="1"/>
  <c r="S33" i="5" s="1"/>
  <c r="T33" i="5" s="1"/>
  <c r="U33" i="5" s="1"/>
  <c r="V33" i="5" s="1"/>
  <c r="W33" i="5" s="1"/>
  <c r="X33" i="5" s="1"/>
  <c r="Y33" i="5" s="1"/>
  <c r="Z33" i="5" s="1"/>
  <c r="AA33" i="5" s="1"/>
  <c r="AB33" i="5" s="1"/>
  <c r="AC33" i="5" s="1"/>
  <c r="AD33" i="5" s="1"/>
  <c r="AE33" i="5" s="1"/>
  <c r="AF33" i="5" s="1"/>
  <c r="AG33" i="5" s="1"/>
  <c r="AH33" i="5" s="1"/>
  <c r="AI33" i="5" s="1"/>
  <c r="AJ33" i="5" s="1"/>
  <c r="AK33" i="5" s="1"/>
  <c r="AL33" i="5" s="1"/>
  <c r="AM33" i="5" s="1"/>
  <c r="F32" i="5"/>
  <c r="G32" i="5" s="1"/>
  <c r="H32" i="5" s="1"/>
  <c r="I32" i="5" s="1"/>
  <c r="J32" i="5" s="1"/>
  <c r="K32" i="5" s="1"/>
  <c r="L32" i="5" s="1"/>
  <c r="M32" i="5" s="1"/>
  <c r="N32" i="5" s="1"/>
  <c r="O32" i="5" s="1"/>
  <c r="P32" i="5" s="1"/>
  <c r="Q32" i="5" s="1"/>
  <c r="R32" i="5" s="1"/>
  <c r="S32" i="5" s="1"/>
  <c r="T32" i="5" s="1"/>
  <c r="U32" i="5" s="1"/>
  <c r="V32" i="5" s="1"/>
  <c r="W32" i="5" s="1"/>
  <c r="X32" i="5" s="1"/>
  <c r="Y32" i="5" s="1"/>
  <c r="Z32" i="5" s="1"/>
  <c r="AA32" i="5" s="1"/>
  <c r="AB32" i="5" s="1"/>
  <c r="AC32" i="5" s="1"/>
  <c r="AD32" i="5" s="1"/>
  <c r="AE32" i="5" s="1"/>
  <c r="AF32" i="5" s="1"/>
  <c r="AG32" i="5" s="1"/>
  <c r="AH32" i="5" s="1"/>
  <c r="AI32" i="5" s="1"/>
  <c r="AJ32" i="5" s="1"/>
  <c r="AK32" i="5" s="1"/>
  <c r="AL32" i="5" s="1"/>
  <c r="AM32" i="5" s="1"/>
  <c r="F31" i="5"/>
  <c r="G31" i="5" s="1"/>
  <c r="H31" i="5" s="1"/>
  <c r="I31" i="5" s="1"/>
  <c r="J31" i="5" s="1"/>
  <c r="F30" i="5"/>
  <c r="G30" i="5" s="1"/>
  <c r="H30" i="5" s="1"/>
  <c r="I30" i="5" s="1"/>
  <c r="J30" i="5" s="1"/>
  <c r="K30" i="5" s="1"/>
  <c r="L30" i="5" s="1"/>
  <c r="M30" i="5" s="1"/>
  <c r="N30" i="5" s="1"/>
  <c r="O30" i="5" s="1"/>
  <c r="P30" i="5" s="1"/>
  <c r="Q30" i="5" s="1"/>
  <c r="R30" i="5" s="1"/>
  <c r="S30" i="5" s="1"/>
  <c r="T30" i="5" s="1"/>
  <c r="U30" i="5" s="1"/>
  <c r="V30" i="5" s="1"/>
  <c r="W30" i="5" s="1"/>
  <c r="X30" i="5" s="1"/>
  <c r="Y30" i="5" s="1"/>
  <c r="Z30" i="5" s="1"/>
  <c r="AA30" i="5" s="1"/>
  <c r="AB30" i="5" s="1"/>
  <c r="AC30" i="5" s="1"/>
  <c r="AD30" i="5" s="1"/>
  <c r="AE30" i="5" s="1"/>
  <c r="AF30" i="5" s="1"/>
  <c r="AG30" i="5" s="1"/>
  <c r="AH30" i="5" s="1"/>
  <c r="AI30" i="5" s="1"/>
  <c r="AJ30" i="5" s="1"/>
  <c r="AK30" i="5" s="1"/>
  <c r="AL30" i="5" s="1"/>
  <c r="AM30" i="5" s="1"/>
  <c r="F28" i="5"/>
  <c r="G28" i="5" s="1"/>
  <c r="H28" i="5" s="1"/>
  <c r="I28" i="5" s="1"/>
  <c r="J28" i="5" s="1"/>
  <c r="K28" i="5" s="1"/>
  <c r="L28" i="5" s="1"/>
  <c r="F27" i="5"/>
  <c r="G27" i="5" s="1"/>
  <c r="H27" i="5" s="1"/>
  <c r="I27" i="5" s="1"/>
  <c r="J27" i="5" s="1"/>
  <c r="K27" i="5" s="1"/>
  <c r="L27" i="5" s="1"/>
  <c r="M27" i="5" s="1"/>
  <c r="N27" i="5" s="1"/>
  <c r="O27" i="5" s="1"/>
  <c r="P27" i="5" s="1"/>
  <c r="Q27" i="5" s="1"/>
  <c r="R27" i="5" s="1"/>
  <c r="S27" i="5" s="1"/>
  <c r="T27" i="5" s="1"/>
  <c r="U27" i="5" s="1"/>
  <c r="V27" i="5" s="1"/>
  <c r="W27" i="5" s="1"/>
  <c r="X27" i="5" s="1"/>
  <c r="Y27" i="5" s="1"/>
  <c r="Z27" i="5" s="1"/>
  <c r="AA27" i="5" s="1"/>
  <c r="AB27" i="5" s="1"/>
  <c r="AC27" i="5" s="1"/>
  <c r="AD27" i="5" s="1"/>
  <c r="AE27" i="5" s="1"/>
  <c r="AF27" i="5" s="1"/>
  <c r="AG27" i="5" s="1"/>
  <c r="AH27" i="5" s="1"/>
  <c r="AI27" i="5" s="1"/>
  <c r="AJ27" i="5" s="1"/>
  <c r="AK27" i="5" s="1"/>
  <c r="AL27" i="5" s="1"/>
  <c r="AM27" i="5" s="1"/>
  <c r="F26" i="5"/>
  <c r="G26" i="5" s="1"/>
  <c r="H26" i="5" s="1"/>
  <c r="I26" i="5" s="1"/>
  <c r="J26" i="5" s="1"/>
  <c r="K26" i="5" s="1"/>
  <c r="L26" i="5" s="1"/>
  <c r="M26" i="5" s="1"/>
  <c r="N26" i="5" s="1"/>
  <c r="O26" i="5" s="1"/>
  <c r="P26" i="5" s="1"/>
  <c r="Q26" i="5" s="1"/>
  <c r="R26" i="5" s="1"/>
  <c r="S26" i="5" s="1"/>
  <c r="T26" i="5" s="1"/>
  <c r="U26" i="5" s="1"/>
  <c r="V26" i="5" s="1"/>
  <c r="W26" i="5" s="1"/>
  <c r="X26" i="5" s="1"/>
  <c r="Y26" i="5" s="1"/>
  <c r="Z26" i="5" s="1"/>
  <c r="AA26" i="5" s="1"/>
  <c r="AB26" i="5" s="1"/>
  <c r="AC26" i="5" s="1"/>
  <c r="AD26" i="5" s="1"/>
  <c r="AE26" i="5" s="1"/>
  <c r="AF26" i="5" s="1"/>
  <c r="AG26" i="5" s="1"/>
  <c r="AH26" i="5" s="1"/>
  <c r="AI26" i="5" s="1"/>
  <c r="AJ26" i="5" s="1"/>
  <c r="AK26" i="5" s="1"/>
  <c r="AL26" i="5" s="1"/>
  <c r="AM26" i="5" s="1"/>
  <c r="F24" i="5"/>
  <c r="F20" i="5"/>
  <c r="G20" i="5" s="1"/>
  <c r="H20" i="5" s="1"/>
  <c r="F19" i="5"/>
  <c r="G19" i="5" s="1"/>
  <c r="H19" i="5" s="1"/>
  <c r="I19" i="5" s="1"/>
  <c r="J19" i="5" s="1"/>
  <c r="K19" i="5" s="1"/>
  <c r="L19" i="5" s="1"/>
  <c r="M19" i="5" s="1"/>
  <c r="N19" i="5" s="1"/>
  <c r="O19" i="5" s="1"/>
  <c r="P19" i="5" s="1"/>
  <c r="Q19" i="5" s="1"/>
  <c r="R19" i="5" s="1"/>
  <c r="S19" i="5" s="1"/>
  <c r="T19" i="5" s="1"/>
  <c r="U19" i="5" s="1"/>
  <c r="V19" i="5" s="1"/>
  <c r="W19" i="5" s="1"/>
  <c r="X19" i="5" s="1"/>
  <c r="Y19" i="5" s="1"/>
  <c r="Z19" i="5" s="1"/>
  <c r="AA19" i="5" s="1"/>
  <c r="AB19" i="5" s="1"/>
  <c r="AC19" i="5" s="1"/>
  <c r="AD19" i="5" s="1"/>
  <c r="AE19" i="5" s="1"/>
  <c r="AF19" i="5" s="1"/>
  <c r="AG19" i="5" s="1"/>
  <c r="AH19" i="5" s="1"/>
  <c r="AI19" i="5" s="1"/>
  <c r="AJ19" i="5" s="1"/>
  <c r="AK19" i="5" s="1"/>
  <c r="AL19" i="5" s="1"/>
  <c r="AM19" i="5" s="1"/>
  <c r="F17" i="5"/>
  <c r="G17" i="5" s="1"/>
  <c r="H17" i="5" s="1"/>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AM7" i="5"/>
  <c r="AL7" i="5"/>
  <c r="AK7" i="5"/>
  <c r="AJ7" i="5"/>
  <c r="AI7" i="5"/>
  <c r="AH7" i="5"/>
  <c r="AG7" i="5"/>
  <c r="AF7" i="5"/>
  <c r="AE7" i="5"/>
  <c r="AD7" i="5"/>
  <c r="AC7" i="5"/>
  <c r="AB7" i="5"/>
  <c r="AA7" i="5"/>
  <c r="Z7" i="5"/>
  <c r="Y7" i="5"/>
  <c r="X7" i="5"/>
  <c r="W7" i="5"/>
  <c r="V7" i="5"/>
  <c r="U7" i="5"/>
  <c r="T7" i="5"/>
  <c r="S7" i="5"/>
  <c r="R7" i="5"/>
  <c r="Q7" i="5"/>
  <c r="Q12" i="5" s="1"/>
  <c r="P7" i="5"/>
  <c r="O7" i="5"/>
  <c r="N7" i="5"/>
  <c r="M7" i="5"/>
  <c r="L7" i="5"/>
  <c r="K7" i="5"/>
  <c r="J7" i="5"/>
  <c r="I7" i="5"/>
  <c r="H7" i="5"/>
  <c r="G7" i="5"/>
  <c r="F7" i="5"/>
  <c r="F4" i="5"/>
  <c r="G4" i="5" s="1"/>
  <c r="H4" i="5" s="1"/>
  <c r="I4" i="5" s="1"/>
  <c r="J4" i="5" s="1"/>
  <c r="K4" i="5" s="1"/>
  <c r="L4" i="5" s="1"/>
  <c r="M4" i="5" s="1"/>
  <c r="N4" i="5" s="1"/>
  <c r="O4" i="5" s="1"/>
  <c r="P4" i="5" s="1"/>
  <c r="Q4" i="5" s="1"/>
  <c r="R4" i="5" s="1"/>
  <c r="S4" i="5" s="1"/>
  <c r="T4" i="5" s="1"/>
  <c r="U4" i="5" s="1"/>
  <c r="V4" i="5" s="1"/>
  <c r="W4" i="5" s="1"/>
  <c r="X4" i="5" s="1"/>
  <c r="Y4" i="5" s="1"/>
  <c r="Z4" i="5" s="1"/>
  <c r="AA4" i="5" s="1"/>
  <c r="AB4" i="5" s="1"/>
  <c r="AC4" i="5" s="1"/>
  <c r="AD4" i="5" s="1"/>
  <c r="AE4" i="5" s="1"/>
  <c r="AF4" i="5" s="1"/>
  <c r="AG4" i="5" s="1"/>
  <c r="AH4" i="5" s="1"/>
  <c r="AI4" i="5" s="1"/>
  <c r="AJ4" i="5" s="1"/>
  <c r="AK4" i="5" s="1"/>
  <c r="AL4" i="5" s="1"/>
  <c r="AM4" i="5" s="1"/>
  <c r="E34" i="4"/>
  <c r="F34" i="4" s="1"/>
  <c r="G34" i="4" s="1"/>
  <c r="H34" i="4" s="1"/>
  <c r="I34" i="4" s="1"/>
  <c r="J34" i="4" s="1"/>
  <c r="K34" i="4" s="1"/>
  <c r="L34" i="4" s="1"/>
  <c r="M34" i="4" s="1"/>
  <c r="N34" i="4" s="1"/>
  <c r="O34" i="4" s="1"/>
  <c r="P34" i="4" s="1"/>
  <c r="Q34" i="4" s="1"/>
  <c r="R34" i="4" s="1"/>
  <c r="S34" i="4" s="1"/>
  <c r="T34" i="4" s="1"/>
  <c r="U34" i="4" s="1"/>
  <c r="V34" i="4" s="1"/>
  <c r="W34" i="4" s="1"/>
  <c r="X34" i="4" s="1"/>
  <c r="Y34" i="4" s="1"/>
  <c r="Z34" i="4" s="1"/>
  <c r="AA34" i="4" s="1"/>
  <c r="AB34" i="4" s="1"/>
  <c r="AC34" i="4" s="1"/>
  <c r="AD34" i="4" s="1"/>
  <c r="AE34" i="4" s="1"/>
  <c r="AF34" i="4" s="1"/>
  <c r="AG34" i="4" s="1"/>
  <c r="AH34" i="4" s="1"/>
  <c r="AI34" i="4" s="1"/>
  <c r="AJ34" i="4" s="1"/>
  <c r="AK34" i="4" s="1"/>
  <c r="AL34" i="4" s="1"/>
  <c r="AM34" i="4" s="1"/>
  <c r="AN34" i="4" s="1"/>
  <c r="E32" i="4"/>
  <c r="F32" i="4" s="1"/>
  <c r="G32" i="4" s="1"/>
  <c r="H32" i="4" s="1"/>
  <c r="I32" i="4" s="1"/>
  <c r="J32" i="4" s="1"/>
  <c r="K32" i="4" s="1"/>
  <c r="L32" i="4" s="1"/>
  <c r="M32" i="4" s="1"/>
  <c r="N32" i="4" s="1"/>
  <c r="O32" i="4" s="1"/>
  <c r="P32" i="4" s="1"/>
  <c r="Q32" i="4" s="1"/>
  <c r="R32" i="4" s="1"/>
  <c r="S32" i="4" s="1"/>
  <c r="T32" i="4" s="1"/>
  <c r="U32" i="4" s="1"/>
  <c r="V32" i="4" s="1"/>
  <c r="W32" i="4" s="1"/>
  <c r="X32" i="4" s="1"/>
  <c r="Y32" i="4" s="1"/>
  <c r="Z32" i="4" s="1"/>
  <c r="AA32" i="4" s="1"/>
  <c r="AB32" i="4" s="1"/>
  <c r="AC32" i="4" s="1"/>
  <c r="AD32" i="4" s="1"/>
  <c r="AE32" i="4" s="1"/>
  <c r="AF32" i="4" s="1"/>
  <c r="AG32" i="4" s="1"/>
  <c r="AH32" i="4" s="1"/>
  <c r="AI32" i="4" s="1"/>
  <c r="AJ32" i="4" s="1"/>
  <c r="AK32" i="4" s="1"/>
  <c r="AL32" i="4" s="1"/>
  <c r="AM32" i="4" s="1"/>
  <c r="AN32" i="4" s="1"/>
  <c r="E33" i="4"/>
  <c r="F33" i="4" s="1"/>
  <c r="G33" i="4" s="1"/>
  <c r="H33" i="4" s="1"/>
  <c r="I33" i="4" s="1"/>
  <c r="J33" i="4" s="1"/>
  <c r="K33" i="4" s="1"/>
  <c r="L33" i="4" s="1"/>
  <c r="M33" i="4" s="1"/>
  <c r="N33" i="4" s="1"/>
  <c r="O33" i="4" s="1"/>
  <c r="P33" i="4" s="1"/>
  <c r="Q33" i="4" s="1"/>
  <c r="R33" i="4" s="1"/>
  <c r="S33" i="4" s="1"/>
  <c r="T33" i="4" s="1"/>
  <c r="U33" i="4" s="1"/>
  <c r="V33" i="4" s="1"/>
  <c r="W33" i="4" s="1"/>
  <c r="X33" i="4" s="1"/>
  <c r="Y33" i="4" s="1"/>
  <c r="Z33" i="4" s="1"/>
  <c r="AA33" i="4" s="1"/>
  <c r="AB33" i="4" s="1"/>
  <c r="AC33" i="4" s="1"/>
  <c r="AD33" i="4" s="1"/>
  <c r="AE33" i="4" s="1"/>
  <c r="AF33" i="4" s="1"/>
  <c r="AG33" i="4" s="1"/>
  <c r="AH33" i="4" s="1"/>
  <c r="AI33" i="4" s="1"/>
  <c r="AJ33" i="4" s="1"/>
  <c r="AK33" i="4" s="1"/>
  <c r="AL33" i="4" s="1"/>
  <c r="AM33" i="4" s="1"/>
  <c r="AN33" i="4" s="1"/>
  <c r="P51" i="4"/>
  <c r="O51" i="4"/>
  <c r="N51" i="4"/>
  <c r="M51" i="4"/>
  <c r="L51" i="4"/>
  <c r="K51" i="4"/>
  <c r="J51" i="4"/>
  <c r="I51" i="4"/>
  <c r="H51" i="4"/>
  <c r="G51" i="4"/>
  <c r="F51" i="4"/>
  <c r="F46" i="4"/>
  <c r="G46" i="4" s="1"/>
  <c r="H46" i="4" s="1"/>
  <c r="F41" i="4"/>
  <c r="G41" i="4" s="1"/>
  <c r="F40" i="4"/>
  <c r="F39" i="4"/>
  <c r="G39" i="4" s="1"/>
  <c r="H39" i="4" s="1"/>
  <c r="I39" i="4" s="1"/>
  <c r="J39" i="4" s="1"/>
  <c r="K39" i="4" s="1"/>
  <c r="L39" i="4" s="1"/>
  <c r="M39" i="4" s="1"/>
  <c r="N39" i="4" s="1"/>
  <c r="O39" i="4" s="1"/>
  <c r="P39" i="4" s="1"/>
  <c r="F38" i="4"/>
  <c r="G38" i="4" s="1"/>
  <c r="H38" i="4" s="1"/>
  <c r="I38" i="4" s="1"/>
  <c r="J38" i="4" s="1"/>
  <c r="K38" i="4" s="1"/>
  <c r="L38" i="4" s="1"/>
  <c r="M38" i="4" s="1"/>
  <c r="N38" i="4" s="1"/>
  <c r="O38" i="4" s="1"/>
  <c r="P38" i="4" s="1"/>
  <c r="F31" i="4"/>
  <c r="G31" i="4" s="1"/>
  <c r="F30" i="4"/>
  <c r="G30" i="4" s="1"/>
  <c r="H30" i="4" s="1"/>
  <c r="I30" i="4" s="1"/>
  <c r="J30" i="4" s="1"/>
  <c r="K30" i="4" s="1"/>
  <c r="L30" i="4" s="1"/>
  <c r="M30" i="4" s="1"/>
  <c r="N30" i="4" s="1"/>
  <c r="O30" i="4" s="1"/>
  <c r="P30" i="4" s="1"/>
  <c r="F28" i="4"/>
  <c r="G28" i="4" s="1"/>
  <c r="H28" i="4" s="1"/>
  <c r="F27" i="4"/>
  <c r="G27" i="4" s="1"/>
  <c r="H27" i="4" s="1"/>
  <c r="I27" i="4" s="1"/>
  <c r="J27" i="4" s="1"/>
  <c r="K27" i="4" s="1"/>
  <c r="L27" i="4" s="1"/>
  <c r="M27" i="4" s="1"/>
  <c r="N27" i="4" s="1"/>
  <c r="O27" i="4" s="1"/>
  <c r="P27" i="4" s="1"/>
  <c r="F26" i="4"/>
  <c r="G26" i="4" s="1"/>
  <c r="H26" i="4" s="1"/>
  <c r="I26" i="4" s="1"/>
  <c r="J26" i="4" s="1"/>
  <c r="K26" i="4" s="1"/>
  <c r="L26" i="4" s="1"/>
  <c r="M26" i="4" s="1"/>
  <c r="N26" i="4" s="1"/>
  <c r="O26" i="4" s="1"/>
  <c r="P26" i="4" s="1"/>
  <c r="F24" i="4"/>
  <c r="G24" i="4" s="1"/>
  <c r="F20" i="4"/>
  <c r="F19" i="4"/>
  <c r="G19" i="4" s="1"/>
  <c r="H19" i="4" s="1"/>
  <c r="I19" i="4" s="1"/>
  <c r="J19" i="4" s="1"/>
  <c r="K19" i="4" s="1"/>
  <c r="L19" i="4" s="1"/>
  <c r="M19" i="4" s="1"/>
  <c r="N19" i="4" s="1"/>
  <c r="O19" i="4" s="1"/>
  <c r="P19" i="4" s="1"/>
  <c r="F18" i="4"/>
  <c r="G18" i="4" s="1"/>
  <c r="H18" i="4" s="1"/>
  <c r="I18" i="4" s="1"/>
  <c r="J18" i="4" s="1"/>
  <c r="K18" i="4" s="1"/>
  <c r="L18" i="4" s="1"/>
  <c r="M18" i="4" s="1"/>
  <c r="N18" i="4" s="1"/>
  <c r="O18" i="4" s="1"/>
  <c r="P18" i="4" s="1"/>
  <c r="F17" i="4"/>
  <c r="O42" i="1"/>
  <c r="O41" i="1"/>
  <c r="AK12" i="5" l="1"/>
  <c r="AB12" i="9"/>
  <c r="AG12" i="5"/>
  <c r="U12" i="5"/>
  <c r="Y12" i="5"/>
  <c r="T12" i="9"/>
  <c r="I12" i="5"/>
  <c r="H16" i="5"/>
  <c r="I16" i="5" s="1"/>
  <c r="J16" i="5" s="1"/>
  <c r="K16" i="5" s="1"/>
  <c r="L16" i="5" s="1"/>
  <c r="M16" i="5" s="1"/>
  <c r="N16" i="5" s="1"/>
  <c r="O16" i="5" s="1"/>
  <c r="K12" i="5"/>
  <c r="S12" i="5"/>
  <c r="AA12" i="5"/>
  <c r="AI12" i="5"/>
  <c r="F52" i="5"/>
  <c r="I28" i="6"/>
  <c r="J28" i="6" s="1"/>
  <c r="K28" i="6" s="1"/>
  <c r="L28" i="6" s="1"/>
  <c r="M28" i="6" s="1"/>
  <c r="N28" i="6" s="1"/>
  <c r="O28" i="6" s="1"/>
  <c r="P28" i="6" s="1"/>
  <c r="Q28" i="6" s="1"/>
  <c r="G16" i="8"/>
  <c r="H16" i="8" s="1"/>
  <c r="I16" i="8" s="1"/>
  <c r="J16" i="8" s="1"/>
  <c r="K16" i="8" s="1"/>
  <c r="L16" i="8" s="1"/>
  <c r="M16" i="8" s="1"/>
  <c r="H32" i="8"/>
  <c r="I32" i="8" s="1"/>
  <c r="J32" i="8" s="1"/>
  <c r="K32" i="8" s="1"/>
  <c r="L32" i="8" s="1"/>
  <c r="M32" i="8" s="1"/>
  <c r="N32" i="8" s="1"/>
  <c r="O32" i="8" s="1"/>
  <c r="P32" i="8" s="1"/>
  <c r="Q32" i="8" s="1"/>
  <c r="R32" i="8" s="1"/>
  <c r="S32" i="8" s="1"/>
  <c r="T32" i="8" s="1"/>
  <c r="U32" i="8" s="1"/>
  <c r="V32" i="8" s="1"/>
  <c r="W32" i="8" s="1"/>
  <c r="X32" i="8" s="1"/>
  <c r="Y32" i="8" s="1"/>
  <c r="Z32" i="8" s="1"/>
  <c r="AA32" i="8" s="1"/>
  <c r="AB32" i="8" s="1"/>
  <c r="AC32" i="8" s="1"/>
  <c r="AD32" i="8" s="1"/>
  <c r="AE32" i="8" s="1"/>
  <c r="AF32" i="8" s="1"/>
  <c r="AG32" i="8" s="1"/>
  <c r="AH32" i="8" s="1"/>
  <c r="AI32" i="8" s="1"/>
  <c r="AJ32" i="8" s="1"/>
  <c r="AK32" i="8" s="1"/>
  <c r="AL32" i="8" s="1"/>
  <c r="AM32" i="8" s="1"/>
  <c r="AN32" i="8" s="1"/>
  <c r="K16" i="9"/>
  <c r="L16" i="9" s="1"/>
  <c r="M16" i="9" s="1"/>
  <c r="N16" i="9" s="1"/>
  <c r="O16" i="9" s="1"/>
  <c r="P16" i="9" s="1"/>
  <c r="Q16" i="9" s="1"/>
  <c r="R16" i="9" s="1"/>
  <c r="S16" i="9" s="1"/>
  <c r="T16" i="9" s="1"/>
  <c r="U16" i="9" s="1"/>
  <c r="V16" i="9" s="1"/>
  <c r="W16" i="9" s="1"/>
  <c r="G15" i="2"/>
  <c r="H15" i="2" s="1"/>
  <c r="I15" i="2" s="1"/>
  <c r="J15" i="2" s="1"/>
  <c r="K15" i="2" s="1"/>
  <c r="L15" i="2" s="1"/>
  <c r="M15" i="2" s="1"/>
  <c r="H17" i="8"/>
  <c r="I17" i="8" s="1"/>
  <c r="J17" i="8" s="1"/>
  <c r="K17" i="8" s="1"/>
  <c r="L17" i="8" s="1"/>
  <c r="M17" i="8" s="1"/>
  <c r="N17" i="8" s="1"/>
  <c r="H17" i="9"/>
  <c r="I17" i="9" s="1"/>
  <c r="J17" i="9" s="1"/>
  <c r="K17" i="9" s="1"/>
  <c r="L17" i="9" s="1"/>
  <c r="M17" i="9" s="1"/>
  <c r="N17" i="9" s="1"/>
  <c r="O17" i="9" s="1"/>
  <c r="P17" i="9" s="1"/>
  <c r="Q17" i="9" s="1"/>
  <c r="R17" i="9" s="1"/>
  <c r="G16" i="10"/>
  <c r="H16" i="10" s="1"/>
  <c r="I16" i="10" s="1"/>
  <c r="J16" i="10" s="1"/>
  <c r="K16" i="10" s="1"/>
  <c r="L16" i="10" s="1"/>
  <c r="M16" i="10" s="1"/>
  <c r="N16" i="10" s="1"/>
  <c r="K32" i="10"/>
  <c r="L32" i="10" s="1"/>
  <c r="M32" i="10" s="1"/>
  <c r="N32" i="10" s="1"/>
  <c r="O32" i="10" s="1"/>
  <c r="P32" i="10" s="1"/>
  <c r="Q32" i="10" s="1"/>
  <c r="R32" i="10" s="1"/>
  <c r="S32" i="10" s="1"/>
  <c r="S12" i="6"/>
  <c r="H16" i="6"/>
  <c r="I16" i="6" s="1"/>
  <c r="J16" i="6" s="1"/>
  <c r="K16" i="6" s="1"/>
  <c r="L16" i="6" s="1"/>
  <c r="M16" i="6" s="1"/>
  <c r="N16" i="6" s="1"/>
  <c r="G31" i="6"/>
  <c r="H31" i="6" s="1"/>
  <c r="I31" i="6" s="1"/>
  <c r="AJ12" i="9"/>
  <c r="L12" i="10"/>
  <c r="T12" i="10"/>
  <c r="AB12" i="10"/>
  <c r="AJ12" i="10"/>
  <c r="T17" i="10"/>
  <c r="U17" i="10" s="1"/>
  <c r="V17" i="10" s="1"/>
  <c r="W17" i="10" s="1"/>
  <c r="X17" i="10" s="1"/>
  <c r="Y17" i="10" s="1"/>
  <c r="Z17" i="10" s="1"/>
  <c r="AA17" i="10" s="1"/>
  <c r="AB17" i="10" s="1"/>
  <c r="AC17" i="10" s="1"/>
  <c r="AD17" i="10" s="1"/>
  <c r="AE17" i="10" s="1"/>
  <c r="AF17" i="10" s="1"/>
  <c r="M28" i="5"/>
  <c r="N28" i="5" s="1"/>
  <c r="O28" i="5" s="1"/>
  <c r="P28" i="5" s="1"/>
  <c r="Q28" i="5" s="1"/>
  <c r="R28" i="5" s="1"/>
  <c r="S28" i="5" s="1"/>
  <c r="T28" i="5" s="1"/>
  <c r="U28" i="5" s="1"/>
  <c r="V28" i="5" s="1"/>
  <c r="W28" i="5" s="1"/>
  <c r="X28" i="5" s="1"/>
  <c r="Y28" i="5" s="1"/>
  <c r="N28" i="8"/>
  <c r="O28" i="8" s="1"/>
  <c r="P28" i="8" s="1"/>
  <c r="Q28" i="8" s="1"/>
  <c r="R28" i="8" s="1"/>
  <c r="S28" i="8" s="1"/>
  <c r="T28" i="8" s="1"/>
  <c r="I39" i="8"/>
  <c r="J39" i="8" s="1"/>
  <c r="K39" i="8" s="1"/>
  <c r="L39" i="8" s="1"/>
  <c r="M39" i="8" s="1"/>
  <c r="N39" i="8" s="1"/>
  <c r="O39" i="8" s="1"/>
  <c r="O12" i="9"/>
  <c r="AE12" i="9"/>
  <c r="G17" i="6"/>
  <c r="H17" i="6" s="1"/>
  <c r="I17" i="6" s="1"/>
  <c r="J17" i="6" s="1"/>
  <c r="K17" i="6" s="1"/>
  <c r="L17" i="6" s="1"/>
  <c r="M17" i="6" s="1"/>
  <c r="N17" i="6" s="1"/>
  <c r="O17" i="6" s="1"/>
  <c r="P17" i="6" s="1"/>
  <c r="Q17" i="6" s="1"/>
  <c r="R17" i="6" s="1"/>
  <c r="S17" i="6" s="1"/>
  <c r="T17" i="6" s="1"/>
  <c r="U17" i="6" s="1"/>
  <c r="V17" i="6" s="1"/>
  <c r="W17" i="6" s="1"/>
  <c r="X17" i="6" s="1"/>
  <c r="Y17" i="6" s="1"/>
  <c r="Z17" i="6" s="1"/>
  <c r="AA17" i="6" s="1"/>
  <c r="AB17" i="6" s="1"/>
  <c r="AC17" i="6" s="1"/>
  <c r="AD17" i="6" s="1"/>
  <c r="AE17" i="6" s="1"/>
  <c r="AF17" i="6" s="1"/>
  <c r="AG17" i="6" s="1"/>
  <c r="AH17" i="6" s="1"/>
  <c r="AI17" i="6" s="1"/>
  <c r="AJ17" i="6" s="1"/>
  <c r="AK17" i="6" s="1"/>
  <c r="AL17" i="6" s="1"/>
  <c r="AM17" i="6" s="1"/>
  <c r="AN17" i="6" s="1"/>
  <c r="L17" i="7"/>
  <c r="M17" i="7" s="1"/>
  <c r="N17" i="7" s="1"/>
  <c r="O17" i="7" s="1"/>
  <c r="P17" i="7" s="1"/>
  <c r="Q17" i="7" s="1"/>
  <c r="I28" i="4"/>
  <c r="J28" i="4" s="1"/>
  <c r="K28" i="4" s="1"/>
  <c r="L28" i="4" s="1"/>
  <c r="M28" i="4" s="1"/>
  <c r="N28" i="4" s="1"/>
  <c r="O28" i="4" s="1"/>
  <c r="P28" i="4" s="1"/>
  <c r="Q28" i="4" s="1"/>
  <c r="R28" i="4" s="1"/>
  <c r="S28" i="4" s="1"/>
  <c r="T28" i="4" s="1"/>
  <c r="G17" i="4"/>
  <c r="H17" i="4" s="1"/>
  <c r="I17" i="4" s="1"/>
  <c r="J17" i="4" s="1"/>
  <c r="F7" i="7"/>
  <c r="G6" i="7"/>
  <c r="N39" i="10"/>
  <c r="O39" i="10" s="1"/>
  <c r="P39" i="10" s="1"/>
  <c r="Q39" i="10" s="1"/>
  <c r="R39" i="10" s="1"/>
  <c r="S39" i="10" s="1"/>
  <c r="T39" i="10" s="1"/>
  <c r="U39" i="10" s="1"/>
  <c r="V39" i="10" s="1"/>
  <c r="W39" i="10" s="1"/>
  <c r="X39" i="10" s="1"/>
  <c r="Y39" i="10" s="1"/>
  <c r="Z39" i="10" s="1"/>
  <c r="AA39" i="10" s="1"/>
  <c r="AB39" i="10" s="1"/>
  <c r="AC39" i="10" s="1"/>
  <c r="AD39" i="10" s="1"/>
  <c r="AE39" i="10" s="1"/>
  <c r="AF39" i="10" s="1"/>
  <c r="AG39" i="10" s="1"/>
  <c r="AH39" i="10" s="1"/>
  <c r="AI39" i="10" s="1"/>
  <c r="AJ39" i="10" s="1"/>
  <c r="AK39" i="10" s="1"/>
  <c r="AL39" i="10" s="1"/>
  <c r="AM39" i="10" s="1"/>
  <c r="AN39" i="10" s="1"/>
  <c r="I32" i="6"/>
  <c r="J32" i="6" s="1"/>
  <c r="K32" i="6" s="1"/>
  <c r="L32" i="6" s="1"/>
  <c r="M32" i="6" s="1"/>
  <c r="I17" i="5"/>
  <c r="J17" i="5" s="1"/>
  <c r="K17" i="5" s="1"/>
  <c r="L17" i="5" s="1"/>
  <c r="M17" i="5" s="1"/>
  <c r="N17" i="5" s="1"/>
  <c r="O17" i="5" s="1"/>
  <c r="P17" i="5" s="1"/>
  <c r="Q17" i="5" s="1"/>
  <c r="R17" i="5" s="1"/>
  <c r="S17" i="5" s="1"/>
  <c r="T17" i="5" s="1"/>
  <c r="U17" i="5" s="1"/>
  <c r="V17" i="5" s="1"/>
  <c r="W17" i="5" s="1"/>
  <c r="X17" i="5" s="1"/>
  <c r="Y17" i="5" s="1"/>
  <c r="Z17" i="5" s="1"/>
  <c r="AA17" i="5" s="1"/>
  <c r="AB17" i="5" s="1"/>
  <c r="AC17" i="5" s="1"/>
  <c r="AD17" i="5" s="1"/>
  <c r="AE17" i="5" s="1"/>
  <c r="AF17" i="5" s="1"/>
  <c r="AG17" i="5" s="1"/>
  <c r="AH17" i="5" s="1"/>
  <c r="AI17" i="5" s="1"/>
  <c r="AJ17" i="5" s="1"/>
  <c r="AK17" i="5" s="1"/>
  <c r="AL17" i="5" s="1"/>
  <c r="AM17" i="5" s="1"/>
  <c r="AN17" i="5" s="1"/>
  <c r="K21" i="7"/>
  <c r="L21" i="7" s="1"/>
  <c r="M21" i="7" s="1"/>
  <c r="N21" i="7" s="1"/>
  <c r="O21" i="7" s="1"/>
  <c r="P21" i="7" s="1"/>
  <c r="Q21" i="7" s="1"/>
  <c r="AG40" i="10"/>
  <c r="AH40" i="10" s="1"/>
  <c r="AI40" i="10" s="1"/>
  <c r="AJ40" i="10" s="1"/>
  <c r="AK40" i="10" s="1"/>
  <c r="M33" i="10"/>
  <c r="N33" i="10" s="1"/>
  <c r="O33" i="10" s="1"/>
  <c r="P33" i="10" s="1"/>
  <c r="Q33" i="10" s="1"/>
  <c r="R33" i="10" s="1"/>
  <c r="S33" i="10" s="1"/>
  <c r="T33" i="10" s="1"/>
  <c r="U33" i="10" s="1"/>
  <c r="V33" i="10" s="1"/>
  <c r="W33" i="10" s="1"/>
  <c r="X33" i="10" s="1"/>
  <c r="Y33" i="10" s="1"/>
  <c r="Z33" i="10" s="1"/>
  <c r="AA33" i="10" s="1"/>
  <c r="AB33" i="10" s="1"/>
  <c r="AC33" i="10" s="1"/>
  <c r="AD33" i="10" s="1"/>
  <c r="AE33" i="10" s="1"/>
  <c r="AF33" i="10" s="1"/>
  <c r="AG33" i="10" s="1"/>
  <c r="AH33" i="10" s="1"/>
  <c r="AI33" i="10" s="1"/>
  <c r="AJ33" i="10" s="1"/>
  <c r="AK33" i="10" s="1"/>
  <c r="AL33" i="10" s="1"/>
  <c r="AM33" i="10" s="1"/>
  <c r="AN33" i="10" s="1"/>
  <c r="G31" i="7"/>
  <c r="H31" i="7" s="1"/>
  <c r="I31" i="7" s="1"/>
  <c r="J31" i="7" s="1"/>
  <c r="K31" i="7" s="1"/>
  <c r="L31" i="7" s="1"/>
  <c r="M31" i="7" s="1"/>
  <c r="N31" i="7" s="1"/>
  <c r="J27" i="7"/>
  <c r="K27" i="7" s="1"/>
  <c r="L27" i="7" s="1"/>
  <c r="M27" i="7" s="1"/>
  <c r="N27" i="7" s="1"/>
  <c r="O27" i="7" s="1"/>
  <c r="P27" i="7" s="1"/>
  <c r="G16" i="7"/>
  <c r="H16" i="7" s="1"/>
  <c r="I16" i="7" s="1"/>
  <c r="J16" i="7" s="1"/>
  <c r="F29" i="8"/>
  <c r="F11" i="7"/>
  <c r="F29" i="6"/>
  <c r="H12" i="9"/>
  <c r="X12" i="9"/>
  <c r="AF12" i="10"/>
  <c r="G52" i="9"/>
  <c r="K12" i="10"/>
  <c r="AA12" i="10"/>
  <c r="M12" i="6"/>
  <c r="U12" i="6"/>
  <c r="AC12" i="6"/>
  <c r="AK12" i="6"/>
  <c r="AG12" i="10"/>
  <c r="F52" i="8"/>
  <c r="Z12" i="9"/>
  <c r="M12" i="9"/>
  <c r="AC12" i="9"/>
  <c r="AH12" i="6"/>
  <c r="F12" i="9"/>
  <c r="N12" i="9"/>
  <c r="V12" i="9"/>
  <c r="AD12" i="9"/>
  <c r="AL12" i="9"/>
  <c r="F29" i="9"/>
  <c r="F47" i="4"/>
  <c r="F52" i="4" s="1"/>
  <c r="F12" i="5"/>
  <c r="N12" i="5"/>
  <c r="V12" i="5"/>
  <c r="AD12" i="5"/>
  <c r="AL12" i="5"/>
  <c r="T12" i="5"/>
  <c r="AJ12" i="5"/>
  <c r="J12" i="6"/>
  <c r="R12" i="6"/>
  <c r="Z12" i="6"/>
  <c r="F12" i="8"/>
  <c r="F47" i="9"/>
  <c r="F52" i="9" s="1"/>
  <c r="J12" i="10"/>
  <c r="Z12" i="10"/>
  <c r="P12" i="10"/>
  <c r="Q12" i="10"/>
  <c r="K12" i="6"/>
  <c r="AA12" i="6"/>
  <c r="AI12" i="6"/>
  <c r="J12" i="5"/>
  <c r="R12" i="5"/>
  <c r="Z12" i="5"/>
  <c r="AH12" i="5"/>
  <c r="F12" i="6"/>
  <c r="N12" i="6"/>
  <c r="V12" i="6"/>
  <c r="AD12" i="6"/>
  <c r="AL12" i="6"/>
  <c r="T12" i="6"/>
  <c r="AJ12" i="6"/>
  <c r="F11" i="2"/>
  <c r="G9" i="8"/>
  <c r="G11" i="8" s="1"/>
  <c r="G12" i="8" s="1"/>
  <c r="G12" i="6"/>
  <c r="O12" i="6"/>
  <c r="W12" i="6"/>
  <c r="AE12" i="6"/>
  <c r="AM12" i="6"/>
  <c r="I12" i="9"/>
  <c r="Y12" i="9"/>
  <c r="F23" i="10"/>
  <c r="J12" i="9"/>
  <c r="F29" i="10"/>
  <c r="K12" i="9"/>
  <c r="S12" i="9"/>
  <c r="AA12" i="9"/>
  <c r="AI12" i="9"/>
  <c r="Q12" i="9"/>
  <c r="AG12" i="9"/>
  <c r="F23" i="5"/>
  <c r="F7" i="2"/>
  <c r="R12" i="10"/>
  <c r="AH12" i="10"/>
  <c r="L12" i="5"/>
  <c r="AB12" i="5"/>
  <c r="G46" i="5"/>
  <c r="G47" i="5" s="1"/>
  <c r="G52" i="5" s="1"/>
  <c r="H12" i="6"/>
  <c r="P12" i="6"/>
  <c r="X12" i="6"/>
  <c r="AF12" i="6"/>
  <c r="M12" i="10"/>
  <c r="U12" i="10"/>
  <c r="AC12" i="10"/>
  <c r="AK12" i="10"/>
  <c r="S12" i="10"/>
  <c r="AI12" i="10"/>
  <c r="G24" i="10"/>
  <c r="G29" i="10" s="1"/>
  <c r="F52" i="10"/>
  <c r="G23" i="6"/>
  <c r="F23" i="4"/>
  <c r="F29" i="5"/>
  <c r="M12" i="5"/>
  <c r="AC12" i="5"/>
  <c r="I12" i="6"/>
  <c r="Q12" i="6"/>
  <c r="Y12" i="6"/>
  <c r="AG12" i="6"/>
  <c r="F52" i="6"/>
  <c r="G12" i="9"/>
  <c r="W12" i="9"/>
  <c r="AM12" i="9"/>
  <c r="U12" i="9"/>
  <c r="AK12" i="9"/>
  <c r="F12" i="10"/>
  <c r="N12" i="10"/>
  <c r="V12" i="10"/>
  <c r="AD12" i="10"/>
  <c r="AL12" i="10"/>
  <c r="G46" i="10"/>
  <c r="G47" i="10" s="1"/>
  <c r="G52" i="10" s="1"/>
  <c r="G12" i="10"/>
  <c r="O12" i="10"/>
  <c r="W12" i="10"/>
  <c r="AE12" i="10"/>
  <c r="AM12" i="10"/>
  <c r="G12" i="5"/>
  <c r="O12" i="5"/>
  <c r="W12" i="5"/>
  <c r="AE12" i="5"/>
  <c r="AM12" i="5"/>
  <c r="H12" i="10"/>
  <c r="X12" i="10"/>
  <c r="H12" i="5"/>
  <c r="P12" i="5"/>
  <c r="X12" i="5"/>
  <c r="AF12" i="5"/>
  <c r="L12" i="6"/>
  <c r="AB12" i="6"/>
  <c r="F43" i="7"/>
  <c r="G46" i="8"/>
  <c r="G47" i="8" s="1"/>
  <c r="G52" i="8" s="1"/>
  <c r="R12" i="9"/>
  <c r="AH12" i="9"/>
  <c r="P12" i="9"/>
  <c r="AF12" i="9"/>
  <c r="I12" i="10"/>
  <c r="Y12" i="10"/>
  <c r="F43" i="8"/>
  <c r="F36" i="7"/>
  <c r="G36" i="10"/>
  <c r="I14" i="10"/>
  <c r="H41" i="10"/>
  <c r="I41" i="10" s="1"/>
  <c r="J41" i="10" s="1"/>
  <c r="K41" i="10" s="1"/>
  <c r="L41" i="10" s="1"/>
  <c r="M41" i="10" s="1"/>
  <c r="N41" i="10" s="1"/>
  <c r="O41" i="10" s="1"/>
  <c r="P41" i="10" s="1"/>
  <c r="Q41" i="10" s="1"/>
  <c r="R41" i="10" s="1"/>
  <c r="S41" i="10" s="1"/>
  <c r="T41" i="10" s="1"/>
  <c r="U41" i="10" s="1"/>
  <c r="V41" i="10" s="1"/>
  <c r="W41" i="10" s="1"/>
  <c r="X41" i="10" s="1"/>
  <c r="Y41" i="10" s="1"/>
  <c r="Z41" i="10" s="1"/>
  <c r="AA41" i="10" s="1"/>
  <c r="AB41" i="10" s="1"/>
  <c r="AC41" i="10" s="1"/>
  <c r="AD41" i="10" s="1"/>
  <c r="AE41" i="10" s="1"/>
  <c r="AF41" i="10" s="1"/>
  <c r="AG41" i="10" s="1"/>
  <c r="AH41" i="10" s="1"/>
  <c r="AI41" i="10" s="1"/>
  <c r="AJ41" i="10" s="1"/>
  <c r="AK41" i="10" s="1"/>
  <c r="AL41" i="10" s="1"/>
  <c r="AM41" i="10" s="1"/>
  <c r="AN41" i="10" s="1"/>
  <c r="G20" i="10"/>
  <c r="F43" i="10"/>
  <c r="F44" i="10" s="1"/>
  <c r="F53" i="10" s="1"/>
  <c r="F36" i="10"/>
  <c r="H40" i="9"/>
  <c r="I40" i="9" s="1"/>
  <c r="J40" i="9" s="1"/>
  <c r="K40" i="9" s="1"/>
  <c r="L40" i="9" s="1"/>
  <c r="M40" i="9" s="1"/>
  <c r="N40" i="9" s="1"/>
  <c r="O40" i="9" s="1"/>
  <c r="P40" i="9" s="1"/>
  <c r="Q40" i="9" s="1"/>
  <c r="R40" i="9" s="1"/>
  <c r="S40" i="9" s="1"/>
  <c r="T40" i="9" s="1"/>
  <c r="U40" i="9" s="1"/>
  <c r="V40" i="9" s="1"/>
  <c r="W40" i="9" s="1"/>
  <c r="X40" i="9" s="1"/>
  <c r="Y40" i="9" s="1"/>
  <c r="Z40" i="9" s="1"/>
  <c r="AA40" i="9" s="1"/>
  <c r="AB40" i="9" s="1"/>
  <c r="AC40" i="9" s="1"/>
  <c r="AD40" i="9" s="1"/>
  <c r="AE40" i="9" s="1"/>
  <c r="AF40" i="9" s="1"/>
  <c r="AG40" i="9" s="1"/>
  <c r="AH40" i="9" s="1"/>
  <c r="AI40" i="9" s="1"/>
  <c r="AJ40" i="9" s="1"/>
  <c r="AK40" i="9" s="1"/>
  <c r="AL40" i="9" s="1"/>
  <c r="AM40" i="9" s="1"/>
  <c r="AN40" i="9" s="1"/>
  <c r="G23" i="9"/>
  <c r="H20" i="9"/>
  <c r="J41" i="9"/>
  <c r="H31" i="9"/>
  <c r="I31" i="9" s="1"/>
  <c r="G36" i="9"/>
  <c r="F23" i="9"/>
  <c r="F43" i="9"/>
  <c r="G24" i="9"/>
  <c r="G43" i="9" s="1"/>
  <c r="F36" i="9"/>
  <c r="H46" i="9"/>
  <c r="H41" i="8"/>
  <c r="H30" i="8"/>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AJ30" i="8" s="1"/>
  <c r="AK30" i="8" s="1"/>
  <c r="AL30" i="8" s="1"/>
  <c r="AM30" i="8" s="1"/>
  <c r="AN30" i="8" s="1"/>
  <c r="G36" i="8"/>
  <c r="I31" i="8"/>
  <c r="G24" i="8"/>
  <c r="F36" i="8"/>
  <c r="G23" i="7"/>
  <c r="H20" i="7"/>
  <c r="G11" i="7"/>
  <c r="H9" i="7"/>
  <c r="H28" i="7"/>
  <c r="G29" i="7"/>
  <c r="H46" i="7"/>
  <c r="G47" i="7"/>
  <c r="H30" i="7"/>
  <c r="F29" i="7"/>
  <c r="F23" i="7"/>
  <c r="L25" i="7"/>
  <c r="F47" i="7"/>
  <c r="F51" i="7"/>
  <c r="G49" i="7"/>
  <c r="G41" i="7"/>
  <c r="F36" i="2"/>
  <c r="G29" i="2"/>
  <c r="G23" i="2"/>
  <c r="G7" i="2"/>
  <c r="H6" i="2"/>
  <c r="I6" i="2" s="1"/>
  <c r="I23" i="2"/>
  <c r="G46" i="2"/>
  <c r="F23" i="2"/>
  <c r="F43" i="2"/>
  <c r="H23" i="2"/>
  <c r="F29" i="2"/>
  <c r="F51" i="2"/>
  <c r="F52" i="2" s="1"/>
  <c r="G49" i="2"/>
  <c r="F23" i="6"/>
  <c r="F43" i="6"/>
  <c r="G33" i="6"/>
  <c r="H33" i="6" s="1"/>
  <c r="I33" i="6" s="1"/>
  <c r="J33" i="6" s="1"/>
  <c r="H20" i="6"/>
  <c r="F36" i="6"/>
  <c r="H14" i="6"/>
  <c r="G24" i="6"/>
  <c r="G35" i="6"/>
  <c r="H35" i="6" s="1"/>
  <c r="I35" i="6" s="1"/>
  <c r="J35" i="6" s="1"/>
  <c r="K35" i="6" s="1"/>
  <c r="L35" i="6" s="1"/>
  <c r="M35" i="6" s="1"/>
  <c r="N35" i="6" s="1"/>
  <c r="O35" i="6" s="1"/>
  <c r="P35" i="6" s="1"/>
  <c r="Q35" i="6" s="1"/>
  <c r="R35" i="6" s="1"/>
  <c r="S35" i="6" s="1"/>
  <c r="T35" i="6" s="1"/>
  <c r="U35" i="6" s="1"/>
  <c r="V35" i="6" s="1"/>
  <c r="W35" i="6" s="1"/>
  <c r="X35" i="6" s="1"/>
  <c r="Y35" i="6" s="1"/>
  <c r="Z35" i="6" s="1"/>
  <c r="AA35" i="6" s="1"/>
  <c r="AB35" i="6" s="1"/>
  <c r="AC35" i="6" s="1"/>
  <c r="AD35" i="6" s="1"/>
  <c r="AE35" i="6" s="1"/>
  <c r="AF35" i="6" s="1"/>
  <c r="AG35" i="6" s="1"/>
  <c r="AH35" i="6" s="1"/>
  <c r="AI35" i="6" s="1"/>
  <c r="AJ35" i="6" s="1"/>
  <c r="AK35" i="6" s="1"/>
  <c r="AL35" i="6" s="1"/>
  <c r="AM35" i="6" s="1"/>
  <c r="AN35" i="6" s="1"/>
  <c r="G46" i="6"/>
  <c r="G36" i="5"/>
  <c r="H41" i="5"/>
  <c r="G24" i="5"/>
  <c r="F43" i="5"/>
  <c r="F44" i="5" s="1"/>
  <c r="F53" i="5" s="1"/>
  <c r="F36" i="5"/>
  <c r="F43" i="4"/>
  <c r="H24" i="4"/>
  <c r="G29" i="4"/>
  <c r="I46" i="4"/>
  <c r="H47" i="4"/>
  <c r="H52" i="4" s="1"/>
  <c r="H31" i="4"/>
  <c r="G36" i="4"/>
  <c r="H41" i="4"/>
  <c r="F36" i="4"/>
  <c r="G20" i="4"/>
  <c r="G40" i="4"/>
  <c r="H40" i="4" s="1"/>
  <c r="I40" i="4" s="1"/>
  <c r="J40" i="4" s="1"/>
  <c r="K40" i="4" s="1"/>
  <c r="L40" i="4" s="1"/>
  <c r="M40" i="4" s="1"/>
  <c r="N40" i="4" s="1"/>
  <c r="O40" i="4" s="1"/>
  <c r="P40" i="4" s="1"/>
  <c r="Q40" i="4" s="1"/>
  <c r="F29" i="4"/>
  <c r="G47" i="4"/>
  <c r="G52" i="4" s="1"/>
  <c r="T30" i="1"/>
  <c r="T20" i="1"/>
  <c r="T18" i="1"/>
  <c r="T17" i="1"/>
  <c r="T11" i="1"/>
  <c r="T9" i="1"/>
  <c r="T10" i="1"/>
  <c r="S28" i="1"/>
  <c r="S27" i="1"/>
  <c r="S26" i="1"/>
  <c r="S25" i="1"/>
  <c r="S24" i="1"/>
  <c r="S23" i="1"/>
  <c r="S22" i="1"/>
  <c r="S21" i="1"/>
  <c r="S20" i="1"/>
  <c r="S19" i="1"/>
  <c r="S38" i="1"/>
  <c r="S37" i="1"/>
  <c r="S36" i="1"/>
  <c r="S35" i="1"/>
  <c r="S34" i="1"/>
  <c r="S33" i="1"/>
  <c r="S32" i="1"/>
  <c r="S31" i="1"/>
  <c r="S30" i="1"/>
  <c r="S29" i="1"/>
  <c r="E51" i="10"/>
  <c r="E47" i="10"/>
  <c r="E43" i="10"/>
  <c r="E42" i="10"/>
  <c r="F42" i="10" s="1"/>
  <c r="G42" i="10" s="1"/>
  <c r="H42" i="10" s="1"/>
  <c r="I42" i="10" s="1"/>
  <c r="J42" i="10" s="1"/>
  <c r="K42" i="10" s="1"/>
  <c r="L42" i="10" s="1"/>
  <c r="M42" i="10" s="1"/>
  <c r="N42" i="10" s="1"/>
  <c r="AN38" i="10"/>
  <c r="E36" i="10"/>
  <c r="AN35" i="10"/>
  <c r="AN34" i="10"/>
  <c r="AN30" i="10"/>
  <c r="E29" i="10"/>
  <c r="AN28" i="10"/>
  <c r="E23" i="10"/>
  <c r="AN19" i="10"/>
  <c r="E11" i="10"/>
  <c r="E7" i="10"/>
  <c r="AN4" i="10"/>
  <c r="E51" i="9"/>
  <c r="E47" i="9"/>
  <c r="E43" i="9"/>
  <c r="E42" i="9"/>
  <c r="F42" i="9" s="1"/>
  <c r="G42" i="9" s="1"/>
  <c r="H42" i="9" s="1"/>
  <c r="I42" i="9" s="1"/>
  <c r="J42" i="9" s="1"/>
  <c r="K42" i="9" s="1"/>
  <c r="L42" i="9" s="1"/>
  <c r="M42" i="9" s="1"/>
  <c r="N42" i="9" s="1"/>
  <c r="O42" i="9" s="1"/>
  <c r="P42" i="9" s="1"/>
  <c r="Q42" i="9" s="1"/>
  <c r="R42" i="9" s="1"/>
  <c r="S42" i="9" s="1"/>
  <c r="T42" i="9" s="1"/>
  <c r="U42" i="9" s="1"/>
  <c r="V42" i="9" s="1"/>
  <c r="W42" i="9" s="1"/>
  <c r="X42" i="9" s="1"/>
  <c r="Y42" i="9" s="1"/>
  <c r="Z42" i="9" s="1"/>
  <c r="AA42" i="9" s="1"/>
  <c r="AB42" i="9" s="1"/>
  <c r="AC42" i="9" s="1"/>
  <c r="AD42" i="9" s="1"/>
  <c r="AE42" i="9" s="1"/>
  <c r="AF42" i="9" s="1"/>
  <c r="AG42" i="9" s="1"/>
  <c r="AH42" i="9" s="1"/>
  <c r="AI42" i="9" s="1"/>
  <c r="AJ42" i="9" s="1"/>
  <c r="AK42" i="9" s="1"/>
  <c r="AL42" i="9" s="1"/>
  <c r="AM42" i="9" s="1"/>
  <c r="AN42" i="9" s="1"/>
  <c r="AN39" i="9"/>
  <c r="AN38" i="9"/>
  <c r="E36" i="9"/>
  <c r="AN35" i="9"/>
  <c r="AN34" i="9"/>
  <c r="AN33" i="9"/>
  <c r="AN32" i="9"/>
  <c r="AN30" i="9"/>
  <c r="E29" i="9"/>
  <c r="AN28" i="9"/>
  <c r="E23" i="9"/>
  <c r="AN19" i="9"/>
  <c r="E11" i="9"/>
  <c r="E7" i="9"/>
  <c r="AN4" i="9"/>
  <c r="E51" i="8"/>
  <c r="E47" i="8"/>
  <c r="E43" i="8"/>
  <c r="E42" i="8"/>
  <c r="F42" i="8" s="1"/>
  <c r="G42" i="8" s="1"/>
  <c r="H42" i="8" s="1"/>
  <c r="I42" i="8" s="1"/>
  <c r="J42" i="8" s="1"/>
  <c r="K42" i="8" s="1"/>
  <c r="L42" i="8" s="1"/>
  <c r="M42" i="8" s="1"/>
  <c r="N42" i="8" s="1"/>
  <c r="O42" i="8" s="1"/>
  <c r="P42" i="8" s="1"/>
  <c r="Q42" i="8" s="1"/>
  <c r="R42" i="8" s="1"/>
  <c r="S42" i="8" s="1"/>
  <c r="T42" i="8" s="1"/>
  <c r="U42" i="8" s="1"/>
  <c r="V42" i="8" s="1"/>
  <c r="W42" i="8" s="1"/>
  <c r="X42" i="8" s="1"/>
  <c r="Y42" i="8" s="1"/>
  <c r="Z42" i="8" s="1"/>
  <c r="AA42" i="8" s="1"/>
  <c r="AB42" i="8" s="1"/>
  <c r="AC42" i="8" s="1"/>
  <c r="AD42" i="8" s="1"/>
  <c r="AE42" i="8" s="1"/>
  <c r="AF42" i="8" s="1"/>
  <c r="AG42" i="8" s="1"/>
  <c r="AH42" i="8" s="1"/>
  <c r="AI42" i="8" s="1"/>
  <c r="AJ42" i="8" s="1"/>
  <c r="AK42" i="8" s="1"/>
  <c r="AL42" i="8" s="1"/>
  <c r="AM42" i="8" s="1"/>
  <c r="AN42" i="8" s="1"/>
  <c r="AN40" i="8"/>
  <c r="AN38" i="8"/>
  <c r="E36" i="8"/>
  <c r="AN35" i="8"/>
  <c r="AN34" i="8"/>
  <c r="AN33" i="8"/>
  <c r="E29" i="8"/>
  <c r="E23" i="8"/>
  <c r="E11" i="8"/>
  <c r="E7" i="8"/>
  <c r="AN4" i="8"/>
  <c r="E51" i="7"/>
  <c r="AN50" i="7"/>
  <c r="E47" i="7"/>
  <c r="E43" i="7"/>
  <c r="E42" i="7"/>
  <c r="F42" i="7" s="1"/>
  <c r="G42" i="7" s="1"/>
  <c r="H42" i="7" s="1"/>
  <c r="I42" i="7" s="1"/>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AK42" i="7" s="1"/>
  <c r="AL42" i="7" s="1"/>
  <c r="AM42" i="7" s="1"/>
  <c r="AN42" i="7" s="1"/>
  <c r="AN40" i="7"/>
  <c r="AN39" i="7"/>
  <c r="AN38" i="7"/>
  <c r="AN37" i="7"/>
  <c r="E36" i="7"/>
  <c r="AN35" i="7"/>
  <c r="AN34" i="7"/>
  <c r="AN33" i="7"/>
  <c r="AN32" i="7"/>
  <c r="E29" i="7"/>
  <c r="AN26" i="7"/>
  <c r="E23" i="7"/>
  <c r="AN22" i="7"/>
  <c r="AN19" i="7"/>
  <c r="AN18" i="7"/>
  <c r="AN15" i="7"/>
  <c r="E11" i="7"/>
  <c r="AN10" i="7"/>
  <c r="E7" i="7"/>
  <c r="AN4" i="7"/>
  <c r="E47" i="6"/>
  <c r="E47" i="5"/>
  <c r="E47" i="2"/>
  <c r="E47" i="4"/>
  <c r="E51" i="6"/>
  <c r="E43" i="6"/>
  <c r="E42" i="6"/>
  <c r="F42" i="6" s="1"/>
  <c r="G42" i="6" s="1"/>
  <c r="H42" i="6" s="1"/>
  <c r="I42" i="6" s="1"/>
  <c r="J42" i="6" s="1"/>
  <c r="K42" i="6" s="1"/>
  <c r="L42" i="6" s="1"/>
  <c r="M42" i="6" s="1"/>
  <c r="N42" i="6" s="1"/>
  <c r="O42" i="6" s="1"/>
  <c r="P42" i="6" s="1"/>
  <c r="Q42" i="6" s="1"/>
  <c r="R42" i="6" s="1"/>
  <c r="S42" i="6" s="1"/>
  <c r="T42" i="6" s="1"/>
  <c r="U42" i="6" s="1"/>
  <c r="V42" i="6" s="1"/>
  <c r="W42" i="6" s="1"/>
  <c r="X42" i="6" s="1"/>
  <c r="Y42" i="6" s="1"/>
  <c r="Z42" i="6" s="1"/>
  <c r="AA42" i="6" s="1"/>
  <c r="AB42" i="6" s="1"/>
  <c r="AC42" i="6" s="1"/>
  <c r="AD42" i="6" s="1"/>
  <c r="AE42" i="6" s="1"/>
  <c r="AF42" i="6" s="1"/>
  <c r="AG42" i="6" s="1"/>
  <c r="AH42" i="6" s="1"/>
  <c r="AI42" i="6" s="1"/>
  <c r="AJ42" i="6" s="1"/>
  <c r="AK42" i="6" s="1"/>
  <c r="AL42" i="6" s="1"/>
  <c r="AM42" i="6" s="1"/>
  <c r="AN42" i="6" s="1"/>
  <c r="AN41" i="6"/>
  <c r="AN40" i="6"/>
  <c r="AN39" i="6"/>
  <c r="AN38" i="6"/>
  <c r="E36" i="6"/>
  <c r="AN34" i="6"/>
  <c r="AN30" i="6"/>
  <c r="E29" i="6"/>
  <c r="AN26" i="6"/>
  <c r="E23" i="6"/>
  <c r="AN19" i="6"/>
  <c r="E11" i="6"/>
  <c r="E7" i="6"/>
  <c r="AN4" i="6"/>
  <c r="E51" i="5"/>
  <c r="E43" i="5"/>
  <c r="E42" i="5"/>
  <c r="F42" i="5" s="1"/>
  <c r="G42" i="5" s="1"/>
  <c r="H42" i="5" s="1"/>
  <c r="I42" i="5" s="1"/>
  <c r="J42" i="5" s="1"/>
  <c r="K42" i="5" s="1"/>
  <c r="L42" i="5" s="1"/>
  <c r="M42" i="5" s="1"/>
  <c r="N42" i="5" s="1"/>
  <c r="O42" i="5" s="1"/>
  <c r="P42" i="5" s="1"/>
  <c r="Q42" i="5" s="1"/>
  <c r="R42" i="5" s="1"/>
  <c r="S42" i="5" s="1"/>
  <c r="T42" i="5" s="1"/>
  <c r="U42" i="5" s="1"/>
  <c r="V42" i="5" s="1"/>
  <c r="W42" i="5" s="1"/>
  <c r="X42" i="5" s="1"/>
  <c r="Y42" i="5" s="1"/>
  <c r="Z42" i="5" s="1"/>
  <c r="AA42" i="5" s="1"/>
  <c r="AB42" i="5" s="1"/>
  <c r="AC42" i="5" s="1"/>
  <c r="AD42" i="5" s="1"/>
  <c r="AE42" i="5" s="1"/>
  <c r="AF42" i="5" s="1"/>
  <c r="AG42" i="5" s="1"/>
  <c r="AH42" i="5" s="1"/>
  <c r="AI42" i="5" s="1"/>
  <c r="AJ42" i="5" s="1"/>
  <c r="AK42" i="5" s="1"/>
  <c r="AL42" i="5" s="1"/>
  <c r="AM42" i="5" s="1"/>
  <c r="AN42" i="5" s="1"/>
  <c r="AN40" i="5"/>
  <c r="AN39" i="5"/>
  <c r="AN38" i="5"/>
  <c r="E36" i="5"/>
  <c r="AN35" i="5"/>
  <c r="AN34" i="5"/>
  <c r="AN33" i="5"/>
  <c r="AN32" i="5"/>
  <c r="AN30" i="5"/>
  <c r="E29" i="5"/>
  <c r="AN27" i="5"/>
  <c r="AN26" i="5"/>
  <c r="E23" i="5"/>
  <c r="AN19" i="5"/>
  <c r="E11" i="5"/>
  <c r="E7" i="5"/>
  <c r="AN4" i="5"/>
  <c r="Q51" i="4"/>
  <c r="E51" i="4"/>
  <c r="R51" i="4"/>
  <c r="E43" i="4"/>
  <c r="E42" i="4"/>
  <c r="F42" i="4" s="1"/>
  <c r="G42" i="4" s="1"/>
  <c r="H42" i="4" s="1"/>
  <c r="I42" i="4" s="1"/>
  <c r="J42" i="4" s="1"/>
  <c r="K42" i="4" s="1"/>
  <c r="L42" i="4" s="1"/>
  <c r="M42" i="4" s="1"/>
  <c r="N42" i="4" s="1"/>
  <c r="O42" i="4" s="1"/>
  <c r="P42" i="4" s="1"/>
  <c r="Q42" i="4" s="1"/>
  <c r="R42" i="4" s="1"/>
  <c r="S42" i="4" s="1"/>
  <c r="T42" i="4" s="1"/>
  <c r="U42" i="4" s="1"/>
  <c r="V42" i="4" s="1"/>
  <c r="W42" i="4" s="1"/>
  <c r="X42" i="4" s="1"/>
  <c r="Y42" i="4" s="1"/>
  <c r="Z42" i="4" s="1"/>
  <c r="AA42" i="4" s="1"/>
  <c r="AB42" i="4" s="1"/>
  <c r="AC42" i="4" s="1"/>
  <c r="AD42" i="4" s="1"/>
  <c r="AE42" i="4" s="1"/>
  <c r="AF42" i="4" s="1"/>
  <c r="AG42" i="4" s="1"/>
  <c r="AH42" i="4" s="1"/>
  <c r="AI42" i="4" s="1"/>
  <c r="AJ42" i="4" s="1"/>
  <c r="AK42" i="4" s="1"/>
  <c r="AL42" i="4" s="1"/>
  <c r="AM42" i="4" s="1"/>
  <c r="AN42" i="4" s="1"/>
  <c r="Q39" i="4"/>
  <c r="R39" i="4" s="1"/>
  <c r="S39" i="4" s="1"/>
  <c r="T39" i="4" s="1"/>
  <c r="U39" i="4" s="1"/>
  <c r="V39" i="4" s="1"/>
  <c r="W39" i="4" s="1"/>
  <c r="X39" i="4" s="1"/>
  <c r="Y39" i="4" s="1"/>
  <c r="Z39" i="4" s="1"/>
  <c r="AA39" i="4" s="1"/>
  <c r="AB39" i="4" s="1"/>
  <c r="AC39" i="4" s="1"/>
  <c r="AD39" i="4" s="1"/>
  <c r="AE39" i="4" s="1"/>
  <c r="AF39" i="4" s="1"/>
  <c r="AG39" i="4" s="1"/>
  <c r="AH39" i="4" s="1"/>
  <c r="AI39" i="4" s="1"/>
  <c r="AJ39" i="4" s="1"/>
  <c r="AK39" i="4" s="1"/>
  <c r="AL39" i="4" s="1"/>
  <c r="AM39" i="4" s="1"/>
  <c r="AN39" i="4" s="1"/>
  <c r="Q38" i="4"/>
  <c r="R38" i="4" s="1"/>
  <c r="S38" i="4" s="1"/>
  <c r="T38" i="4" s="1"/>
  <c r="U38" i="4" s="1"/>
  <c r="V38" i="4" s="1"/>
  <c r="W38" i="4" s="1"/>
  <c r="X38" i="4" s="1"/>
  <c r="Y38" i="4" s="1"/>
  <c r="Z38" i="4" s="1"/>
  <c r="AA38" i="4" s="1"/>
  <c r="AB38" i="4" s="1"/>
  <c r="AC38" i="4" s="1"/>
  <c r="AD38" i="4" s="1"/>
  <c r="AE38" i="4" s="1"/>
  <c r="AF38" i="4" s="1"/>
  <c r="AG38" i="4" s="1"/>
  <c r="AH38" i="4" s="1"/>
  <c r="AI38" i="4" s="1"/>
  <c r="AJ38" i="4" s="1"/>
  <c r="AK38" i="4" s="1"/>
  <c r="AL38" i="4" s="1"/>
  <c r="AM38" i="4" s="1"/>
  <c r="AN38" i="4" s="1"/>
  <c r="E36" i="4"/>
  <c r="Q30" i="4"/>
  <c r="R30" i="4" s="1"/>
  <c r="S30" i="4" s="1"/>
  <c r="T30" i="4" s="1"/>
  <c r="U30" i="4" s="1"/>
  <c r="V30" i="4" s="1"/>
  <c r="W30" i="4" s="1"/>
  <c r="X30" i="4" s="1"/>
  <c r="Y30" i="4" s="1"/>
  <c r="Z30" i="4" s="1"/>
  <c r="AA30" i="4" s="1"/>
  <c r="AB30" i="4" s="1"/>
  <c r="AC30" i="4" s="1"/>
  <c r="AD30" i="4" s="1"/>
  <c r="AE30" i="4" s="1"/>
  <c r="AF30" i="4" s="1"/>
  <c r="AG30" i="4" s="1"/>
  <c r="AH30" i="4" s="1"/>
  <c r="AI30" i="4" s="1"/>
  <c r="AJ30" i="4" s="1"/>
  <c r="AK30" i="4" s="1"/>
  <c r="AL30" i="4" s="1"/>
  <c r="AM30" i="4" s="1"/>
  <c r="AN30" i="4" s="1"/>
  <c r="E29" i="4"/>
  <c r="Q27" i="4"/>
  <c r="R27" i="4" s="1"/>
  <c r="S27" i="4" s="1"/>
  <c r="T27" i="4" s="1"/>
  <c r="U27" i="4" s="1"/>
  <c r="V27" i="4" s="1"/>
  <c r="W27" i="4" s="1"/>
  <c r="X27" i="4" s="1"/>
  <c r="Y27" i="4" s="1"/>
  <c r="Z27" i="4" s="1"/>
  <c r="AA27" i="4" s="1"/>
  <c r="AB27" i="4" s="1"/>
  <c r="AC27" i="4" s="1"/>
  <c r="AD27" i="4" s="1"/>
  <c r="AE27" i="4" s="1"/>
  <c r="AF27" i="4" s="1"/>
  <c r="AG27" i="4" s="1"/>
  <c r="AH27" i="4" s="1"/>
  <c r="AI27" i="4" s="1"/>
  <c r="AJ27" i="4" s="1"/>
  <c r="AK27" i="4" s="1"/>
  <c r="AL27" i="4" s="1"/>
  <c r="AM27" i="4" s="1"/>
  <c r="AN27" i="4" s="1"/>
  <c r="Q26" i="4"/>
  <c r="R26" i="4" s="1"/>
  <c r="S26" i="4" s="1"/>
  <c r="T26" i="4" s="1"/>
  <c r="U26" i="4" s="1"/>
  <c r="V26" i="4" s="1"/>
  <c r="W26" i="4" s="1"/>
  <c r="X26" i="4" s="1"/>
  <c r="Y26" i="4" s="1"/>
  <c r="Z26" i="4" s="1"/>
  <c r="AA26" i="4" s="1"/>
  <c r="AB26" i="4" s="1"/>
  <c r="AC26" i="4" s="1"/>
  <c r="AD26" i="4" s="1"/>
  <c r="AE26" i="4" s="1"/>
  <c r="AF26" i="4" s="1"/>
  <c r="AG26" i="4" s="1"/>
  <c r="AH26" i="4" s="1"/>
  <c r="AI26" i="4" s="1"/>
  <c r="AJ26" i="4" s="1"/>
  <c r="AK26" i="4" s="1"/>
  <c r="AL26" i="4" s="1"/>
  <c r="AM26" i="4" s="1"/>
  <c r="AN26" i="4" s="1"/>
  <c r="E23" i="4"/>
  <c r="Q19" i="4"/>
  <c r="R19" i="4" s="1"/>
  <c r="S19" i="4" s="1"/>
  <c r="T19" i="4" s="1"/>
  <c r="U19" i="4" s="1"/>
  <c r="V19" i="4" s="1"/>
  <c r="W19" i="4" s="1"/>
  <c r="X19" i="4" s="1"/>
  <c r="Y19" i="4" s="1"/>
  <c r="Z19" i="4" s="1"/>
  <c r="AA19" i="4" s="1"/>
  <c r="AB19" i="4" s="1"/>
  <c r="AC19" i="4" s="1"/>
  <c r="AD19" i="4" s="1"/>
  <c r="AE19" i="4" s="1"/>
  <c r="AF19" i="4" s="1"/>
  <c r="AG19" i="4" s="1"/>
  <c r="AH19" i="4" s="1"/>
  <c r="AI19" i="4" s="1"/>
  <c r="AJ19" i="4" s="1"/>
  <c r="AK19" i="4" s="1"/>
  <c r="AL19" i="4" s="1"/>
  <c r="AM19" i="4" s="1"/>
  <c r="AN19" i="4" s="1"/>
  <c r="Q18" i="4"/>
  <c r="R18" i="4" s="1"/>
  <c r="S18" i="4" s="1"/>
  <c r="T18" i="4" s="1"/>
  <c r="U18" i="4" s="1"/>
  <c r="V18" i="4" s="1"/>
  <c r="W18" i="4" s="1"/>
  <c r="X18" i="4" s="1"/>
  <c r="Y18" i="4" s="1"/>
  <c r="Z18" i="4" s="1"/>
  <c r="AA18" i="4" s="1"/>
  <c r="AB18" i="4" s="1"/>
  <c r="AC18" i="4" s="1"/>
  <c r="AD18" i="4" s="1"/>
  <c r="AE18" i="4" s="1"/>
  <c r="AF18" i="4" s="1"/>
  <c r="AG18" i="4" s="1"/>
  <c r="AH18" i="4" s="1"/>
  <c r="AI18" i="4" s="1"/>
  <c r="AJ18" i="4" s="1"/>
  <c r="AK18" i="4" s="1"/>
  <c r="AL18" i="4" s="1"/>
  <c r="AM18" i="4" s="1"/>
  <c r="AN18" i="4" s="1"/>
  <c r="Q11" i="4"/>
  <c r="P11" i="4"/>
  <c r="O11" i="4"/>
  <c r="N11" i="4"/>
  <c r="M11" i="4"/>
  <c r="L11" i="4"/>
  <c r="K11" i="4"/>
  <c r="J11" i="4"/>
  <c r="I11" i="4"/>
  <c r="H11" i="4"/>
  <c r="G11" i="4"/>
  <c r="F11" i="4"/>
  <c r="E11" i="4"/>
  <c r="R11" i="4"/>
  <c r="P7" i="4"/>
  <c r="O7" i="4"/>
  <c r="N7" i="4"/>
  <c r="M7" i="4"/>
  <c r="L7" i="4"/>
  <c r="K7" i="4"/>
  <c r="J7" i="4"/>
  <c r="I7" i="4"/>
  <c r="H7" i="4"/>
  <c r="G7" i="4"/>
  <c r="F7" i="4"/>
  <c r="E7" i="4"/>
  <c r="Q7" i="4"/>
  <c r="F4" i="4"/>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I4" i="4" s="1"/>
  <c r="AJ4" i="4" s="1"/>
  <c r="AK4" i="4" s="1"/>
  <c r="AL4" i="4" s="1"/>
  <c r="AM4" i="4" s="1"/>
  <c r="AN4" i="4" s="1"/>
  <c r="T6" i="1"/>
  <c r="T8" i="1" s="1"/>
  <c r="T5" i="1"/>
  <c r="T7" i="1" s="1"/>
  <c r="AN10" i="2"/>
  <c r="AN4" i="2"/>
  <c r="E7" i="2"/>
  <c r="E11" i="2"/>
  <c r="E23" i="2"/>
  <c r="E29" i="2"/>
  <c r="E36" i="2"/>
  <c r="E42" i="2"/>
  <c r="F42" i="2" s="1"/>
  <c r="G42" i="2" s="1"/>
  <c r="H42" i="2" s="1"/>
  <c r="I42" i="2" s="1"/>
  <c r="J42" i="2" s="1"/>
  <c r="K42" i="2" s="1"/>
  <c r="L42" i="2" s="1"/>
  <c r="M42" i="2" s="1"/>
  <c r="N42" i="2" s="1"/>
  <c r="O42" i="2" s="1"/>
  <c r="P42" i="2" s="1"/>
  <c r="Q42" i="2" s="1"/>
  <c r="R42" i="2" s="1"/>
  <c r="S42" i="2" s="1"/>
  <c r="T42" i="2" s="1"/>
  <c r="U42" i="2" s="1"/>
  <c r="V42" i="2" s="1"/>
  <c r="W42" i="2" s="1"/>
  <c r="X42" i="2" s="1"/>
  <c r="Y42" i="2" s="1"/>
  <c r="Z42" i="2" s="1"/>
  <c r="AA42" i="2" s="1"/>
  <c r="AB42" i="2" s="1"/>
  <c r="AC42" i="2" s="1"/>
  <c r="AD42" i="2" s="1"/>
  <c r="AE42" i="2" s="1"/>
  <c r="AF42" i="2" s="1"/>
  <c r="AG42" i="2" s="1"/>
  <c r="AH42" i="2" s="1"/>
  <c r="AI42" i="2" s="1"/>
  <c r="AJ42" i="2" s="1"/>
  <c r="AK42" i="2" s="1"/>
  <c r="AL42" i="2" s="1"/>
  <c r="AM42" i="2" s="1"/>
  <c r="AN42" i="2" s="1"/>
  <c r="E43" i="2"/>
  <c r="E51" i="2"/>
  <c r="G36" i="7" l="1"/>
  <c r="F44" i="9"/>
  <c r="H46" i="5"/>
  <c r="H24" i="10"/>
  <c r="I24" i="10" s="1"/>
  <c r="H36" i="8"/>
  <c r="Q12" i="4"/>
  <c r="F12" i="7"/>
  <c r="F44" i="7" s="1"/>
  <c r="O16" i="6"/>
  <c r="P16" i="6" s="1"/>
  <c r="Q16" i="6" s="1"/>
  <c r="R16" i="6" s="1"/>
  <c r="P16" i="5"/>
  <c r="Q16" i="5" s="1"/>
  <c r="R16" i="5" s="1"/>
  <c r="S16" i="5" s="1"/>
  <c r="T16" i="5" s="1"/>
  <c r="U16" i="5" s="1"/>
  <c r="AL40" i="10"/>
  <c r="AM40" i="10" s="1"/>
  <c r="AN40" i="10" s="1"/>
  <c r="R17" i="7"/>
  <c r="S17" i="7" s="1"/>
  <c r="T17" i="7" s="1"/>
  <c r="U17" i="7" s="1"/>
  <c r="V17" i="7" s="1"/>
  <c r="W17" i="7" s="1"/>
  <c r="U28" i="8"/>
  <c r="V28" i="8" s="1"/>
  <c r="W28" i="8" s="1"/>
  <c r="X28" i="8" s="1"/>
  <c r="Y28" i="8" s="1"/>
  <c r="T32" i="10"/>
  <c r="U32" i="10" s="1"/>
  <c r="V32" i="10" s="1"/>
  <c r="W32" i="10" s="1"/>
  <c r="X32" i="10" s="1"/>
  <c r="Y32" i="10" s="1"/>
  <c r="R28" i="6"/>
  <c r="S28" i="6" s="1"/>
  <c r="T28" i="6" s="1"/>
  <c r="U28" i="6" s="1"/>
  <c r="V28" i="6" s="1"/>
  <c r="W28" i="6" s="1"/>
  <c r="X28" i="6" s="1"/>
  <c r="Y28" i="6" s="1"/>
  <c r="Z28" i="6" s="1"/>
  <c r="O42" i="10"/>
  <c r="P42" i="10" s="1"/>
  <c r="Q42" i="10" s="1"/>
  <c r="R42" i="10" s="1"/>
  <c r="S42" i="10" s="1"/>
  <c r="T42" i="10" s="1"/>
  <c r="U42" i="10" s="1"/>
  <c r="V42" i="10" s="1"/>
  <c r="W42" i="10" s="1"/>
  <c r="X42" i="10" s="1"/>
  <c r="Y42" i="10" s="1"/>
  <c r="Z42" i="10" s="1"/>
  <c r="AA42" i="10" s="1"/>
  <c r="AB42" i="10" s="1"/>
  <c r="AC42" i="10" s="1"/>
  <c r="AD42" i="10" s="1"/>
  <c r="AE42" i="10" s="1"/>
  <c r="AF42" i="10" s="1"/>
  <c r="AG42" i="10" s="1"/>
  <c r="AH42" i="10" s="1"/>
  <c r="AI42" i="10" s="1"/>
  <c r="AJ42" i="10" s="1"/>
  <c r="AK42" i="10" s="1"/>
  <c r="AL42" i="10" s="1"/>
  <c r="AM42" i="10" s="1"/>
  <c r="AN42" i="10" s="1"/>
  <c r="K33" i="6"/>
  <c r="L33" i="6" s="1"/>
  <c r="M33" i="6" s="1"/>
  <c r="N33" i="6" s="1"/>
  <c r="O33" i="6" s="1"/>
  <c r="P33" i="6" s="1"/>
  <c r="Q33" i="6" s="1"/>
  <c r="R33" i="6" s="1"/>
  <c r="S33" i="6" s="1"/>
  <c r="T33" i="6" s="1"/>
  <c r="U33" i="6" s="1"/>
  <c r="V33" i="6" s="1"/>
  <c r="W33" i="6" s="1"/>
  <c r="X33" i="6" s="1"/>
  <c r="Y33" i="6" s="1"/>
  <c r="Z33" i="6" s="1"/>
  <c r="AA33" i="6" s="1"/>
  <c r="AB33" i="6" s="1"/>
  <c r="AC33" i="6" s="1"/>
  <c r="AD33" i="6" s="1"/>
  <c r="AE33" i="6" s="1"/>
  <c r="AF33" i="6" s="1"/>
  <c r="AG33" i="6" s="1"/>
  <c r="AH33" i="6" s="1"/>
  <c r="AI33" i="6" s="1"/>
  <c r="AJ33" i="6" s="1"/>
  <c r="AK33" i="6" s="1"/>
  <c r="AL33" i="6" s="1"/>
  <c r="AM33" i="6" s="1"/>
  <c r="AN33" i="6" s="1"/>
  <c r="R21" i="7"/>
  <c r="S21" i="7" s="1"/>
  <c r="T21" i="7" s="1"/>
  <c r="U21" i="7" s="1"/>
  <c r="V21" i="7" s="1"/>
  <c r="W21" i="7" s="1"/>
  <c r="X21" i="7" s="1"/>
  <c r="Z28" i="5"/>
  <c r="AA28" i="5" s="1"/>
  <c r="AB28" i="5" s="1"/>
  <c r="AC28" i="5" s="1"/>
  <c r="AD28" i="5" s="1"/>
  <c r="AE28" i="5" s="1"/>
  <c r="AF28" i="5" s="1"/>
  <c r="O16" i="10"/>
  <c r="P16" i="10" s="1"/>
  <c r="Q16" i="10" s="1"/>
  <c r="R16" i="10" s="1"/>
  <c r="S16" i="10" s="1"/>
  <c r="T16" i="10" s="1"/>
  <c r="U16" i="10" s="1"/>
  <c r="V16" i="10" s="1"/>
  <c r="W16" i="10" s="1"/>
  <c r="X16" i="9"/>
  <c r="Y16" i="9" s="1"/>
  <c r="Z16" i="9" s="1"/>
  <c r="AA16" i="9" s="1"/>
  <c r="AB16" i="9" s="1"/>
  <c r="AC16" i="9" s="1"/>
  <c r="AD16" i="9" s="1"/>
  <c r="AE16" i="9" s="1"/>
  <c r="E12" i="10"/>
  <c r="F12" i="2"/>
  <c r="K17" i="4"/>
  <c r="L17" i="4" s="1"/>
  <c r="M17" i="4" s="1"/>
  <c r="N17" i="4" s="1"/>
  <c r="O17" i="4" s="1"/>
  <c r="P17" i="4" s="1"/>
  <c r="Q17" i="4" s="1"/>
  <c r="AG17" i="10"/>
  <c r="AH17" i="10" s="1"/>
  <c r="AI17" i="10" s="1"/>
  <c r="AJ17" i="10" s="1"/>
  <c r="AK17" i="10" s="1"/>
  <c r="AL17" i="10" s="1"/>
  <c r="AM17" i="10" s="1"/>
  <c r="AN17" i="10" s="1"/>
  <c r="S17" i="9"/>
  <c r="T17" i="9" s="1"/>
  <c r="U17" i="9" s="1"/>
  <c r="V17" i="9" s="1"/>
  <c r="W17" i="9" s="1"/>
  <c r="X17" i="9" s="1"/>
  <c r="Y17" i="9" s="1"/>
  <c r="Z17" i="9" s="1"/>
  <c r="AA17" i="9" s="1"/>
  <c r="AB17" i="9" s="1"/>
  <c r="N32" i="6"/>
  <c r="O32" i="6" s="1"/>
  <c r="P32" i="6" s="1"/>
  <c r="Q32" i="6" s="1"/>
  <c r="R32" i="6" s="1"/>
  <c r="S32" i="6" s="1"/>
  <c r="T32" i="6" s="1"/>
  <c r="P39" i="8"/>
  <c r="Q39" i="8" s="1"/>
  <c r="R39" i="8" s="1"/>
  <c r="S39" i="8" s="1"/>
  <c r="T39" i="8" s="1"/>
  <c r="U39" i="8" s="1"/>
  <c r="V39" i="8" s="1"/>
  <c r="O17" i="8"/>
  <c r="P17" i="8" s="1"/>
  <c r="Q17" i="8" s="1"/>
  <c r="R17" i="8" s="1"/>
  <c r="N16" i="8"/>
  <c r="O16" i="8" s="1"/>
  <c r="P16" i="8" s="1"/>
  <c r="Q16" i="8" s="1"/>
  <c r="R16" i="8" s="1"/>
  <c r="U28" i="4"/>
  <c r="V28" i="4" s="1"/>
  <c r="W28" i="4" s="1"/>
  <c r="X28" i="4" s="1"/>
  <c r="Y28" i="4" s="1"/>
  <c r="Z28" i="4" s="1"/>
  <c r="AA28" i="4" s="1"/>
  <c r="Q27" i="7"/>
  <c r="R27" i="7" s="1"/>
  <c r="S27" i="7" s="1"/>
  <c r="T27" i="7" s="1"/>
  <c r="U27" i="7" s="1"/>
  <c r="V27" i="7" s="1"/>
  <c r="K16" i="7"/>
  <c r="L16" i="7" s="1"/>
  <c r="M16" i="7" s="1"/>
  <c r="N16" i="7" s="1"/>
  <c r="F44" i="8"/>
  <c r="F53" i="8" s="1"/>
  <c r="N15" i="2"/>
  <c r="O15" i="2" s="1"/>
  <c r="P15" i="2" s="1"/>
  <c r="Q15" i="2" s="1"/>
  <c r="H46" i="10"/>
  <c r="I46" i="10" s="1"/>
  <c r="G43" i="5"/>
  <c r="G44" i="5" s="1"/>
  <c r="G53" i="5" s="1"/>
  <c r="F44" i="6"/>
  <c r="F53" i="6" s="1"/>
  <c r="H9" i="8"/>
  <c r="H11" i="8" s="1"/>
  <c r="H12" i="8" s="1"/>
  <c r="H46" i="8"/>
  <c r="E52" i="5"/>
  <c r="G44" i="9"/>
  <c r="G53" i="9" s="1"/>
  <c r="F53" i="9"/>
  <c r="E52" i="6"/>
  <c r="E52" i="4"/>
  <c r="E12" i="4"/>
  <c r="E44" i="4" s="1"/>
  <c r="M12" i="4"/>
  <c r="G36" i="6"/>
  <c r="F12" i="4"/>
  <c r="F44" i="4" s="1"/>
  <c r="F53" i="4" s="1"/>
  <c r="E52" i="7"/>
  <c r="G43" i="6"/>
  <c r="G44" i="6" s="1"/>
  <c r="J12" i="4"/>
  <c r="H29" i="10"/>
  <c r="G23" i="10"/>
  <c r="H20" i="10"/>
  <c r="H43" i="10" s="1"/>
  <c r="H44" i="10" s="1"/>
  <c r="G43" i="10"/>
  <c r="G44" i="10" s="1"/>
  <c r="G53" i="10" s="1"/>
  <c r="J14" i="10"/>
  <c r="I31" i="10"/>
  <c r="H36" i="10"/>
  <c r="H47" i="9"/>
  <c r="H52" i="9" s="1"/>
  <c r="I46" i="9"/>
  <c r="G29" i="9"/>
  <c r="H24" i="9"/>
  <c r="H36" i="9"/>
  <c r="K41" i="9"/>
  <c r="H23" i="9"/>
  <c r="I20" i="9"/>
  <c r="H47" i="8"/>
  <c r="H52" i="8" s="1"/>
  <c r="I46" i="8"/>
  <c r="G29" i="8"/>
  <c r="H24" i="8"/>
  <c r="H43" i="8" s="1"/>
  <c r="I41" i="8"/>
  <c r="E12" i="8"/>
  <c r="E44" i="8" s="1"/>
  <c r="J31" i="8"/>
  <c r="K31" i="8" s="1"/>
  <c r="I36" i="8"/>
  <c r="G43" i="8"/>
  <c r="G44" i="8" s="1"/>
  <c r="G53" i="8" s="1"/>
  <c r="O31" i="7"/>
  <c r="H6" i="7"/>
  <c r="G7" i="7"/>
  <c r="G12" i="7" s="1"/>
  <c r="G43" i="7"/>
  <c r="H41" i="7"/>
  <c r="G51" i="7"/>
  <c r="G52" i="7" s="1"/>
  <c r="H49" i="7"/>
  <c r="I30" i="7"/>
  <c r="H36" i="7"/>
  <c r="E12" i="7"/>
  <c r="F52" i="7"/>
  <c r="H47" i="7"/>
  <c r="I46" i="7"/>
  <c r="M25" i="7"/>
  <c r="I28" i="7"/>
  <c r="H29" i="7"/>
  <c r="I9" i="7"/>
  <c r="H11" i="7"/>
  <c r="H23" i="7"/>
  <c r="I20" i="7"/>
  <c r="G36" i="2"/>
  <c r="G11" i="2"/>
  <c r="G12" i="2" s="1"/>
  <c r="G47" i="2"/>
  <c r="H46" i="2"/>
  <c r="F44" i="2"/>
  <c r="F53" i="2" s="1"/>
  <c r="J23" i="2"/>
  <c r="G43" i="2"/>
  <c r="H7" i="2"/>
  <c r="G51" i="2"/>
  <c r="H49" i="2"/>
  <c r="H29" i="2"/>
  <c r="H23" i="6"/>
  <c r="I20" i="6"/>
  <c r="I14" i="6"/>
  <c r="G29" i="6"/>
  <c r="H24" i="6"/>
  <c r="G47" i="6"/>
  <c r="G52" i="6" s="1"/>
  <c r="H46" i="6"/>
  <c r="H36" i="6"/>
  <c r="I36" i="6"/>
  <c r="J31" i="6"/>
  <c r="I41" i="5"/>
  <c r="G23" i="5"/>
  <c r="H47" i="5"/>
  <c r="H52" i="5" s="1"/>
  <c r="I46" i="5"/>
  <c r="G29" i="5"/>
  <c r="H24" i="5"/>
  <c r="H36" i="5"/>
  <c r="R40" i="4"/>
  <c r="S40" i="4" s="1"/>
  <c r="T40" i="4" s="1"/>
  <c r="U40" i="4" s="1"/>
  <c r="V40" i="4" s="1"/>
  <c r="W40" i="4" s="1"/>
  <c r="X40" i="4" s="1"/>
  <c r="Y40" i="4" s="1"/>
  <c r="Z40" i="4" s="1"/>
  <c r="AA40" i="4" s="1"/>
  <c r="AB40" i="4" s="1"/>
  <c r="AC40" i="4" s="1"/>
  <c r="AD40" i="4" s="1"/>
  <c r="AE40" i="4" s="1"/>
  <c r="AF40" i="4" s="1"/>
  <c r="AG40" i="4" s="1"/>
  <c r="AH40" i="4" s="1"/>
  <c r="AI40" i="4" s="1"/>
  <c r="AJ40" i="4" s="1"/>
  <c r="AK40" i="4" s="1"/>
  <c r="AL40" i="4" s="1"/>
  <c r="AM40" i="4" s="1"/>
  <c r="AN40" i="4" s="1"/>
  <c r="H20" i="4"/>
  <c r="H43" i="4" s="1"/>
  <c r="G23" i="4"/>
  <c r="I41" i="4"/>
  <c r="I31" i="4"/>
  <c r="H36" i="4"/>
  <c r="J46" i="4"/>
  <c r="I47" i="4"/>
  <c r="I52" i="4" s="1"/>
  <c r="I24" i="4"/>
  <c r="H29" i="4"/>
  <c r="G43" i="4"/>
  <c r="E52" i="8"/>
  <c r="E52" i="9"/>
  <c r="E52" i="10"/>
  <c r="E44" i="10"/>
  <c r="E12" i="9"/>
  <c r="E44" i="9" s="1"/>
  <c r="E44" i="7"/>
  <c r="E53" i="7" s="1"/>
  <c r="T28" i="1"/>
  <c r="T27" i="1" s="1"/>
  <c r="T37" i="1"/>
  <c r="E12" i="6"/>
  <c r="E44" i="6" s="1"/>
  <c r="E12" i="5"/>
  <c r="E44" i="5" s="1"/>
  <c r="O12" i="4"/>
  <c r="N12" i="4"/>
  <c r="G12" i="4"/>
  <c r="H12" i="4"/>
  <c r="I12" i="4"/>
  <c r="K12" i="4"/>
  <c r="L12" i="4"/>
  <c r="AN24" i="7"/>
  <c r="P12" i="4"/>
  <c r="AN50" i="2"/>
  <c r="E52" i="2"/>
  <c r="E12" i="2"/>
  <c r="E44" i="2" s="1"/>
  <c r="H47" i="10" l="1"/>
  <c r="H52" i="10" s="1"/>
  <c r="E53" i="6"/>
  <c r="F53" i="7"/>
  <c r="AA28" i="6"/>
  <c r="AB28" i="6" s="1"/>
  <c r="AC28" i="6" s="1"/>
  <c r="AD28" i="6" s="1"/>
  <c r="AE28" i="6" s="1"/>
  <c r="AF28" i="6" s="1"/>
  <c r="AF16" i="9"/>
  <c r="AG16" i="9" s="1"/>
  <c r="AH16" i="9" s="1"/>
  <c r="AI16" i="9" s="1"/>
  <c r="AJ16" i="9" s="1"/>
  <c r="AK16" i="9" s="1"/>
  <c r="AL16" i="9" s="1"/>
  <c r="AM16" i="9" s="1"/>
  <c r="AN16" i="9" s="1"/>
  <c r="Z32" i="10"/>
  <c r="AA32" i="10" s="1"/>
  <c r="AB32" i="10" s="1"/>
  <c r="AC32" i="10" s="1"/>
  <c r="AD32" i="10" s="1"/>
  <c r="AE32" i="10" s="1"/>
  <c r="AF32" i="10" s="1"/>
  <c r="AG32" i="10" s="1"/>
  <c r="AH32" i="10" s="1"/>
  <c r="AI32" i="10" s="1"/>
  <c r="AJ32" i="10" s="1"/>
  <c r="AK32" i="10" s="1"/>
  <c r="AL32" i="10" s="1"/>
  <c r="AM32" i="10" s="1"/>
  <c r="AN32" i="10" s="1"/>
  <c r="S16" i="8"/>
  <c r="T16" i="8" s="1"/>
  <c r="U16" i="8" s="1"/>
  <c r="V16" i="8" s="1"/>
  <c r="U32" i="6"/>
  <c r="V32" i="6" s="1"/>
  <c r="W32" i="6" s="1"/>
  <c r="X16" i="10"/>
  <c r="Y16" i="10" s="1"/>
  <c r="Z16" i="10" s="1"/>
  <c r="AA16" i="10" s="1"/>
  <c r="AB16" i="10" s="1"/>
  <c r="AC16" i="10" s="1"/>
  <c r="Z28" i="8"/>
  <c r="AA28" i="8" s="1"/>
  <c r="AB28" i="8" s="1"/>
  <c r="AC28" i="8" s="1"/>
  <c r="AD28" i="8" s="1"/>
  <c r="AG28" i="5"/>
  <c r="AH28" i="5" s="1"/>
  <c r="AI28" i="5" s="1"/>
  <c r="AJ28" i="5" s="1"/>
  <c r="AK28" i="5" s="1"/>
  <c r="AL28" i="5" s="1"/>
  <c r="AM28" i="5" s="1"/>
  <c r="AN28" i="5" s="1"/>
  <c r="X17" i="7"/>
  <c r="Y17" i="7" s="1"/>
  <c r="Z17" i="7" s="1"/>
  <c r="AA17" i="7" s="1"/>
  <c r="AB17" i="7" s="1"/>
  <c r="AB28" i="4"/>
  <c r="AC28" i="4" s="1"/>
  <c r="AD28" i="4" s="1"/>
  <c r="AE28" i="4" s="1"/>
  <c r="AC17" i="9"/>
  <c r="AD17" i="9" s="1"/>
  <c r="AE17" i="9" s="1"/>
  <c r="AF17" i="9" s="1"/>
  <c r="AG17" i="9" s="1"/>
  <c r="AH17" i="9" s="1"/>
  <c r="AI17" i="9" s="1"/>
  <c r="AJ17" i="9" s="1"/>
  <c r="V16" i="5"/>
  <c r="W16" i="5" s="1"/>
  <c r="X16" i="5" s="1"/>
  <c r="Y16" i="5" s="1"/>
  <c r="R17" i="4"/>
  <c r="S17" i="4" s="1"/>
  <c r="T17" i="4" s="1"/>
  <c r="U17" i="4" s="1"/>
  <c r="S16" i="6"/>
  <c r="T16" i="6" s="1"/>
  <c r="U16" i="6" s="1"/>
  <c r="V16" i="6" s="1"/>
  <c r="W16" i="6" s="1"/>
  <c r="S17" i="8"/>
  <c r="T17" i="8" s="1"/>
  <c r="U17" i="8" s="1"/>
  <c r="V17" i="8" s="1"/>
  <c r="W17" i="8" s="1"/>
  <c r="X17" i="8" s="1"/>
  <c r="Y17" i="8" s="1"/>
  <c r="W39" i="8"/>
  <c r="X39" i="8" s="1"/>
  <c r="Y39" i="8" s="1"/>
  <c r="Z39" i="8" s="1"/>
  <c r="AA39" i="8" s="1"/>
  <c r="AB39" i="8" s="1"/>
  <c r="Y21" i="7"/>
  <c r="Z21" i="7" s="1"/>
  <c r="AA21" i="7" s="1"/>
  <c r="AB21" i="7" s="1"/>
  <c r="W27" i="7"/>
  <c r="X27" i="7" s="1"/>
  <c r="Y27" i="7" s="1"/>
  <c r="Z27" i="7" s="1"/>
  <c r="O16" i="7"/>
  <c r="P16" i="7" s="1"/>
  <c r="Q16" i="7" s="1"/>
  <c r="R16" i="7" s="1"/>
  <c r="I9" i="8"/>
  <c r="J9" i="8" s="1"/>
  <c r="R15" i="2"/>
  <c r="S15" i="2" s="1"/>
  <c r="T15" i="2" s="1"/>
  <c r="U15" i="2" s="1"/>
  <c r="E53" i="5"/>
  <c r="E53" i="10"/>
  <c r="E53" i="4"/>
  <c r="H53" i="10"/>
  <c r="G44" i="4"/>
  <c r="G53" i="4" s="1"/>
  <c r="H44" i="4"/>
  <c r="H53" i="4" s="1"/>
  <c r="G53" i="6"/>
  <c r="E53" i="8"/>
  <c r="H44" i="8"/>
  <c r="H53" i="8" s="1"/>
  <c r="H23" i="10"/>
  <c r="I20" i="10"/>
  <c r="I36" i="10"/>
  <c r="J31" i="10"/>
  <c r="I29" i="10"/>
  <c r="J24" i="10"/>
  <c r="K14" i="10"/>
  <c r="I47" i="10"/>
  <c r="I52" i="10" s="1"/>
  <c r="J46" i="10"/>
  <c r="J31" i="9"/>
  <c r="I36" i="9"/>
  <c r="H29" i="9"/>
  <c r="I24" i="9"/>
  <c r="H43" i="9"/>
  <c r="H44" i="9" s="1"/>
  <c r="H53" i="9" s="1"/>
  <c r="I23" i="9"/>
  <c r="J20" i="9"/>
  <c r="E53" i="9"/>
  <c r="I47" i="9"/>
  <c r="I52" i="9" s="1"/>
  <c r="J46" i="9"/>
  <c r="L41" i="9"/>
  <c r="J36" i="8"/>
  <c r="J41" i="8"/>
  <c r="H29" i="8"/>
  <c r="I24" i="8"/>
  <c r="I43" i="8" s="1"/>
  <c r="I47" i="8"/>
  <c r="I52" i="8" s="1"/>
  <c r="J46" i="8"/>
  <c r="I47" i="7"/>
  <c r="J46" i="7"/>
  <c r="I41" i="7"/>
  <c r="H43" i="7"/>
  <c r="H51" i="7"/>
  <c r="H52" i="7" s="1"/>
  <c r="I49" i="7"/>
  <c r="J9" i="7"/>
  <c r="I11" i="7"/>
  <c r="G44" i="7"/>
  <c r="G53" i="7" s="1"/>
  <c r="J30" i="7"/>
  <c r="I36" i="7"/>
  <c r="I23" i="7"/>
  <c r="J20" i="7"/>
  <c r="I6" i="7"/>
  <c r="H7" i="7"/>
  <c r="H12" i="7" s="1"/>
  <c r="J28" i="7"/>
  <c r="I29" i="7"/>
  <c r="N25" i="7"/>
  <c r="P31" i="7"/>
  <c r="G44" i="2"/>
  <c r="I7" i="2"/>
  <c r="J6" i="2"/>
  <c r="H51" i="2"/>
  <c r="I49" i="2"/>
  <c r="K23" i="2"/>
  <c r="I46" i="2"/>
  <c r="H47" i="2"/>
  <c r="G52" i="2"/>
  <c r="I29" i="2"/>
  <c r="H11" i="2"/>
  <c r="H12" i="2" s="1"/>
  <c r="H43" i="2"/>
  <c r="H36" i="2"/>
  <c r="H47" i="6"/>
  <c r="H52" i="6" s="1"/>
  <c r="I46" i="6"/>
  <c r="H29" i="6"/>
  <c r="I24" i="6"/>
  <c r="I43" i="6" s="1"/>
  <c r="I44" i="6" s="1"/>
  <c r="H43" i="6"/>
  <c r="H44" i="6" s="1"/>
  <c r="J14" i="6"/>
  <c r="I23" i="6"/>
  <c r="J20" i="6"/>
  <c r="J36" i="6"/>
  <c r="K31" i="6"/>
  <c r="I20" i="5"/>
  <c r="H23" i="5"/>
  <c r="I36" i="5"/>
  <c r="J41" i="5"/>
  <c r="H29" i="5"/>
  <c r="I24" i="5"/>
  <c r="I47" i="5"/>
  <c r="I52" i="5" s="1"/>
  <c r="J46" i="5"/>
  <c r="H43" i="5"/>
  <c r="H44" i="5" s="1"/>
  <c r="H53" i="5" s="1"/>
  <c r="J24" i="4"/>
  <c r="I29" i="4"/>
  <c r="K46" i="4"/>
  <c r="J47" i="4"/>
  <c r="J52" i="4" s="1"/>
  <c r="I36" i="4"/>
  <c r="J31" i="4"/>
  <c r="J41" i="4"/>
  <c r="H23" i="4"/>
  <c r="I20" i="4"/>
  <c r="I43" i="4" s="1"/>
  <c r="I44" i="4" s="1"/>
  <c r="I53" i="4" s="1"/>
  <c r="T38" i="1"/>
  <c r="T31" i="1"/>
  <c r="T21" i="1"/>
  <c r="T15" i="1"/>
  <c r="T29" i="1"/>
  <c r="T19" i="1"/>
  <c r="T12" i="1"/>
  <c r="T13" i="1"/>
  <c r="E53" i="2"/>
  <c r="S11" i="4"/>
  <c r="S51" i="4"/>
  <c r="R7" i="4"/>
  <c r="R12" i="4" s="1"/>
  <c r="I11" i="8" l="1"/>
  <c r="I12" i="8" s="1"/>
  <c r="AC21" i="7"/>
  <c r="AD21" i="7" s="1"/>
  <c r="AE21" i="7" s="1"/>
  <c r="AF21" i="7" s="1"/>
  <c r="X16" i="6"/>
  <c r="Y16" i="6" s="1"/>
  <c r="Z16" i="6" s="1"/>
  <c r="AA16" i="6" s="1"/>
  <c r="AB16" i="6" s="1"/>
  <c r="AC16" i="6" s="1"/>
  <c r="V17" i="4"/>
  <c r="W17" i="4" s="1"/>
  <c r="X17" i="4" s="1"/>
  <c r="Y17" i="4" s="1"/>
  <c r="AE28" i="8"/>
  <c r="AF28" i="8" s="1"/>
  <c r="AG28" i="8" s="1"/>
  <c r="AH28" i="8" s="1"/>
  <c r="AI28" i="8" s="1"/>
  <c r="AJ28" i="8" s="1"/>
  <c r="AD16" i="10"/>
  <c r="AE16" i="10" s="1"/>
  <c r="AF16" i="10" s="1"/>
  <c r="AG16" i="10" s="1"/>
  <c r="AH16" i="10" s="1"/>
  <c r="AK17" i="9"/>
  <c r="AL17" i="9" s="1"/>
  <c r="AM17" i="9" s="1"/>
  <c r="AN17" i="9" s="1"/>
  <c r="X32" i="6"/>
  <c r="Y32" i="6" s="1"/>
  <c r="Z32" i="6" s="1"/>
  <c r="AA32" i="6" s="1"/>
  <c r="AB32" i="6" s="1"/>
  <c r="AC32" i="6" s="1"/>
  <c r="AD32" i="6" s="1"/>
  <c r="AE32" i="6" s="1"/>
  <c r="AF32" i="6" s="1"/>
  <c r="AG32" i="6" s="1"/>
  <c r="AH32" i="6" s="1"/>
  <c r="AI32" i="6" s="1"/>
  <c r="AJ32" i="6" s="1"/>
  <c r="AK32" i="6" s="1"/>
  <c r="AL32" i="6" s="1"/>
  <c r="AM32" i="6" s="1"/>
  <c r="AN32" i="6" s="1"/>
  <c r="W16" i="8"/>
  <c r="X16" i="8" s="1"/>
  <c r="Y16" i="8" s="1"/>
  <c r="Z16" i="8" s="1"/>
  <c r="AA16" i="8" s="1"/>
  <c r="AB16" i="8" s="1"/>
  <c r="AC16" i="8" s="1"/>
  <c r="AF28" i="4"/>
  <c r="AG28" i="4" s="1"/>
  <c r="AH28" i="4" s="1"/>
  <c r="AC17" i="7"/>
  <c r="AD17" i="7" s="1"/>
  <c r="AE17" i="7" s="1"/>
  <c r="Z17" i="8"/>
  <c r="AA17" i="8" s="1"/>
  <c r="AB17" i="8" s="1"/>
  <c r="AC17" i="8" s="1"/>
  <c r="AG28" i="6"/>
  <c r="AH28" i="6" s="1"/>
  <c r="AI28" i="6" s="1"/>
  <c r="AJ28" i="6" s="1"/>
  <c r="AK28" i="6" s="1"/>
  <c r="AL28" i="6" s="1"/>
  <c r="AM28" i="6" s="1"/>
  <c r="AN28" i="6" s="1"/>
  <c r="AC39" i="8"/>
  <c r="AD39" i="8" s="1"/>
  <c r="AE39" i="8" s="1"/>
  <c r="AF39" i="8" s="1"/>
  <c r="AG39" i="8" s="1"/>
  <c r="AH39" i="8" s="1"/>
  <c r="AI39" i="8" s="1"/>
  <c r="AJ39" i="8" s="1"/>
  <c r="Z16" i="5"/>
  <c r="AA16" i="5" s="1"/>
  <c r="AB16" i="5" s="1"/>
  <c r="AC16" i="5" s="1"/>
  <c r="AA27" i="7"/>
  <c r="AB27" i="7" s="1"/>
  <c r="AC27" i="7" s="1"/>
  <c r="AD27" i="7" s="1"/>
  <c r="AE27" i="7" s="1"/>
  <c r="AF27" i="7" s="1"/>
  <c r="AG27" i="7" s="1"/>
  <c r="AH27" i="7" s="1"/>
  <c r="AI27" i="7" s="1"/>
  <c r="AJ27" i="7" s="1"/>
  <c r="AK27" i="7" s="1"/>
  <c r="AL27" i="7" s="1"/>
  <c r="AM27" i="7" s="1"/>
  <c r="AN27" i="7" s="1"/>
  <c r="S16" i="7"/>
  <c r="T16" i="7" s="1"/>
  <c r="U16" i="7" s="1"/>
  <c r="V15" i="2"/>
  <c r="W15" i="2" s="1"/>
  <c r="X15" i="2" s="1"/>
  <c r="H52" i="2"/>
  <c r="H53" i="6"/>
  <c r="H44" i="7"/>
  <c r="H53" i="7" s="1"/>
  <c r="J36" i="10"/>
  <c r="K31" i="10"/>
  <c r="L14" i="10"/>
  <c r="J29" i="10"/>
  <c r="K24" i="10"/>
  <c r="I23" i="10"/>
  <c r="J20" i="10"/>
  <c r="I43" i="10"/>
  <c r="I44" i="10" s="1"/>
  <c r="I53" i="10" s="1"/>
  <c r="J47" i="10"/>
  <c r="J52" i="10" s="1"/>
  <c r="K46" i="10"/>
  <c r="M41" i="9"/>
  <c r="I29" i="9"/>
  <c r="J24" i="9"/>
  <c r="J43" i="9" s="1"/>
  <c r="J44" i="9" s="1"/>
  <c r="I43" i="9"/>
  <c r="I44" i="9" s="1"/>
  <c r="I53" i="9" s="1"/>
  <c r="J47" i="9"/>
  <c r="J52" i="9" s="1"/>
  <c r="K46" i="9"/>
  <c r="J23" i="9"/>
  <c r="K20" i="9"/>
  <c r="J36" i="9"/>
  <c r="K31" i="9"/>
  <c r="J11" i="8"/>
  <c r="J12" i="8" s="1"/>
  <c r="K9" i="8"/>
  <c r="I44" i="8"/>
  <c r="I53" i="8" s="1"/>
  <c r="J47" i="8"/>
  <c r="J52" i="8" s="1"/>
  <c r="K46" i="8"/>
  <c r="K36" i="8"/>
  <c r="L31" i="8"/>
  <c r="I29" i="8"/>
  <c r="J24" i="8"/>
  <c r="J43" i="8" s="1"/>
  <c r="K41" i="8"/>
  <c r="I7" i="7"/>
  <c r="I12" i="7" s="1"/>
  <c r="J6" i="7"/>
  <c r="I51" i="7"/>
  <c r="I52" i="7" s="1"/>
  <c r="J49" i="7"/>
  <c r="J41" i="7"/>
  <c r="I43" i="7"/>
  <c r="K9" i="7"/>
  <c r="J11" i="7"/>
  <c r="Q31" i="7"/>
  <c r="J47" i="7"/>
  <c r="K46" i="7"/>
  <c r="J23" i="7"/>
  <c r="K20" i="7"/>
  <c r="K30" i="7"/>
  <c r="J36" i="7"/>
  <c r="O25" i="7"/>
  <c r="K28" i="7"/>
  <c r="J29" i="7"/>
  <c r="H44" i="2"/>
  <c r="G53" i="2"/>
  <c r="I11" i="2"/>
  <c r="I12" i="2" s="1"/>
  <c r="L23" i="2"/>
  <c r="I36" i="2"/>
  <c r="J7" i="2"/>
  <c r="K6" i="2"/>
  <c r="L6" i="2" s="1"/>
  <c r="I51" i="2"/>
  <c r="J49" i="2"/>
  <c r="I43" i="2"/>
  <c r="J29" i="2"/>
  <c r="I47" i="2"/>
  <c r="J46" i="2"/>
  <c r="K14" i="6"/>
  <c r="I29" i="6"/>
  <c r="J24" i="6"/>
  <c r="I47" i="6"/>
  <c r="I52" i="6" s="1"/>
  <c r="I53" i="6" s="1"/>
  <c r="J46" i="6"/>
  <c r="K36" i="6"/>
  <c r="L31" i="6"/>
  <c r="J23" i="6"/>
  <c r="K20" i="6"/>
  <c r="J47" i="5"/>
  <c r="J52" i="5" s="1"/>
  <c r="K46" i="5"/>
  <c r="I29" i="5"/>
  <c r="J24" i="5"/>
  <c r="I43" i="5"/>
  <c r="I44" i="5" s="1"/>
  <c r="I53" i="5" s="1"/>
  <c r="K41" i="5"/>
  <c r="J36" i="5"/>
  <c r="K31" i="5"/>
  <c r="J20" i="5"/>
  <c r="I23" i="5"/>
  <c r="J36" i="4"/>
  <c r="K31" i="4"/>
  <c r="K47" i="4"/>
  <c r="K52" i="4" s="1"/>
  <c r="L46" i="4"/>
  <c r="J20" i="4"/>
  <c r="J43" i="4" s="1"/>
  <c r="J44" i="4" s="1"/>
  <c r="J53" i="4" s="1"/>
  <c r="I23" i="4"/>
  <c r="K41" i="4"/>
  <c r="K24" i="4"/>
  <c r="J29" i="4"/>
  <c r="T14" i="1"/>
  <c r="T33" i="1"/>
  <c r="T23" i="1"/>
  <c r="T32" i="1"/>
  <c r="T22" i="1"/>
  <c r="T16" i="1"/>
  <c r="T25" i="1"/>
  <c r="T35" i="1"/>
  <c r="S7" i="4"/>
  <c r="S12" i="4" s="1"/>
  <c r="T51" i="4"/>
  <c r="T11" i="4"/>
  <c r="J3" i="1"/>
  <c r="AD16" i="8" l="1"/>
  <c r="AE16" i="8" s="1"/>
  <c r="AF16" i="8" s="1"/>
  <c r="AG16" i="8" s="1"/>
  <c r="AD16" i="5"/>
  <c r="AE16" i="5" s="1"/>
  <c r="AF16" i="5" s="1"/>
  <c r="AG16" i="5" s="1"/>
  <c r="AH16" i="5" s="1"/>
  <c r="AI16" i="5" s="1"/>
  <c r="AJ16" i="5" s="1"/>
  <c r="AK39" i="8"/>
  <c r="AL39" i="8" s="1"/>
  <c r="AM39" i="8" s="1"/>
  <c r="AN39" i="8" s="1"/>
  <c r="AI16" i="10"/>
  <c r="AJ16" i="10" s="1"/>
  <c r="AK16" i="10" s="1"/>
  <c r="AL16" i="10" s="1"/>
  <c r="AM16" i="10" s="1"/>
  <c r="AN16" i="10" s="1"/>
  <c r="AD17" i="8"/>
  <c r="AE17" i="8" s="1"/>
  <c r="AF17" i="8" s="1"/>
  <c r="AG17" i="8" s="1"/>
  <c r="Z17" i="4"/>
  <c r="AA17" i="4" s="1"/>
  <c r="AB17" i="4" s="1"/>
  <c r="AC17" i="4" s="1"/>
  <c r="AK28" i="8"/>
  <c r="AL28" i="8" s="1"/>
  <c r="AM28" i="8" s="1"/>
  <c r="AN28" i="8" s="1"/>
  <c r="AF17" i="7"/>
  <c r="AG17" i="7" s="1"/>
  <c r="AH17" i="7" s="1"/>
  <c r="AD16" i="6"/>
  <c r="AE16" i="6" s="1"/>
  <c r="AF16" i="6" s="1"/>
  <c r="AG16" i="6" s="1"/>
  <c r="AI28" i="4"/>
  <c r="AJ28" i="4" s="1"/>
  <c r="AK28" i="4" s="1"/>
  <c r="AL28" i="4" s="1"/>
  <c r="AM28" i="4" s="1"/>
  <c r="AN28" i="4" s="1"/>
  <c r="AG21" i="7"/>
  <c r="AH21" i="7" s="1"/>
  <c r="AI21" i="7" s="1"/>
  <c r="V16" i="7"/>
  <c r="W16" i="7" s="1"/>
  <c r="X16" i="7" s="1"/>
  <c r="Y15" i="2"/>
  <c r="Z15" i="2" s="1"/>
  <c r="AA15" i="2" s="1"/>
  <c r="H53" i="2"/>
  <c r="J53" i="9"/>
  <c r="I52" i="2"/>
  <c r="K47" i="10"/>
  <c r="K52" i="10" s="1"/>
  <c r="L46" i="10"/>
  <c r="J23" i="10"/>
  <c r="K20" i="10"/>
  <c r="J43" i="10"/>
  <c r="J44" i="10" s="1"/>
  <c r="J53" i="10" s="1"/>
  <c r="M14" i="10"/>
  <c r="K29" i="10"/>
  <c r="L24" i="10"/>
  <c r="K36" i="10"/>
  <c r="L31" i="10"/>
  <c r="J29" i="9"/>
  <c r="K24" i="9"/>
  <c r="K43" i="9" s="1"/>
  <c r="K44" i="9" s="1"/>
  <c r="K36" i="9"/>
  <c r="L31" i="9"/>
  <c r="K23" i="9"/>
  <c r="L20" i="9"/>
  <c r="K47" i="9"/>
  <c r="K52" i="9" s="1"/>
  <c r="L46" i="9"/>
  <c r="N41" i="9"/>
  <c r="K47" i="8"/>
  <c r="K52" i="8" s="1"/>
  <c r="L46" i="8"/>
  <c r="L41" i="8"/>
  <c r="J29" i="8"/>
  <c r="K24" i="8"/>
  <c r="K43" i="8" s="1"/>
  <c r="K11" i="8"/>
  <c r="K12" i="8" s="1"/>
  <c r="L9" i="8"/>
  <c r="L36" i="8"/>
  <c r="M31" i="8"/>
  <c r="J44" i="8"/>
  <c r="J53" i="8" s="1"/>
  <c r="K23" i="7"/>
  <c r="L20" i="7"/>
  <c r="L30" i="7"/>
  <c r="K36" i="7"/>
  <c r="K47" i="7"/>
  <c r="L46" i="7"/>
  <c r="R31" i="7"/>
  <c r="K11" i="7"/>
  <c r="L9" i="7"/>
  <c r="K41" i="7"/>
  <c r="J43" i="7"/>
  <c r="L28" i="7"/>
  <c r="M28" i="7" s="1"/>
  <c r="K29" i="7"/>
  <c r="P25" i="7"/>
  <c r="J7" i="7"/>
  <c r="J12" i="7" s="1"/>
  <c r="K6" i="7"/>
  <c r="L6" i="7" s="1"/>
  <c r="J51" i="7"/>
  <c r="J52" i="7" s="1"/>
  <c r="K49" i="7"/>
  <c r="I44" i="7"/>
  <c r="I53" i="7" s="1"/>
  <c r="J43" i="2"/>
  <c r="I44" i="2"/>
  <c r="K7" i="2"/>
  <c r="M23" i="2"/>
  <c r="K29" i="2"/>
  <c r="J51" i="2"/>
  <c r="K49" i="2"/>
  <c r="J36" i="2"/>
  <c r="J47" i="2"/>
  <c r="K46" i="2"/>
  <c r="J11" i="2"/>
  <c r="J12" i="2" s="1"/>
  <c r="J47" i="6"/>
  <c r="J52" i="6" s="1"/>
  <c r="K46" i="6"/>
  <c r="J29" i="6"/>
  <c r="K24" i="6"/>
  <c r="K43" i="6" s="1"/>
  <c r="K44" i="6" s="1"/>
  <c r="K23" i="6"/>
  <c r="L20" i="6"/>
  <c r="L36" i="6"/>
  <c r="M31" i="6"/>
  <c r="N31" i="6" s="1"/>
  <c r="J43" i="6"/>
  <c r="J44" i="6" s="1"/>
  <c r="L14" i="6"/>
  <c r="L41" i="5"/>
  <c r="J23" i="5"/>
  <c r="K20" i="5"/>
  <c r="K47" i="5"/>
  <c r="K52" i="5" s="1"/>
  <c r="L46" i="5"/>
  <c r="K36" i="5"/>
  <c r="L31" i="5"/>
  <c r="J43" i="5"/>
  <c r="J44" i="5" s="1"/>
  <c r="J53" i="5" s="1"/>
  <c r="J29" i="5"/>
  <c r="K24" i="5"/>
  <c r="L24" i="4"/>
  <c r="K29" i="4"/>
  <c r="L41" i="4"/>
  <c r="L47" i="4"/>
  <c r="L52" i="4" s="1"/>
  <c r="M46" i="4"/>
  <c r="K36" i="4"/>
  <c r="L31" i="4"/>
  <c r="K20" i="4"/>
  <c r="J23" i="4"/>
  <c r="T36" i="1"/>
  <c r="T26" i="1"/>
  <c r="T34" i="1"/>
  <c r="T24" i="1"/>
  <c r="U11" i="4"/>
  <c r="U51" i="4"/>
  <c r="T7" i="4"/>
  <c r="T12" i="4" s="1"/>
  <c r="J53" i="6" l="1"/>
  <c r="AD17" i="4"/>
  <c r="AE17" i="4" s="1"/>
  <c r="AF17" i="4" s="1"/>
  <c r="AG17" i="4" s="1"/>
  <c r="AH17" i="4" s="1"/>
  <c r="AH17" i="8"/>
  <c r="AI17" i="8" s="1"/>
  <c r="AJ17" i="8" s="1"/>
  <c r="AK17" i="8" s="1"/>
  <c r="AL17" i="8" s="1"/>
  <c r="AM17" i="8" s="1"/>
  <c r="AN17" i="8" s="1"/>
  <c r="AJ21" i="7"/>
  <c r="AK21" i="7" s="1"/>
  <c r="AL21" i="7" s="1"/>
  <c r="AM21" i="7" s="1"/>
  <c r="AN21" i="7" s="1"/>
  <c r="AK16" i="5"/>
  <c r="AL16" i="5" s="1"/>
  <c r="AM16" i="5" s="1"/>
  <c r="AN16" i="5" s="1"/>
  <c r="AH16" i="6"/>
  <c r="AI16" i="6" s="1"/>
  <c r="AJ16" i="6" s="1"/>
  <c r="AK16" i="6" s="1"/>
  <c r="AL16" i="6" s="1"/>
  <c r="AM16" i="6" s="1"/>
  <c r="AN16" i="6" s="1"/>
  <c r="AH16" i="8"/>
  <c r="AI16" i="8" s="1"/>
  <c r="AJ16" i="8" s="1"/>
  <c r="AK16" i="8" s="1"/>
  <c r="AL16" i="8" s="1"/>
  <c r="AM16" i="8" s="1"/>
  <c r="AN16" i="8" s="1"/>
  <c r="AI17" i="7"/>
  <c r="AJ17" i="7" s="1"/>
  <c r="AK17" i="7" s="1"/>
  <c r="AL17" i="7" s="1"/>
  <c r="AM17" i="7" s="1"/>
  <c r="AN17" i="7" s="1"/>
  <c r="Y16" i="7"/>
  <c r="Z16" i="7" s="1"/>
  <c r="AA16" i="7" s="1"/>
  <c r="AB15" i="2"/>
  <c r="AC15" i="2" s="1"/>
  <c r="J44" i="2"/>
  <c r="I53" i="2"/>
  <c r="K44" i="8"/>
  <c r="K53" i="8" s="1"/>
  <c r="K23" i="10"/>
  <c r="L20" i="10"/>
  <c r="L43" i="10" s="1"/>
  <c r="L44" i="10" s="1"/>
  <c r="K43" i="10"/>
  <c r="K44" i="10" s="1"/>
  <c r="K53" i="10" s="1"/>
  <c r="N14" i="10"/>
  <c r="O14" i="10" s="1"/>
  <c r="L36" i="10"/>
  <c r="M31" i="10"/>
  <c r="N31" i="10" s="1"/>
  <c r="L47" i="10"/>
  <c r="L52" i="10" s="1"/>
  <c r="M46" i="10"/>
  <c r="L29" i="10"/>
  <c r="M24" i="10"/>
  <c r="O41" i="9"/>
  <c r="L36" i="9"/>
  <c r="M31" i="9"/>
  <c r="L47" i="9"/>
  <c r="L52" i="9" s="1"/>
  <c r="M46" i="9"/>
  <c r="L23" i="9"/>
  <c r="M20" i="9"/>
  <c r="K29" i="9"/>
  <c r="L24" i="9"/>
  <c r="K53" i="9"/>
  <c r="M41" i="8"/>
  <c r="L47" i="8"/>
  <c r="L52" i="8" s="1"/>
  <c r="M46" i="8"/>
  <c r="M36" i="8"/>
  <c r="N31" i="8"/>
  <c r="M9" i="8"/>
  <c r="L11" i="8"/>
  <c r="L12" i="8" s="1"/>
  <c r="K29" i="8"/>
  <c r="L24" i="8"/>
  <c r="L29" i="7"/>
  <c r="M9" i="7"/>
  <c r="L11" i="7"/>
  <c r="K43" i="7"/>
  <c r="L41" i="7"/>
  <c r="K7" i="7"/>
  <c r="K12" i="7" s="1"/>
  <c r="M30" i="7"/>
  <c r="L36" i="7"/>
  <c r="J44" i="7"/>
  <c r="J53" i="7" s="1"/>
  <c r="L23" i="7"/>
  <c r="M20" i="7"/>
  <c r="S31" i="7"/>
  <c r="L47" i="7"/>
  <c r="M46" i="7"/>
  <c r="K51" i="7"/>
  <c r="K52" i="7" s="1"/>
  <c r="L49" i="7"/>
  <c r="Q25" i="7"/>
  <c r="K51" i="2"/>
  <c r="L49" i="2"/>
  <c r="K36" i="2"/>
  <c r="L29" i="2"/>
  <c r="N23" i="2"/>
  <c r="L7" i="2"/>
  <c r="M6" i="2"/>
  <c r="K47" i="2"/>
  <c r="L46" i="2"/>
  <c r="K11" i="2"/>
  <c r="K12" i="2" s="1"/>
  <c r="J52" i="2"/>
  <c r="K43" i="2"/>
  <c r="K29" i="6"/>
  <c r="L24" i="6"/>
  <c r="L43" i="6" s="1"/>
  <c r="L44" i="6" s="1"/>
  <c r="M14" i="6"/>
  <c r="N14" i="6" s="1"/>
  <c r="O14" i="6" s="1"/>
  <c r="M36" i="6"/>
  <c r="L23" i="6"/>
  <c r="M20" i="6"/>
  <c r="K47" i="6"/>
  <c r="K52" i="6" s="1"/>
  <c r="K53" i="6" s="1"/>
  <c r="L46" i="6"/>
  <c r="L36" i="5"/>
  <c r="M31" i="5"/>
  <c r="L47" i="5"/>
  <c r="L52" i="5" s="1"/>
  <c r="M46" i="5"/>
  <c r="L20" i="5"/>
  <c r="K23" i="5"/>
  <c r="M41" i="5"/>
  <c r="K29" i="5"/>
  <c r="L24" i="5"/>
  <c r="K43" i="5"/>
  <c r="K44" i="5" s="1"/>
  <c r="K53" i="5" s="1"/>
  <c r="L20" i="4"/>
  <c r="L43" i="4" s="1"/>
  <c r="L44" i="4" s="1"/>
  <c r="L53" i="4" s="1"/>
  <c r="K23" i="4"/>
  <c r="L36" i="4"/>
  <c r="M31" i="4"/>
  <c r="M41" i="4"/>
  <c r="K43" i="4"/>
  <c r="K44" i="4" s="1"/>
  <c r="K53" i="4" s="1"/>
  <c r="M47" i="4"/>
  <c r="M52" i="4" s="1"/>
  <c r="N46" i="4"/>
  <c r="L29" i="4"/>
  <c r="M24" i="4"/>
  <c r="V11" i="4"/>
  <c r="V51" i="4"/>
  <c r="U7" i="4"/>
  <c r="U12" i="4" s="1"/>
  <c r="J53" i="2" l="1"/>
  <c r="AI17" i="4"/>
  <c r="AJ17" i="4" s="1"/>
  <c r="AK17" i="4" s="1"/>
  <c r="AL17" i="4" s="1"/>
  <c r="AM17" i="4" s="1"/>
  <c r="AN17" i="4" s="1"/>
  <c r="AB16" i="7"/>
  <c r="AC16" i="7" s="1"/>
  <c r="AD16" i="7" s="1"/>
  <c r="L43" i="5"/>
  <c r="L44" i="5" s="1"/>
  <c r="L53" i="5" s="1"/>
  <c r="AD15" i="2"/>
  <c r="AE15" i="2" s="1"/>
  <c r="K52" i="2"/>
  <c r="L53" i="10"/>
  <c r="M29" i="10"/>
  <c r="N24" i="10"/>
  <c r="M47" i="10"/>
  <c r="M52" i="10" s="1"/>
  <c r="N46" i="10"/>
  <c r="L23" i="10"/>
  <c r="M20" i="10"/>
  <c r="M36" i="10"/>
  <c r="M36" i="9"/>
  <c r="N31" i="9"/>
  <c r="L29" i="9"/>
  <c r="M24" i="9"/>
  <c r="L43" i="9"/>
  <c r="L44" i="9" s="1"/>
  <c r="L53" i="9" s="1"/>
  <c r="M47" i="9"/>
  <c r="M52" i="9" s="1"/>
  <c r="N46" i="9"/>
  <c r="P41" i="9"/>
  <c r="M23" i="9"/>
  <c r="N20" i="9"/>
  <c r="M47" i="8"/>
  <c r="M52" i="8" s="1"/>
  <c r="N46" i="8"/>
  <c r="L29" i="8"/>
  <c r="M24" i="8"/>
  <c r="M43" i="8" s="1"/>
  <c r="N9" i="8"/>
  <c r="M11" i="8"/>
  <c r="M12" i="8" s="1"/>
  <c r="N41" i="8"/>
  <c r="N36" i="8"/>
  <c r="O31" i="8"/>
  <c r="P31" i="8" s="1"/>
  <c r="L43" i="8"/>
  <c r="L44" i="8" s="1"/>
  <c r="L53" i="8" s="1"/>
  <c r="T31" i="7"/>
  <c r="N30" i="7"/>
  <c r="M36" i="7"/>
  <c r="L7" i="7"/>
  <c r="L12" i="7" s="1"/>
  <c r="M6" i="7"/>
  <c r="R25" i="7"/>
  <c r="M41" i="7"/>
  <c r="L43" i="7"/>
  <c r="N9" i="7"/>
  <c r="M11" i="7"/>
  <c r="K44" i="7"/>
  <c r="K53" i="7" s="1"/>
  <c r="M47" i="7"/>
  <c r="N46" i="7"/>
  <c r="M23" i="7"/>
  <c r="N20" i="7"/>
  <c r="M49" i="7"/>
  <c r="L51" i="7"/>
  <c r="L52" i="7" s="1"/>
  <c r="N28" i="7"/>
  <c r="M29" i="7"/>
  <c r="L47" i="2"/>
  <c r="M46" i="2"/>
  <c r="M49" i="2"/>
  <c r="L51" i="2"/>
  <c r="M7" i="2"/>
  <c r="N6" i="2"/>
  <c r="O23" i="2"/>
  <c r="M29" i="2"/>
  <c r="L36" i="2"/>
  <c r="L43" i="2"/>
  <c r="K44" i="2"/>
  <c r="L11" i="2"/>
  <c r="L12" i="2" s="1"/>
  <c r="L47" i="6"/>
  <c r="L52" i="6" s="1"/>
  <c r="L53" i="6" s="1"/>
  <c r="M46" i="6"/>
  <c r="N36" i="6"/>
  <c r="O31" i="6"/>
  <c r="L29" i="6"/>
  <c r="M24" i="6"/>
  <c r="M43" i="6" s="1"/>
  <c r="M44" i="6" s="1"/>
  <c r="M23" i="6"/>
  <c r="N20" i="6"/>
  <c r="N41" i="5"/>
  <c r="L23" i="5"/>
  <c r="M20" i="5"/>
  <c r="M36" i="5"/>
  <c r="N31" i="5"/>
  <c r="L29" i="5"/>
  <c r="M24" i="5"/>
  <c r="M47" i="5"/>
  <c r="M52" i="5" s="1"/>
  <c r="N46" i="5"/>
  <c r="M36" i="4"/>
  <c r="N31" i="4"/>
  <c r="N47" i="4"/>
  <c r="N52" i="4" s="1"/>
  <c r="O46" i="4"/>
  <c r="N41" i="4"/>
  <c r="M29" i="4"/>
  <c r="N24" i="4"/>
  <c r="M20" i="4"/>
  <c r="M43" i="4" s="1"/>
  <c r="M44" i="4" s="1"/>
  <c r="M53" i="4" s="1"/>
  <c r="L23" i="4"/>
  <c r="W51" i="4"/>
  <c r="W11" i="4"/>
  <c r="V7" i="4"/>
  <c r="V12" i="4" s="1"/>
  <c r="K53" i="2" l="1"/>
  <c r="AE16" i="7"/>
  <c r="AF16" i="7" s="1"/>
  <c r="AG16" i="7" s="1"/>
  <c r="AH16" i="7" s="1"/>
  <c r="AI16" i="7" s="1"/>
  <c r="AF15" i="2"/>
  <c r="AG15" i="2" s="1"/>
  <c r="N36" i="10"/>
  <c r="O31" i="10"/>
  <c r="O46" i="10"/>
  <c r="N47" i="10"/>
  <c r="N52" i="10" s="1"/>
  <c r="O24" i="10"/>
  <c r="N29" i="10"/>
  <c r="P14" i="10"/>
  <c r="M23" i="10"/>
  <c r="N20" i="10"/>
  <c r="N43" i="10" s="1"/>
  <c r="N44" i="10" s="1"/>
  <c r="N53" i="10" s="1"/>
  <c r="M43" i="10"/>
  <c r="M44" i="10" s="1"/>
  <c r="M53" i="10" s="1"/>
  <c r="N23" i="9"/>
  <c r="O20" i="9"/>
  <c r="M29" i="9"/>
  <c r="N24" i="9"/>
  <c r="N43" i="9" s="1"/>
  <c r="N44" i="9" s="1"/>
  <c r="M43" i="9"/>
  <c r="M44" i="9" s="1"/>
  <c r="M53" i="9" s="1"/>
  <c r="O46" i="9"/>
  <c r="N47" i="9"/>
  <c r="N52" i="9" s="1"/>
  <c r="N36" i="9"/>
  <c r="O31" i="9"/>
  <c r="Q41" i="9"/>
  <c r="O36" i="8"/>
  <c r="O41" i="8"/>
  <c r="M29" i="8"/>
  <c r="N24" i="8"/>
  <c r="N43" i="8" s="1"/>
  <c r="M44" i="8"/>
  <c r="M53" i="8" s="1"/>
  <c r="O46" i="8"/>
  <c r="N47" i="8"/>
  <c r="N52" i="8" s="1"/>
  <c r="O9" i="8"/>
  <c r="N11" i="8"/>
  <c r="N12" i="8" s="1"/>
  <c r="N41" i="7"/>
  <c r="M43" i="7"/>
  <c r="S25" i="7"/>
  <c r="M7" i="7"/>
  <c r="M12" i="7" s="1"/>
  <c r="N6" i="7"/>
  <c r="O30" i="7"/>
  <c r="N36" i="7"/>
  <c r="N47" i="7"/>
  <c r="O46" i="7"/>
  <c r="O9" i="7"/>
  <c r="N11" i="7"/>
  <c r="L44" i="7"/>
  <c r="L53" i="7" s="1"/>
  <c r="N49" i="7"/>
  <c r="M51" i="7"/>
  <c r="M52" i="7" s="1"/>
  <c r="U31" i="7"/>
  <c r="V31" i="7" s="1"/>
  <c r="O28" i="7"/>
  <c r="N29" i="7"/>
  <c r="N23" i="7"/>
  <c r="O20" i="7"/>
  <c r="L44" i="2"/>
  <c r="N29" i="2"/>
  <c r="M36" i="2"/>
  <c r="N49" i="2"/>
  <c r="M51" i="2"/>
  <c r="M11" i="2"/>
  <c r="M12" i="2" s="1"/>
  <c r="L52" i="2"/>
  <c r="P23" i="2"/>
  <c r="N7" i="2"/>
  <c r="O6" i="2"/>
  <c r="P6" i="2" s="1"/>
  <c r="M47" i="2"/>
  <c r="N46" i="2"/>
  <c r="M43" i="2"/>
  <c r="M47" i="6"/>
  <c r="M52" i="6" s="1"/>
  <c r="M53" i="6" s="1"/>
  <c r="N46" i="6"/>
  <c r="N23" i="6"/>
  <c r="O20" i="6"/>
  <c r="M29" i="6"/>
  <c r="N24" i="6"/>
  <c r="N43" i="6" s="1"/>
  <c r="N44" i="6" s="1"/>
  <c r="O36" i="6"/>
  <c r="P31" i="6"/>
  <c r="M29" i="5"/>
  <c r="N24" i="5"/>
  <c r="O41" i="5"/>
  <c r="O46" i="5"/>
  <c r="N47" i="5"/>
  <c r="N52" i="5" s="1"/>
  <c r="N36" i="5"/>
  <c r="O31" i="5"/>
  <c r="M23" i="5"/>
  <c r="N20" i="5"/>
  <c r="M43" i="5"/>
  <c r="M44" i="5" s="1"/>
  <c r="M53" i="5" s="1"/>
  <c r="O47" i="4"/>
  <c r="O52" i="4" s="1"/>
  <c r="P46" i="4"/>
  <c r="N29" i="4"/>
  <c r="O24" i="4"/>
  <c r="O41" i="4"/>
  <c r="N36" i="4"/>
  <c r="O31" i="4"/>
  <c r="P31" i="4" s="1"/>
  <c r="N20" i="4"/>
  <c r="N43" i="4" s="1"/>
  <c r="N44" i="4" s="1"/>
  <c r="N53" i="4" s="1"/>
  <c r="M23" i="4"/>
  <c r="W7" i="4"/>
  <c r="W12" i="4" s="1"/>
  <c r="X11" i="4"/>
  <c r="X51" i="4"/>
  <c r="AJ16" i="7" l="1"/>
  <c r="AK16" i="7" s="1"/>
  <c r="AL16" i="7" s="1"/>
  <c r="AM16" i="7" s="1"/>
  <c r="AN16" i="7" s="1"/>
  <c r="AH15" i="2"/>
  <c r="AI15" i="2" s="1"/>
  <c r="AJ15" i="2" s="1"/>
  <c r="AK15" i="2" s="1"/>
  <c r="N53" i="9"/>
  <c r="L53" i="2"/>
  <c r="M44" i="2"/>
  <c r="N44" i="8"/>
  <c r="N53" i="8" s="1"/>
  <c r="M44" i="7"/>
  <c r="M53" i="7" s="1"/>
  <c r="P24" i="10"/>
  <c r="O29" i="10"/>
  <c r="P46" i="10"/>
  <c r="O47" i="10"/>
  <c r="O52" i="10" s="1"/>
  <c r="Q14" i="10"/>
  <c r="O36" i="10"/>
  <c r="P31" i="10"/>
  <c r="N23" i="10"/>
  <c r="O20" i="10"/>
  <c r="R41" i="9"/>
  <c r="O24" i="9"/>
  <c r="O43" i="9" s="1"/>
  <c r="O44" i="9" s="1"/>
  <c r="N29" i="9"/>
  <c r="O36" i="9"/>
  <c r="P31" i="9"/>
  <c r="O47" i="9"/>
  <c r="O52" i="9" s="1"/>
  <c r="P46" i="9"/>
  <c r="O23" i="9"/>
  <c r="P20" i="9"/>
  <c r="P41" i="8"/>
  <c r="O11" i="8"/>
  <c r="O12" i="8" s="1"/>
  <c r="P9" i="8"/>
  <c r="P46" i="8"/>
  <c r="O47" i="8"/>
  <c r="O52" i="8" s="1"/>
  <c r="P36" i="8"/>
  <c r="Q31" i="8"/>
  <c r="O24" i="8"/>
  <c r="N29" i="8"/>
  <c r="O47" i="7"/>
  <c r="P46" i="7"/>
  <c r="O23" i="7"/>
  <c r="P20" i="7"/>
  <c r="N7" i="7"/>
  <c r="N12" i="7" s="1"/>
  <c r="O6" i="7"/>
  <c r="P6" i="7" s="1"/>
  <c r="O49" i="7"/>
  <c r="N51" i="7"/>
  <c r="N52" i="7" s="1"/>
  <c r="O11" i="7"/>
  <c r="P9" i="7"/>
  <c r="P30" i="7"/>
  <c r="O36" i="7"/>
  <c r="T25" i="7"/>
  <c r="P28" i="7"/>
  <c r="O29" i="7"/>
  <c r="N43" i="7"/>
  <c r="O41" i="7"/>
  <c r="N11" i="2"/>
  <c r="N12" i="2" s="1"/>
  <c r="N36" i="2"/>
  <c r="N47" i="2"/>
  <c r="O46" i="2"/>
  <c r="M52" i="2"/>
  <c r="O29" i="2"/>
  <c r="Q23" i="2"/>
  <c r="O49" i="2"/>
  <c r="N51" i="2"/>
  <c r="N43" i="2"/>
  <c r="O7" i="2"/>
  <c r="P14" i="6"/>
  <c r="O23" i="6"/>
  <c r="P20" i="6"/>
  <c r="O46" i="6"/>
  <c r="N47" i="6"/>
  <c r="N52" i="6" s="1"/>
  <c r="N53" i="6" s="1"/>
  <c r="O24" i="6"/>
  <c r="N29" i="6"/>
  <c r="Q31" i="6"/>
  <c r="P36" i="6"/>
  <c r="O20" i="5"/>
  <c r="N23" i="5"/>
  <c r="O36" i="5"/>
  <c r="P31" i="5"/>
  <c r="P41" i="5"/>
  <c r="O24" i="5"/>
  <c r="N29" i="5"/>
  <c r="P46" i="5"/>
  <c r="O47" i="5"/>
  <c r="O52" i="5" s="1"/>
  <c r="N43" i="5"/>
  <c r="N44" i="5" s="1"/>
  <c r="N53" i="5" s="1"/>
  <c r="O36" i="4"/>
  <c r="P47" i="4"/>
  <c r="P52" i="4" s="1"/>
  <c r="Q46" i="4"/>
  <c r="O20" i="4"/>
  <c r="O43" i="4" s="1"/>
  <c r="O44" i="4" s="1"/>
  <c r="O53" i="4" s="1"/>
  <c r="N23" i="4"/>
  <c r="P41" i="4"/>
  <c r="O29" i="4"/>
  <c r="P24" i="4"/>
  <c r="Y11" i="4"/>
  <c r="X7" i="4"/>
  <c r="X12" i="4" s="1"/>
  <c r="Y51" i="4"/>
  <c r="M53" i="2" l="1"/>
  <c r="AL15" i="2"/>
  <c r="AM15" i="2" s="1"/>
  <c r="AN15" i="2" s="1"/>
  <c r="O53" i="9"/>
  <c r="N52" i="2"/>
  <c r="O23" i="10"/>
  <c r="P20" i="10"/>
  <c r="P43" i="10" s="1"/>
  <c r="P44" i="10" s="1"/>
  <c r="O43" i="10"/>
  <c r="O44" i="10" s="1"/>
  <c r="O53" i="10" s="1"/>
  <c r="P36" i="10"/>
  <c r="Q31" i="10"/>
  <c r="R14" i="10"/>
  <c r="P47" i="10"/>
  <c r="P52" i="10" s="1"/>
  <c r="Q46" i="10"/>
  <c r="Q24" i="10"/>
  <c r="P29" i="10"/>
  <c r="Q46" i="9"/>
  <c r="P47" i="9"/>
  <c r="P52" i="9" s="1"/>
  <c r="P24" i="9"/>
  <c r="P43" i="9" s="1"/>
  <c r="P44" i="9" s="1"/>
  <c r="O29" i="9"/>
  <c r="P23" i="9"/>
  <c r="Q20" i="9"/>
  <c r="S41" i="9"/>
  <c r="Q31" i="9"/>
  <c r="P36" i="9"/>
  <c r="Q46" i="8"/>
  <c r="P47" i="8"/>
  <c r="P52" i="8" s="1"/>
  <c r="R31" i="8"/>
  <c r="Q36" i="8"/>
  <c r="P11" i="8"/>
  <c r="P12" i="8" s="1"/>
  <c r="Q9" i="8"/>
  <c r="Q41" i="8"/>
  <c r="P24" i="8"/>
  <c r="P43" i="8" s="1"/>
  <c r="O29" i="8"/>
  <c r="O43" i="8"/>
  <c r="O44" i="8" s="1"/>
  <c r="O53" i="8" s="1"/>
  <c r="U25" i="7"/>
  <c r="W31" i="7"/>
  <c r="P11" i="7"/>
  <c r="Q9" i="7"/>
  <c r="Q30" i="7"/>
  <c r="P36" i="7"/>
  <c r="O7" i="7"/>
  <c r="O12" i="7" s="1"/>
  <c r="P47" i="7"/>
  <c r="Q46" i="7"/>
  <c r="O51" i="7"/>
  <c r="O52" i="7" s="1"/>
  <c r="P49" i="7"/>
  <c r="O43" i="7"/>
  <c r="P41" i="7"/>
  <c r="N44" i="7"/>
  <c r="N53" i="7" s="1"/>
  <c r="Q20" i="7"/>
  <c r="P23" i="7"/>
  <c r="Q28" i="7"/>
  <c r="P29" i="7"/>
  <c r="N44" i="2"/>
  <c r="N53" i="2" s="1"/>
  <c r="R23" i="2"/>
  <c r="P49" i="2"/>
  <c r="O51" i="2"/>
  <c r="P29" i="2"/>
  <c r="P7" i="2"/>
  <c r="Q6" i="2"/>
  <c r="O47" i="2"/>
  <c r="P46" i="2"/>
  <c r="O36" i="2"/>
  <c r="O11" i="2"/>
  <c r="O12" i="2" s="1"/>
  <c r="O43" i="2"/>
  <c r="P23" i="6"/>
  <c r="Q20" i="6"/>
  <c r="Q36" i="6"/>
  <c r="R31" i="6"/>
  <c r="P24" i="6"/>
  <c r="P43" i="6" s="1"/>
  <c r="P44" i="6" s="1"/>
  <c r="O29" i="6"/>
  <c r="O47" i="6"/>
  <c r="O52" i="6" s="1"/>
  <c r="P46" i="6"/>
  <c r="Q14" i="6"/>
  <c r="O43" i="6"/>
  <c r="O44" i="6" s="1"/>
  <c r="P47" i="5"/>
  <c r="P52" i="5" s="1"/>
  <c r="Q46" i="5"/>
  <c r="P24" i="5"/>
  <c r="O29" i="5"/>
  <c r="O43" i="5"/>
  <c r="O44" i="5" s="1"/>
  <c r="O53" i="5" s="1"/>
  <c r="Q41" i="5"/>
  <c r="Q31" i="5"/>
  <c r="P36" i="5"/>
  <c r="O23" i="5"/>
  <c r="P20" i="5"/>
  <c r="R46" i="4"/>
  <c r="Q47" i="4"/>
  <c r="Q52" i="4" s="1"/>
  <c r="P29" i="4"/>
  <c r="Q24" i="4"/>
  <c r="P36" i="4"/>
  <c r="Q31" i="4"/>
  <c r="Q41" i="4"/>
  <c r="P20" i="4"/>
  <c r="P43" i="4" s="1"/>
  <c r="P44" i="4" s="1"/>
  <c r="P53" i="4" s="1"/>
  <c r="O23" i="4"/>
  <c r="Y7" i="4"/>
  <c r="Y12" i="4" s="1"/>
  <c r="Z11" i="4"/>
  <c r="Z51" i="4"/>
  <c r="P53" i="9" l="1"/>
  <c r="O53" i="6"/>
  <c r="O44" i="2"/>
  <c r="O52" i="2"/>
  <c r="P53" i="10"/>
  <c r="Q47" i="10"/>
  <c r="Q52" i="10" s="1"/>
  <c r="R46" i="10"/>
  <c r="S14" i="10"/>
  <c r="R31" i="10"/>
  <c r="Q36" i="10"/>
  <c r="R24" i="10"/>
  <c r="Q29" i="10"/>
  <c r="P23" i="10"/>
  <c r="Q20" i="10"/>
  <c r="T41" i="9"/>
  <c r="Q24" i="9"/>
  <c r="Q43" i="9" s="1"/>
  <c r="Q44" i="9" s="1"/>
  <c r="P29" i="9"/>
  <c r="R31" i="9"/>
  <c r="Q36" i="9"/>
  <c r="Q23" i="9"/>
  <c r="R20" i="9"/>
  <c r="Q47" i="9"/>
  <c r="Q52" i="9" s="1"/>
  <c r="R46" i="9"/>
  <c r="R41" i="8"/>
  <c r="S31" i="8"/>
  <c r="R36" i="8"/>
  <c r="Q11" i="8"/>
  <c r="Q12" i="8" s="1"/>
  <c r="R9" i="8"/>
  <c r="Q24" i="8"/>
  <c r="P29" i="8"/>
  <c r="P44" i="8"/>
  <c r="P53" i="8" s="1"/>
  <c r="Q47" i="8"/>
  <c r="Q52" i="8" s="1"/>
  <c r="R46" i="8"/>
  <c r="Q47" i="7"/>
  <c r="R46" i="7"/>
  <c r="R28" i="7"/>
  <c r="Q29" i="7"/>
  <c r="O44" i="7"/>
  <c r="O53" i="7" s="1"/>
  <c r="X31" i="7"/>
  <c r="P43" i="7"/>
  <c r="Q41" i="7"/>
  <c r="P51" i="7"/>
  <c r="P52" i="7" s="1"/>
  <c r="Q49" i="7"/>
  <c r="P7" i="7"/>
  <c r="P12" i="7" s="1"/>
  <c r="Q6" i="7"/>
  <c r="R30" i="7"/>
  <c r="Q36" i="7"/>
  <c r="Q11" i="7"/>
  <c r="R9" i="7"/>
  <c r="R20" i="7"/>
  <c r="Q23" i="7"/>
  <c r="V25" i="7"/>
  <c r="P11" i="2"/>
  <c r="P12" i="2" s="1"/>
  <c r="P36" i="2"/>
  <c r="P47" i="2"/>
  <c r="Q46" i="2"/>
  <c r="P43" i="2"/>
  <c r="Q49" i="2"/>
  <c r="P51" i="2"/>
  <c r="Q7" i="2"/>
  <c r="R6" i="2"/>
  <c r="S6" i="2" s="1"/>
  <c r="Q29" i="2"/>
  <c r="S23" i="2"/>
  <c r="S31" i="6"/>
  <c r="R36" i="6"/>
  <c r="Q23" i="6"/>
  <c r="R20" i="6"/>
  <c r="R14" i="6"/>
  <c r="Q46" i="6"/>
  <c r="P47" i="6"/>
  <c r="P52" i="6" s="1"/>
  <c r="P53" i="6" s="1"/>
  <c r="Q24" i="6"/>
  <c r="Q43" i="6" s="1"/>
  <c r="Q44" i="6" s="1"/>
  <c r="P29" i="6"/>
  <c r="R31" i="5"/>
  <c r="Q36" i="5"/>
  <c r="P23" i="5"/>
  <c r="Q20" i="5"/>
  <c r="R41" i="5"/>
  <c r="Q24" i="5"/>
  <c r="P29" i="5"/>
  <c r="Q47" i="5"/>
  <c r="Q52" i="5" s="1"/>
  <c r="R46" i="5"/>
  <c r="P43" i="5"/>
  <c r="P44" i="5" s="1"/>
  <c r="P53" i="5" s="1"/>
  <c r="R41" i="4"/>
  <c r="P23" i="4"/>
  <c r="Q20" i="4"/>
  <c r="Q43" i="4" s="1"/>
  <c r="Q44" i="4" s="1"/>
  <c r="Q53" i="4" s="1"/>
  <c r="Q36" i="4"/>
  <c r="R31" i="4"/>
  <c r="R24" i="4"/>
  <c r="Q29" i="4"/>
  <c r="R47" i="4"/>
  <c r="R52" i="4" s="1"/>
  <c r="S46" i="4"/>
  <c r="AA11" i="4"/>
  <c r="Z7" i="4"/>
  <c r="Z12" i="4" s="1"/>
  <c r="AA51" i="4"/>
  <c r="Q53" i="9" l="1"/>
  <c r="O53" i="2"/>
  <c r="P44" i="7"/>
  <c r="P53" i="7" s="1"/>
  <c r="R29" i="10"/>
  <c r="S24" i="10"/>
  <c r="Q23" i="10"/>
  <c r="R20" i="10"/>
  <c r="T14" i="10"/>
  <c r="Q43" i="10"/>
  <c r="Q44" i="10" s="1"/>
  <c r="Q53" i="10" s="1"/>
  <c r="S31" i="10"/>
  <c r="R36" i="10"/>
  <c r="R47" i="10"/>
  <c r="R52" i="10" s="1"/>
  <c r="S46" i="10"/>
  <c r="R47" i="9"/>
  <c r="R52" i="9" s="1"/>
  <c r="S46" i="9"/>
  <c r="S31" i="9"/>
  <c r="R36" i="9"/>
  <c r="R24" i="9"/>
  <c r="R43" i="9" s="1"/>
  <c r="R44" i="9" s="1"/>
  <c r="Q29" i="9"/>
  <c r="U41" i="9"/>
  <c r="R23" i="9"/>
  <c r="S20" i="9"/>
  <c r="R24" i="8"/>
  <c r="R43" i="8" s="1"/>
  <c r="Q29" i="8"/>
  <c r="T31" i="8"/>
  <c r="S36" i="8"/>
  <c r="R47" i="8"/>
  <c r="R52" i="8" s="1"/>
  <c r="S46" i="8"/>
  <c r="R11" i="8"/>
  <c r="R12" i="8" s="1"/>
  <c r="S9" i="8"/>
  <c r="S41" i="8"/>
  <c r="Q43" i="8"/>
  <c r="Q44" i="8" s="1"/>
  <c r="Q53" i="8" s="1"/>
  <c r="S30" i="7"/>
  <c r="R36" i="7"/>
  <c r="S28" i="7"/>
  <c r="R29" i="7"/>
  <c r="Q43" i="7"/>
  <c r="R41" i="7"/>
  <c r="Y31" i="7"/>
  <c r="S20" i="7"/>
  <c r="R23" i="7"/>
  <c r="Q7" i="7"/>
  <c r="Q12" i="7" s="1"/>
  <c r="R6" i="7"/>
  <c r="R11" i="7"/>
  <c r="S9" i="7"/>
  <c r="S46" i="7"/>
  <c r="R47" i="7"/>
  <c r="Q51" i="7"/>
  <c r="Q52" i="7" s="1"/>
  <c r="R49" i="7"/>
  <c r="W25" i="7"/>
  <c r="X25" i="7" s="1"/>
  <c r="P44" i="2"/>
  <c r="R7" i="2"/>
  <c r="Q43" i="2"/>
  <c r="R29" i="2"/>
  <c r="Q51" i="2"/>
  <c r="R49" i="2"/>
  <c r="Q47" i="2"/>
  <c r="R46" i="2"/>
  <c r="Q36" i="2"/>
  <c r="T23" i="2"/>
  <c r="Q11" i="2"/>
  <c r="Q12" i="2" s="1"/>
  <c r="P52" i="2"/>
  <c r="S14" i="6"/>
  <c r="R23" i="6"/>
  <c r="S20" i="6"/>
  <c r="T31" i="6"/>
  <c r="S36" i="6"/>
  <c r="R24" i="6"/>
  <c r="R43" i="6" s="1"/>
  <c r="R44" i="6" s="1"/>
  <c r="Q29" i="6"/>
  <c r="R46" i="6"/>
  <c r="Q47" i="6"/>
  <c r="Q52" i="6" s="1"/>
  <c r="Q53" i="6" s="1"/>
  <c r="R47" i="5"/>
  <c r="R52" i="5" s="1"/>
  <c r="S46" i="5"/>
  <c r="R24" i="5"/>
  <c r="Q29" i="5"/>
  <c r="S41" i="5"/>
  <c r="Q43" i="5"/>
  <c r="Q44" i="5" s="1"/>
  <c r="Q53" i="5" s="1"/>
  <c r="Q23" i="5"/>
  <c r="R20" i="5"/>
  <c r="S31" i="5"/>
  <c r="R36" i="5"/>
  <c r="S24" i="4"/>
  <c r="R29" i="4"/>
  <c r="R36" i="4"/>
  <c r="S31" i="4"/>
  <c r="S47" i="4"/>
  <c r="S52" i="4" s="1"/>
  <c r="T46" i="4"/>
  <c r="Q23" i="4"/>
  <c r="R20" i="4"/>
  <c r="R43" i="4" s="1"/>
  <c r="R44" i="4" s="1"/>
  <c r="R53" i="4" s="1"/>
  <c r="S41" i="4"/>
  <c r="AB51" i="4"/>
  <c r="AA7" i="4"/>
  <c r="AA12" i="4" s="1"/>
  <c r="AB11" i="4"/>
  <c r="R53" i="9" l="1"/>
  <c r="Q52" i="2"/>
  <c r="Q44" i="2"/>
  <c r="Q44" i="7"/>
  <c r="Q53" i="7" s="1"/>
  <c r="U14" i="10"/>
  <c r="S47" i="10"/>
  <c r="S52" i="10" s="1"/>
  <c r="T46" i="10"/>
  <c r="T31" i="10"/>
  <c r="S36" i="10"/>
  <c r="R23" i="10"/>
  <c r="S20" i="10"/>
  <c r="S29" i="10"/>
  <c r="T24" i="10"/>
  <c r="R43" i="10"/>
  <c r="R44" i="10" s="1"/>
  <c r="R53" i="10" s="1"/>
  <c r="S23" i="9"/>
  <c r="T20" i="9"/>
  <c r="V41" i="9"/>
  <c r="T31" i="9"/>
  <c r="S36" i="9"/>
  <c r="S24" i="9"/>
  <c r="S43" i="9" s="1"/>
  <c r="S44" i="9" s="1"/>
  <c r="R29" i="9"/>
  <c r="S47" i="9"/>
  <c r="S52" i="9" s="1"/>
  <c r="T46" i="9"/>
  <c r="S11" i="8"/>
  <c r="S12" i="8" s="1"/>
  <c r="T9" i="8"/>
  <c r="S47" i="8"/>
  <c r="S52" i="8" s="1"/>
  <c r="T46" i="8"/>
  <c r="U31" i="8"/>
  <c r="T36" i="8"/>
  <c r="T41" i="8"/>
  <c r="R44" i="8"/>
  <c r="R53" i="8" s="1"/>
  <c r="R29" i="8"/>
  <c r="S24" i="8"/>
  <c r="S6" i="7"/>
  <c r="T6" i="7" s="1"/>
  <c r="R7" i="7"/>
  <c r="R12" i="7" s="1"/>
  <c r="Z31" i="7"/>
  <c r="S11" i="7"/>
  <c r="T9" i="7"/>
  <c r="R51" i="7"/>
  <c r="R52" i="7" s="1"/>
  <c r="S49" i="7"/>
  <c r="T28" i="7"/>
  <c r="S29" i="7"/>
  <c r="T46" i="7"/>
  <c r="S47" i="7"/>
  <c r="T20" i="7"/>
  <c r="S23" i="7"/>
  <c r="R43" i="7"/>
  <c r="S41" i="7"/>
  <c r="T30" i="7"/>
  <c r="S36" i="7"/>
  <c r="P53" i="2"/>
  <c r="R36" i="2"/>
  <c r="S46" i="2"/>
  <c r="R47" i="2"/>
  <c r="R43" i="2"/>
  <c r="S7" i="2"/>
  <c r="T6" i="2"/>
  <c r="U6" i="2" s="1"/>
  <c r="U23" i="2"/>
  <c r="R51" i="2"/>
  <c r="S49" i="2"/>
  <c r="S29" i="2"/>
  <c r="R11" i="2"/>
  <c r="R12" i="2" s="1"/>
  <c r="R47" i="6"/>
  <c r="R52" i="6" s="1"/>
  <c r="R53" i="6" s="1"/>
  <c r="S46" i="6"/>
  <c r="S24" i="6"/>
  <c r="S43" i="6" s="1"/>
  <c r="S44" i="6" s="1"/>
  <c r="R29" i="6"/>
  <c r="U31" i="6"/>
  <c r="T36" i="6"/>
  <c r="S23" i="6"/>
  <c r="T20" i="6"/>
  <c r="T14" i="6"/>
  <c r="U14" i="6" s="1"/>
  <c r="V14" i="6" s="1"/>
  <c r="R23" i="5"/>
  <c r="S20" i="5"/>
  <c r="S24" i="5"/>
  <c r="R29" i="5"/>
  <c r="T31" i="5"/>
  <c r="S36" i="5"/>
  <c r="R43" i="5"/>
  <c r="R44" i="5" s="1"/>
  <c r="R53" i="5" s="1"/>
  <c r="S47" i="5"/>
  <c r="S52" i="5" s="1"/>
  <c r="T46" i="5"/>
  <c r="T41" i="5"/>
  <c r="T31" i="4"/>
  <c r="S36" i="4"/>
  <c r="T41" i="4"/>
  <c r="R23" i="4"/>
  <c r="S20" i="4"/>
  <c r="T47" i="4"/>
  <c r="T52" i="4" s="1"/>
  <c r="U46" i="4"/>
  <c r="T24" i="4"/>
  <c r="S29" i="4"/>
  <c r="AB7" i="4"/>
  <c r="AB12" i="4" s="1"/>
  <c r="AC11" i="4"/>
  <c r="AC51" i="4"/>
  <c r="S43" i="5" l="1"/>
  <c r="S44" i="5" s="1"/>
  <c r="S53" i="5" s="1"/>
  <c r="Q53" i="2"/>
  <c r="U31" i="10"/>
  <c r="V31" i="10" s="1"/>
  <c r="W31" i="10" s="1"/>
  <c r="T36" i="10"/>
  <c r="T29" i="10"/>
  <c r="U24" i="10"/>
  <c r="T47" i="10"/>
  <c r="T52" i="10" s="1"/>
  <c r="U46" i="10"/>
  <c r="S23" i="10"/>
  <c r="T20" i="10"/>
  <c r="T43" i="10" s="1"/>
  <c r="T44" i="10" s="1"/>
  <c r="S43" i="10"/>
  <c r="S44" i="10" s="1"/>
  <c r="S53" i="10" s="1"/>
  <c r="V14" i="10"/>
  <c r="T47" i="9"/>
  <c r="T52" i="9" s="1"/>
  <c r="U46" i="9"/>
  <c r="W41" i="9"/>
  <c r="S29" i="9"/>
  <c r="T24" i="9"/>
  <c r="T43" i="9" s="1"/>
  <c r="T44" i="9" s="1"/>
  <c r="U20" i="9"/>
  <c r="T23" i="9"/>
  <c r="S53" i="9"/>
  <c r="U31" i="9"/>
  <c r="V31" i="9" s="1"/>
  <c r="T36" i="9"/>
  <c r="S29" i="8"/>
  <c r="T24" i="8"/>
  <c r="T43" i="8" s="1"/>
  <c r="T47" i="8"/>
  <c r="T52" i="8" s="1"/>
  <c r="U46" i="8"/>
  <c r="U41" i="8"/>
  <c r="S43" i="8"/>
  <c r="S44" i="8" s="1"/>
  <c r="S53" i="8" s="1"/>
  <c r="T11" i="8"/>
  <c r="T12" i="8" s="1"/>
  <c r="U9" i="8"/>
  <c r="V31" i="8"/>
  <c r="W31" i="8" s="1"/>
  <c r="U36" i="8"/>
  <c r="U20" i="7"/>
  <c r="T23" i="7"/>
  <c r="Y25" i="7"/>
  <c r="U46" i="7"/>
  <c r="T47" i="7"/>
  <c r="S51" i="7"/>
  <c r="S52" i="7" s="1"/>
  <c r="T49" i="7"/>
  <c r="U30" i="7"/>
  <c r="T36" i="7"/>
  <c r="AA31" i="7"/>
  <c r="S43" i="7"/>
  <c r="T41" i="7"/>
  <c r="R44" i="7"/>
  <c r="R53" i="7" s="1"/>
  <c r="U28" i="7"/>
  <c r="T29" i="7"/>
  <c r="T11" i="7"/>
  <c r="U9" i="7"/>
  <c r="S7" i="7"/>
  <c r="S12" i="7" s="1"/>
  <c r="S51" i="2"/>
  <c r="T49" i="2"/>
  <c r="T7" i="2"/>
  <c r="S43" i="2"/>
  <c r="R44" i="2"/>
  <c r="T46" i="2"/>
  <c r="S47" i="2"/>
  <c r="T29" i="2"/>
  <c r="V23" i="2"/>
  <c r="R52" i="2"/>
  <c r="S11" i="2"/>
  <c r="S12" i="2" s="1"/>
  <c r="S36" i="2"/>
  <c r="T23" i="6"/>
  <c r="U20" i="6"/>
  <c r="V31" i="6"/>
  <c r="U36" i="6"/>
  <c r="S29" i="6"/>
  <c r="T24" i="6"/>
  <c r="T43" i="6" s="1"/>
  <c r="T44" i="6" s="1"/>
  <c r="S47" i="6"/>
  <c r="S52" i="6" s="1"/>
  <c r="S53" i="6" s="1"/>
  <c r="T46" i="6"/>
  <c r="U41" i="5"/>
  <c r="T24" i="5"/>
  <c r="S29" i="5"/>
  <c r="U31" i="5"/>
  <c r="V31" i="5" s="1"/>
  <c r="W31" i="5" s="1"/>
  <c r="T36" i="5"/>
  <c r="S23" i="5"/>
  <c r="T20" i="5"/>
  <c r="T47" i="5"/>
  <c r="T52" i="5" s="1"/>
  <c r="U46" i="5"/>
  <c r="U24" i="4"/>
  <c r="T29" i="4"/>
  <c r="S23" i="4"/>
  <c r="T20" i="4"/>
  <c r="T43" i="4" s="1"/>
  <c r="T44" i="4" s="1"/>
  <c r="T53" i="4" s="1"/>
  <c r="U47" i="4"/>
  <c r="U52" i="4" s="1"/>
  <c r="V46" i="4"/>
  <c r="S43" i="4"/>
  <c r="S44" i="4" s="1"/>
  <c r="S53" i="4" s="1"/>
  <c r="U41" i="4"/>
  <c r="T36" i="4"/>
  <c r="U31" i="4"/>
  <c r="AD11" i="4"/>
  <c r="AC7" i="4"/>
  <c r="AC12" i="4" s="1"/>
  <c r="AD51" i="4"/>
  <c r="S52" i="2" l="1"/>
  <c r="T53" i="9"/>
  <c r="T53" i="10"/>
  <c r="R53" i="2"/>
  <c r="T44" i="8"/>
  <c r="T53" i="8" s="1"/>
  <c r="U29" i="10"/>
  <c r="V24" i="10"/>
  <c r="U47" i="10"/>
  <c r="U52" i="10" s="1"/>
  <c r="V46" i="10"/>
  <c r="W14" i="10"/>
  <c r="X14" i="10" s="1"/>
  <c r="U20" i="10"/>
  <c r="T23" i="10"/>
  <c r="U36" i="10"/>
  <c r="U36" i="9"/>
  <c r="T29" i="9"/>
  <c r="U24" i="9"/>
  <c r="X41" i="9"/>
  <c r="V20" i="9"/>
  <c r="U23" i="9"/>
  <c r="U47" i="9"/>
  <c r="U52" i="9" s="1"/>
  <c r="V46" i="9"/>
  <c r="V36" i="8"/>
  <c r="U11" i="8"/>
  <c r="U12" i="8" s="1"/>
  <c r="V9" i="8"/>
  <c r="V41" i="8"/>
  <c r="T29" i="8"/>
  <c r="U24" i="8"/>
  <c r="U47" i="8"/>
  <c r="U52" i="8" s="1"/>
  <c r="V46" i="8"/>
  <c r="T43" i="7"/>
  <c r="U41" i="7"/>
  <c r="V30" i="7"/>
  <c r="U36" i="7"/>
  <c r="AB31" i="7"/>
  <c r="AC31" i="7" s="1"/>
  <c r="T51" i="7"/>
  <c r="T52" i="7" s="1"/>
  <c r="U49" i="7"/>
  <c r="S44" i="7"/>
  <c r="S53" i="7" s="1"/>
  <c r="U47" i="7"/>
  <c r="V46" i="7"/>
  <c r="U6" i="7"/>
  <c r="T7" i="7"/>
  <c r="T12" i="7" s="1"/>
  <c r="U11" i="7"/>
  <c r="V9" i="7"/>
  <c r="Z25" i="7"/>
  <c r="V28" i="7"/>
  <c r="U29" i="7"/>
  <c r="V20" i="7"/>
  <c r="U23" i="7"/>
  <c r="U46" i="2"/>
  <c r="T47" i="2"/>
  <c r="S44" i="2"/>
  <c r="S53" i="2" s="1"/>
  <c r="U7" i="2"/>
  <c r="V6" i="2"/>
  <c r="U29" i="2"/>
  <c r="T43" i="2"/>
  <c r="T36" i="2"/>
  <c r="T11" i="2"/>
  <c r="T12" i="2" s="1"/>
  <c r="T51" i="2"/>
  <c r="U49" i="2"/>
  <c r="W23" i="2"/>
  <c r="T29" i="6"/>
  <c r="U24" i="6"/>
  <c r="U43" i="6" s="1"/>
  <c r="U44" i="6" s="1"/>
  <c r="W31" i="6"/>
  <c r="X31" i="6" s="1"/>
  <c r="V36" i="6"/>
  <c r="U23" i="6"/>
  <c r="V20" i="6"/>
  <c r="T47" i="6"/>
  <c r="T52" i="6" s="1"/>
  <c r="T53" i="6" s="1"/>
  <c r="U46" i="6"/>
  <c r="U47" i="5"/>
  <c r="U52" i="5" s="1"/>
  <c r="V46" i="5"/>
  <c r="U24" i="5"/>
  <c r="T29" i="5"/>
  <c r="T23" i="5"/>
  <c r="U20" i="5"/>
  <c r="U36" i="5"/>
  <c r="T43" i="5"/>
  <c r="T44" i="5" s="1"/>
  <c r="T53" i="5" s="1"/>
  <c r="V41" i="5"/>
  <c r="V31" i="4"/>
  <c r="W31" i="4" s="1"/>
  <c r="U36" i="4"/>
  <c r="V41" i="4"/>
  <c r="V47" i="4"/>
  <c r="V52" i="4" s="1"/>
  <c r="W46" i="4"/>
  <c r="T23" i="4"/>
  <c r="U20" i="4"/>
  <c r="U43" i="4" s="1"/>
  <c r="U44" i="4" s="1"/>
  <c r="U53" i="4" s="1"/>
  <c r="V24" i="4"/>
  <c r="U29" i="4"/>
  <c r="AD7" i="4"/>
  <c r="AD12" i="4" s="1"/>
  <c r="AE11" i="4"/>
  <c r="AE51" i="4"/>
  <c r="U43" i="5" l="1"/>
  <c r="U44" i="5" s="1"/>
  <c r="U53" i="5"/>
  <c r="T52" i="2"/>
  <c r="T44" i="7"/>
  <c r="T53" i="7" s="1"/>
  <c r="V47" i="10"/>
  <c r="V52" i="10" s="1"/>
  <c r="W46" i="10"/>
  <c r="V36" i="10"/>
  <c r="V20" i="10"/>
  <c r="U23" i="10"/>
  <c r="U43" i="10"/>
  <c r="U44" i="10" s="1"/>
  <c r="U53" i="10" s="1"/>
  <c r="V29" i="10"/>
  <c r="W24" i="10"/>
  <c r="U29" i="9"/>
  <c r="V24" i="9"/>
  <c r="V43" i="9" s="1"/>
  <c r="V44" i="9" s="1"/>
  <c r="V47" i="9"/>
  <c r="V52" i="9" s="1"/>
  <c r="W46" i="9"/>
  <c r="W20" i="9"/>
  <c r="V23" i="9"/>
  <c r="U43" i="9"/>
  <c r="U44" i="9" s="1"/>
  <c r="U53" i="9" s="1"/>
  <c r="Y41" i="9"/>
  <c r="W31" i="9"/>
  <c r="V36" i="9"/>
  <c r="V47" i="8"/>
  <c r="V52" i="8" s="1"/>
  <c r="W46" i="8"/>
  <c r="U29" i="8"/>
  <c r="V24" i="8"/>
  <c r="V43" i="8" s="1"/>
  <c r="U43" i="8"/>
  <c r="U44" i="8" s="1"/>
  <c r="U53" i="8" s="1"/>
  <c r="W41" i="8"/>
  <c r="V11" i="8"/>
  <c r="V12" i="8" s="1"/>
  <c r="W9" i="8"/>
  <c r="X31" i="8"/>
  <c r="W36" i="8"/>
  <c r="V11" i="7"/>
  <c r="W9" i="7"/>
  <c r="W20" i="7"/>
  <c r="V23" i="7"/>
  <c r="U51" i="7"/>
  <c r="U52" i="7" s="1"/>
  <c r="V49" i="7"/>
  <c r="U7" i="7"/>
  <c r="U12" i="7" s="1"/>
  <c r="V6" i="7"/>
  <c r="W28" i="7"/>
  <c r="X28" i="7" s="1"/>
  <c r="V29" i="7"/>
  <c r="W30" i="7"/>
  <c r="V36" i="7"/>
  <c r="V47" i="7"/>
  <c r="W46" i="7"/>
  <c r="U43" i="7"/>
  <c r="V41" i="7"/>
  <c r="AA25" i="7"/>
  <c r="T44" i="2"/>
  <c r="T53" i="2" s="1"/>
  <c r="U36" i="2"/>
  <c r="U11" i="2"/>
  <c r="U12" i="2" s="1"/>
  <c r="U43" i="2"/>
  <c r="X23" i="2"/>
  <c r="V29" i="2"/>
  <c r="U51" i="2"/>
  <c r="V49" i="2"/>
  <c r="W6" i="2"/>
  <c r="X6" i="2" s="1"/>
  <c r="Y6" i="2" s="1"/>
  <c r="V7" i="2"/>
  <c r="V46" i="2"/>
  <c r="U47" i="2"/>
  <c r="W14" i="6"/>
  <c r="U29" i="6"/>
  <c r="V24" i="6"/>
  <c r="U47" i="6"/>
  <c r="U52" i="6" s="1"/>
  <c r="U53" i="6" s="1"/>
  <c r="V46" i="6"/>
  <c r="W20" i="6"/>
  <c r="V23" i="6"/>
  <c r="W36" i="6"/>
  <c r="W41" i="5"/>
  <c r="U29" i="5"/>
  <c r="V24" i="5"/>
  <c r="V36" i="5"/>
  <c r="V47" i="5"/>
  <c r="V52" i="5" s="1"/>
  <c r="W46" i="5"/>
  <c r="U23" i="5"/>
  <c r="V20" i="5"/>
  <c r="W24" i="4"/>
  <c r="V29" i="4"/>
  <c r="W47" i="4"/>
  <c r="W52" i="4" s="1"/>
  <c r="X46" i="4"/>
  <c r="W41" i="4"/>
  <c r="V20" i="4"/>
  <c r="V43" i="4" s="1"/>
  <c r="V44" i="4" s="1"/>
  <c r="V53" i="4" s="1"/>
  <c r="U23" i="4"/>
  <c r="V36" i="4"/>
  <c r="AF11" i="4"/>
  <c r="AE7" i="4"/>
  <c r="AE12" i="4" s="1"/>
  <c r="AF51" i="4"/>
  <c r="V53" i="9" l="1"/>
  <c r="V44" i="8"/>
  <c r="V53" i="8" s="1"/>
  <c r="U44" i="7"/>
  <c r="U53" i="7" s="1"/>
  <c r="W29" i="10"/>
  <c r="X24" i="10"/>
  <c r="V23" i="10"/>
  <c r="W20" i="10"/>
  <c r="W43" i="10" s="1"/>
  <c r="W44" i="10" s="1"/>
  <c r="V43" i="10"/>
  <c r="V44" i="10" s="1"/>
  <c r="V53" i="10" s="1"/>
  <c r="X31" i="10"/>
  <c r="W36" i="10"/>
  <c r="W47" i="10"/>
  <c r="W52" i="10" s="1"/>
  <c r="X46" i="10"/>
  <c r="Y14" i="10"/>
  <c r="Z41" i="9"/>
  <c r="W47" i="9"/>
  <c r="W52" i="9" s="1"/>
  <c r="X46" i="9"/>
  <c r="W23" i="9"/>
  <c r="X20" i="9"/>
  <c r="V29" i="9"/>
  <c r="W24" i="9"/>
  <c r="W43" i="9" s="1"/>
  <c r="W44" i="9" s="1"/>
  <c r="X31" i="9"/>
  <c r="W36" i="9"/>
  <c r="Y31" i="8"/>
  <c r="X36" i="8"/>
  <c r="W11" i="8"/>
  <c r="W12" i="8" s="1"/>
  <c r="X9" i="8"/>
  <c r="X41" i="8"/>
  <c r="W47" i="8"/>
  <c r="W52" i="8" s="1"/>
  <c r="X46" i="8"/>
  <c r="V29" i="8"/>
  <c r="W24" i="8"/>
  <c r="X30" i="7"/>
  <c r="W36" i="7"/>
  <c r="W29" i="7"/>
  <c r="W23" i="7"/>
  <c r="X20" i="7"/>
  <c r="X9" i="7"/>
  <c r="W11" i="7"/>
  <c r="W6" i="7"/>
  <c r="V7" i="7"/>
  <c r="V12" i="7" s="1"/>
  <c r="V51" i="7"/>
  <c r="V52" i="7" s="1"/>
  <c r="W49" i="7"/>
  <c r="AD31" i="7"/>
  <c r="AB25" i="7"/>
  <c r="V43" i="7"/>
  <c r="W41" i="7"/>
  <c r="X46" i="7"/>
  <c r="W47" i="7"/>
  <c r="U44" i="2"/>
  <c r="W7" i="2"/>
  <c r="Y23" i="2"/>
  <c r="V43" i="2"/>
  <c r="V11" i="2"/>
  <c r="V12" i="2" s="1"/>
  <c r="W46" i="2"/>
  <c r="V47" i="2"/>
  <c r="V36" i="2"/>
  <c r="V51" i="2"/>
  <c r="W49" i="2"/>
  <c r="W29" i="2"/>
  <c r="U52" i="2"/>
  <c r="Y31" i="6"/>
  <c r="X36" i="6"/>
  <c r="W23" i="6"/>
  <c r="X20" i="6"/>
  <c r="V29" i="6"/>
  <c r="W24" i="6"/>
  <c r="W43" i="6" s="1"/>
  <c r="W44" i="6" s="1"/>
  <c r="V43" i="6"/>
  <c r="V44" i="6" s="1"/>
  <c r="V47" i="6"/>
  <c r="V52" i="6" s="1"/>
  <c r="W46" i="6"/>
  <c r="X14" i="6"/>
  <c r="V43" i="5"/>
  <c r="V44" i="5" s="1"/>
  <c r="V53" i="5" s="1"/>
  <c r="V23" i="5"/>
  <c r="W20" i="5"/>
  <c r="W47" i="5"/>
  <c r="W52" i="5" s="1"/>
  <c r="X46" i="5"/>
  <c r="X31" i="5"/>
  <c r="W36" i="5"/>
  <c r="V29" i="5"/>
  <c r="W24" i="5"/>
  <c r="X41" i="5"/>
  <c r="X47" i="4"/>
  <c r="X52" i="4" s="1"/>
  <c r="Y46" i="4"/>
  <c r="W20" i="4"/>
  <c r="W43" i="4" s="1"/>
  <c r="W44" i="4" s="1"/>
  <c r="W53" i="4" s="1"/>
  <c r="V23" i="4"/>
  <c r="X41" i="4"/>
  <c r="X31" i="4"/>
  <c r="W36" i="4"/>
  <c r="X24" i="4"/>
  <c r="W29" i="4"/>
  <c r="AG51" i="4"/>
  <c r="AF7" i="4"/>
  <c r="AF12" i="4" s="1"/>
  <c r="AG11" i="4"/>
  <c r="W53" i="10" l="1"/>
  <c r="W53" i="9"/>
  <c r="W43" i="5"/>
  <c r="W44" i="5" s="1"/>
  <c r="W53" i="5" s="1"/>
  <c r="V53" i="6"/>
  <c r="U53" i="2"/>
  <c r="V44" i="7"/>
  <c r="V53" i="7" s="1"/>
  <c r="W23" i="10"/>
  <c r="X20" i="10"/>
  <c r="Z14" i="10"/>
  <c r="Y31" i="10"/>
  <c r="X36" i="10"/>
  <c r="X47" i="10"/>
  <c r="X52" i="10" s="1"/>
  <c r="Y46" i="10"/>
  <c r="X29" i="10"/>
  <c r="Y24" i="10"/>
  <c r="X23" i="9"/>
  <c r="Y20" i="9"/>
  <c r="X47" i="9"/>
  <c r="X52" i="9" s="1"/>
  <c r="Y46" i="9"/>
  <c r="Y31" i="9"/>
  <c r="X36" i="9"/>
  <c r="AA41" i="9"/>
  <c r="W29" i="9"/>
  <c r="X24" i="9"/>
  <c r="X43" i="9" s="1"/>
  <c r="X44" i="9" s="1"/>
  <c r="X47" i="8"/>
  <c r="X52" i="8" s="1"/>
  <c r="Y46" i="8"/>
  <c r="Y41" i="8"/>
  <c r="X11" i="8"/>
  <c r="X12" i="8" s="1"/>
  <c r="Y9" i="8"/>
  <c r="W29" i="8"/>
  <c r="X24" i="8"/>
  <c r="W43" i="8"/>
  <c r="W44" i="8" s="1"/>
  <c r="W53" i="8" s="1"/>
  <c r="Y36" i="8"/>
  <c r="Z31" i="8"/>
  <c r="AE31" i="7"/>
  <c r="Y9" i="7"/>
  <c r="X11" i="7"/>
  <c r="Y28" i="7"/>
  <c r="X29" i="7"/>
  <c r="W51" i="7"/>
  <c r="W52" i="7" s="1"/>
  <c r="X49" i="7"/>
  <c r="X23" i="7"/>
  <c r="Y20" i="7"/>
  <c r="Y30" i="7"/>
  <c r="X36" i="7"/>
  <c r="Y46" i="7"/>
  <c r="X47" i="7"/>
  <c r="W43" i="7"/>
  <c r="X41" i="7"/>
  <c r="AC25" i="7"/>
  <c r="AD25" i="7" s="1"/>
  <c r="W7" i="7"/>
  <c r="W12" i="7" s="1"/>
  <c r="X6" i="7"/>
  <c r="V44" i="2"/>
  <c r="W43" i="2"/>
  <c r="W51" i="2"/>
  <c r="X49" i="2"/>
  <c r="V52" i="2"/>
  <c r="W11" i="2"/>
  <c r="W12" i="2" s="1"/>
  <c r="W36" i="2"/>
  <c r="W47" i="2"/>
  <c r="X46" i="2"/>
  <c r="Z23" i="2"/>
  <c r="X29" i="2"/>
  <c r="X7" i="2"/>
  <c r="Y14" i="6"/>
  <c r="W47" i="6"/>
  <c r="W52" i="6" s="1"/>
  <c r="W53" i="6" s="1"/>
  <c r="X46" i="6"/>
  <c r="W29" i="6"/>
  <c r="X24" i="6"/>
  <c r="X43" i="6" s="1"/>
  <c r="X44" i="6" s="1"/>
  <c r="Y20" i="6"/>
  <c r="X23" i="6"/>
  <c r="Y36" i="6"/>
  <c r="Z31" i="6"/>
  <c r="Y41" i="5"/>
  <c r="W29" i="5"/>
  <c r="X24" i="5"/>
  <c r="W23" i="5"/>
  <c r="X20" i="5"/>
  <c r="Y31" i="5"/>
  <c r="X36" i="5"/>
  <c r="X47" i="5"/>
  <c r="X52" i="5" s="1"/>
  <c r="Y46" i="5"/>
  <c r="X20" i="4"/>
  <c r="X43" i="4" s="1"/>
  <c r="X44" i="4" s="1"/>
  <c r="X53" i="4" s="1"/>
  <c r="W23" i="4"/>
  <c r="Y24" i="4"/>
  <c r="X29" i="4"/>
  <c r="Y31" i="4"/>
  <c r="X36" i="4"/>
  <c r="Y47" i="4"/>
  <c r="Y52" i="4" s="1"/>
  <c r="Z46" i="4"/>
  <c r="Y41" i="4"/>
  <c r="AG7" i="4"/>
  <c r="AG12" i="4" s="1"/>
  <c r="AH11" i="4"/>
  <c r="AH51" i="4"/>
  <c r="X53" i="9" l="1"/>
  <c r="W52" i="2"/>
  <c r="W44" i="7"/>
  <c r="Y36" i="10"/>
  <c r="Z31" i="10"/>
  <c r="AA14" i="10"/>
  <c r="Y29" i="10"/>
  <c r="Z24" i="10"/>
  <c r="X23" i="10"/>
  <c r="Y20" i="10"/>
  <c r="X43" i="10"/>
  <c r="X44" i="10" s="1"/>
  <c r="X53" i="10" s="1"/>
  <c r="Y47" i="10"/>
  <c r="Y52" i="10" s="1"/>
  <c r="Z46" i="10"/>
  <c r="Y36" i="9"/>
  <c r="Z31" i="9"/>
  <c r="Y47" i="9"/>
  <c r="Y52" i="9" s="1"/>
  <c r="Z46" i="9"/>
  <c r="Y23" i="9"/>
  <c r="Z20" i="9"/>
  <c r="X29" i="9"/>
  <c r="Y24" i="9"/>
  <c r="Y43" i="9" s="1"/>
  <c r="Y44" i="9" s="1"/>
  <c r="AB41" i="9"/>
  <c r="X29" i="8"/>
  <c r="Y24" i="8"/>
  <c r="Y43" i="8" s="1"/>
  <c r="Y11" i="8"/>
  <c r="Y12" i="8" s="1"/>
  <c r="Z9" i="8"/>
  <c r="Z41" i="8"/>
  <c r="X43" i="8"/>
  <c r="X44" i="8" s="1"/>
  <c r="X53" i="8" s="1"/>
  <c r="Z36" i="8"/>
  <c r="AA31" i="8"/>
  <c r="Y47" i="8"/>
  <c r="Y52" i="8" s="1"/>
  <c r="Z46" i="8"/>
  <c r="Z30" i="7"/>
  <c r="Y36" i="7"/>
  <c r="X7" i="7"/>
  <c r="X12" i="7" s="1"/>
  <c r="Y6" i="7"/>
  <c r="Y47" i="7"/>
  <c r="Z46" i="7"/>
  <c r="Z28" i="7"/>
  <c r="Y29" i="7"/>
  <c r="Y23" i="7"/>
  <c r="Z20" i="7"/>
  <c r="Y41" i="7"/>
  <c r="X43" i="7"/>
  <c r="X51" i="7"/>
  <c r="X52" i="7" s="1"/>
  <c r="Y49" i="7"/>
  <c r="W53" i="7"/>
  <c r="Y11" i="7"/>
  <c r="Z9" i="7"/>
  <c r="AF31" i="7"/>
  <c r="W44" i="2"/>
  <c r="W53" i="2" s="1"/>
  <c r="V53" i="2"/>
  <c r="Y7" i="2"/>
  <c r="Z6" i="2"/>
  <c r="X51" i="2"/>
  <c r="Y49" i="2"/>
  <c r="X43" i="2"/>
  <c r="Y46" i="2"/>
  <c r="X47" i="2"/>
  <c r="X36" i="2"/>
  <c r="X11" i="2"/>
  <c r="X12" i="2" s="1"/>
  <c r="Y29" i="2"/>
  <c r="AA23" i="2"/>
  <c r="Z20" i="6"/>
  <c r="Y23" i="6"/>
  <c r="Z14" i="6"/>
  <c r="AA14" i="6" s="1"/>
  <c r="AB14" i="6" s="1"/>
  <c r="Z36" i="6"/>
  <c r="AA31" i="6"/>
  <c r="X29" i="6"/>
  <c r="Y24" i="6"/>
  <c r="X47" i="6"/>
  <c r="X52" i="6" s="1"/>
  <c r="X53" i="6" s="1"/>
  <c r="Y46" i="6"/>
  <c r="Y47" i="5"/>
  <c r="Y52" i="5" s="1"/>
  <c r="Z46" i="5"/>
  <c r="Y20" i="5"/>
  <c r="X23" i="5"/>
  <c r="X29" i="5"/>
  <c r="Y24" i="5"/>
  <c r="Z41" i="5"/>
  <c r="Z31" i="5"/>
  <c r="AA31" i="5" s="1"/>
  <c r="AB31" i="5" s="1"/>
  <c r="Y36" i="5"/>
  <c r="X43" i="5"/>
  <c r="X44" i="5" s="1"/>
  <c r="X53" i="5" s="1"/>
  <c r="Z47" i="4"/>
  <c r="Z52" i="4" s="1"/>
  <c r="AA46" i="4"/>
  <c r="Z24" i="4"/>
  <c r="Y29" i="4"/>
  <c r="Z41" i="4"/>
  <c r="Y36" i="4"/>
  <c r="Z31" i="4"/>
  <c r="Y20" i="4"/>
  <c r="X23" i="4"/>
  <c r="AI11" i="4"/>
  <c r="AH7" i="4"/>
  <c r="AH12" i="4" s="1"/>
  <c r="AI51" i="4"/>
  <c r="Y43" i="5" l="1"/>
  <c r="Y44" i="5" s="1"/>
  <c r="Y53" i="5" s="1"/>
  <c r="Y53" i="9"/>
  <c r="X52" i="2"/>
  <c r="AB14" i="10"/>
  <c r="Z36" i="10"/>
  <c r="AA31" i="10"/>
  <c r="Z29" i="10"/>
  <c r="AA24" i="10"/>
  <c r="Z47" i="10"/>
  <c r="Z52" i="10" s="1"/>
  <c r="AA46" i="10"/>
  <c r="Y23" i="10"/>
  <c r="Z20" i="10"/>
  <c r="Y43" i="10"/>
  <c r="Y44" i="10" s="1"/>
  <c r="Y53" i="10" s="1"/>
  <c r="Z47" i="9"/>
  <c r="Z52" i="9" s="1"/>
  <c r="AA46" i="9"/>
  <c r="AC41" i="9"/>
  <c r="Y29" i="9"/>
  <c r="Z24" i="9"/>
  <c r="Z43" i="9" s="1"/>
  <c r="Z44" i="9" s="1"/>
  <c r="Z36" i="9"/>
  <c r="AA31" i="9"/>
  <c r="Z23" i="9"/>
  <c r="AA20" i="9"/>
  <c r="Z47" i="8"/>
  <c r="Z52" i="8" s="1"/>
  <c r="AA46" i="8"/>
  <c r="Z11" i="8"/>
  <c r="Z12" i="8" s="1"/>
  <c r="AA9" i="8"/>
  <c r="AA36" i="8"/>
  <c r="AB31" i="8"/>
  <c r="Y44" i="8"/>
  <c r="Y53" i="8" s="1"/>
  <c r="AA41" i="8"/>
  <c r="Y29" i="8"/>
  <c r="Z24" i="8"/>
  <c r="Z43" i="8" s="1"/>
  <c r="Z47" i="7"/>
  <c r="AA46" i="7"/>
  <c r="AG31" i="7"/>
  <c r="X44" i="7"/>
  <c r="X53" i="7" s="1"/>
  <c r="Z41" i="7"/>
  <c r="Y43" i="7"/>
  <c r="AA28" i="7"/>
  <c r="Z29" i="7"/>
  <c r="AE25" i="7"/>
  <c r="Z11" i="7"/>
  <c r="AA9" i="7"/>
  <c r="Z23" i="7"/>
  <c r="AA20" i="7"/>
  <c r="Y7" i="7"/>
  <c r="Y12" i="7" s="1"/>
  <c r="Z6" i="7"/>
  <c r="Y51" i="7"/>
  <c r="Y52" i="7" s="1"/>
  <c r="Z49" i="7"/>
  <c r="AA30" i="7"/>
  <c r="Z36" i="7"/>
  <c r="AB23" i="2"/>
  <c r="Y11" i="2"/>
  <c r="Y12" i="2" s="1"/>
  <c r="Y36" i="2"/>
  <c r="X44" i="2"/>
  <c r="Y47" i="2"/>
  <c r="Z46" i="2"/>
  <c r="Y43" i="2"/>
  <c r="Y51" i="2"/>
  <c r="Z49" i="2"/>
  <c r="Z7" i="2"/>
  <c r="AA6" i="2"/>
  <c r="Z29" i="2"/>
  <c r="Y29" i="6"/>
  <c r="Z24" i="6"/>
  <c r="Z43" i="6" s="1"/>
  <c r="Z44" i="6" s="1"/>
  <c r="Y47" i="6"/>
  <c r="Y52" i="6" s="1"/>
  <c r="Z46" i="6"/>
  <c r="AA36" i="6"/>
  <c r="AB31" i="6"/>
  <c r="Z23" i="6"/>
  <c r="AA20" i="6"/>
  <c r="Y43" i="6"/>
  <c r="Y44" i="6" s="1"/>
  <c r="Z36" i="5"/>
  <c r="Y29" i="5"/>
  <c r="Z24" i="5"/>
  <c r="Z20" i="5"/>
  <c r="Y23" i="5"/>
  <c r="AA41" i="5"/>
  <c r="Z47" i="5"/>
  <c r="Z52" i="5" s="1"/>
  <c r="AA46" i="5"/>
  <c r="AA31" i="4"/>
  <c r="Z36" i="4"/>
  <c r="Z20" i="4"/>
  <c r="Z43" i="4" s="1"/>
  <c r="Z44" i="4" s="1"/>
  <c r="Z53" i="4" s="1"/>
  <c r="Y23" i="4"/>
  <c r="Y43" i="4"/>
  <c r="Y44" i="4" s="1"/>
  <c r="Y53" i="4" s="1"/>
  <c r="AA41" i="4"/>
  <c r="AA24" i="4"/>
  <c r="Z29" i="4"/>
  <c r="AB46" i="4"/>
  <c r="AA47" i="4"/>
  <c r="AA52" i="4" s="1"/>
  <c r="AJ11" i="4"/>
  <c r="AI7" i="4"/>
  <c r="AI12" i="4" s="1"/>
  <c r="AJ51" i="4"/>
  <c r="X53" i="2" l="1"/>
  <c r="Z43" i="5"/>
  <c r="Z44" i="5" s="1"/>
  <c r="Z53" i="5" s="1"/>
  <c r="Y53" i="6"/>
  <c r="Z53" i="9"/>
  <c r="Y44" i="7"/>
  <c r="Y53" i="7" s="1"/>
  <c r="AA36" i="10"/>
  <c r="AB31" i="10"/>
  <c r="AC31" i="10" s="1"/>
  <c r="AA47" i="10"/>
  <c r="AA52" i="10" s="1"/>
  <c r="AB46" i="10"/>
  <c r="AA29" i="10"/>
  <c r="AB24" i="10"/>
  <c r="Z23" i="10"/>
  <c r="AA20" i="10"/>
  <c r="AA43" i="10" s="1"/>
  <c r="AA44" i="10" s="1"/>
  <c r="Z43" i="10"/>
  <c r="Z44" i="10" s="1"/>
  <c r="Z53" i="10" s="1"/>
  <c r="AC14" i="10"/>
  <c r="AD41" i="9"/>
  <c r="AA23" i="9"/>
  <c r="AB20" i="9"/>
  <c r="Z29" i="9"/>
  <c r="AA24" i="9"/>
  <c r="AA43" i="9" s="1"/>
  <c r="AA44" i="9" s="1"/>
  <c r="AA47" i="9"/>
  <c r="AA52" i="9" s="1"/>
  <c r="AB46" i="9"/>
  <c r="AA36" i="9"/>
  <c r="AB31" i="9"/>
  <c r="AC31" i="9" s="1"/>
  <c r="AD31" i="9" s="1"/>
  <c r="Z29" i="8"/>
  <c r="AA24" i="8"/>
  <c r="AA43" i="8" s="1"/>
  <c r="AA11" i="8"/>
  <c r="AA12" i="8" s="1"/>
  <c r="AB9" i="8"/>
  <c r="Z44" i="8"/>
  <c r="Z53" i="8" s="1"/>
  <c r="AB36" i="8"/>
  <c r="AC31" i="8"/>
  <c r="AD31" i="8" s="1"/>
  <c r="AA47" i="8"/>
  <c r="AA52" i="8" s="1"/>
  <c r="AB46" i="8"/>
  <c r="AB41" i="8"/>
  <c r="AA11" i="7"/>
  <c r="AB9" i="7"/>
  <c r="AF25" i="7"/>
  <c r="Z51" i="7"/>
  <c r="Z52" i="7" s="1"/>
  <c r="AA49" i="7"/>
  <c r="AH31" i="7"/>
  <c r="AA23" i="7"/>
  <c r="AB20" i="7"/>
  <c r="AB28" i="7"/>
  <c r="AA29" i="7"/>
  <c r="AA41" i="7"/>
  <c r="Z43" i="7"/>
  <c r="AB30" i="7"/>
  <c r="AA36" i="7"/>
  <c r="Z7" i="7"/>
  <c r="Z12" i="7" s="1"/>
  <c r="AA6" i="7"/>
  <c r="AB6" i="7" s="1"/>
  <c r="AA47" i="7"/>
  <c r="AB46" i="7"/>
  <c r="Y44" i="2"/>
  <c r="Z51" i="2"/>
  <c r="AA49" i="2"/>
  <c r="Z43" i="2"/>
  <c r="Z47" i="2"/>
  <c r="AA46" i="2"/>
  <c r="AC23" i="2"/>
  <c r="Y52" i="2"/>
  <c r="Z36" i="2"/>
  <c r="Z11" i="2"/>
  <c r="Z12" i="2" s="1"/>
  <c r="AA29" i="2"/>
  <c r="AA7" i="2"/>
  <c r="AB6" i="2"/>
  <c r="AC6" i="2" s="1"/>
  <c r="Z47" i="6"/>
  <c r="Z52" i="6" s="1"/>
  <c r="Z53" i="6" s="1"/>
  <c r="AA46" i="6"/>
  <c r="AA23" i="6"/>
  <c r="AB20" i="6"/>
  <c r="AB36" i="6"/>
  <c r="AC31" i="6"/>
  <c r="Z29" i="6"/>
  <c r="AA24" i="6"/>
  <c r="AA47" i="5"/>
  <c r="AA52" i="5" s="1"/>
  <c r="AB46" i="5"/>
  <c r="AB41" i="5"/>
  <c r="Z23" i="5"/>
  <c r="AA20" i="5"/>
  <c r="AA36" i="5"/>
  <c r="Z29" i="5"/>
  <c r="AA24" i="5"/>
  <c r="AC46" i="4"/>
  <c r="AB47" i="4"/>
  <c r="AB52" i="4" s="1"/>
  <c r="AA20" i="4"/>
  <c r="AA43" i="4" s="1"/>
  <c r="AA44" i="4" s="1"/>
  <c r="AA53" i="4" s="1"/>
  <c r="Z23" i="4"/>
  <c r="AB24" i="4"/>
  <c r="AA29" i="4"/>
  <c r="AB41" i="4"/>
  <c r="AB31" i="4"/>
  <c r="AA36" i="4"/>
  <c r="AJ7" i="4"/>
  <c r="AJ12" i="4" s="1"/>
  <c r="AK11" i="4"/>
  <c r="AK51" i="4"/>
  <c r="AA53" i="10" l="1"/>
  <c r="AA53" i="9"/>
  <c r="Z52" i="2"/>
  <c r="AB47" i="10"/>
  <c r="AB52" i="10" s="1"/>
  <c r="AC46" i="10"/>
  <c r="AD14" i="10"/>
  <c r="AA23" i="10"/>
  <c r="AB20" i="10"/>
  <c r="AB29" i="10"/>
  <c r="AC24" i="10"/>
  <c r="AB36" i="10"/>
  <c r="AB36" i="9"/>
  <c r="AB23" i="9"/>
  <c r="AC20" i="9"/>
  <c r="AA29" i="9"/>
  <c r="AB24" i="9"/>
  <c r="AE41" i="9"/>
  <c r="AB47" i="9"/>
  <c r="AB52" i="9" s="1"/>
  <c r="AC46" i="9"/>
  <c r="AB47" i="8"/>
  <c r="AB52" i="8" s="1"/>
  <c r="AC46" i="8"/>
  <c r="AC9" i="8"/>
  <c r="AB11" i="8"/>
  <c r="AB12" i="8" s="1"/>
  <c r="AA44" i="8"/>
  <c r="AA53" i="8" s="1"/>
  <c r="AC41" i="8"/>
  <c r="AC36" i="8"/>
  <c r="AA29" i="8"/>
  <c r="AB24" i="8"/>
  <c r="AB43" i="8" s="1"/>
  <c r="AC28" i="7"/>
  <c r="AB29" i="7"/>
  <c r="AA43" i="7"/>
  <c r="AB41" i="7"/>
  <c r="AG25" i="7"/>
  <c r="AA7" i="7"/>
  <c r="AA12" i="7" s="1"/>
  <c r="AC30" i="7"/>
  <c r="AB36" i="7"/>
  <c r="AB23" i="7"/>
  <c r="AC20" i="7"/>
  <c r="Z44" i="7"/>
  <c r="Z53" i="7" s="1"/>
  <c r="AC9" i="7"/>
  <c r="AB11" i="7"/>
  <c r="AI31" i="7"/>
  <c r="AA51" i="7"/>
  <c r="AA52" i="7" s="1"/>
  <c r="AB49" i="7"/>
  <c r="AB47" i="7"/>
  <c r="AC46" i="7"/>
  <c r="Y53" i="2"/>
  <c r="Z44" i="2"/>
  <c r="AA36" i="2"/>
  <c r="AA51" i="2"/>
  <c r="AB49" i="2"/>
  <c r="AD23" i="2"/>
  <c r="AA47" i="2"/>
  <c r="AB46" i="2"/>
  <c r="AB7" i="2"/>
  <c r="AB29" i="2"/>
  <c r="AA43" i="2"/>
  <c r="AA11" i="2"/>
  <c r="AA12" i="2" s="1"/>
  <c r="AB23" i="6"/>
  <c r="AC20" i="6"/>
  <c r="AA29" i="6"/>
  <c r="AB24" i="6"/>
  <c r="AB43" i="6" s="1"/>
  <c r="AB44" i="6" s="1"/>
  <c r="AC36" i="6"/>
  <c r="AD31" i="6"/>
  <c r="AA43" i="6"/>
  <c r="AA44" i="6" s="1"/>
  <c r="AA47" i="6"/>
  <c r="AA52" i="6" s="1"/>
  <c r="AB46" i="6"/>
  <c r="AC14" i="6"/>
  <c r="AB36" i="5"/>
  <c r="AC31" i="5"/>
  <c r="AA29" i="5"/>
  <c r="AB24" i="5"/>
  <c r="AA43" i="5"/>
  <c r="AA44" i="5" s="1"/>
  <c r="AA53" i="5" s="1"/>
  <c r="AB20" i="5"/>
  <c r="AA23" i="5"/>
  <c r="AB47" i="5"/>
  <c r="AB52" i="5" s="1"/>
  <c r="AC46" i="5"/>
  <c r="AC41" i="5"/>
  <c r="AA23" i="4"/>
  <c r="AB20" i="4"/>
  <c r="AB43" i="4" s="1"/>
  <c r="AB44" i="4" s="1"/>
  <c r="AB53" i="4" s="1"/>
  <c r="AB36" i="4"/>
  <c r="AC31" i="4"/>
  <c r="AD31" i="4" s="1"/>
  <c r="AE31" i="4" s="1"/>
  <c r="AC24" i="4"/>
  <c r="AB29" i="4"/>
  <c r="AC41" i="4"/>
  <c r="AD46" i="4"/>
  <c r="AC47" i="4"/>
  <c r="AC52" i="4" s="1"/>
  <c r="AN51" i="5"/>
  <c r="AK7" i="4"/>
  <c r="AK12" i="4" s="1"/>
  <c r="AL11" i="4"/>
  <c r="AL51" i="4"/>
  <c r="AB43" i="5" l="1"/>
  <c r="AB44" i="5" s="1"/>
  <c r="Z53" i="2"/>
  <c r="AB53" i="5"/>
  <c r="AA52" i="2"/>
  <c r="AA44" i="7"/>
  <c r="AA53" i="7" s="1"/>
  <c r="AE14" i="10"/>
  <c r="AF14" i="10" s="1"/>
  <c r="AC36" i="10"/>
  <c r="AD31" i="10"/>
  <c r="AB23" i="10"/>
  <c r="AC20" i="10"/>
  <c r="AC43" i="10" s="1"/>
  <c r="AC44" i="10" s="1"/>
  <c r="AB43" i="10"/>
  <c r="AB44" i="10" s="1"/>
  <c r="AB53" i="10" s="1"/>
  <c r="AC47" i="10"/>
  <c r="AC52" i="10" s="1"/>
  <c r="AD46" i="10"/>
  <c r="AC29" i="10"/>
  <c r="AD24" i="10"/>
  <c r="AB29" i="9"/>
  <c r="AC24" i="9"/>
  <c r="AC43" i="9" s="1"/>
  <c r="AC44" i="9" s="1"/>
  <c r="AB43" i="9"/>
  <c r="AB44" i="9" s="1"/>
  <c r="AB53" i="9" s="1"/>
  <c r="AC47" i="9"/>
  <c r="AC52" i="9" s="1"/>
  <c r="AD46" i="9"/>
  <c r="AF41" i="9"/>
  <c r="AC23" i="9"/>
  <c r="AD20" i="9"/>
  <c r="AC36" i="9"/>
  <c r="AB44" i="8"/>
  <c r="AB53" i="8" s="1"/>
  <c r="AC11" i="8"/>
  <c r="AC12" i="8" s="1"/>
  <c r="AD9" i="8"/>
  <c r="AC47" i="8"/>
  <c r="AC52" i="8" s="1"/>
  <c r="AD46" i="8"/>
  <c r="AB29" i="8"/>
  <c r="AC24" i="8"/>
  <c r="AC43" i="8" s="1"/>
  <c r="AD36" i="8"/>
  <c r="AE31" i="8"/>
  <c r="AD41" i="8"/>
  <c r="AD9" i="7"/>
  <c r="AC11" i="7"/>
  <c r="AD30" i="7"/>
  <c r="AC36" i="7"/>
  <c r="AC47" i="7"/>
  <c r="AD46" i="7"/>
  <c r="AB43" i="7"/>
  <c r="AC41" i="7"/>
  <c r="AB7" i="7"/>
  <c r="AB12" i="7" s="1"/>
  <c r="AC6" i="7"/>
  <c r="AC23" i="7"/>
  <c r="AD20" i="7"/>
  <c r="AH25" i="7"/>
  <c r="AJ31" i="7"/>
  <c r="AC49" i="7"/>
  <c r="AB51" i="7"/>
  <c r="AB52" i="7" s="1"/>
  <c r="AD28" i="7"/>
  <c r="AC29" i="7"/>
  <c r="AA44" i="2"/>
  <c r="AC29" i="2"/>
  <c r="AB47" i="2"/>
  <c r="AC46" i="2"/>
  <c r="AE23" i="2"/>
  <c r="AB36" i="2"/>
  <c r="AC7" i="2"/>
  <c r="AD6" i="2"/>
  <c r="AC49" i="2"/>
  <c r="AB51" i="2"/>
  <c r="AB11" i="2"/>
  <c r="AB12" i="2" s="1"/>
  <c r="AB43" i="2"/>
  <c r="AD14" i="6"/>
  <c r="AB47" i="6"/>
  <c r="AB52" i="6" s="1"/>
  <c r="AB53" i="6" s="1"/>
  <c r="AC46" i="6"/>
  <c r="AC23" i="6"/>
  <c r="AD20" i="6"/>
  <c r="AA53" i="6"/>
  <c r="AD36" i="6"/>
  <c r="AE31" i="6"/>
  <c r="AB29" i="6"/>
  <c r="AC24" i="6"/>
  <c r="AC43" i="6" s="1"/>
  <c r="AC44" i="6" s="1"/>
  <c r="AD41" i="5"/>
  <c r="AC36" i="5"/>
  <c r="AD31" i="5"/>
  <c r="AC47" i="5"/>
  <c r="AC52" i="5" s="1"/>
  <c r="AD46" i="5"/>
  <c r="AB23" i="5"/>
  <c r="AC20" i="5"/>
  <c r="AB29" i="5"/>
  <c r="AC24" i="5"/>
  <c r="AC36" i="4"/>
  <c r="AD47" i="4"/>
  <c r="AD52" i="4" s="1"/>
  <c r="AE46" i="4"/>
  <c r="AD24" i="4"/>
  <c r="AC29" i="4"/>
  <c r="AC20" i="4"/>
  <c r="AC43" i="4" s="1"/>
  <c r="AC44" i="4" s="1"/>
  <c r="AC53" i="4" s="1"/>
  <c r="AB23" i="4"/>
  <c r="AD41" i="4"/>
  <c r="AN7" i="9"/>
  <c r="AN51" i="10"/>
  <c r="AN51" i="9"/>
  <c r="AN7" i="8"/>
  <c r="AN51" i="8"/>
  <c r="AN51" i="6"/>
  <c r="AN7" i="5"/>
  <c r="AN11" i="5"/>
  <c r="AM51" i="4"/>
  <c r="AN51" i="4"/>
  <c r="AN11" i="4"/>
  <c r="AM11" i="4"/>
  <c r="AL7" i="4"/>
  <c r="AL12" i="4" s="1"/>
  <c r="AC53" i="9" l="1"/>
  <c r="AA53" i="2"/>
  <c r="AB44" i="7"/>
  <c r="AB53" i="7" s="1"/>
  <c r="AC53" i="10"/>
  <c r="AC23" i="10"/>
  <c r="AD20" i="10"/>
  <c r="AD43" i="10" s="1"/>
  <c r="AD44" i="10" s="1"/>
  <c r="AD36" i="10"/>
  <c r="AE31" i="10"/>
  <c r="AD29" i="10"/>
  <c r="AE24" i="10"/>
  <c r="AE46" i="10"/>
  <c r="AD47" i="10"/>
  <c r="AD52" i="10" s="1"/>
  <c r="AG41" i="9"/>
  <c r="AD23" i="9"/>
  <c r="AE20" i="9"/>
  <c r="AE46" i="9"/>
  <c r="AD47" i="9"/>
  <c r="AD52" i="9" s="1"/>
  <c r="AD36" i="9"/>
  <c r="AE31" i="9"/>
  <c r="AC29" i="9"/>
  <c r="AD24" i="9"/>
  <c r="AD43" i="9" s="1"/>
  <c r="AD44" i="9" s="1"/>
  <c r="AE41" i="8"/>
  <c r="AE36" i="8"/>
  <c r="AF31" i="8"/>
  <c r="AC29" i="8"/>
  <c r="AD24" i="8"/>
  <c r="AE46" i="8"/>
  <c r="AD47" i="8"/>
  <c r="AD52" i="8" s="1"/>
  <c r="AE9" i="8"/>
  <c r="AD11" i="8"/>
  <c r="AD12" i="8" s="1"/>
  <c r="AC44" i="8"/>
  <c r="AC53" i="8" s="1"/>
  <c r="AD23" i="7"/>
  <c r="AE20" i="7"/>
  <c r="AC7" i="7"/>
  <c r="AC12" i="7" s="1"/>
  <c r="AD6" i="7"/>
  <c r="AD47" i="7"/>
  <c r="AE46" i="7"/>
  <c r="AE30" i="7"/>
  <c r="AD36" i="7"/>
  <c r="AI25" i="7"/>
  <c r="AD49" i="7"/>
  <c r="AC51" i="7"/>
  <c r="AC52" i="7" s="1"/>
  <c r="AC43" i="7"/>
  <c r="AD41" i="7"/>
  <c r="AE28" i="7"/>
  <c r="AF28" i="7" s="1"/>
  <c r="AD29" i="7"/>
  <c r="AK31" i="7"/>
  <c r="AL31" i="7" s="1"/>
  <c r="AE9" i="7"/>
  <c r="AD11" i="7"/>
  <c r="AB44" i="2"/>
  <c r="AD49" i="2"/>
  <c r="AC51" i="2"/>
  <c r="AF23" i="2"/>
  <c r="AD29" i="2"/>
  <c r="AC36" i="2"/>
  <c r="AC47" i="2"/>
  <c r="AD46" i="2"/>
  <c r="AC43" i="2"/>
  <c r="AD7" i="2"/>
  <c r="AE6" i="2"/>
  <c r="AB52" i="2"/>
  <c r="AC11" i="2"/>
  <c r="AC12" i="2" s="1"/>
  <c r="AE36" i="6"/>
  <c r="AF31" i="6"/>
  <c r="AC29" i="6"/>
  <c r="AD24" i="6"/>
  <c r="AD43" i="6" s="1"/>
  <c r="AD44" i="6" s="1"/>
  <c r="AD23" i="6"/>
  <c r="AE20" i="6"/>
  <c r="AC47" i="6"/>
  <c r="AC52" i="6" s="1"/>
  <c r="AC53" i="6" s="1"/>
  <c r="AD46" i="6"/>
  <c r="AE14" i="6"/>
  <c r="AF14" i="6" s="1"/>
  <c r="AG14" i="6" s="1"/>
  <c r="AC29" i="5"/>
  <c r="AD24" i="5"/>
  <c r="AC23" i="5"/>
  <c r="AD20" i="5"/>
  <c r="AE41" i="5"/>
  <c r="AE46" i="5"/>
  <c r="AD47" i="5"/>
  <c r="AD52" i="5" s="1"/>
  <c r="AD36" i="5"/>
  <c r="AE31" i="5"/>
  <c r="AC43" i="5"/>
  <c r="AC44" i="5" s="1"/>
  <c r="AC53" i="5" s="1"/>
  <c r="AE41" i="4"/>
  <c r="AD20" i="4"/>
  <c r="AC23" i="4"/>
  <c r="AE24" i="4"/>
  <c r="AD29" i="4"/>
  <c r="AD36" i="4"/>
  <c r="AE47" i="4"/>
  <c r="AE52" i="4" s="1"/>
  <c r="AF46" i="4"/>
  <c r="AN7" i="10"/>
  <c r="AN11" i="9"/>
  <c r="AN12" i="9" s="1"/>
  <c r="AN11" i="10"/>
  <c r="AN23" i="8"/>
  <c r="AN11" i="6"/>
  <c r="AN7" i="6"/>
  <c r="AN12" i="5"/>
  <c r="AM7" i="4"/>
  <c r="AM12" i="4" s="1"/>
  <c r="AN7" i="4"/>
  <c r="AN12" i="4" s="1"/>
  <c r="AD43" i="5" l="1"/>
  <c r="AD44" i="5" s="1"/>
  <c r="AD53" i="9"/>
  <c r="AB53" i="2"/>
  <c r="AD53" i="10"/>
  <c r="AN12" i="6"/>
  <c r="AC52" i="2"/>
  <c r="AG14" i="10"/>
  <c r="AF46" i="10"/>
  <c r="AE47" i="10"/>
  <c r="AE52" i="10" s="1"/>
  <c r="AE36" i="10"/>
  <c r="AF31" i="10"/>
  <c r="AN12" i="10"/>
  <c r="AD23" i="10"/>
  <c r="AE20" i="10"/>
  <c r="AF24" i="10"/>
  <c r="AE29" i="10"/>
  <c r="AE47" i="9"/>
  <c r="AE52" i="9" s="1"/>
  <c r="AF46" i="9"/>
  <c r="AE23" i="9"/>
  <c r="AF20" i="9"/>
  <c r="AE36" i="9"/>
  <c r="AF31" i="9"/>
  <c r="AH41" i="9"/>
  <c r="AE24" i="9"/>
  <c r="AE43" i="9" s="1"/>
  <c r="AE44" i="9" s="1"/>
  <c r="AD29" i="9"/>
  <c r="AF46" i="8"/>
  <c r="AE47" i="8"/>
  <c r="AE52" i="8" s="1"/>
  <c r="AE11" i="8"/>
  <c r="AE12" i="8" s="1"/>
  <c r="AF9" i="8"/>
  <c r="AE24" i="8"/>
  <c r="AE43" i="8" s="1"/>
  <c r="AD29" i="8"/>
  <c r="AG31" i="8"/>
  <c r="AF36" i="8"/>
  <c r="AF41" i="8"/>
  <c r="AD43" i="8"/>
  <c r="AD44" i="8" s="1"/>
  <c r="AD53" i="8" s="1"/>
  <c r="AD43" i="7"/>
  <c r="AE41" i="7"/>
  <c r="AJ25" i="7"/>
  <c r="AK25" i="7" s="1"/>
  <c r="AE49" i="7"/>
  <c r="AD51" i="7"/>
  <c r="AD52" i="7" s="1"/>
  <c r="AD7" i="7"/>
  <c r="AD12" i="7" s="1"/>
  <c r="AE6" i="7"/>
  <c r="AF6" i="7" s="1"/>
  <c r="AC44" i="7"/>
  <c r="AC53" i="7" s="1"/>
  <c r="AF30" i="7"/>
  <c r="AE36" i="7"/>
  <c r="AE23" i="7"/>
  <c r="AF20" i="7"/>
  <c r="AE47" i="7"/>
  <c r="AF46" i="7"/>
  <c r="AE11" i="7"/>
  <c r="AF9" i="7"/>
  <c r="AE29" i="7"/>
  <c r="AC44" i="2"/>
  <c r="AC53" i="2" s="1"/>
  <c r="AE29" i="2"/>
  <c r="AD43" i="2"/>
  <c r="AD47" i="2"/>
  <c r="AE46" i="2"/>
  <c r="AD36" i="2"/>
  <c r="AD11" i="2"/>
  <c r="AD12" i="2" s="1"/>
  <c r="AE7" i="2"/>
  <c r="AF6" i="2"/>
  <c r="AG6" i="2" s="1"/>
  <c r="AE49" i="2"/>
  <c r="AD51" i="2"/>
  <c r="AG23" i="2"/>
  <c r="AE23" i="6"/>
  <c r="AF20" i="6"/>
  <c r="AE24" i="6"/>
  <c r="AE43" i="6" s="1"/>
  <c r="AE44" i="6" s="1"/>
  <c r="AD29" i="6"/>
  <c r="AE46" i="6"/>
  <c r="AD47" i="6"/>
  <c r="AD52" i="6" s="1"/>
  <c r="AD53" i="6" s="1"/>
  <c r="AG31" i="6"/>
  <c r="AF36" i="6"/>
  <c r="AF46" i="5"/>
  <c r="AE47" i="5"/>
  <c r="AE52" i="5" s="1"/>
  <c r="AE36" i="5"/>
  <c r="AF31" i="5"/>
  <c r="AF41" i="5"/>
  <c r="AE24" i="5"/>
  <c r="AD29" i="5"/>
  <c r="AD53" i="5"/>
  <c r="AD23" i="5"/>
  <c r="AE20" i="5"/>
  <c r="AG46" i="4"/>
  <c r="AF47" i="4"/>
  <c r="AF52" i="4" s="1"/>
  <c r="AE36" i="4"/>
  <c r="AF31" i="4"/>
  <c r="AD23" i="4"/>
  <c r="AE20" i="4"/>
  <c r="AE43" i="4" s="1"/>
  <c r="AE44" i="4" s="1"/>
  <c r="AE53" i="4" s="1"/>
  <c r="AF24" i="4"/>
  <c r="AE29" i="4"/>
  <c r="AD43" i="4"/>
  <c r="AD44" i="4" s="1"/>
  <c r="AD53" i="4" s="1"/>
  <c r="AF41" i="4"/>
  <c r="AE53" i="9" l="1"/>
  <c r="AE43" i="5"/>
  <c r="AE44" i="5" s="1"/>
  <c r="AE53" i="5" s="1"/>
  <c r="AD44" i="7"/>
  <c r="AE23" i="10"/>
  <c r="AF20" i="10"/>
  <c r="AF43" i="10" s="1"/>
  <c r="AF44" i="10" s="1"/>
  <c r="AE43" i="10"/>
  <c r="AE44" i="10" s="1"/>
  <c r="AE53" i="10" s="1"/>
  <c r="AF47" i="10"/>
  <c r="AF52" i="10" s="1"/>
  <c r="AG46" i="10"/>
  <c r="AG24" i="10"/>
  <c r="AF29" i="10"/>
  <c r="AH14" i="10"/>
  <c r="AG31" i="10"/>
  <c r="AF36" i="10"/>
  <c r="AF23" i="9"/>
  <c r="AG20" i="9"/>
  <c r="AG46" i="9"/>
  <c r="AF47" i="9"/>
  <c r="AF52" i="9" s="1"/>
  <c r="AF24" i="9"/>
  <c r="AF43" i="9" s="1"/>
  <c r="AF44" i="9" s="1"/>
  <c r="AE29" i="9"/>
  <c r="AI41" i="9"/>
  <c r="AG31" i="9"/>
  <c r="AF36" i="9"/>
  <c r="AF11" i="8"/>
  <c r="AF12" i="8" s="1"/>
  <c r="AG9" i="8"/>
  <c r="AE44" i="8"/>
  <c r="AE53" i="8" s="1"/>
  <c r="AH31" i="8"/>
  <c r="AG36" i="8"/>
  <c r="AF24" i="8"/>
  <c r="AE29" i="8"/>
  <c r="AF43" i="8"/>
  <c r="AG41" i="8"/>
  <c r="AG46" i="8"/>
  <c r="AF47" i="8"/>
  <c r="AF52" i="8" s="1"/>
  <c r="AG20" i="7"/>
  <c r="AF23" i="7"/>
  <c r="AM31" i="7"/>
  <c r="AG9" i="7"/>
  <c r="AF11" i="7"/>
  <c r="AD53" i="7"/>
  <c r="AE51" i="7"/>
  <c r="AE52" i="7" s="1"/>
  <c r="AF49" i="7"/>
  <c r="AF47" i="7"/>
  <c r="AG46" i="7"/>
  <c r="AE43" i="7"/>
  <c r="AF41" i="7"/>
  <c r="AG30" i="7"/>
  <c r="AF36" i="7"/>
  <c r="AE7" i="7"/>
  <c r="AE12" i="7" s="1"/>
  <c r="AG28" i="7"/>
  <c r="AF29" i="7"/>
  <c r="AD44" i="2"/>
  <c r="AE51" i="2"/>
  <c r="AF49" i="2"/>
  <c r="AE47" i="2"/>
  <c r="AF46" i="2"/>
  <c r="AE43" i="2"/>
  <c r="AF7" i="2"/>
  <c r="AE11" i="2"/>
  <c r="AE12" i="2" s="1"/>
  <c r="AD52" i="2"/>
  <c r="AE36" i="2"/>
  <c r="AH23" i="2"/>
  <c r="AF29" i="2"/>
  <c r="AE47" i="6"/>
  <c r="AE52" i="6" s="1"/>
  <c r="AE53" i="6" s="1"/>
  <c r="AF46" i="6"/>
  <c r="AF24" i="6"/>
  <c r="AF43" i="6" s="1"/>
  <c r="AF44" i="6" s="1"/>
  <c r="AE29" i="6"/>
  <c r="AH31" i="6"/>
  <c r="AI31" i="6" s="1"/>
  <c r="AG36" i="6"/>
  <c r="AF23" i="6"/>
  <c r="AG20" i="6"/>
  <c r="AE23" i="5"/>
  <c r="AF20" i="5"/>
  <c r="AF47" i="5"/>
  <c r="AF52" i="5" s="1"/>
  <c r="AG46" i="5"/>
  <c r="AF24" i="5"/>
  <c r="AE29" i="5"/>
  <c r="AG41" i="5"/>
  <c r="AG31" i="5"/>
  <c r="AF36" i="5"/>
  <c r="AG41" i="4"/>
  <c r="AF20" i="4"/>
  <c r="AE23" i="4"/>
  <c r="AG31" i="4"/>
  <c r="AF36" i="4"/>
  <c r="AG24" i="4"/>
  <c r="AF29" i="4"/>
  <c r="AH46" i="4"/>
  <c r="AG47" i="4"/>
  <c r="AG52" i="4" s="1"/>
  <c r="AF53" i="9" l="1"/>
  <c r="AF43" i="5"/>
  <c r="AF44" i="5" s="1"/>
  <c r="AF53" i="5" s="1"/>
  <c r="AF53" i="10"/>
  <c r="AE52" i="2"/>
  <c r="AH24" i="10"/>
  <c r="AG29" i="10"/>
  <c r="AF23" i="10"/>
  <c r="AG20" i="10"/>
  <c r="AH31" i="10"/>
  <c r="AI31" i="10" s="1"/>
  <c r="AG36" i="10"/>
  <c r="AI14" i="10"/>
  <c r="AG47" i="10"/>
  <c r="AG52" i="10" s="1"/>
  <c r="AH46" i="10"/>
  <c r="AH31" i="9"/>
  <c r="AG36" i="9"/>
  <c r="AG47" i="9"/>
  <c r="AG52" i="9" s="1"/>
  <c r="AH46" i="9"/>
  <c r="AG24" i="9"/>
  <c r="AG43" i="9" s="1"/>
  <c r="AG44" i="9" s="1"/>
  <c r="AF29" i="9"/>
  <c r="AG23" i="9"/>
  <c r="AH20" i="9"/>
  <c r="AJ41" i="9"/>
  <c r="AG47" i="8"/>
  <c r="AG52" i="8" s="1"/>
  <c r="AH46" i="8"/>
  <c r="AI31" i="8"/>
  <c r="AJ31" i="8" s="1"/>
  <c r="AH36" i="8"/>
  <c r="AH41" i="8"/>
  <c r="AG24" i="8"/>
  <c r="AG43" i="8" s="1"/>
  <c r="AF29" i="8"/>
  <c r="AG11" i="8"/>
  <c r="AG12" i="8" s="1"/>
  <c r="AH9" i="8"/>
  <c r="AF44" i="8"/>
  <c r="AF53" i="8" s="1"/>
  <c r="AH28" i="7"/>
  <c r="AG29" i="7"/>
  <c r="AF43" i="7"/>
  <c r="AG41" i="7"/>
  <c r="AN31" i="7"/>
  <c r="AH30" i="7"/>
  <c r="AG36" i="7"/>
  <c r="AG47" i="7"/>
  <c r="AH46" i="7"/>
  <c r="AL25" i="7"/>
  <c r="AE44" i="7"/>
  <c r="AE53" i="7" s="1"/>
  <c r="AF51" i="7"/>
  <c r="AF52" i="7" s="1"/>
  <c r="AG49" i="7"/>
  <c r="AG11" i="7"/>
  <c r="AH9" i="7"/>
  <c r="AF7" i="7"/>
  <c r="AF12" i="7" s="1"/>
  <c r="AG6" i="7"/>
  <c r="AH20" i="7"/>
  <c r="AG23" i="7"/>
  <c r="AD53" i="2"/>
  <c r="AE44" i="2"/>
  <c r="AF51" i="2"/>
  <c r="AG49" i="2"/>
  <c r="AF11" i="2"/>
  <c r="AF12" i="2" s="1"/>
  <c r="AF47" i="2"/>
  <c r="AG46" i="2"/>
  <c r="AG29" i="2"/>
  <c r="AI23" i="2"/>
  <c r="AG7" i="2"/>
  <c r="AH6" i="2"/>
  <c r="AF43" i="2"/>
  <c r="AF36" i="2"/>
  <c r="AH36" i="6"/>
  <c r="AH14" i="6"/>
  <c r="AG23" i="6"/>
  <c r="AH20" i="6"/>
  <c r="AG24" i="6"/>
  <c r="AF29" i="6"/>
  <c r="AG46" i="6"/>
  <c r="AF47" i="6"/>
  <c r="AF52" i="6" s="1"/>
  <c r="AF53" i="6" s="1"/>
  <c r="AG47" i="5"/>
  <c r="AG52" i="5" s="1"/>
  <c r="AH46" i="5"/>
  <c r="AH31" i="5"/>
  <c r="AG36" i="5"/>
  <c r="AH41" i="5"/>
  <c r="AG24" i="5"/>
  <c r="AF29" i="5"/>
  <c r="AF23" i="5"/>
  <c r="AG20" i="5"/>
  <c r="AI46" i="4"/>
  <c r="AH47" i="4"/>
  <c r="AH52" i="4" s="1"/>
  <c r="AG36" i="4"/>
  <c r="AH31" i="4"/>
  <c r="AF23" i="4"/>
  <c r="AG20" i="4"/>
  <c r="AG43" i="4" s="1"/>
  <c r="AG44" i="4" s="1"/>
  <c r="AG53" i="4" s="1"/>
  <c r="AH24" i="4"/>
  <c r="AG29" i="4"/>
  <c r="AF43" i="4"/>
  <c r="AF44" i="4" s="1"/>
  <c r="AF53" i="4" s="1"/>
  <c r="AH41" i="4"/>
  <c r="AE53" i="2" l="1"/>
  <c r="AG53" i="9"/>
  <c r="AF52" i="2"/>
  <c r="AG44" i="8"/>
  <c r="AG53" i="8" s="1"/>
  <c r="AF44" i="7"/>
  <c r="AF53" i="7" s="1"/>
  <c r="AH47" i="10"/>
  <c r="AH52" i="10" s="1"/>
  <c r="AI46" i="10"/>
  <c r="AG23" i="10"/>
  <c r="AH20" i="10"/>
  <c r="AG43" i="10"/>
  <c r="AG44" i="10" s="1"/>
  <c r="AG53" i="10" s="1"/>
  <c r="AJ14" i="10"/>
  <c r="AH36" i="10"/>
  <c r="AH29" i="10"/>
  <c r="AI24" i="10"/>
  <c r="AH23" i="9"/>
  <c r="AI20" i="9"/>
  <c r="AK41" i="9"/>
  <c r="AH47" i="9"/>
  <c r="AH52" i="9" s="1"/>
  <c r="AI46" i="9"/>
  <c r="AH24" i="9"/>
  <c r="AG29" i="9"/>
  <c r="AI31" i="9"/>
  <c r="AH36" i="9"/>
  <c r="AH43" i="9"/>
  <c r="AH44" i="9" s="1"/>
  <c r="AI36" i="8"/>
  <c r="AH11" i="8"/>
  <c r="AH12" i="8" s="1"/>
  <c r="AI9" i="8"/>
  <c r="AH47" i="8"/>
  <c r="AH52" i="8" s="1"/>
  <c r="AI46" i="8"/>
  <c r="AH24" i="8"/>
  <c r="AH43" i="8" s="1"/>
  <c r="AG29" i="8"/>
  <c r="AI41" i="8"/>
  <c r="AI46" i="7"/>
  <c r="AH47" i="7"/>
  <c r="AG43" i="7"/>
  <c r="AH41" i="7"/>
  <c r="AG51" i="7"/>
  <c r="AG52" i="7" s="1"/>
  <c r="AH49" i="7"/>
  <c r="AM25" i="7"/>
  <c r="AI30" i="7"/>
  <c r="AH36" i="7"/>
  <c r="AI20" i="7"/>
  <c r="AH23" i="7"/>
  <c r="AG7" i="7"/>
  <c r="AG12" i="7" s="1"/>
  <c r="AH6" i="7"/>
  <c r="AI6" i="7" s="1"/>
  <c r="AI9" i="7"/>
  <c r="AH11" i="7"/>
  <c r="AI28" i="7"/>
  <c r="AH29" i="7"/>
  <c r="AF44" i="2"/>
  <c r="AG43" i="2"/>
  <c r="AH7" i="2"/>
  <c r="AI6" i="2"/>
  <c r="AJ6" i="2" s="1"/>
  <c r="AH29" i="2"/>
  <c r="AJ23" i="2"/>
  <c r="AG47" i="2"/>
  <c r="AH46" i="2"/>
  <c r="AG51" i="2"/>
  <c r="AH49" i="2"/>
  <c r="AG11" i="2"/>
  <c r="AG12" i="2" s="1"/>
  <c r="AG36" i="2"/>
  <c r="AG47" i="6"/>
  <c r="AG52" i="6" s="1"/>
  <c r="AH46" i="6"/>
  <c r="AH24" i="6"/>
  <c r="AH43" i="6" s="1"/>
  <c r="AH44" i="6" s="1"/>
  <c r="AG29" i="6"/>
  <c r="AH23" i="6"/>
  <c r="AI20" i="6"/>
  <c r="AI14" i="6"/>
  <c r="AG43" i="6"/>
  <c r="AG44" i="6" s="1"/>
  <c r="AJ31" i="6"/>
  <c r="AI36" i="6"/>
  <c r="AG23" i="5"/>
  <c r="AH20" i="5"/>
  <c r="AG43" i="5"/>
  <c r="AG44" i="5" s="1"/>
  <c r="AG53" i="5" s="1"/>
  <c r="AH47" i="5"/>
  <c r="AH52" i="5" s="1"/>
  <c r="AI46" i="5"/>
  <c r="AH24" i="5"/>
  <c r="AG29" i="5"/>
  <c r="AI41" i="5"/>
  <c r="AI31" i="5"/>
  <c r="AH36" i="5"/>
  <c r="AH36" i="4"/>
  <c r="AI31" i="4"/>
  <c r="AJ31" i="4" s="1"/>
  <c r="AI41" i="4"/>
  <c r="AI24" i="4"/>
  <c r="AH29" i="4"/>
  <c r="AG23" i="4"/>
  <c r="AH20" i="4"/>
  <c r="AI47" i="4"/>
  <c r="AI52" i="4" s="1"/>
  <c r="AJ46" i="4"/>
  <c r="AF53" i="2" l="1"/>
  <c r="AH43" i="5"/>
  <c r="AH44" i="5" s="1"/>
  <c r="AH53" i="9"/>
  <c r="AG44" i="7"/>
  <c r="AG53" i="7" s="1"/>
  <c r="AG53" i="6"/>
  <c r="AH53" i="5"/>
  <c r="AG44" i="2"/>
  <c r="AJ31" i="10"/>
  <c r="AI36" i="10"/>
  <c r="AH23" i="10"/>
  <c r="AI20" i="10"/>
  <c r="AH43" i="10"/>
  <c r="AH44" i="10" s="1"/>
  <c r="AH53" i="10" s="1"/>
  <c r="AI29" i="10"/>
  <c r="AJ24" i="10"/>
  <c r="AI47" i="10"/>
  <c r="AI52" i="10" s="1"/>
  <c r="AJ46" i="10"/>
  <c r="AK14" i="10"/>
  <c r="AJ31" i="9"/>
  <c r="AI36" i="9"/>
  <c r="AI24" i="9"/>
  <c r="AI43" i="9" s="1"/>
  <c r="AI44" i="9" s="1"/>
  <c r="AH29" i="9"/>
  <c r="AL41" i="9"/>
  <c r="AI47" i="9"/>
  <c r="AI52" i="9" s="1"/>
  <c r="AJ46" i="9"/>
  <c r="AI23" i="9"/>
  <c r="AJ20" i="9"/>
  <c r="AH44" i="8"/>
  <c r="AH53" i="8" s="1"/>
  <c r="AJ41" i="8"/>
  <c r="AI24" i="8"/>
  <c r="AI43" i="8" s="1"/>
  <c r="AH29" i="8"/>
  <c r="AI47" i="8"/>
  <c r="AI52" i="8" s="1"/>
  <c r="AJ46" i="8"/>
  <c r="AI11" i="8"/>
  <c r="AI12" i="8" s="1"/>
  <c r="AJ9" i="8"/>
  <c r="AK31" i="8"/>
  <c r="AJ36" i="8"/>
  <c r="AH7" i="7"/>
  <c r="AH12" i="7" s="1"/>
  <c r="AJ30" i="7"/>
  <c r="AI36" i="7"/>
  <c r="AH51" i="7"/>
  <c r="AH52" i="7" s="1"/>
  <c r="AI49" i="7"/>
  <c r="AJ20" i="7"/>
  <c r="AI23" i="7"/>
  <c r="AN25" i="7"/>
  <c r="AJ28" i="7"/>
  <c r="AI29" i="7"/>
  <c r="AH43" i="7"/>
  <c r="AI41" i="7"/>
  <c r="AI11" i="7"/>
  <c r="AJ9" i="7"/>
  <c r="AJ46" i="7"/>
  <c r="AI47" i="7"/>
  <c r="AH51" i="2"/>
  <c r="AI49" i="2"/>
  <c r="AH43" i="2"/>
  <c r="AG52" i="2"/>
  <c r="AK23" i="2"/>
  <c r="AI29" i="2"/>
  <c r="AH36" i="2"/>
  <c r="AH11" i="2"/>
  <c r="AH12" i="2" s="1"/>
  <c r="AI46" i="2"/>
  <c r="AH47" i="2"/>
  <c r="AI7" i="2"/>
  <c r="AI24" i="6"/>
  <c r="AH29" i="6"/>
  <c r="AI23" i="6"/>
  <c r="AJ20" i="6"/>
  <c r="AH47" i="6"/>
  <c r="AH52" i="6" s="1"/>
  <c r="AH53" i="6" s="1"/>
  <c r="AI46" i="6"/>
  <c r="AK31" i="6"/>
  <c r="AJ36" i="6"/>
  <c r="AI43" i="6"/>
  <c r="AI44" i="6" s="1"/>
  <c r="AJ14" i="6"/>
  <c r="AJ41" i="5"/>
  <c r="AJ31" i="5"/>
  <c r="AI36" i="5"/>
  <c r="AH23" i="5"/>
  <c r="AI20" i="5"/>
  <c r="AI24" i="5"/>
  <c r="AH29" i="5"/>
  <c r="AI47" i="5"/>
  <c r="AI52" i="5" s="1"/>
  <c r="AJ46" i="5"/>
  <c r="AH23" i="4"/>
  <c r="AI20" i="4"/>
  <c r="AI43" i="4" s="1"/>
  <c r="AI44" i="4" s="1"/>
  <c r="AI53" i="4" s="1"/>
  <c r="AJ24" i="4"/>
  <c r="AI29" i="4"/>
  <c r="AI36" i="4"/>
  <c r="AK46" i="4"/>
  <c r="AJ47" i="4"/>
  <c r="AJ52" i="4" s="1"/>
  <c r="AH43" i="4"/>
  <c r="AH44" i="4" s="1"/>
  <c r="AH53" i="4" s="1"/>
  <c r="AJ41" i="4"/>
  <c r="AG53" i="2" l="1"/>
  <c r="AI53" i="9"/>
  <c r="AH52" i="2"/>
  <c r="AI23" i="10"/>
  <c r="AJ20" i="10"/>
  <c r="AL14" i="10"/>
  <c r="AJ47" i="10"/>
  <c r="AJ52" i="10" s="1"/>
  <c r="AK46" i="10"/>
  <c r="AK31" i="10"/>
  <c r="AJ36" i="10"/>
  <c r="AJ29" i="10"/>
  <c r="AK24" i="10"/>
  <c r="AI43" i="10"/>
  <c r="AI44" i="10" s="1"/>
  <c r="AI53" i="10" s="1"/>
  <c r="AJ47" i="9"/>
  <c r="AJ52" i="9" s="1"/>
  <c r="AK46" i="9"/>
  <c r="AK20" i="9"/>
  <c r="AJ23" i="9"/>
  <c r="AI29" i="9"/>
  <c r="AJ24" i="9"/>
  <c r="AJ43" i="9" s="1"/>
  <c r="AJ44" i="9" s="1"/>
  <c r="AM41" i="9"/>
  <c r="AK31" i="9"/>
  <c r="AL31" i="9" s="1"/>
  <c r="AJ36" i="9"/>
  <c r="AI44" i="8"/>
  <c r="AI53" i="8" s="1"/>
  <c r="AK41" i="8"/>
  <c r="AL31" i="8"/>
  <c r="AK36" i="8"/>
  <c r="AJ47" i="8"/>
  <c r="AJ52" i="8" s="1"/>
  <c r="AK46" i="8"/>
  <c r="AJ11" i="8"/>
  <c r="AJ12" i="8" s="1"/>
  <c r="AK9" i="8"/>
  <c r="AI29" i="8"/>
  <c r="AJ24" i="8"/>
  <c r="AJ43" i="8" s="1"/>
  <c r="AI43" i="7"/>
  <c r="AJ41" i="7"/>
  <c r="AK28" i="7"/>
  <c r="AJ29" i="7"/>
  <c r="AI51" i="7"/>
  <c r="AI52" i="7" s="1"/>
  <c r="AJ49" i="7"/>
  <c r="AH44" i="7"/>
  <c r="AH53" i="7" s="1"/>
  <c r="AK20" i="7"/>
  <c r="AJ23" i="7"/>
  <c r="AK30" i="7"/>
  <c r="AJ36" i="7"/>
  <c r="AK46" i="7"/>
  <c r="AJ47" i="7"/>
  <c r="AJ11" i="7"/>
  <c r="AK9" i="7"/>
  <c r="AI7" i="7"/>
  <c r="AI12" i="7" s="1"/>
  <c r="AJ6" i="7"/>
  <c r="AH44" i="2"/>
  <c r="AI36" i="2"/>
  <c r="AJ29" i="2"/>
  <c r="AL23" i="2"/>
  <c r="AI43" i="2"/>
  <c r="AJ46" i="2"/>
  <c r="AI47" i="2"/>
  <c r="AI11" i="2"/>
  <c r="AI12" i="2" s="1"/>
  <c r="AJ7" i="2"/>
  <c r="AK6" i="2"/>
  <c r="AI51" i="2"/>
  <c r="AJ49" i="2"/>
  <c r="AK14" i="6"/>
  <c r="AI47" i="6"/>
  <c r="AI52" i="6" s="1"/>
  <c r="AI53" i="6" s="1"/>
  <c r="AJ46" i="6"/>
  <c r="AL31" i="6"/>
  <c r="AK36" i="6"/>
  <c r="AJ23" i="6"/>
  <c r="AK20" i="6"/>
  <c r="AI29" i="6"/>
  <c r="AJ24" i="6"/>
  <c r="AI23" i="5"/>
  <c r="AJ20" i="5"/>
  <c r="AJ24" i="5"/>
  <c r="AI29" i="5"/>
  <c r="AK41" i="5"/>
  <c r="AJ47" i="5"/>
  <c r="AJ52" i="5" s="1"/>
  <c r="AK46" i="5"/>
  <c r="AK31" i="5"/>
  <c r="AJ36" i="5"/>
  <c r="AI43" i="5"/>
  <c r="AI44" i="5" s="1"/>
  <c r="AI53" i="5" s="1"/>
  <c r="AK41" i="4"/>
  <c r="AK47" i="4"/>
  <c r="AK52" i="4" s="1"/>
  <c r="AL46" i="4"/>
  <c r="AK31" i="4"/>
  <c r="AJ36" i="4"/>
  <c r="AK24" i="4"/>
  <c r="AJ29" i="4"/>
  <c r="AI23" i="4"/>
  <c r="AJ20" i="4"/>
  <c r="AH53" i="2" l="1"/>
  <c r="AJ43" i="5"/>
  <c r="AJ44" i="5" s="1"/>
  <c r="AJ53" i="5" s="1"/>
  <c r="AJ53" i="9"/>
  <c r="AI44" i="7"/>
  <c r="AK29" i="10"/>
  <c r="AL24" i="10"/>
  <c r="AM14" i="10"/>
  <c r="AN14" i="10" s="1"/>
  <c r="AL31" i="10"/>
  <c r="AK36" i="10"/>
  <c r="AK20" i="10"/>
  <c r="AJ23" i="10"/>
  <c r="AJ43" i="10"/>
  <c r="AJ44" i="10" s="1"/>
  <c r="AJ53" i="10" s="1"/>
  <c r="AK47" i="10"/>
  <c r="AK52" i="10" s="1"/>
  <c r="AL46" i="10"/>
  <c r="AN41" i="9"/>
  <c r="AK23" i="9"/>
  <c r="AL20" i="9"/>
  <c r="AK36" i="9"/>
  <c r="AK47" i="9"/>
  <c r="AK52" i="9" s="1"/>
  <c r="AL46" i="9"/>
  <c r="AJ29" i="9"/>
  <c r="AK24" i="9"/>
  <c r="AK43" i="9" s="1"/>
  <c r="AK44" i="9" s="1"/>
  <c r="AJ44" i="8"/>
  <c r="AJ53" i="8" s="1"/>
  <c r="AK47" i="8"/>
  <c r="AK52" i="8" s="1"/>
  <c r="AL46" i="8"/>
  <c r="AL41" i="8"/>
  <c r="AJ29" i="8"/>
  <c r="AK24" i="8"/>
  <c r="AK11" i="8"/>
  <c r="AK12" i="8" s="1"/>
  <c r="AL9" i="8"/>
  <c r="AM31" i="8"/>
  <c r="AL36" i="8"/>
  <c r="AL20" i="7"/>
  <c r="AK23" i="7"/>
  <c r="AL30" i="7"/>
  <c r="AK36" i="7"/>
  <c r="AK6" i="7"/>
  <c r="AJ7" i="7"/>
  <c r="AJ12" i="7" s="1"/>
  <c r="AJ43" i="7"/>
  <c r="AK41" i="7"/>
  <c r="AL46" i="7"/>
  <c r="AK47" i="7"/>
  <c r="AJ51" i="7"/>
  <c r="AJ52" i="7" s="1"/>
  <c r="AK49" i="7"/>
  <c r="AL28" i="7"/>
  <c r="AK29" i="7"/>
  <c r="AI53" i="7"/>
  <c r="AL9" i="7"/>
  <c r="AK11" i="7"/>
  <c r="AI44" i="2"/>
  <c r="AI52" i="2"/>
  <c r="AK7" i="2"/>
  <c r="AL6" i="2"/>
  <c r="AJ11" i="2"/>
  <c r="AJ12" i="2" s="1"/>
  <c r="AM23" i="2"/>
  <c r="AN23" i="2"/>
  <c r="AK29" i="2"/>
  <c r="AJ36" i="2"/>
  <c r="AK46" i="2"/>
  <c r="AJ47" i="2"/>
  <c r="AJ43" i="2"/>
  <c r="AJ51" i="2"/>
  <c r="AK49" i="2"/>
  <c r="AJ29" i="6"/>
  <c r="AK24" i="6"/>
  <c r="AK43" i="6" s="1"/>
  <c r="AK44" i="6" s="1"/>
  <c r="AK23" i="6"/>
  <c r="AL20" i="6"/>
  <c r="AM31" i="6"/>
  <c r="AN31" i="6" s="1"/>
  <c r="AL36" i="6"/>
  <c r="AJ47" i="6"/>
  <c r="AJ52" i="6" s="1"/>
  <c r="AK46" i="6"/>
  <c r="AJ43" i="6"/>
  <c r="AJ44" i="6" s="1"/>
  <c r="AL14" i="6"/>
  <c r="AM14" i="6" s="1"/>
  <c r="AN14" i="6" s="1"/>
  <c r="AL31" i="5"/>
  <c r="AK36" i="5"/>
  <c r="AK47" i="5"/>
  <c r="AK52" i="5" s="1"/>
  <c r="AL46" i="5"/>
  <c r="AL41" i="5"/>
  <c r="AJ23" i="5"/>
  <c r="AK20" i="5"/>
  <c r="AK24" i="5"/>
  <c r="AJ29" i="5"/>
  <c r="AJ23" i="4"/>
  <c r="AK20" i="4"/>
  <c r="AK43" i="4" s="1"/>
  <c r="AK44" i="4" s="1"/>
  <c r="AK53" i="4" s="1"/>
  <c r="AL24" i="4"/>
  <c r="AK29" i="4"/>
  <c r="AL31" i="4"/>
  <c r="AK36" i="4"/>
  <c r="AL47" i="4"/>
  <c r="AL52" i="4" s="1"/>
  <c r="AM46" i="4"/>
  <c r="AJ43" i="4"/>
  <c r="AJ44" i="4" s="1"/>
  <c r="AJ53" i="4" s="1"/>
  <c r="AL41" i="4"/>
  <c r="AJ52" i="2" l="1"/>
  <c r="AK43" i="5"/>
  <c r="AK44" i="5" s="1"/>
  <c r="AK53" i="5" s="1"/>
  <c r="AK53" i="9"/>
  <c r="AI53" i="2"/>
  <c r="AJ53" i="6"/>
  <c r="AL29" i="10"/>
  <c r="AM24" i="10"/>
  <c r="AK23" i="10"/>
  <c r="AL20" i="10"/>
  <c r="AM31" i="10"/>
  <c r="AL36" i="10"/>
  <c r="AL47" i="10"/>
  <c r="AL52" i="10" s="1"/>
  <c r="AM46" i="10"/>
  <c r="AK43" i="10"/>
  <c r="AK44" i="10" s="1"/>
  <c r="AK53" i="10" s="1"/>
  <c r="AK29" i="9"/>
  <c r="AL24" i="9"/>
  <c r="AL43" i="9" s="1"/>
  <c r="AL44" i="9" s="1"/>
  <c r="AL53" i="9" s="1"/>
  <c r="AM20" i="9"/>
  <c r="AL23" i="9"/>
  <c r="AL47" i="9"/>
  <c r="AL52" i="9" s="1"/>
  <c r="AM46" i="9"/>
  <c r="AM31" i="9"/>
  <c r="AL36" i="9"/>
  <c r="AM36" i="8"/>
  <c r="AN31" i="8"/>
  <c r="AN36" i="8" s="1"/>
  <c r="AL11" i="8"/>
  <c r="AL12" i="8" s="1"/>
  <c r="AM9" i="8"/>
  <c r="AK29" i="8"/>
  <c r="AL24" i="8"/>
  <c r="AL43" i="8" s="1"/>
  <c r="AK43" i="8"/>
  <c r="AK44" i="8" s="1"/>
  <c r="AK53" i="8" s="1"/>
  <c r="AM41" i="8"/>
  <c r="AL47" i="8"/>
  <c r="AL52" i="8" s="1"/>
  <c r="AM46" i="8"/>
  <c r="AM28" i="7"/>
  <c r="AL29" i="7"/>
  <c r="AK43" i="7"/>
  <c r="AL41" i="7"/>
  <c r="AM30" i="7"/>
  <c r="AL36" i="7"/>
  <c r="AK7" i="7"/>
  <c r="AK12" i="7" s="1"/>
  <c r="AL6" i="7"/>
  <c r="AM6" i="7" s="1"/>
  <c r="AK51" i="7"/>
  <c r="AK52" i="7" s="1"/>
  <c r="AL49" i="7"/>
  <c r="AM46" i="7"/>
  <c r="AL47" i="7"/>
  <c r="AJ44" i="7"/>
  <c r="AJ53" i="7" s="1"/>
  <c r="AL11" i="7"/>
  <c r="AM9" i="7"/>
  <c r="AM20" i="7"/>
  <c r="AL23" i="7"/>
  <c r="AJ44" i="2"/>
  <c r="AJ53" i="2" s="1"/>
  <c r="AL29" i="2"/>
  <c r="AL7" i="2"/>
  <c r="AM6" i="2"/>
  <c r="AN6" i="2" s="1"/>
  <c r="AL46" i="2"/>
  <c r="AK47" i="2"/>
  <c r="AK36" i="2"/>
  <c r="AK11" i="2"/>
  <c r="AK12" i="2" s="1"/>
  <c r="AK51" i="2"/>
  <c r="AL49" i="2"/>
  <c r="AK43" i="2"/>
  <c r="AK47" i="6"/>
  <c r="AK52" i="6" s="1"/>
  <c r="AK53" i="6" s="1"/>
  <c r="AL46" i="6"/>
  <c r="AM20" i="6"/>
  <c r="AL23" i="6"/>
  <c r="AK29" i="6"/>
  <c r="AL24" i="6"/>
  <c r="AM36" i="6"/>
  <c r="AN36" i="6"/>
  <c r="AK23" i="5"/>
  <c r="AL20" i="5"/>
  <c r="AL24" i="5"/>
  <c r="AK29" i="5"/>
  <c r="AM41" i="5"/>
  <c r="AL47" i="5"/>
  <c r="AL52" i="5" s="1"/>
  <c r="AM46" i="5"/>
  <c r="AM31" i="5"/>
  <c r="AL36" i="5"/>
  <c r="AM47" i="4"/>
  <c r="AM52" i="4" s="1"/>
  <c r="AN46" i="4"/>
  <c r="AN47" i="4" s="1"/>
  <c r="AN52" i="4" s="1"/>
  <c r="AM31" i="4"/>
  <c r="AL36" i="4"/>
  <c r="AM24" i="4"/>
  <c r="AL29" i="4"/>
  <c r="AL20" i="4"/>
  <c r="AL43" i="4" s="1"/>
  <c r="AL44" i="4" s="1"/>
  <c r="AL53" i="4" s="1"/>
  <c r="AK23" i="4"/>
  <c r="AM41" i="4"/>
  <c r="AL43" i="5" l="1"/>
  <c r="AL44" i="5" s="1"/>
  <c r="AL53" i="5" s="1"/>
  <c r="AK44" i="7"/>
  <c r="AK53" i="7" s="1"/>
  <c r="AM29" i="10"/>
  <c r="AN24" i="10"/>
  <c r="AN29" i="10" s="1"/>
  <c r="AL23" i="10"/>
  <c r="AM20" i="10"/>
  <c r="AM43" i="10" s="1"/>
  <c r="AM44" i="10" s="1"/>
  <c r="AL43" i="10"/>
  <c r="AL44" i="10" s="1"/>
  <c r="AL53" i="10" s="1"/>
  <c r="AM47" i="10"/>
  <c r="AM52" i="10" s="1"/>
  <c r="AN46" i="10"/>
  <c r="AN47" i="10" s="1"/>
  <c r="AN52" i="10" s="1"/>
  <c r="AM36" i="10"/>
  <c r="AN31" i="10"/>
  <c r="AN36" i="10" s="1"/>
  <c r="AM36" i="9"/>
  <c r="AN31" i="9"/>
  <c r="AL29" i="9"/>
  <c r="AM24" i="9"/>
  <c r="AM43" i="9" s="1"/>
  <c r="AM44" i="9" s="1"/>
  <c r="AM47" i="9"/>
  <c r="AM52" i="9" s="1"/>
  <c r="AN46" i="9"/>
  <c r="AN47" i="9" s="1"/>
  <c r="AN52" i="9" s="1"/>
  <c r="AM23" i="9"/>
  <c r="AN20" i="9"/>
  <c r="AN23" i="9" s="1"/>
  <c r="AM47" i="8"/>
  <c r="AM52" i="8" s="1"/>
  <c r="AN46" i="8"/>
  <c r="AN47" i="8" s="1"/>
  <c r="AN52" i="8" s="1"/>
  <c r="AN41" i="8"/>
  <c r="AL44" i="8"/>
  <c r="AL53" i="8" s="1"/>
  <c r="AM11" i="8"/>
  <c r="AM12" i="8" s="1"/>
  <c r="AN9" i="8"/>
  <c r="AN11" i="8" s="1"/>
  <c r="AN12" i="8" s="1"/>
  <c r="AL29" i="8"/>
  <c r="AM24" i="8"/>
  <c r="AL51" i="7"/>
  <c r="AL52" i="7" s="1"/>
  <c r="AM49" i="7"/>
  <c r="AL7" i="7"/>
  <c r="AL12" i="7" s="1"/>
  <c r="AN30" i="7"/>
  <c r="AN36" i="7" s="1"/>
  <c r="AM36" i="7"/>
  <c r="AM11" i="7"/>
  <c r="AN9" i="7"/>
  <c r="AN11" i="7" s="1"/>
  <c r="AL43" i="7"/>
  <c r="AM41" i="7"/>
  <c r="AM47" i="7"/>
  <c r="AN46" i="7"/>
  <c r="AN47" i="7" s="1"/>
  <c r="AM23" i="7"/>
  <c r="AN20" i="7"/>
  <c r="AN23" i="7" s="1"/>
  <c r="AN28" i="7"/>
  <c r="AN29" i="7" s="1"/>
  <c r="AM29" i="7"/>
  <c r="AK44" i="2"/>
  <c r="AL11" i="2"/>
  <c r="AL12" i="2" s="1"/>
  <c r="AL51" i="2"/>
  <c r="AM49" i="2"/>
  <c r="AL36" i="2"/>
  <c r="AM46" i="2"/>
  <c r="AL47" i="2"/>
  <c r="AM7" i="2"/>
  <c r="AN7" i="2"/>
  <c r="AN29" i="2"/>
  <c r="AM29" i="2"/>
  <c r="AL43" i="2"/>
  <c r="AK52" i="2"/>
  <c r="AL29" i="6"/>
  <c r="AM24" i="6"/>
  <c r="AM43" i="6" s="1"/>
  <c r="AM44" i="6" s="1"/>
  <c r="AL43" i="6"/>
  <c r="AL44" i="6" s="1"/>
  <c r="AM23" i="6"/>
  <c r="AN20" i="6"/>
  <c r="AN23" i="6" s="1"/>
  <c r="AL47" i="6"/>
  <c r="AL52" i="6" s="1"/>
  <c r="AM46" i="6"/>
  <c r="AM36" i="5"/>
  <c r="AN31" i="5"/>
  <c r="AN36" i="5" s="1"/>
  <c r="AM47" i="5"/>
  <c r="AM52" i="5" s="1"/>
  <c r="AN46" i="5"/>
  <c r="AN41" i="5"/>
  <c r="AL29" i="5"/>
  <c r="AM24" i="5"/>
  <c r="AL23" i="5"/>
  <c r="AM20" i="5"/>
  <c r="AN41" i="4"/>
  <c r="AN24" i="4"/>
  <c r="AN29" i="4" s="1"/>
  <c r="AM29" i="4"/>
  <c r="AN31" i="4"/>
  <c r="AN36" i="4" s="1"/>
  <c r="AM36" i="4"/>
  <c r="AM20" i="4"/>
  <c r="AM43" i="4" s="1"/>
  <c r="AM44" i="4" s="1"/>
  <c r="AM53" i="4" s="1"/>
  <c r="AL23" i="4"/>
  <c r="AK53" i="2" l="1"/>
  <c r="AM53" i="9"/>
  <c r="AL52" i="2"/>
  <c r="AM53" i="10"/>
  <c r="AM23" i="10"/>
  <c r="AN20" i="10"/>
  <c r="AN23" i="10" s="1"/>
  <c r="AM29" i="9"/>
  <c r="AN24" i="9"/>
  <c r="AN29" i="9" s="1"/>
  <c r="AN36" i="9"/>
  <c r="AM29" i="8"/>
  <c r="AN24" i="8"/>
  <c r="AN29" i="8" s="1"/>
  <c r="AM43" i="8"/>
  <c r="AM44" i="8" s="1"/>
  <c r="AM53" i="8" s="1"/>
  <c r="AM51" i="7"/>
  <c r="AM52" i="7" s="1"/>
  <c r="AN49" i="7"/>
  <c r="AN51" i="7" s="1"/>
  <c r="AN52" i="7" s="1"/>
  <c r="AM43" i="7"/>
  <c r="AN41" i="7"/>
  <c r="AN43" i="7" s="1"/>
  <c r="AN6" i="7"/>
  <c r="AN7" i="7" s="1"/>
  <c r="AN12" i="7" s="1"/>
  <c r="AM7" i="7"/>
  <c r="AM12" i="7" s="1"/>
  <c r="AL44" i="7"/>
  <c r="AL53" i="7" s="1"/>
  <c r="AL44" i="2"/>
  <c r="AM36" i="2"/>
  <c r="AN36" i="2"/>
  <c r="AM43" i="2"/>
  <c r="AM47" i="2"/>
  <c r="AN46" i="2"/>
  <c r="AM51" i="2"/>
  <c r="AN49" i="2"/>
  <c r="AN51" i="2" s="1"/>
  <c r="AM11" i="2"/>
  <c r="AM12" i="2" s="1"/>
  <c r="AN11" i="2"/>
  <c r="AN12" i="2" s="1"/>
  <c r="AM47" i="6"/>
  <c r="AM52" i="6" s="1"/>
  <c r="AM53" i="6" s="1"/>
  <c r="AN46" i="6"/>
  <c r="AM29" i="6"/>
  <c r="AN24" i="6"/>
  <c r="AN29" i="6" s="1"/>
  <c r="AL53" i="6"/>
  <c r="AM23" i="5"/>
  <c r="AN20" i="5"/>
  <c r="AN23" i="5" s="1"/>
  <c r="AM29" i="5"/>
  <c r="AN24" i="5"/>
  <c r="AN29" i="5" s="1"/>
  <c r="AM43" i="5"/>
  <c r="AM44" i="5" s="1"/>
  <c r="AM53" i="5" s="1"/>
  <c r="AN47" i="5"/>
  <c r="AN52" i="5" s="1"/>
  <c r="AN20" i="4"/>
  <c r="AN23" i="4" s="1"/>
  <c r="AM23" i="4"/>
  <c r="AL53" i="2" l="1"/>
  <c r="AN43" i="2"/>
  <c r="AN44" i="2" s="1"/>
  <c r="AN43" i="9"/>
  <c r="AN44" i="9" s="1"/>
  <c r="AN53" i="9" s="1"/>
  <c r="AN43" i="4"/>
  <c r="AN44" i="4" s="1"/>
  <c r="AN53" i="4" s="1"/>
  <c r="AM44" i="7"/>
  <c r="AM53" i="7" s="1"/>
  <c r="AN44" i="7"/>
  <c r="AN53" i="7" s="1"/>
  <c r="AN43" i="10"/>
  <c r="AN44" i="10" s="1"/>
  <c r="AN53" i="10" s="1"/>
  <c r="AN43" i="8"/>
  <c r="AN44" i="8" s="1"/>
  <c r="AN53" i="8" s="1"/>
  <c r="AM44" i="2"/>
  <c r="AN47" i="2"/>
  <c r="AN52" i="2" s="1"/>
  <c r="AM52" i="2"/>
  <c r="AN47" i="6"/>
  <c r="AN52" i="6" s="1"/>
  <c r="AN43" i="6"/>
  <c r="AN44" i="6" s="1"/>
  <c r="AN43" i="5"/>
  <c r="AN44" i="5" s="1"/>
  <c r="AN53" i="5" s="1"/>
  <c r="AM53" i="2" l="1"/>
  <c r="AN53" i="2"/>
  <c r="AN53" i="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55B39BE-18A0-4E5C-86BF-D9D6A46001AC}" name="Connection" type="104" refreshedVersion="0" background="1">
    <extLst>
      <ext xmlns:x15="http://schemas.microsoft.com/office/spreadsheetml/2010/11/main" uri="{DE250136-89BD-433C-8126-D09CA5730AF9}">
        <x15:connection id="Calendar"/>
      </ext>
    </extLst>
  </connection>
  <connection id="2" xr16:uid="{9130FC3B-D4FB-4702-8C64-E3587AD469E2}" keepAlive="1" name="Query - Customer Support" description="Connection to the 'Customer Support' query in the workbook." type="5" refreshedVersion="0" background="1" saveData="1">
    <dbPr connection="Provider=Microsoft.Mashup.OleDb.1;Data Source=$Workbook$;Location=&quot;Customer Support&quot;;Extended Properties=&quot;&quot;" command="SELECT * FROM [Customer Support]"/>
  </connection>
  <connection id="3" xr16:uid="{71406D37-8897-43BE-BDA8-2F72CB1CCA2B}" keepAlive="1" name="Query - Customer Support_Budget" description="Connection to the 'Customer Support_Budget' query in the workbook." type="5" refreshedVersion="0" background="1">
    <dbPr connection="Provider=Microsoft.Mashup.OleDb.1;Data Source=$Workbook$;Location=&quot;Customer Support_Budget&quot;;Extended Properties=&quot;&quot;" command="SELECT * FROM [Customer Support_Budget]"/>
  </connection>
  <connection id="4" xr16:uid="{805F74F8-A3DB-46F6-A900-18411681562F}" name="Query - Departmental Profit &amp; Loss" description="Connection to the 'Departmental Profit &amp; Loss' query in the workbook." type="100" refreshedVersion="8" minRefreshableVersion="5">
    <extLst>
      <ext xmlns:x15="http://schemas.microsoft.com/office/spreadsheetml/2010/11/main" uri="{DE250136-89BD-433C-8126-D09CA5730AF9}">
        <x15:connection id="923b09e6-2970-4f88-a804-e5316cbc1da4"/>
      </ext>
    </extLst>
  </connection>
  <connection id="5" xr16:uid="{A7757BFC-3C73-4096-A581-D6E56037E998}" name="Query - Departmental Profit &amp; Loss_Budget" description="Connection to the 'Departmental Profit &amp; Loss_Budget' query in the workbook." type="100" refreshedVersion="8" minRefreshableVersion="5">
    <extLst>
      <ext xmlns:x15="http://schemas.microsoft.com/office/spreadsheetml/2010/11/main" uri="{DE250136-89BD-433C-8126-D09CA5730AF9}">
        <x15:connection id="eb3f4209-f6f8-411f-9bd9-dd2ba741913b"/>
      </ext>
    </extLst>
  </connection>
  <connection id="6" xr16:uid="{7341B813-0C7B-4DA9-A5FF-28B3120FACAE}" keepAlive="1" name="Query - GandA" description="Connection to the 'GandA' query in the workbook." type="5" refreshedVersion="0" background="1">
    <dbPr connection="Provider=Microsoft.Mashup.OleDb.1;Data Source=$Workbook$;Location=GandA;Extended Properties=&quot;&quot;" command="SELECT * FROM [GandA]"/>
  </connection>
  <connection id="7" xr16:uid="{A0E02DEF-CF5E-4464-A42F-BF19FD90AB36}" keepAlive="1" name="Query - GandA_Budget" description="Connection to the 'GandA_Budget' query in the workbook." type="5" refreshedVersion="0" background="1">
    <dbPr connection="Provider=Microsoft.Mashup.OleDb.1;Data Source=$Workbook$;Location=GandA_Budget;Extended Properties=&quot;&quot;" command="SELECT * FROM [GandA_Budget]"/>
  </connection>
  <connection id="8" xr16:uid="{FA484972-D4AB-4104-A45C-A88FDCCC7789}" keepAlive="1" name="Query - Research &amp; Development" description="Connection to the 'Research &amp; Development' query in the workbook." type="5" refreshedVersion="0" background="1">
    <dbPr connection="Provider=Microsoft.Mashup.OleDb.1;Data Source=$Workbook$;Location=&quot;Research &amp; Development&quot;;Extended Properties=&quot;&quot;" command="SELECT * FROM [Research &amp; Development]"/>
  </connection>
  <connection id="9" xr16:uid="{F27973A5-B43D-45DC-9EF8-AFA608D9E022}" keepAlive="1" name="Query - Research &amp; Development_Budget" description="Connection to the 'Research &amp; Development_Budget' query in the workbook." type="5" refreshedVersion="0" background="1">
    <dbPr connection="Provider=Microsoft.Mashup.OleDb.1;Data Source=$Workbook$;Location=&quot;Research &amp; Development_Budget&quot;;Extended Properties=&quot;&quot;" command="SELECT * FROM [Research &amp; Development_Budget]"/>
  </connection>
  <connection id="10" xr16:uid="{F7A6B927-ED41-4708-A128-A806E03B2387}" keepAlive="1" name="Query - Sales &amp; Marketing" description="Connection to the 'Sales &amp; Marketing' query in the workbook." type="5" refreshedVersion="0" background="1" saveData="1">
    <dbPr connection="Provider=Microsoft.Mashup.OleDb.1;Data Source=$Workbook$;Location=&quot;Sales &amp; Marketing&quot;;Extended Properties=&quot;&quot;" command="SELECT * FROM [Sales &amp; Marketing]"/>
  </connection>
  <connection id="11" xr16:uid="{F72B1447-AB8D-479C-8721-C4EDDE5F14D9}" keepAlive="1" name="Query - Sales &amp; Marketing_Budget" description="Connection to the 'Sales &amp; Marketing_Budget' query in the workbook." type="5" refreshedVersion="0" background="1">
    <dbPr connection="Provider=Microsoft.Mashup.OleDb.1;Data Source=$Workbook$;Location=&quot;Sales &amp; Marketing_Budget&quot;;Extended Properties=&quot;&quot;" command="SELECT * FROM [Sales &amp; Marketing_Budget]"/>
  </connection>
  <connection id="12" xr16:uid="{B85D3723-4B38-49B6-A8FB-A176D56082FB}"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3" xr16:uid="{D5C7E326-A8AA-4DBF-828C-5DC2C9B9B2EB}" name="WorksheetConnection_Dashboard.xlsx!Departments" type="102" refreshedVersion="8" minRefreshableVersion="5">
    <extLst>
      <ext xmlns:x15="http://schemas.microsoft.com/office/spreadsheetml/2010/11/main" uri="{DE250136-89BD-433C-8126-D09CA5730AF9}">
        <x15:connection id="Departments 1">
          <x15:rangePr sourceName="_xlcn.WorksheetConnection_Dashboard.xlsxDepartments"/>
        </x15:connection>
      </ext>
    </extLst>
  </connection>
  <connection id="14" xr16:uid="{248D0CFC-A16B-4734-8843-D0BDA29FC4D5}" name="WorksheetConnection_Dashboard.xlsx!Mappings" type="102" refreshedVersion="8" minRefreshableVersion="5">
    <extLst>
      <ext xmlns:x15="http://schemas.microsoft.com/office/spreadsheetml/2010/11/main" uri="{DE250136-89BD-433C-8126-D09CA5730AF9}">
        <x15:connection id="Mappings">
          <x15:rangePr sourceName="_xlcn.WorksheetConnection_Dashboard.xlsxMappings"/>
        </x15:connection>
      </ext>
    </extLst>
  </connection>
  <connection id="15" xr16:uid="{3FDF6B1B-4A56-4A50-BA28-C952B22777A6}" name="WorksheetConnection_Dashboard.xlsx!Predefined_Dates" type="102" refreshedVersion="8" minRefreshableVersion="5">
    <extLst>
      <ext xmlns:x15="http://schemas.microsoft.com/office/spreadsheetml/2010/11/main" uri="{DE250136-89BD-433C-8126-D09CA5730AF9}">
        <x15:connection id="Predefined_Dates">
          <x15:rangePr sourceName="_xlcn.WorksheetConnection_Dashboard.xlsxPredefined_Dates"/>
        </x15:connection>
      </ext>
    </extLst>
  </connection>
  <connection id="16" xr16:uid="{9D8AD218-8191-48C5-88A4-A6EA70B6ADF7}" name="WorksheetConnection_Dashboard.xlsx!TableView" type="102" refreshedVersion="8" minRefreshableVersion="5">
    <extLst>
      <ext xmlns:x15="http://schemas.microsoft.com/office/spreadsheetml/2010/11/main" uri="{DE250136-89BD-433C-8126-D09CA5730AF9}">
        <x15:connection id="TableView">
          <x15:rangePr sourceName="_xlcn.WorksheetConnection_Dashboard.xlsxTableView"/>
        </x15:connection>
      </ext>
    </extLst>
  </connection>
</connections>
</file>

<file path=xl/metadata.xml><?xml version="1.0" encoding="utf-8"?>
<metadata xmlns="http://schemas.openxmlformats.org/spreadsheetml/2006/main" xmlns:xlrd="http://schemas.microsoft.com/office/spreadsheetml/2017/richdata">
  <metadataTypes count="1">
    <metadataType name="XLMDX" minSupportedVersion="120000" copy="1" pasteAll="1" pasteValues="1" merge="1" splitFirst="1" rowColShift="1" clearFormats="1" clearComments="1" assign="1" coerce="1"/>
  </metadataTypes>
  <metadataStrings count="4">
    <s v="ThisWorkbookDataModel"/>
    <s v="{[Mappings].[Section].&amp;[Expenses]}"/>
    <s v="{[Mappings].[Section].&amp;[EBITDA],[Mappings].[Section].&amp;[Income],[Mappings].[Section].&amp;[Gross Profit]}"/>
    <s v="{[Departments].[Departments].[Al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<sst xmlns="http://schemas.openxmlformats.org/spreadsheetml/2006/main" count="1496" uniqueCount="156">
  <si>
    <t>Financial Dashboard</t>
  </si>
  <si>
    <t>By Department</t>
  </si>
  <si>
    <t>By Cost</t>
  </si>
  <si>
    <t>vs Budget</t>
  </si>
  <si>
    <t>Budget</t>
  </si>
  <si>
    <t>Actual</t>
  </si>
  <si>
    <t>▲</t>
  </si>
  <si>
    <t>%</t>
  </si>
  <si>
    <t>Customer Support</t>
  </si>
  <si>
    <t>Advertising</t>
  </si>
  <si>
    <t>General &amp; Administrative</t>
  </si>
  <si>
    <t>Other G&amp;A</t>
  </si>
  <si>
    <t>Revenue</t>
  </si>
  <si>
    <t>Research &amp; Development</t>
  </si>
  <si>
    <t>Payroll</t>
  </si>
  <si>
    <t>Sales &amp; Marketing</t>
  </si>
  <si>
    <t>Professional Fees</t>
  </si>
  <si>
    <t>Total</t>
  </si>
  <si>
    <t>vs Prior Period</t>
  </si>
  <si>
    <t>Prior Period</t>
  </si>
  <si>
    <t>vs Prior Year</t>
  </si>
  <si>
    <t>Prior Year</t>
  </si>
  <si>
    <t>Section</t>
  </si>
  <si>
    <t>Expenses</t>
  </si>
  <si>
    <t>Departments</t>
  </si>
  <si>
    <t>All</t>
  </si>
  <si>
    <t>(Multiple Items)</t>
  </si>
  <si>
    <t xml:space="preserve"> </t>
  </si>
  <si>
    <t>P&amp;L</t>
  </si>
  <si>
    <t>Revenue &amp; Gross Margin</t>
  </si>
  <si>
    <t>Revenue</t>
  </si>
  <si>
    <t>Gross margin</t>
  </si>
  <si>
    <t>BvA: Rev, GP, EBITDA</t>
  </si>
  <si>
    <t>Var to Budget Income ($)</t>
  </si>
  <si>
    <t>Var to Budget Income (%)</t>
  </si>
  <si>
    <t>BvA: Opex By Dept</t>
  </si>
  <si>
    <t>Var to Budget Expense ($)</t>
  </si>
  <si>
    <t>Var to Budget Expense (%)</t>
  </si>
  <si>
    <t>BvA: Opex By Cost Type</t>
  </si>
  <si>
    <t>Income</t>
  </si>
  <si>
    <t>Jan-24</t>
  </si>
  <si>
    <t>Cost of Goods Sold</t>
  </si>
  <si>
    <t>Feb-24</t>
  </si>
  <si>
    <t>Gross Profit</t>
  </si>
  <si>
    <t>Mar-24</t>
  </si>
  <si>
    <t>EBITDA</t>
  </si>
  <si>
    <t>Apr-24</t>
  </si>
  <si>
    <t>Grand Total</t>
  </si>
  <si>
    <t>May-24</t>
  </si>
  <si>
    <t>Advertising &amp; Marketing</t>
  </si>
  <si>
    <t>Jun-24</t>
  </si>
  <si>
    <t>Conferences &amp; Events</t>
  </si>
  <si>
    <t>Jul-24</t>
  </si>
  <si>
    <t>AvPP: Rev, GP, EBITDA</t>
  </si>
  <si>
    <t>Var to Prior Period ($)</t>
  </si>
  <si>
    <t>Var to Prior Period (%)</t>
  </si>
  <si>
    <t>AvPP: Opex By Dept</t>
  </si>
  <si>
    <t>AvPP: Opex By Cost Type</t>
  </si>
  <si>
    <t>Other Income</t>
  </si>
  <si>
    <t>Other Expenses</t>
  </si>
  <si>
    <t>Interest Expense</t>
  </si>
  <si>
    <t>Net Other Income</t>
  </si>
  <si>
    <t>Net Income</t>
  </si>
  <si>
    <t>AvPY: Rev, GP, EBITDA</t>
  </si>
  <si>
    <t>Var to Prior Year ($)</t>
  </si>
  <si>
    <t>Var to Prior Year (%)</t>
  </si>
  <si>
    <t>AvPY: Opex By Dept</t>
  </si>
  <si>
    <t>AvPY: Opex By Cost Type</t>
  </si>
  <si>
    <t>Gross Profit</t>
  </si>
  <si>
    <t>A (+)</t>
  </si>
  <si>
    <t>B (+)</t>
  </si>
  <si>
    <t>A (-)</t>
  </si>
  <si>
    <t>B (-)</t>
  </si>
  <si>
    <t>text</t>
  </si>
  <si>
    <t>Metric</t>
  </si>
  <si>
    <t>Variance (Budget)</t>
  </si>
  <si>
    <t>Variance (Prior Period)</t>
  </si>
  <si>
    <t>Variance (Prior Year)</t>
  </si>
  <si>
    <t>Text</t>
  </si>
  <si>
    <t>Summary Groupings</t>
  </si>
  <si>
    <t>Metrics</t>
  </si>
  <si>
    <t>Versions</t>
  </si>
  <si>
    <t>Files</t>
  </si>
  <si>
    <t>Period</t>
  </si>
  <si>
    <t>Account</t>
  </si>
  <si>
    <t>Summary Grouping</t>
  </si>
  <si>
    <t>Sign</t>
  </si>
  <si>
    <t>Date</t>
  </si>
  <si>
    <t>Amount</t>
  </si>
  <si>
    <t>2023 Start</t>
  </si>
  <si>
    <t>Current Month</t>
  </si>
  <si>
    <t>COGS</t>
  </si>
  <si>
    <t>Sales</t>
  </si>
  <si>
    <t>2023 End</t>
  </si>
  <si>
    <t>2024 Start</t>
  </si>
  <si>
    <t>YTD</t>
  </si>
  <si>
    <t>Web Domain &amp; Hosting Fees</t>
  </si>
  <si>
    <t>2024 End</t>
  </si>
  <si>
    <t>Merchant Account Fees</t>
  </si>
  <si>
    <t>2025 Start</t>
  </si>
  <si>
    <t>Trailing 3 Months</t>
  </si>
  <si>
    <t>2025 End</t>
  </si>
  <si>
    <t>Trailing 6 Months</t>
  </si>
  <si>
    <t>Current Month Start</t>
  </si>
  <si>
    <t>Trailing 12 Months</t>
  </si>
  <si>
    <t>Current Month End</t>
  </si>
  <si>
    <t>Bank Charges &amp; Fees</t>
  </si>
  <si>
    <t>Trailing 3 Mo Start</t>
  </si>
  <si>
    <t>Trailing 3 mo End</t>
  </si>
  <si>
    <t>Number of Hires</t>
  </si>
  <si>
    <t>Software &amp; Apps</t>
  </si>
  <si>
    <t>Trailing 6 Mo Start</t>
  </si>
  <si>
    <t>Insurance</t>
  </si>
  <si>
    <t>Trailing 6 Mo End</t>
  </si>
  <si>
    <t>Office Expenses</t>
  </si>
  <si>
    <t>Trailing 12 Mo Start</t>
  </si>
  <si>
    <t>Office Supplies</t>
  </si>
  <si>
    <t>Trailing 12 Mo End</t>
  </si>
  <si>
    <t>Rent &amp; Lease</t>
  </si>
  <si>
    <t>YTD Start</t>
  </si>
  <si>
    <t>Utilities</t>
  </si>
  <si>
    <t>YTD End</t>
  </si>
  <si>
    <t>Professional Services</t>
  </si>
  <si>
    <t>Accounting Fees</t>
  </si>
  <si>
    <t>Consulting Fees</t>
  </si>
  <si>
    <t>Legal Fees</t>
  </si>
  <si>
    <t>Recruiting Fees</t>
  </si>
  <si>
    <t>Payroll Expenses</t>
  </si>
  <si>
    <t>Salary &amp; Wages</t>
  </si>
  <si>
    <t>Payroll Taxes</t>
  </si>
  <si>
    <t>Health Insurance</t>
  </si>
  <si>
    <t>Payroll Processing Fees</t>
  </si>
  <si>
    <t>Commissions Expense</t>
  </si>
  <si>
    <t>Taxes &amp; Licenses</t>
  </si>
  <si>
    <t>Travel, Meals &amp; Entertainment</t>
  </si>
  <si>
    <t>Lodging</t>
  </si>
  <si>
    <t>Meals &amp; Entertainment</t>
  </si>
  <si>
    <t>Travel</t>
  </si>
  <si>
    <t>Net Operating Income</t>
  </si>
  <si>
    <t>Interest Income</t>
  </si>
  <si>
    <t>Depreciation Expense</t>
  </si>
  <si>
    <t>Income Statement</t>
  </si>
  <si>
    <t>Darrell Day</t>
  </si>
  <si>
    <t>General &amp; Admnistrative</t>
  </si>
  <si>
    <t>Growth</t>
  </si>
  <si>
    <t>Total Revenue</t>
  </si>
  <si>
    <t>Total Cost of Goods Sold</t>
  </si>
  <si>
    <t>Total Office Expenses</t>
  </si>
  <si>
    <t>Total Professional Services</t>
  </si>
  <si>
    <t>Total Payroll Expenses</t>
  </si>
  <si>
    <t>Total Travel, Meals &amp; Entertainment</t>
  </si>
  <si>
    <t>Total Expenses</t>
  </si>
  <si>
    <t>Total Other Income</t>
  </si>
  <si>
    <t>Total Other Expenses</t>
  </si>
  <si>
    <t>Value Row</t>
  </si>
  <si>
    <t>Summation Row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</si>
</sst>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quot;$&quot;* #,##0\ _€"/>
    <numFmt numFmtId="166" formatCode="_(* #,##0_);_(* \(#,##0\);_(* &quot;-&quot;??_);_(@_)"/>
    <numFmt numFmtId="167" formatCode="#,##0.0%;\-#,##0.0%;#,##0.0%"/>
    <numFmt numFmtId="168" formatCode="#,##0%;\-#,##0%;#,##0%"/>
    <numFmt numFmtId="169" formatCode="\+#,##0;\(#,##0\);\-"/>
    <numFmt numFmtId="170" formatCode="0.0%"/>
  </numFmts>
  <fonts count="35" x14ac:knownFonts="1">
    <font>
      <sz val="11"/>
      <color theme="1"/>
      <name val="SF Pro Text"/>
      <family val="2"/>
    </font>
    <font>
      <sz val="11"/>
      <color theme="1"/>
      <name val="SF Pro Text"/>
      <family val="2"/>
    </font>
    <font>
      <sz val="11"/>
      <color theme="1"/>
      <name val="SF Pro Text Semibold"/>
      <family val="2"/>
    </font>
    <font>
      <sz val="11"/>
      <color theme="1"/>
      <name val="SF Pro Text Semibold"/>
      <family val="2"/>
      <charset val="238"/>
    </font>
    <font>
      <sz val="11"/>
      <color rgb="FF0000FF"/>
      <name val="SF Pro Text"/>
      <family val="2"/>
      <charset val="238"/>
    </font>
    <font>
      <sz val="11"/>
      <color theme="1"/>
      <name val="SF Pro Text"/>
      <family val="2"/>
      <charset val="238"/>
    </font>
    <font>
      <sz val="11"/>
      <name val="SF Pro Text Semibold"/>
      <family val="2"/>
    </font>
    <font>
      <sz val="11"/>
      <name val="SF Pro Text"/>
      <family val="2"/>
    </font>
    <font>
      <sz val="12"/>
      <color theme="1"/>
      <name val="SF Pro Text Semibold"/>
      <family val="2"/>
    </font>
    <font>
      <sz val="11"/>
      <color rgb="FF0000FF"/>
      <name val="SF Pro Text Semibold"/>
      <family val="2"/>
      <charset val="238"/>
    </font>
    <font>
      <sz val="11"/>
      <color rgb="FF0000FF"/>
      <name val="SF Pro Text Semibold"/>
      <family val="2"/>
    </font>
    <font>
      <sz val="24"/>
      <color theme="0"/>
      <name val="SF Pro Display Semibold"/>
      <family val="2"/>
    </font>
    <font>
      <sz val="24"/>
      <color theme="0"/>
      <name val="SF Pro Display Semibold"/>
    </font>
    <font>
      <sz val="12"/>
      <color theme="1"/>
      <name val="SF Pro Text Semibold"/>
      <family val="2"/>
    </font>
    <font>
      <sz val="12"/>
      <color theme="1"/>
      <name val="SF Pro Text"/>
      <family val="2"/>
    </font>
    <font>
      <sz val="11"/>
      <color rgb="FF9C0006"/>
      <name val="SF Pro Text"/>
      <family val="2"/>
    </font>
    <font>
      <sz val="11"/>
      <color rgb="FF1E293B"/>
      <name val="SF Pro Text"/>
      <family val="2"/>
    </font>
    <font>
      <sz val="18"/>
      <color rgb="FF1E293B"/>
      <name val="SF Pro Text Semibold"/>
      <family val="2"/>
    </font>
    <font>
      <sz val="22"/>
      <color theme="1"/>
      <name val="SF Pro Display Semibold"/>
      <family val="2"/>
    </font>
    <font>
      <sz val="11"/>
      <color theme="2"/>
      <name val="SF Pro Text Semibold"/>
      <family val="2"/>
    </font>
    <font>
      <sz val="11"/>
      <color rgb="FF1E293B"/>
      <name val="SF Pro Text"/>
      <family val="2"/>
    </font>
    <font>
      <sz val="20"/>
      <color theme="1"/>
      <name val="SF Pro Display Semibold"/>
      <family val="2"/>
    </font>
    <font>
      <sz val="11"/>
      <color theme="1"/>
      <name val="SF Mono"/>
      <family val="2"/>
    </font>
    <font>
      <sz val="11"/>
      <color theme="1"/>
      <name val="SF Mono Semibold"/>
      <family val="2"/>
      <charset val="238"/>
    </font>
    <font>
      <sz val="11"/>
      <name val="SF Mono Semibold"/>
      <family val="2"/>
    </font>
    <font>
      <sz val="11"/>
      <name val="SF Mono"/>
      <family val="2"/>
    </font>
    <font>
      <sz val="12"/>
      <name val="SF Mono Semibold"/>
      <family val="2"/>
    </font>
    <font>
      <sz val="12"/>
      <color theme="1"/>
      <name val="SF Mono Semibold"/>
      <family val="2"/>
    </font>
    <font>
      <sz val="12"/>
      <color theme="1"/>
      <name val="SF Mono"/>
      <family val="2"/>
    </font>
    <font>
      <sz val="12"/>
      <color rgb="FF008000"/>
      <name val="SF Mono"/>
      <family val="2"/>
    </font>
    <font>
      <sz val="20"/>
      <color rgb="FF008000"/>
      <name val="SF Mono Semibold"/>
      <family val="2"/>
    </font>
    <font>
      <sz val="22"/>
      <color rgb="FF008000"/>
      <name val="SF Mono Semibold"/>
      <family val="2"/>
    </font>
    <font>
      <sz val="11"/>
      <color rgb="FF0000FF"/>
      <name val="SF Mono"/>
      <family val="2"/>
    </font>
    <font>
      <sz val="11"/>
      <color rgb="FF0000FF"/>
      <name val="SF Mono"/>
      <family val="2"/>
      <charset val="238"/>
    </font>
    <font>
      <sz val="11"/>
      <color theme="1"/>
      <name val="SF Mono"/>
      <family val="2"/>
      <charset val="238"/>
    </font>
  </fonts>
  <fills count="12">
    <fill>
      <patternFill patternType="none"/>
    </fill>
    <fill>
      <patternFill patternType="gray125"/>
    </fill>
    <fill>
      <patternFill patternType="solid">
        <fgColor rgb="FF1E293B"/>
        <bgColor indexed="64"/>
      </patternFill>
    </fill>
    <fill>
      <patternFill patternType="solid">
        <fgColor theme="0" tint="-4.9989318521683403E-2"/>
        <bgColor indexed="64"/>
      </patternFill>
    </fill>
    <fill>
      <patternFill patternType="solid">
        <fgColor rgb="FFF1F5F9"/>
        <bgColor indexed="64"/>
      </patternFill>
    </fill>
    <fill>
      <patternFill patternType="solid">
        <fgColor theme="0"/>
        <bgColor indexed="64"/>
      </patternFill>
    </fill>
    <fill>
      <patternFill patternType="solid">
        <fgColor rgb="FFFFFFFF"/>
        <bgColor indexed="64"/>
      </patternFill>
    </fill>
    <fill>
      <patternFill patternType="solid">
        <fgColor theme="6"/>
      </patternFill>
    </fill>
    <fill>
      <patternFill patternType="solid">
        <fgColor rgb="FFFFD9DE"/>
        <bgColor indexed="64"/>
      </patternFill>
    </fill>
    <fill>
      <patternFill patternType="solid">
        <fgColor theme="1"/>
        <bgColor indexed="64"/>
      </patternFill>
    </fill>
    <fill>
      <patternFill patternType="solid">
        <fgColor rgb="FFEFF6FF"/>
        <bgColor indexed="64"/>
      </patternFill>
    </fill>
    <fill>
      <patternFill patternType="solid">
        <fgColor rgb="FFF1F5F9"/>
        <bgColor indexed="64"/>
      </patternFill>
    </fill>
  </fills>
  <borders count="23">
    <border>
      <left/>
      <right/>
      <top/>
      <bottom/>
      <diagonal/>
    </border>
    <border>
      <left/>
      <right/>
      <top style="thin">
        <color indexed="64"/>
      </top>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diagonal/>
    </border>
    <border>
      <left/>
      <right style="thin">
        <color theme="0" tint="-0.14999847407452621"/>
      </right>
      <top style="thin">
        <color theme="0" tint="-0.14999847407452621"/>
      </top>
      <bottom style="thin">
        <color theme="0" tint="-0.14999847407452621"/>
      </bottom>
      <diagonal/>
    </border>
    <border>
      <left style="thin">
        <color rgb="FF7F7F7F"/>
      </left>
      <right style="thin">
        <color rgb="FF7F7F7F"/>
      </right>
      <top style="thin">
        <color rgb="FF7F7F7F"/>
      </top>
      <bottom style="thin">
        <color rgb="FF7F7F7F"/>
      </bottom>
      <diagonal/>
    </border>
    <border>
      <left/>
      <right style="thin">
        <color rgb="FF1E293B"/>
      </right>
      <top/>
      <bottom style="thin">
        <color theme="0" tint="-0.14999847407452621"/>
      </bottom>
      <diagonal/>
    </border>
    <border>
      <left/>
      <right style="thin">
        <color rgb="FF1E293B"/>
      </right>
      <top/>
      <bottom/>
      <diagonal/>
    </border>
    <border>
      <left/>
      <right style="thin">
        <color rgb="FF1E293B"/>
      </right>
      <top style="thin">
        <color theme="0" tint="-0.14999847407452621"/>
      </top>
      <bottom/>
      <diagonal/>
    </border>
    <border>
      <left/>
      <right/>
      <top/>
      <bottom style="double">
        <color theme="1"/>
      </bottom>
      <diagonal/>
    </border>
    <border>
      <left/>
      <right/>
      <top/>
      <bottom style="thin">
        <color theme="4"/>
      </bottom>
      <diagonal/>
    </border>
    <border>
      <left style="thin">
        <color rgb="FF1E293B"/>
      </left>
      <right/>
      <top style="thin">
        <color theme="0" tint="-0.14999847407452621"/>
      </top>
      <bottom style="thin">
        <color theme="4"/>
      </bottom>
      <diagonal/>
    </border>
    <border>
      <left/>
      <right/>
      <top style="thin">
        <color theme="0" tint="-0.14999847407452621"/>
      </top>
      <bottom style="thin">
        <color theme="4"/>
      </bottom>
      <diagonal/>
    </border>
    <border>
      <left style="thin">
        <color rgb="FF1E293B"/>
      </left>
      <right/>
      <top/>
      <bottom/>
      <diagonal/>
    </border>
    <border>
      <left style="thin">
        <color rgb="FF1E293B"/>
      </left>
      <right/>
      <top style="thin">
        <color theme="0" tint="-0.14999847407452621"/>
      </top>
      <bottom/>
      <diagonal/>
    </border>
    <border>
      <left style="thin">
        <color rgb="FF1E293B"/>
      </left>
      <right/>
      <top/>
      <bottom style="thin">
        <color theme="0" tint="-0.14999847407452621"/>
      </bottom>
      <diagonal/>
    </border>
    <border>
      <left style="thin">
        <color rgb="FF1E293B"/>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 fillId="4" borderId="0" applyNumberFormat="0" applyBorder="0" applyAlignment="0" applyProtection="0"/>
    <xf numFmtId="0" fontId="15" fillId="8" borderId="0" applyNumberFormat="0" applyBorder="0" applyAlignment="0" applyProtection="0"/>
    <xf numFmtId="0" fontId="20" fillId="3" borderId="10" applyNumberFormat="0" applyAlignment="0" applyProtection="0"/>
    <xf numFmtId="0" fontId="19" fillId="9" borderId="10" applyNumberFormat="0" applyAlignment="0" applyProtection="0"/>
    <xf numFmtId="49" fontId="1" fillId="0" borderId="14" applyFill="0" applyAlignment="0" applyProtection="0"/>
    <xf numFmtId="0" fontId="13" fillId="0" borderId="15" applyNumberFormat="0" applyFill="0" applyAlignment="0" applyProtection="0"/>
    <xf numFmtId="0" fontId="1" fillId="7" borderId="0" applyNumberFormat="0" applyBorder="0" applyAlignment="0" applyProtection="0"/>
    <xf numFmtId="0" fontId="5" fillId="0" borderId="0"/>
  </cellStyleXfs>
  <cellXfs count="145">
    <xf numFmtId="0" fontId="0" fillId="0" borderId="0" xfId="0"/>
    <xf numFmtId="0" fontId="2" fillId="0" borderId="0" xfId="0" applyFont="1"/>
    <xf numFmtId="0" fontId="0" fillId="0" borderId="0" xfId="0" applyAlignment="1">
      <alignment horizontal="left"/>
    </xf>
    <xf numFmtId="0" fontId="8" fillId="0" borderId="0" xfId="0" applyFont="1" applyAlignment="1">
      <alignment horizontal="left"/>
    </xf>
    <xf numFmtId="0" fontId="3" fillId="0" borderId="0" xfId="0" applyFont="1"/>
    <xf numFmtId="0" fontId="5" fillId="0" borderId="0" xfId="0" applyFont="1" applyAlignment="1">
      <alignment horizontal="left" indent="1"/>
    </xf>
    <xf numFmtId="0" fontId="3" fillId="0" borderId="0" xfId="0" applyFont="1" applyAlignment="1">
      <alignment horizontal="left"/>
    </xf>
    <xf numFmtId="0" fontId="3" fillId="0" borderId="0" xfId="0" applyFont="1" applyAlignment="1">
      <alignment horizontal="left" indent="1"/>
    </xf>
    <xf numFmtId="0" fontId="5" fillId="0" borderId="0" xfId="0" applyFont="1" applyAlignment="1">
      <alignment horizontal="left" indent="2"/>
    </xf>
    <xf numFmtId="164" fontId="0" fillId="0" borderId="0" xfId="2" applyNumberFormat="1" applyFont="1" applyFill="1" applyProtection="1"/>
    <xf numFmtId="0" fontId="6" fillId="0" borderId="0" xfId="0" applyFont="1"/>
    <xf numFmtId="0" fontId="7" fillId="0" borderId="0" xfId="0" applyFont="1"/>
    <xf numFmtId="0" fontId="8" fillId="0" borderId="0" xfId="0" applyFont="1"/>
    <xf numFmtId="164" fontId="2" fillId="0" borderId="0" xfId="0" applyNumberFormat="1" applyFont="1"/>
    <xf numFmtId="165" fontId="2" fillId="0" borderId="0" xfId="0" applyNumberFormat="1" applyFont="1"/>
    <xf numFmtId="164" fontId="2" fillId="0" borderId="0" xfId="2" quotePrefix="1" applyNumberFormat="1" applyFont="1" applyFill="1" applyBorder="1" applyProtection="1"/>
    <xf numFmtId="164" fontId="0" fillId="0" borderId="0" xfId="0" applyNumberFormat="1"/>
    <xf numFmtId="164" fontId="1" fillId="0" borderId="0" xfId="2" quotePrefix="1" applyNumberFormat="1" applyFont="1" applyFill="1" applyBorder="1" applyProtection="1"/>
    <xf numFmtId="164" fontId="3" fillId="0" borderId="0" xfId="0" applyNumberFormat="1" applyFont="1"/>
    <xf numFmtId="165" fontId="3" fillId="0" borderId="0" xfId="0" applyNumberFormat="1" applyFont="1"/>
    <xf numFmtId="1" fontId="0" fillId="0" borderId="0" xfId="2" applyNumberFormat="1" applyFont="1" applyFill="1" applyProtection="1"/>
    <xf numFmtId="42" fontId="0" fillId="0" borderId="0" xfId="2" applyNumberFormat="1" applyFont="1" applyFill="1" applyProtection="1"/>
    <xf numFmtId="0" fontId="2" fillId="0" borderId="0" xfId="0" applyFont="1" applyAlignment="1">
      <alignment horizontal="left"/>
    </xf>
    <xf numFmtId="0" fontId="0" fillId="0" borderId="0" xfId="0" applyAlignment="1">
      <alignment horizontal="left" indent="1"/>
    </xf>
    <xf numFmtId="0" fontId="0" fillId="0" borderId="0" xfId="0" applyAlignment="1">
      <alignment horizontal="left" indent="2"/>
    </xf>
    <xf numFmtId="9" fontId="4" fillId="0" borderId="0" xfId="0" applyNumberFormat="1" applyFont="1" applyAlignment="1">
      <alignment horizontal="left" indent="1"/>
    </xf>
    <xf numFmtId="0" fontId="9" fillId="0" borderId="0" xfId="0" applyFont="1" applyAlignment="1">
      <alignment horizontal="left"/>
    </xf>
    <xf numFmtId="0" fontId="9" fillId="0" borderId="0" xfId="0" applyFont="1" applyAlignment="1">
      <alignment horizontal="left" indent="1"/>
    </xf>
    <xf numFmtId="0" fontId="0" fillId="0" borderId="0" xfId="0" pivotButton="1"/>
    <xf numFmtId="0" fontId="0" fillId="0" borderId="3" xfId="0" applyBorder="1" applyAlignment="1">
      <alignment horizontal="left"/>
    </xf>
    <xf numFmtId="0" fontId="0" fillId="0" borderId="4" xfId="0" applyBorder="1" applyAlignment="1">
      <alignment horizontal="left"/>
    </xf>
    <xf numFmtId="37" fontId="0" fillId="0" borderId="0" xfId="0" applyNumberFormat="1"/>
    <xf numFmtId="0" fontId="2" fillId="0" borderId="0" xfId="0" applyFont="1" applyAlignment="1">
      <alignment horizontal="left" indent="1"/>
    </xf>
    <xf numFmtId="0" fontId="10" fillId="0" borderId="0" xfId="0" applyFont="1" applyAlignment="1">
      <alignment horizontal="left" indent="1"/>
    </xf>
    <xf numFmtId="0" fontId="6" fillId="0" borderId="0" xfId="0" applyFont="1" applyAlignment="1">
      <alignment horizontal="left" indent="1"/>
    </xf>
    <xf numFmtId="165" fontId="6" fillId="0" borderId="0" xfId="0" applyNumberFormat="1" applyFont="1"/>
    <xf numFmtId="164" fontId="6" fillId="0" borderId="0" xfId="0" applyNumberFormat="1" applyFont="1"/>
    <xf numFmtId="0" fontId="0" fillId="2" borderId="0" xfId="0" applyFill="1"/>
    <xf numFmtId="0" fontId="0" fillId="2" borderId="0" xfId="0" applyFill="1" applyAlignment="1">
      <alignment vertical="center"/>
    </xf>
    <xf numFmtId="0" fontId="0" fillId="3" borderId="0" xfId="0" applyFill="1"/>
    <xf numFmtId="0" fontId="0" fillId="5" borderId="0" xfId="0" applyFill="1"/>
    <xf numFmtId="0" fontId="0" fillId="6" borderId="0" xfId="0" applyFill="1"/>
    <xf numFmtId="0" fontId="0" fillId="5" borderId="2" xfId="0" applyFill="1" applyBorder="1"/>
    <xf numFmtId="0" fontId="0" fillId="6" borderId="2" xfId="0" applyFill="1" applyBorder="1"/>
    <xf numFmtId="0" fontId="0" fillId="2" borderId="6" xfId="0" applyFill="1" applyBorder="1"/>
    <xf numFmtId="0" fontId="0" fillId="6" borderId="6" xfId="0" applyFill="1" applyBorder="1"/>
    <xf numFmtId="0" fontId="0" fillId="6" borderId="7" xfId="0" applyFill="1" applyBorder="1"/>
    <xf numFmtId="0" fontId="0" fillId="4" borderId="2" xfId="0" applyFill="1" applyBorder="1"/>
    <xf numFmtId="0" fontId="13" fillId="4" borderId="0" xfId="0" applyFont="1" applyFill="1" applyAlignment="1">
      <alignment horizontal="center" vertical="center"/>
    </xf>
    <xf numFmtId="168" fontId="0" fillId="0" borderId="0" xfId="0" applyNumberFormat="1"/>
    <xf numFmtId="164" fontId="7" fillId="0" borderId="0" xfId="0" applyNumberFormat="1" applyFont="1"/>
    <xf numFmtId="0" fontId="0" fillId="0" borderId="0" xfId="0" pivotButton="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left" wrapText="1"/>
    </xf>
    <xf numFmtId="37" fontId="0" fillId="0" borderId="0" xfId="0" applyNumberFormat="1" applyAlignment="1">
      <alignment wrapText="1"/>
    </xf>
    <xf numFmtId="167" fontId="0" fillId="0" borderId="0" xfId="0" applyNumberFormat="1" applyAlignment="1">
      <alignment wrapText="1"/>
    </xf>
    <xf numFmtId="0" fontId="0" fillId="0" borderId="0" xfId="0" applyAlignment="1">
      <alignment horizontal="right" vertical="center" wrapText="1"/>
    </xf>
    <xf numFmtId="0" fontId="0" fillId="0" borderId="0" xfId="0" applyAlignment="1">
      <alignment horizontal="left" vertical="center" wrapText="1"/>
    </xf>
    <xf numFmtId="0" fontId="0" fillId="0" borderId="0" xfId="0" applyAlignment="1">
      <alignment horizontal="left" vertical="center"/>
    </xf>
    <xf numFmtId="0" fontId="13" fillId="4" borderId="7" xfId="0" applyFont="1" applyFill="1" applyBorder="1" applyAlignment="1">
      <alignment horizontal="center" vertical="center"/>
    </xf>
    <xf numFmtId="0" fontId="0" fillId="3" borderId="5" xfId="0" applyFill="1" applyBorder="1"/>
    <xf numFmtId="0" fontId="0" fillId="2" borderId="2" xfId="0" applyFill="1" applyBorder="1"/>
    <xf numFmtId="0" fontId="13" fillId="2" borderId="0" xfId="0" applyFont="1" applyFill="1" applyAlignment="1">
      <alignment horizontal="left" vertical="center" indent="2"/>
    </xf>
    <xf numFmtId="37" fontId="13" fillId="2" borderId="0" xfId="0" applyNumberFormat="1" applyFont="1" applyFill="1" applyAlignment="1">
      <alignment horizontal="center" vertical="center"/>
    </xf>
    <xf numFmtId="0" fontId="13" fillId="2" borderId="4" xfId="0" applyFont="1" applyFill="1" applyBorder="1" applyAlignment="1">
      <alignment horizontal="left" vertical="center" indent="2"/>
    </xf>
    <xf numFmtId="170" fontId="13" fillId="2" borderId="7" xfId="3" applyNumberFormat="1" applyFont="1" applyFill="1" applyBorder="1" applyAlignment="1">
      <alignment horizontal="center" vertical="center"/>
    </xf>
    <xf numFmtId="0" fontId="0" fillId="4" borderId="11" xfId="0" applyFill="1" applyBorder="1"/>
    <xf numFmtId="0" fontId="0" fillId="5" borderId="12" xfId="0" applyFill="1" applyBorder="1"/>
    <xf numFmtId="0" fontId="0" fillId="5" borderId="11" xfId="0" applyFill="1" applyBorder="1"/>
    <xf numFmtId="0" fontId="0" fillId="2" borderId="11" xfId="0" applyFill="1" applyBorder="1"/>
    <xf numFmtId="0" fontId="0" fillId="6" borderId="12" xfId="0" applyFill="1" applyBorder="1"/>
    <xf numFmtId="0" fontId="0" fillId="6" borderId="11" xfId="0" applyFill="1" applyBorder="1"/>
    <xf numFmtId="170" fontId="13" fillId="2" borderId="12" xfId="3" applyNumberFormat="1" applyFont="1" applyFill="1" applyBorder="1" applyAlignment="1">
      <alignment horizontal="center" vertical="center"/>
    </xf>
    <xf numFmtId="0" fontId="13" fillId="4" borderId="11" xfId="0" applyFont="1" applyFill="1" applyBorder="1" applyAlignment="1">
      <alignment horizontal="center" vertical="center"/>
    </xf>
    <xf numFmtId="0" fontId="0" fillId="6" borderId="0" xfId="0" applyFill="1" applyAlignment="1">
      <alignment horizontal="left"/>
    </xf>
    <xf numFmtId="0" fontId="13" fillId="4" borderId="0" xfId="4" applyAlignment="1">
      <alignment horizontal="center" vertical="center"/>
    </xf>
    <xf numFmtId="0" fontId="13" fillId="4" borderId="11" xfId="4" applyBorder="1" applyAlignment="1">
      <alignment horizontal="center" vertical="center"/>
    </xf>
    <xf numFmtId="0" fontId="0" fillId="3" borderId="4" xfId="0" applyFill="1" applyBorder="1"/>
    <xf numFmtId="0" fontId="0" fillId="0" borderId="22" xfId="0" applyBorder="1"/>
    <xf numFmtId="0" fontId="2" fillId="0" borderId="22" xfId="0" applyFont="1" applyBorder="1" applyAlignment="1">
      <alignment horizontal="left"/>
    </xf>
    <xf numFmtId="37" fontId="27" fillId="6" borderId="15" xfId="9" applyNumberFormat="1" applyFont="1" applyFill="1" applyAlignment="1">
      <alignment horizontal="center" vertical="center"/>
    </xf>
    <xf numFmtId="170" fontId="27" fillId="6" borderId="15" xfId="9" applyNumberFormat="1" applyFont="1" applyFill="1" applyAlignment="1">
      <alignment horizontal="center" vertical="center"/>
    </xf>
    <xf numFmtId="37" fontId="27" fillId="6" borderId="3" xfId="9" applyNumberFormat="1" applyFont="1" applyFill="1" applyBorder="1" applyAlignment="1">
      <alignment horizontal="center" vertical="center"/>
    </xf>
    <xf numFmtId="170" fontId="27" fillId="6" borderId="0" xfId="9" applyNumberFormat="1" applyFont="1" applyFill="1" applyBorder="1" applyAlignment="1">
      <alignment horizontal="center" vertical="center"/>
    </xf>
    <xf numFmtId="37" fontId="27" fillId="6" borderId="0" xfId="9" applyNumberFormat="1" applyFont="1" applyFill="1" applyBorder="1" applyAlignment="1">
      <alignment horizontal="center" vertical="center"/>
    </xf>
    <xf numFmtId="170" fontId="27" fillId="6" borderId="9" xfId="9" applyNumberFormat="1" applyFont="1" applyFill="1" applyBorder="1" applyAlignment="1">
      <alignment horizontal="center" vertical="center"/>
    </xf>
    <xf numFmtId="37" fontId="22" fillId="0" borderId="0" xfId="0" applyNumberFormat="1" applyFont="1"/>
    <xf numFmtId="167" fontId="22" fillId="0" borderId="0" xfId="0" applyNumberFormat="1" applyFont="1"/>
    <xf numFmtId="168" fontId="22" fillId="0" borderId="0" xfId="0" applyNumberFormat="1" applyFont="1"/>
    <xf numFmtId="37" fontId="22" fillId="0" borderId="0" xfId="0" applyNumberFormat="1" applyFont="1" applyAlignment="1">
      <alignment horizontal="right" vertical="center" wrapText="1"/>
    </xf>
    <xf numFmtId="167" fontId="22" fillId="0" borderId="0" xfId="0" applyNumberFormat="1" applyFont="1" applyAlignment="1">
      <alignment horizontal="right" vertical="center" wrapText="1"/>
    </xf>
    <xf numFmtId="9" fontId="22" fillId="0" borderId="22" xfId="3" applyFont="1" applyBorder="1"/>
    <xf numFmtId="169" fontId="22" fillId="0" borderId="22" xfId="0" applyNumberFormat="1" applyFont="1" applyBorder="1"/>
    <xf numFmtId="0" fontId="22" fillId="0" borderId="0" xfId="0" applyFont="1"/>
    <xf numFmtId="0" fontId="22" fillId="0" borderId="0" xfId="0" applyFont="1" applyAlignment="1">
      <alignment horizontal="left"/>
    </xf>
    <xf numFmtId="14" fontId="22" fillId="0" borderId="0" xfId="0" applyNumberFormat="1" applyFont="1"/>
    <xf numFmtId="14" fontId="32" fillId="10" borderId="0" xfId="0" applyNumberFormat="1" applyFont="1" applyFill="1"/>
    <xf numFmtId="14" fontId="25" fillId="0" borderId="0" xfId="0" applyNumberFormat="1" applyFont="1"/>
    <xf numFmtId="0" fontId="8" fillId="11" borderId="0" xfId="0" applyFont="1" applyFill="1" applyAlignment="1">
      <alignment horizontal="left"/>
    </xf>
    <xf numFmtId="14" fontId="26" fillId="11" borderId="2" xfId="0" applyNumberFormat="1" applyFont="1" applyFill="1" applyBorder="1" applyAlignment="1">
      <alignment horizontal="center"/>
    </xf>
    <xf numFmtId="14" fontId="26" fillId="11" borderId="0" xfId="0" applyNumberFormat="1" applyFont="1" applyFill="1" applyAlignment="1">
      <alignment horizontal="center"/>
    </xf>
    <xf numFmtId="9" fontId="33" fillId="10" borderId="0" xfId="0" applyNumberFormat="1" applyFont="1" applyFill="1" applyAlignment="1">
      <alignment horizontal="left" indent="1"/>
    </xf>
    <xf numFmtId="166" fontId="33" fillId="10" borderId="0" xfId="1" quotePrefix="1" applyNumberFormat="1" applyFont="1" applyFill="1" applyBorder="1" applyProtection="1"/>
    <xf numFmtId="166" fontId="34" fillId="0" borderId="0" xfId="1" quotePrefix="1" applyNumberFormat="1" applyFont="1" applyFill="1" applyBorder="1" applyProtection="1"/>
    <xf numFmtId="164" fontId="23" fillId="0" borderId="0" xfId="2" quotePrefix="1" applyNumberFormat="1" applyFont="1" applyFill="1" applyBorder="1" applyProtection="1"/>
    <xf numFmtId="164" fontId="23" fillId="0" borderId="1" xfId="2" quotePrefix="1" applyNumberFormat="1" applyFont="1" applyFill="1" applyBorder="1" applyProtection="1"/>
    <xf numFmtId="166" fontId="24" fillId="0" borderId="0" xfId="1" quotePrefix="1" applyNumberFormat="1" applyFont="1" applyFill="1" applyBorder="1" applyProtection="1"/>
    <xf numFmtId="164" fontId="22" fillId="0" borderId="0" xfId="2" applyNumberFormat="1" applyFont="1" applyFill="1" applyProtection="1"/>
    <xf numFmtId="1" fontId="22" fillId="0" borderId="0" xfId="2" applyNumberFormat="1" applyFont="1" applyFill="1" applyProtection="1"/>
    <xf numFmtId="42" fontId="22" fillId="0" borderId="0" xfId="2" applyNumberFormat="1" applyFont="1" applyFill="1" applyProtection="1"/>
    <xf numFmtId="166" fontId="25" fillId="0" borderId="0" xfId="1" quotePrefix="1" applyNumberFormat="1" applyFont="1" applyFill="1" applyBorder="1" applyProtection="1"/>
    <xf numFmtId="0" fontId="14" fillId="6" borderId="4" xfId="0" applyFont="1" applyFill="1" applyBorder="1" applyAlignment="1">
      <alignment horizontal="left" vertical="center" indent="2"/>
    </xf>
    <xf numFmtId="0" fontId="14" fillId="6" borderId="2" xfId="0" applyFont="1" applyFill="1" applyBorder="1" applyAlignment="1">
      <alignment horizontal="left" vertical="center" indent="2"/>
    </xf>
    <xf numFmtId="37" fontId="29" fillId="6" borderId="4" xfId="0" applyNumberFormat="1" applyFont="1" applyFill="1" applyBorder="1" applyAlignment="1">
      <alignment horizontal="center" vertical="center"/>
    </xf>
    <xf numFmtId="37" fontId="14" fillId="6" borderId="2" xfId="0" applyNumberFormat="1" applyFont="1" applyFill="1" applyBorder="1" applyAlignment="1">
      <alignment horizontal="center" vertical="center"/>
    </xf>
    <xf numFmtId="170" fontId="29" fillId="6" borderId="13" xfId="3" applyNumberFormat="1" applyFont="1" applyFill="1" applyBorder="1" applyAlignment="1">
      <alignment horizontal="center" vertical="center"/>
    </xf>
    <xf numFmtId="170" fontId="14" fillId="6" borderId="11" xfId="3" applyNumberFormat="1" applyFont="1" applyFill="1" applyBorder="1" applyAlignment="1">
      <alignment horizontal="center" vertical="center"/>
    </xf>
    <xf numFmtId="0" fontId="11" fillId="2" borderId="0" xfId="0" applyFont="1" applyFill="1" applyAlignment="1">
      <alignment horizontal="left" vertical="center"/>
    </xf>
    <xf numFmtId="0" fontId="12" fillId="2" borderId="0" xfId="0" applyFont="1" applyFill="1" applyAlignment="1">
      <alignment horizontal="left" vertical="center"/>
    </xf>
    <xf numFmtId="0" fontId="0" fillId="2" borderId="0" xfId="0" applyFill="1" applyAlignment="1">
      <alignment horizontal="center" vertical="center"/>
    </xf>
    <xf numFmtId="0" fontId="0" fillId="4" borderId="2" xfId="0" applyFill="1" applyBorder="1" applyAlignment="1">
      <alignment horizontal="center" vertical="center"/>
    </xf>
    <xf numFmtId="0" fontId="17" fillId="4" borderId="3" xfId="0" applyFont="1" applyFill="1" applyBorder="1" applyAlignment="1">
      <alignment horizontal="left" vertical="center" indent="2"/>
    </xf>
    <xf numFmtId="0" fontId="16" fillId="4" borderId="4" xfId="0" applyFont="1" applyFill="1" applyBorder="1" applyAlignment="1">
      <alignment horizontal="left" vertical="center" indent="2"/>
    </xf>
    <xf numFmtId="0" fontId="14" fillId="4" borderId="4" xfId="4" applyFont="1" applyBorder="1" applyAlignment="1">
      <alignment horizontal="left" vertical="center" indent="2"/>
    </xf>
    <xf numFmtId="0" fontId="17" fillId="4" borderId="2" xfId="0" applyFont="1" applyFill="1" applyBorder="1" applyAlignment="1">
      <alignment horizontal="left" vertical="center" indent="1"/>
    </xf>
    <xf numFmtId="0" fontId="17" fillId="4" borderId="11" xfId="0" applyFont="1" applyFill="1" applyBorder="1" applyAlignment="1">
      <alignment horizontal="left" vertical="center" indent="1"/>
    </xf>
    <xf numFmtId="0" fontId="17" fillId="4" borderId="7" xfId="0" applyFont="1" applyFill="1" applyBorder="1" applyAlignment="1">
      <alignment horizontal="left" vertical="center" indent="1"/>
    </xf>
    <xf numFmtId="170" fontId="28" fillId="6" borderId="8" xfId="3" applyNumberFormat="1" applyFont="1" applyFill="1" applyBorder="1" applyAlignment="1">
      <alignment horizontal="center" vertical="center"/>
    </xf>
    <xf numFmtId="170" fontId="14" fillId="6" borderId="7" xfId="3" applyNumberFormat="1" applyFont="1" applyFill="1" applyBorder="1" applyAlignment="1">
      <alignment horizontal="center" vertical="center"/>
    </xf>
    <xf numFmtId="0" fontId="13" fillId="6" borderId="15" xfId="9" applyFill="1" applyAlignment="1">
      <alignment horizontal="left" vertical="center" indent="2"/>
    </xf>
    <xf numFmtId="0" fontId="13" fillId="6" borderId="16" xfId="9" applyFill="1" applyBorder="1" applyAlignment="1">
      <alignment horizontal="left" vertical="center" indent="2"/>
    </xf>
    <xf numFmtId="0" fontId="13" fillId="6" borderId="17" xfId="9" applyFill="1" applyBorder="1" applyAlignment="1">
      <alignment horizontal="left" vertical="center" indent="2"/>
    </xf>
    <xf numFmtId="170" fontId="14" fillId="6" borderId="0" xfId="3" applyNumberFormat="1" applyFont="1" applyFill="1" applyBorder="1" applyAlignment="1">
      <alignment horizontal="center" vertical="center"/>
    </xf>
    <xf numFmtId="0" fontId="13" fillId="6" borderId="21" xfId="9" applyFill="1" applyBorder="1" applyAlignment="1">
      <alignment horizontal="left" vertical="center" indent="2"/>
    </xf>
    <xf numFmtId="0" fontId="13" fillId="6" borderId="3" xfId="9" applyFill="1" applyBorder="1" applyAlignment="1">
      <alignment horizontal="left" vertical="center" indent="2"/>
    </xf>
    <xf numFmtId="0" fontId="13" fillId="6" borderId="18" xfId="9" applyFill="1" applyBorder="1" applyAlignment="1">
      <alignment horizontal="left" vertical="center" indent="2"/>
    </xf>
    <xf numFmtId="0" fontId="13" fillId="6" borderId="0" xfId="9" applyFill="1" applyBorder="1" applyAlignment="1">
      <alignment horizontal="left" vertical="center" indent="2"/>
    </xf>
    <xf numFmtId="0" fontId="14" fillId="6" borderId="19" xfId="0" applyFont="1" applyFill="1" applyBorder="1" applyAlignment="1">
      <alignment horizontal="left" vertical="center" indent="2"/>
    </xf>
    <xf numFmtId="0" fontId="14" fillId="6" borderId="20" xfId="0" applyFont="1" applyFill="1" applyBorder="1" applyAlignment="1">
      <alignment horizontal="left" vertical="center" indent="2"/>
    </xf>
    <xf numFmtId="0" fontId="2" fillId="6" borderId="0" xfId="0" applyFont="1" applyFill="1" applyAlignment="1">
      <alignment horizontal="left" indent="2"/>
    </xf>
    <xf numFmtId="37" fontId="30" fillId="6" borderId="0" xfId="0" applyNumberFormat="1" applyFont="1" applyFill="1" applyAlignment="1">
      <alignment horizontal="left" indent="1"/>
    </xf>
    <xf numFmtId="37" fontId="21" fillId="6" borderId="0" xfId="0" applyNumberFormat="1" applyFont="1" applyFill="1" applyAlignment="1">
      <alignment horizontal="left" indent="1"/>
    </xf>
    <xf numFmtId="0" fontId="2" fillId="6" borderId="0" xfId="0" applyFont="1" applyFill="1" applyAlignment="1">
      <alignment horizontal="left" vertical="center"/>
    </xf>
    <xf numFmtId="37" fontId="31" fillId="6" borderId="0" xfId="0" applyNumberFormat="1" applyFont="1" applyFill="1" applyAlignment="1">
      <alignment horizontal="left"/>
    </xf>
    <xf numFmtId="37" fontId="18" fillId="6" borderId="0" xfId="0" applyNumberFormat="1" applyFont="1" applyFill="1" applyAlignment="1">
      <alignment horizontal="left"/>
    </xf>
  </cellXfs>
  <cellStyles count="12">
    <cellStyle name="Accent3" xfId="10" builtinId="37" customBuiltin="1"/>
    <cellStyle name="Bad" xfId="5" builtinId="27" customBuiltin="1"/>
    <cellStyle name="Calculation" xfId="7" builtinId="22" customBuiltin="1"/>
    <cellStyle name="Comma" xfId="1" builtinId="3"/>
    <cellStyle name="Currency" xfId="2" builtinId="4"/>
    <cellStyle name="Input" xfId="6" builtinId="20" customBuiltin="1"/>
    <cellStyle name="Linked Cell" xfId="8" builtinId="24" customBuiltin="1"/>
    <cellStyle name="Normal" xfId="0" builtinId="0"/>
    <cellStyle name="Normal 2 3" xfId="11" xr:uid="{0C5D9347-97B6-4E30-93DA-71E0934428BB}"/>
    <cellStyle name="Percent" xfId="3" builtinId="5"/>
    <cellStyle name="Title" xfId="4" builtinId="15" customBuiltin="1"/>
    <cellStyle name="Total" xfId="9" builtinId="25" customBuiltin="1"/>
  </cellStyles>
  <dxfs count="104">
    <dxf>
      <alignment horizontal="left" vertical="bottom" textRotation="0" wrapText="0" indent="0" justifyLastLine="0" shrinkToFit="0" readingOrder="0"/>
    </dxf>
    <dxf>
      <numFmt numFmtId="171" formatCode="m/d/yyyy"/>
    </dxf>
    <dxf>
      <font>
        <b/>
        <i val="0"/>
        <strike val="0"/>
        <condense val="0"/>
        <extend val="0"/>
        <outline val="0"/>
        <shadow val="0"/>
        <u val="none"/>
        <vertAlign val="baseline"/>
        <sz val="11"/>
        <color theme="1"/>
        <name val="SF Pro Text"/>
        <family val="2"/>
        <scheme val="minor"/>
      </font>
    </dxf>
    <dxf>
      <font>
        <b val="0"/>
        <i val="0"/>
        <strike val="0"/>
        <condense val="0"/>
        <extend val="0"/>
        <outline val="0"/>
        <shadow val="0"/>
        <u val="none"/>
        <vertAlign val="baseline"/>
        <sz val="11"/>
        <color theme="1"/>
        <name val="SF Pro Text"/>
        <family val="2"/>
        <scheme val="minor"/>
      </font>
      <alignment horizontal="left" vertical="bottom" textRotation="0" wrapText="0" indent="0" justifyLastLine="0" shrinkToFit="0" readingOrder="0"/>
      <border diagonalUp="0" diagonalDown="0">
        <left/>
        <right/>
        <top style="thin">
          <color theme="0" tint="-0.14999847407452621"/>
        </top>
        <bottom style="thin">
          <color theme="0" tint="-0.14999847407452621"/>
        </bottom>
        <vertical/>
        <horizontal/>
      </border>
    </dxf>
    <dxf>
      <border outline="0">
        <bottom style="thin">
          <color theme="0" tint="-0.14999847407452621"/>
        </bottom>
      </border>
    </dxf>
    <dxf>
      <font>
        <b val="0"/>
        <i val="0"/>
        <strike val="0"/>
        <condense val="0"/>
        <extend val="0"/>
        <outline val="0"/>
        <shadow val="0"/>
        <u val="none"/>
        <vertAlign val="baseline"/>
        <sz val="11"/>
        <color theme="1"/>
        <name val="SF Pro Text"/>
        <family val="2"/>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SF Pro Text"/>
        <family val="2"/>
        <scheme val="minor"/>
      </font>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SF Pro Text"/>
        <family val="2"/>
        <scheme val="minor"/>
      </font>
    </dxf>
    <dxf>
      <alignment wrapText="0"/>
    </dxf>
    <dxf>
      <alignment wrapText="0"/>
    </dxf>
    <dxf>
      <alignment wrapText="0"/>
    </dxf>
    <dxf>
      <alignment horizontal="center"/>
    </dxf>
    <dxf>
      <alignment horizontal="center"/>
    </dxf>
    <dxf>
      <alignment vertical="center"/>
    </dxf>
    <dxf>
      <alignment vertical="center"/>
    </dxf>
    <dxf>
      <alignment wrapText="1"/>
    </dxf>
    <dxf>
      <alignment wrapText="1"/>
    </dxf>
    <dxf>
      <alignment wrapText="0"/>
    </dxf>
    <dxf>
      <alignment wrapText="0"/>
    </dxf>
    <dxf>
      <alignment wrapText="0"/>
    </dxf>
    <dxf>
      <alignment vertical="center"/>
    </dxf>
    <dxf>
      <alignment vertical="center"/>
    </dxf>
    <dxf>
      <alignment horizontal="center"/>
    </dxf>
    <dxf>
      <alignment horizontal="center"/>
    </dxf>
    <dxf>
      <alignment wrapText="1"/>
    </dxf>
    <dxf>
      <alignment wrapText="1"/>
    </dxf>
    <dxf>
      <alignment horizontal="center"/>
    </dxf>
    <dxf>
      <alignment horizontal="center"/>
    </dxf>
    <dxf>
      <alignment vertical="center"/>
    </dxf>
    <dxf>
      <alignment vertical="center"/>
    </dxf>
    <dxf>
      <alignment wrapText="1"/>
    </dxf>
    <dxf>
      <alignment wrapText="1"/>
    </dxf>
    <dxf>
      <alignment horizontal="left"/>
    </dxf>
    <dxf>
      <alignment wrapText="0"/>
    </dxf>
    <dxf>
      <alignment wrapText="0"/>
    </dxf>
    <dxf>
      <alignment wrapText="0"/>
    </dxf>
    <dxf>
      <alignment wrapText="0"/>
    </dxf>
    <dxf>
      <alignment wrapText="0"/>
    </dxf>
    <dxf>
      <alignment horizontal="center" vertical="center" wrapText="1"/>
    </dxf>
    <dxf>
      <alignment vertical="center"/>
    </dxf>
    <dxf>
      <alignment vertical="center"/>
    </dxf>
    <dxf>
      <alignment horizontal="center"/>
    </dxf>
    <dxf>
      <alignment horizontal="center"/>
    </dxf>
    <dxf>
      <alignment wrapText="1"/>
    </dxf>
    <dxf>
      <alignment wrapText="1"/>
    </dxf>
    <dxf>
      <alignment horizontal="center" vertical="center" wrapText="1"/>
    </dxf>
    <dxf>
      <alignment horizontal="center"/>
    </dxf>
    <dxf>
      <alignment horizontal="center"/>
    </dxf>
    <dxf>
      <alignment vertical="center"/>
    </dxf>
    <dxf>
      <alignment vertical="center"/>
    </dxf>
    <dxf>
      <alignment wrapText="1"/>
    </dxf>
    <dxf>
      <alignment wrapText="1"/>
    </dxf>
    <dxf>
      <alignment vertical="center"/>
    </dxf>
    <dxf>
      <alignment vertical="center"/>
    </dxf>
    <dxf>
      <alignment wrapText="1"/>
    </dxf>
    <dxf>
      <alignment wrapText="1"/>
    </dxf>
    <dxf>
      <alignment horizontal="left"/>
    </dxf>
    <dxf>
      <alignment horizontal="right"/>
    </dxf>
    <dxf>
      <alignment horizontal="center" vertical="center" wrapText="1"/>
    </dxf>
    <dxf>
      <alignment horizontal="center" vertical="center" wrapText="1"/>
    </dxf>
    <dxf>
      <alignment horizontal="center" vertical="center" wrapText="1"/>
    </dxf>
    <dxf>
      <alignment vertical="center"/>
    </dxf>
    <dxf>
      <alignment horizontal="center"/>
    </dxf>
    <dxf>
      <alignment wrapText="1"/>
    </dxf>
    <dxf>
      <alignment vertical="center"/>
    </dxf>
    <dxf>
      <alignment vertical="center"/>
    </dxf>
    <dxf>
      <alignment horizontal="center"/>
    </dxf>
    <dxf>
      <alignment horizontal="center"/>
    </dxf>
    <dxf>
      <alignment wrapText="1"/>
    </dxf>
    <dxf>
      <alignment wrapText="1"/>
    </dxf>
    <dxf>
      <alignment vertical="center"/>
    </dxf>
    <dxf>
      <alignment vertical="center"/>
    </dxf>
    <dxf>
      <alignment horizontal="center"/>
    </dxf>
    <dxf>
      <alignment horizontal="center"/>
    </dxf>
    <dxf>
      <alignment wrapText="1"/>
    </dxf>
    <dxf>
      <alignment wrapText="1"/>
    </dxf>
    <dxf>
      <alignment horizontal="center"/>
    </dxf>
    <dxf>
      <alignment horizontal="center"/>
    </dxf>
    <dxf>
      <alignment vertical="center"/>
    </dxf>
    <dxf>
      <alignment vertical="center"/>
    </dxf>
    <dxf>
      <alignment wrapText="1"/>
    </dxf>
    <dxf>
      <alignment wrapText="1"/>
    </dxf>
    <dxf>
      <alignment horizontal="center" vertical="center" wrapText="1"/>
    </dxf>
    <dxf>
      <alignment horizontal="center"/>
    </dxf>
    <dxf>
      <alignment horizontal="center"/>
    </dxf>
    <dxf>
      <alignment vertical="center"/>
    </dxf>
    <dxf>
      <alignment vertical="center"/>
    </dxf>
    <dxf>
      <alignment wrapText="1"/>
    </dxf>
    <dxf>
      <alignment wrapText="1"/>
    </dxf>
    <dxf>
      <alignment horizontal="left"/>
    </dxf>
    <dxf>
      <alignment wrapText="0"/>
    </dxf>
    <dxf>
      <alignment wrapText="0"/>
    </dxf>
    <dxf>
      <alignment wrapText="0"/>
    </dxf>
    <dxf>
      <alignment wrapText="0"/>
    </dxf>
    <dxf>
      <alignment wrapText="0"/>
    </dxf>
    <dxf>
      <alignment horizontal="center" vertical="center" wrapText="1"/>
    </dxf>
    <dxf>
      <font>
        <b/>
        <color theme="1"/>
      </font>
      <border>
        <bottom style="thin">
          <color theme="4"/>
        </bottom>
        <vertical/>
        <horizontal/>
      </border>
    </dxf>
    <dxf>
      <font>
        <b/>
        <i val="0"/>
        <color rgb="FF1E293B"/>
      </font>
      <fill>
        <patternFill patternType="solid">
          <bgColor rgb="FF1E293B"/>
        </patternFill>
      </fill>
      <border diagonalUp="0" diagonalDown="0">
        <left/>
        <right/>
        <top/>
        <bottom/>
        <vertical/>
        <horizontal/>
      </border>
    </dxf>
    <dxf>
      <fill>
        <patternFill>
          <bgColor rgb="FF1E293B"/>
        </patternFill>
      </fill>
    </dxf>
    <dxf>
      <fill>
        <patternFill patternType="none">
          <bgColor auto="1"/>
        </patternFill>
      </fill>
    </dxf>
  </dxfs>
  <tableStyles count="5" defaultTableStyle="TableStyleMedium2" defaultPivotStyle="PivotStyleLight16">
    <tableStyle name="Slicer Style 1" pivot="0" table="0" count="1" xr9:uid="{3E2F70BC-4770-47E9-BE2D-9DF2CA5EBA0E}">
      <tableStyleElement type="wholeTable" dxfId="103"/>
    </tableStyle>
    <tableStyle name="Slicer Style 2" pivot="0" table="0" count="0" xr9:uid="{9F175CA9-D9FF-4933-9691-71D3C999565D}"/>
    <tableStyle name="Slicer Style 3" pivot="0" table="0" count="1" xr9:uid="{FAC9B109-D018-4BB3-B314-FD48429B58E0}">
      <tableStyleElement type="wholeTable" dxfId="102"/>
    </tableStyle>
    <tableStyle name="Slicer Style 4" pivot="0" table="0" count="1" xr9:uid="{2E614238-AAE7-4472-B018-CE878F5923DD}"/>
    <tableStyle name="SlicerStyleLight1 2" pivot="0" table="0" count="10" xr9:uid="{F5A93412-DD9C-4FA1-BC34-2A18CD5E0447}">
      <tableStyleElement type="wholeTable" dxfId="101"/>
      <tableStyleElement type="headerRow" dxfId="100"/>
    </tableStyle>
  </tableStyles>
  <colors>
    <mruColors>
      <color rgb="FF1E293B"/>
      <color rgb="FFA8A788"/>
      <color rgb="FFF1F5F9"/>
      <color rgb="FFF1F5F9"/>
      <color rgb="FFFFD9DE"/>
      <color rgb="FFFFFFFF"/>
      <color rgb="FFF9F8E7"/>
      <color rgb="FF718597"/>
      <color rgb="FFF7F6DE"/>
      <color rgb="FFABAEA4"/>
    </mruColors>
  </colors>
  <extLst>
    <ext xmlns:x14="http://schemas.microsoft.com/office/spreadsheetml/2009/9/main" uri="{46F421CA-312F-682f-3DD2-61675219B42D}">
      <x14:dxfs count="9">
        <dxf>
          <font>
            <color rgb="FF000000"/>
          </font>
          <fill>
            <patternFill patternType="solid">
              <fgColor auto="1"/>
              <bgColor rgb="FFF7F6DE"/>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F7F6DE"/>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F9F8E7"/>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F7F6DE"/>
            </patternFill>
          </fill>
          <border>
            <left style="thin">
              <color rgb="FF999999"/>
            </left>
            <right style="thin">
              <color rgb="FF999999"/>
            </right>
            <top style="thin">
              <color rgb="FF999999"/>
            </top>
            <bottom style="thin">
              <color rgb="FF999999"/>
            </bottom>
            <vertical/>
            <horizontal/>
          </border>
        </dxf>
        <dxf>
          <font>
            <color rgb="FF718597"/>
          </font>
          <fill>
            <patternFill patternType="solid">
              <fgColor theme="4" tint="0.79995117038483843"/>
              <bgColor rgb="FFF2F0CA"/>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rgb="FFF7F6DE"/>
            </patternFill>
          </fill>
          <border>
            <left style="thin">
              <color rgb="FF999999"/>
            </left>
            <right style="thin">
              <color rgb="FF999999"/>
            </right>
            <top style="thin">
              <color rgb="FF999999"/>
            </top>
            <bottom style="thin">
              <color rgb="FF999999"/>
            </bottom>
            <vertical/>
            <horizontal/>
          </border>
        </dxf>
        <dxf>
          <font>
            <color rgb="FF718597"/>
          </font>
          <fill>
            <patternFill patternType="solid">
              <fgColor rgb="FFFFFFFF"/>
              <bgColor rgb="FFABAEA4"/>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ABAEA4"/>
            </patternFill>
          </fill>
          <border>
            <left style="thin">
              <color rgb="FFCCCCCC"/>
            </left>
            <right style="thin">
              <color rgb="FFCCCCCC"/>
            </right>
            <top style="thin">
              <color rgb="FFCCCCCC"/>
            </top>
            <bottom style="thin">
              <color rgb="FFCCCCCC"/>
            </bottom>
            <vertical/>
            <horizontal/>
          </border>
        </dxf>
        <dxf>
          <fill>
            <patternFill>
              <bgColor rgb="FFF7F6DE"/>
            </patternFill>
          </fill>
        </dxf>
      </x14:dxfs>
    </ext>
    <ext xmlns:x14="http://schemas.microsoft.com/office/spreadsheetml/2009/9/main" uri="{EB79DEF2-80B8-43e5-95BD-54CBDDF9020C}">
      <x14:slicerStyles defaultSlicerStyle="SlicerStyleLight1">
        <x14:slicerStyle name="Slicer Style 1"/>
        <x14:slicerStyle name="Slicer Style 2"/>
        <x14:slicerStyle name="Slicer Style 3"/>
        <x14:slicerStyle name="Slicer Style 4">
          <x14:slicerStyleElements>
            <x14:slicerStyleElement type="selectedItemWithData" dxfId="8"/>
          </x14:slicerStyleElements>
        </x14:slicerStyle>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78.xml"/><Relationship Id="rId21" Type="http://schemas.openxmlformats.org/officeDocument/2006/relationships/pivotCacheDefinition" Target="pivotCache/pivotCacheDefinition10.xml"/><Relationship Id="rId42" Type="http://schemas.openxmlformats.org/officeDocument/2006/relationships/customXml" Target="../customXml/item3.xml"/><Relationship Id="rId63" Type="http://schemas.openxmlformats.org/officeDocument/2006/relationships/customXml" Target="../customXml/item24.xml"/><Relationship Id="rId84" Type="http://schemas.openxmlformats.org/officeDocument/2006/relationships/customXml" Target="../customXml/item45.xml"/><Relationship Id="rId138" Type="http://schemas.openxmlformats.org/officeDocument/2006/relationships/customXml" Target="../customXml/item99.xml"/><Relationship Id="rId159" Type="http://schemas.openxmlformats.org/officeDocument/2006/relationships/customXml" Target="../customXml/item120.xml"/><Relationship Id="rId170" Type="http://schemas.openxmlformats.org/officeDocument/2006/relationships/customXml" Target="../customXml/item131.xml"/><Relationship Id="rId191" Type="http://schemas.openxmlformats.org/officeDocument/2006/relationships/customXml" Target="../customXml/item152.xml"/><Relationship Id="rId205" Type="http://schemas.openxmlformats.org/officeDocument/2006/relationships/customXml" Target="../customXml/item166.xml"/><Relationship Id="rId226" Type="http://schemas.openxmlformats.org/officeDocument/2006/relationships/customXml" Target="../customXml/item187.xml"/><Relationship Id="rId107" Type="http://schemas.openxmlformats.org/officeDocument/2006/relationships/customXml" Target="../customXml/item68.xml"/><Relationship Id="rId11" Type="http://schemas.openxmlformats.org/officeDocument/2006/relationships/worksheet" Target="worksheets/sheet11.xml"/><Relationship Id="rId32" Type="http://schemas.microsoft.com/office/2007/relationships/slicerCache" Target="slicerCaches/slicerCache1.xml"/><Relationship Id="rId53" Type="http://schemas.openxmlformats.org/officeDocument/2006/relationships/customXml" Target="../customXml/item14.xml"/><Relationship Id="rId74" Type="http://schemas.openxmlformats.org/officeDocument/2006/relationships/customXml" Target="../customXml/item35.xml"/><Relationship Id="rId128" Type="http://schemas.openxmlformats.org/officeDocument/2006/relationships/customXml" Target="../customXml/item89.xml"/><Relationship Id="rId149" Type="http://schemas.openxmlformats.org/officeDocument/2006/relationships/customXml" Target="../customXml/item110.xml"/><Relationship Id="rId5" Type="http://schemas.openxmlformats.org/officeDocument/2006/relationships/worksheet" Target="worksheets/sheet5.xml"/><Relationship Id="rId95" Type="http://schemas.openxmlformats.org/officeDocument/2006/relationships/customXml" Target="../customXml/item56.xml"/><Relationship Id="rId160" Type="http://schemas.openxmlformats.org/officeDocument/2006/relationships/customXml" Target="../customXml/item121.xml"/><Relationship Id="rId181" Type="http://schemas.openxmlformats.org/officeDocument/2006/relationships/customXml" Target="../customXml/item142.xml"/><Relationship Id="rId216" Type="http://schemas.openxmlformats.org/officeDocument/2006/relationships/customXml" Target="../customXml/item177.xml"/><Relationship Id="rId22" Type="http://schemas.openxmlformats.org/officeDocument/2006/relationships/pivotCacheDefinition" Target="pivotCache/pivotCacheDefinition11.xml"/><Relationship Id="rId43" Type="http://schemas.openxmlformats.org/officeDocument/2006/relationships/customXml" Target="../customXml/item4.xml"/><Relationship Id="rId64" Type="http://schemas.openxmlformats.org/officeDocument/2006/relationships/customXml" Target="../customXml/item25.xml"/><Relationship Id="rId118" Type="http://schemas.openxmlformats.org/officeDocument/2006/relationships/customXml" Target="../customXml/item79.xml"/><Relationship Id="rId139" Type="http://schemas.openxmlformats.org/officeDocument/2006/relationships/customXml" Target="../customXml/item100.xml"/><Relationship Id="rId85" Type="http://schemas.openxmlformats.org/officeDocument/2006/relationships/customXml" Target="../customXml/item46.xml"/><Relationship Id="rId150" Type="http://schemas.openxmlformats.org/officeDocument/2006/relationships/customXml" Target="../customXml/item111.xml"/><Relationship Id="rId171" Type="http://schemas.openxmlformats.org/officeDocument/2006/relationships/customXml" Target="../customXml/item132.xml"/><Relationship Id="rId192" Type="http://schemas.openxmlformats.org/officeDocument/2006/relationships/customXml" Target="../customXml/item153.xml"/><Relationship Id="rId206" Type="http://schemas.openxmlformats.org/officeDocument/2006/relationships/customXml" Target="../customXml/item167.xml"/><Relationship Id="rId227" Type="http://schemas.openxmlformats.org/officeDocument/2006/relationships/customXml" Target="../customXml/item188.xml"/><Relationship Id="rId12" Type="http://schemas.openxmlformats.org/officeDocument/2006/relationships/pivotCacheDefinition" Target="pivotCache/pivotCacheDefinition1.xml"/><Relationship Id="rId33" Type="http://schemas.openxmlformats.org/officeDocument/2006/relationships/theme" Target="theme/theme1.xml"/><Relationship Id="rId108" Type="http://schemas.openxmlformats.org/officeDocument/2006/relationships/customXml" Target="../customXml/item69.xml"/><Relationship Id="rId129" Type="http://schemas.openxmlformats.org/officeDocument/2006/relationships/customXml" Target="../customXml/item90.xml"/><Relationship Id="rId54" Type="http://schemas.openxmlformats.org/officeDocument/2006/relationships/customXml" Target="../customXml/item15.xml"/><Relationship Id="rId75" Type="http://schemas.openxmlformats.org/officeDocument/2006/relationships/customXml" Target="../customXml/item36.xml"/><Relationship Id="rId96" Type="http://schemas.openxmlformats.org/officeDocument/2006/relationships/customXml" Target="../customXml/item57.xml"/><Relationship Id="rId140" Type="http://schemas.openxmlformats.org/officeDocument/2006/relationships/customXml" Target="../customXml/item101.xml"/><Relationship Id="rId161" Type="http://schemas.openxmlformats.org/officeDocument/2006/relationships/customXml" Target="../customXml/item122.xml"/><Relationship Id="rId182" Type="http://schemas.openxmlformats.org/officeDocument/2006/relationships/customXml" Target="../customXml/item143.xml"/><Relationship Id="rId217" Type="http://schemas.openxmlformats.org/officeDocument/2006/relationships/customXml" Target="../customXml/item178.xml"/><Relationship Id="rId6" Type="http://schemas.openxmlformats.org/officeDocument/2006/relationships/worksheet" Target="worksheets/sheet6.xml"/><Relationship Id="rId23" Type="http://schemas.openxmlformats.org/officeDocument/2006/relationships/pivotCacheDefinition" Target="pivotCache/pivotCacheDefinition12.xml"/><Relationship Id="rId119" Type="http://schemas.openxmlformats.org/officeDocument/2006/relationships/customXml" Target="../customXml/item80.xml"/><Relationship Id="rId44" Type="http://schemas.openxmlformats.org/officeDocument/2006/relationships/customXml" Target="../customXml/item5.xml"/><Relationship Id="rId65" Type="http://schemas.openxmlformats.org/officeDocument/2006/relationships/customXml" Target="../customXml/item26.xml"/><Relationship Id="rId86" Type="http://schemas.openxmlformats.org/officeDocument/2006/relationships/customXml" Target="../customXml/item47.xml"/><Relationship Id="rId130" Type="http://schemas.openxmlformats.org/officeDocument/2006/relationships/customXml" Target="../customXml/item91.xml"/><Relationship Id="rId151" Type="http://schemas.openxmlformats.org/officeDocument/2006/relationships/customXml" Target="../customXml/item112.xml"/><Relationship Id="rId172" Type="http://schemas.openxmlformats.org/officeDocument/2006/relationships/customXml" Target="../customXml/item133.xml"/><Relationship Id="rId193" Type="http://schemas.openxmlformats.org/officeDocument/2006/relationships/customXml" Target="../customXml/item154.xml"/><Relationship Id="rId207" Type="http://schemas.openxmlformats.org/officeDocument/2006/relationships/customXml" Target="../customXml/item168.xml"/><Relationship Id="rId228" Type="http://schemas.openxmlformats.org/officeDocument/2006/relationships/customXml" Target="../customXml/item189.xml"/><Relationship Id="rId13" Type="http://schemas.openxmlformats.org/officeDocument/2006/relationships/pivotCacheDefinition" Target="pivotCache/pivotCacheDefinition2.xml"/><Relationship Id="rId109" Type="http://schemas.openxmlformats.org/officeDocument/2006/relationships/customXml" Target="../customXml/item70.xml"/><Relationship Id="rId34" Type="http://schemas.openxmlformats.org/officeDocument/2006/relationships/connections" Target="connections.xml"/><Relationship Id="rId55" Type="http://schemas.openxmlformats.org/officeDocument/2006/relationships/customXml" Target="../customXml/item16.xml"/><Relationship Id="rId76" Type="http://schemas.openxmlformats.org/officeDocument/2006/relationships/customXml" Target="../customXml/item37.xml"/><Relationship Id="rId97" Type="http://schemas.openxmlformats.org/officeDocument/2006/relationships/customXml" Target="../customXml/item58.xml"/><Relationship Id="rId120" Type="http://schemas.openxmlformats.org/officeDocument/2006/relationships/customXml" Target="../customXml/item81.xml"/><Relationship Id="rId141" Type="http://schemas.openxmlformats.org/officeDocument/2006/relationships/customXml" Target="../customXml/item102.xml"/><Relationship Id="rId7" Type="http://schemas.openxmlformats.org/officeDocument/2006/relationships/worksheet" Target="worksheets/sheet7.xml"/><Relationship Id="rId162" Type="http://schemas.openxmlformats.org/officeDocument/2006/relationships/customXml" Target="../customXml/item123.xml"/><Relationship Id="rId183" Type="http://schemas.openxmlformats.org/officeDocument/2006/relationships/customXml" Target="../customXml/item144.xml"/><Relationship Id="rId218" Type="http://schemas.openxmlformats.org/officeDocument/2006/relationships/customXml" Target="../customXml/item179.xml"/><Relationship Id="rId24" Type="http://schemas.openxmlformats.org/officeDocument/2006/relationships/pivotCacheDefinition" Target="pivotCache/pivotCacheDefinition13.xml"/><Relationship Id="rId45" Type="http://schemas.openxmlformats.org/officeDocument/2006/relationships/customXml" Target="../customXml/item6.xml"/><Relationship Id="rId66" Type="http://schemas.openxmlformats.org/officeDocument/2006/relationships/customXml" Target="../customXml/item27.xml"/><Relationship Id="rId87" Type="http://schemas.openxmlformats.org/officeDocument/2006/relationships/customXml" Target="../customXml/item48.xml"/><Relationship Id="rId110" Type="http://schemas.openxmlformats.org/officeDocument/2006/relationships/customXml" Target="../customXml/item71.xml"/><Relationship Id="rId131" Type="http://schemas.openxmlformats.org/officeDocument/2006/relationships/customXml" Target="../customXml/item92.xml"/><Relationship Id="rId152" Type="http://schemas.openxmlformats.org/officeDocument/2006/relationships/customXml" Target="../customXml/item113.xml"/><Relationship Id="rId173" Type="http://schemas.openxmlformats.org/officeDocument/2006/relationships/customXml" Target="../customXml/item134.xml"/><Relationship Id="rId194" Type="http://schemas.openxmlformats.org/officeDocument/2006/relationships/customXml" Target="../customXml/item155.xml"/><Relationship Id="rId208" Type="http://schemas.openxmlformats.org/officeDocument/2006/relationships/customXml" Target="../customXml/item169.xml"/><Relationship Id="rId229" Type="http://schemas.openxmlformats.org/officeDocument/2006/relationships/customXml" Target="../customXml/item190.xml"/><Relationship Id="rId14" Type="http://schemas.openxmlformats.org/officeDocument/2006/relationships/pivotCacheDefinition" Target="pivotCache/pivotCacheDefinition3.xml"/><Relationship Id="rId35" Type="http://schemas.openxmlformats.org/officeDocument/2006/relationships/styles" Target="styles.xml"/><Relationship Id="rId56" Type="http://schemas.openxmlformats.org/officeDocument/2006/relationships/customXml" Target="../customXml/item17.xml"/><Relationship Id="rId77" Type="http://schemas.openxmlformats.org/officeDocument/2006/relationships/customXml" Target="../customXml/item38.xml"/><Relationship Id="rId100" Type="http://schemas.openxmlformats.org/officeDocument/2006/relationships/customXml" Target="../customXml/item61.xml"/><Relationship Id="rId8" Type="http://schemas.openxmlformats.org/officeDocument/2006/relationships/worksheet" Target="worksheets/sheet8.xml"/><Relationship Id="rId98" Type="http://schemas.openxmlformats.org/officeDocument/2006/relationships/customXml" Target="../customXml/item59.xml"/><Relationship Id="rId121" Type="http://schemas.openxmlformats.org/officeDocument/2006/relationships/customXml" Target="../customXml/item82.xml"/><Relationship Id="rId142" Type="http://schemas.openxmlformats.org/officeDocument/2006/relationships/customXml" Target="../customXml/item103.xml"/><Relationship Id="rId163" Type="http://schemas.openxmlformats.org/officeDocument/2006/relationships/customXml" Target="../customXml/item124.xml"/><Relationship Id="rId184" Type="http://schemas.openxmlformats.org/officeDocument/2006/relationships/customXml" Target="../customXml/item145.xml"/><Relationship Id="rId219" Type="http://schemas.openxmlformats.org/officeDocument/2006/relationships/customXml" Target="../customXml/item180.xml"/><Relationship Id="rId230" Type="http://schemas.openxmlformats.org/officeDocument/2006/relationships/customXml" Target="../customXml/item191.xml"/><Relationship Id="rId25" Type="http://schemas.openxmlformats.org/officeDocument/2006/relationships/pivotCacheDefinition" Target="pivotCache/pivotCacheDefinition14.xml"/><Relationship Id="rId46" Type="http://schemas.openxmlformats.org/officeDocument/2006/relationships/customXml" Target="../customXml/item7.xml"/><Relationship Id="rId67" Type="http://schemas.openxmlformats.org/officeDocument/2006/relationships/customXml" Target="../customXml/item28.xml"/><Relationship Id="rId20" Type="http://schemas.openxmlformats.org/officeDocument/2006/relationships/pivotCacheDefinition" Target="pivotCache/pivotCacheDefinition9.xml"/><Relationship Id="rId41" Type="http://schemas.openxmlformats.org/officeDocument/2006/relationships/customXml" Target="../customXml/item2.xml"/><Relationship Id="rId62" Type="http://schemas.openxmlformats.org/officeDocument/2006/relationships/customXml" Target="../customXml/item23.xml"/><Relationship Id="rId83" Type="http://schemas.openxmlformats.org/officeDocument/2006/relationships/customXml" Target="../customXml/item44.xml"/><Relationship Id="rId88" Type="http://schemas.openxmlformats.org/officeDocument/2006/relationships/customXml" Target="../customXml/item49.xml"/><Relationship Id="rId111" Type="http://schemas.openxmlformats.org/officeDocument/2006/relationships/customXml" Target="../customXml/item72.xml"/><Relationship Id="rId132" Type="http://schemas.openxmlformats.org/officeDocument/2006/relationships/customXml" Target="../customXml/item93.xml"/><Relationship Id="rId153" Type="http://schemas.openxmlformats.org/officeDocument/2006/relationships/customXml" Target="../customXml/item114.xml"/><Relationship Id="rId174" Type="http://schemas.openxmlformats.org/officeDocument/2006/relationships/customXml" Target="../customXml/item135.xml"/><Relationship Id="rId179" Type="http://schemas.openxmlformats.org/officeDocument/2006/relationships/customXml" Target="../customXml/item140.xml"/><Relationship Id="rId195" Type="http://schemas.openxmlformats.org/officeDocument/2006/relationships/customXml" Target="../customXml/item156.xml"/><Relationship Id="rId209" Type="http://schemas.openxmlformats.org/officeDocument/2006/relationships/customXml" Target="../customXml/item170.xml"/><Relationship Id="rId190" Type="http://schemas.openxmlformats.org/officeDocument/2006/relationships/customXml" Target="../customXml/item151.xml"/><Relationship Id="rId204" Type="http://schemas.openxmlformats.org/officeDocument/2006/relationships/customXml" Target="../customXml/item165.xml"/><Relationship Id="rId220" Type="http://schemas.openxmlformats.org/officeDocument/2006/relationships/customXml" Target="../customXml/item181.xml"/><Relationship Id="rId225" Type="http://schemas.openxmlformats.org/officeDocument/2006/relationships/customXml" Target="../customXml/item186.xml"/><Relationship Id="rId15" Type="http://schemas.openxmlformats.org/officeDocument/2006/relationships/pivotCacheDefinition" Target="pivotCache/pivotCacheDefinition4.xml"/><Relationship Id="rId36" Type="http://schemas.openxmlformats.org/officeDocument/2006/relationships/sharedStrings" Target="sharedStrings.xml"/><Relationship Id="rId57" Type="http://schemas.openxmlformats.org/officeDocument/2006/relationships/customXml" Target="../customXml/item18.xml"/><Relationship Id="rId106" Type="http://schemas.openxmlformats.org/officeDocument/2006/relationships/customXml" Target="../customXml/item67.xml"/><Relationship Id="rId127" Type="http://schemas.openxmlformats.org/officeDocument/2006/relationships/customXml" Target="../customXml/item88.xml"/><Relationship Id="rId10" Type="http://schemas.openxmlformats.org/officeDocument/2006/relationships/worksheet" Target="worksheets/sheet10.xml"/><Relationship Id="rId31" Type="http://schemas.openxmlformats.org/officeDocument/2006/relationships/pivotCacheDefinition" Target="pivotCache/pivotCacheDefinition20.xml"/><Relationship Id="rId52" Type="http://schemas.openxmlformats.org/officeDocument/2006/relationships/customXml" Target="../customXml/item13.xml"/><Relationship Id="rId73" Type="http://schemas.openxmlformats.org/officeDocument/2006/relationships/customXml" Target="../customXml/item34.xml"/><Relationship Id="rId78" Type="http://schemas.openxmlformats.org/officeDocument/2006/relationships/customXml" Target="../customXml/item39.xml"/><Relationship Id="rId94" Type="http://schemas.openxmlformats.org/officeDocument/2006/relationships/customXml" Target="../customXml/item55.xml"/><Relationship Id="rId99" Type="http://schemas.openxmlformats.org/officeDocument/2006/relationships/customXml" Target="../customXml/item60.xml"/><Relationship Id="rId101" Type="http://schemas.openxmlformats.org/officeDocument/2006/relationships/customXml" Target="../customXml/item62.xml"/><Relationship Id="rId122" Type="http://schemas.openxmlformats.org/officeDocument/2006/relationships/customXml" Target="../customXml/item83.xml"/><Relationship Id="rId143" Type="http://schemas.openxmlformats.org/officeDocument/2006/relationships/customXml" Target="../customXml/item104.xml"/><Relationship Id="rId148" Type="http://schemas.openxmlformats.org/officeDocument/2006/relationships/customXml" Target="../customXml/item109.xml"/><Relationship Id="rId164" Type="http://schemas.openxmlformats.org/officeDocument/2006/relationships/customXml" Target="../customXml/item125.xml"/><Relationship Id="rId169" Type="http://schemas.openxmlformats.org/officeDocument/2006/relationships/customXml" Target="../customXml/item130.xml"/><Relationship Id="rId185" Type="http://schemas.openxmlformats.org/officeDocument/2006/relationships/customXml" Target="../customXml/item14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41.xml"/><Relationship Id="rId210" Type="http://schemas.openxmlformats.org/officeDocument/2006/relationships/customXml" Target="../customXml/item171.xml"/><Relationship Id="rId215" Type="http://schemas.openxmlformats.org/officeDocument/2006/relationships/customXml" Target="../customXml/item176.xml"/><Relationship Id="rId26" Type="http://schemas.openxmlformats.org/officeDocument/2006/relationships/pivotCacheDefinition" Target="pivotCache/pivotCacheDefinition15.xml"/><Relationship Id="rId231" Type="http://schemas.openxmlformats.org/officeDocument/2006/relationships/customXml" Target="../customXml/item192.xml"/><Relationship Id="rId47" Type="http://schemas.openxmlformats.org/officeDocument/2006/relationships/customXml" Target="../customXml/item8.xml"/><Relationship Id="rId68" Type="http://schemas.openxmlformats.org/officeDocument/2006/relationships/customXml" Target="../customXml/item29.xml"/><Relationship Id="rId89" Type="http://schemas.openxmlformats.org/officeDocument/2006/relationships/customXml" Target="../customXml/item50.xml"/><Relationship Id="rId112" Type="http://schemas.openxmlformats.org/officeDocument/2006/relationships/customXml" Target="../customXml/item73.xml"/><Relationship Id="rId133" Type="http://schemas.openxmlformats.org/officeDocument/2006/relationships/customXml" Target="../customXml/item94.xml"/><Relationship Id="rId154" Type="http://schemas.openxmlformats.org/officeDocument/2006/relationships/customXml" Target="../customXml/item115.xml"/><Relationship Id="rId175" Type="http://schemas.openxmlformats.org/officeDocument/2006/relationships/customXml" Target="../customXml/item136.xml"/><Relationship Id="rId196" Type="http://schemas.openxmlformats.org/officeDocument/2006/relationships/customXml" Target="../customXml/item157.xml"/><Relationship Id="rId200" Type="http://schemas.openxmlformats.org/officeDocument/2006/relationships/customXml" Target="../customXml/item161.xml"/><Relationship Id="rId16" Type="http://schemas.openxmlformats.org/officeDocument/2006/relationships/pivotCacheDefinition" Target="pivotCache/pivotCacheDefinition5.xml"/><Relationship Id="rId221" Type="http://schemas.openxmlformats.org/officeDocument/2006/relationships/customXml" Target="../customXml/item182.xml"/><Relationship Id="rId37" Type="http://schemas.openxmlformats.org/officeDocument/2006/relationships/sheetMetadata" Target="metadata.xml"/><Relationship Id="rId58" Type="http://schemas.openxmlformats.org/officeDocument/2006/relationships/customXml" Target="../customXml/item19.xml"/><Relationship Id="rId79" Type="http://schemas.openxmlformats.org/officeDocument/2006/relationships/customXml" Target="../customXml/item40.xml"/><Relationship Id="rId102" Type="http://schemas.openxmlformats.org/officeDocument/2006/relationships/customXml" Target="../customXml/item63.xml"/><Relationship Id="rId123" Type="http://schemas.openxmlformats.org/officeDocument/2006/relationships/customXml" Target="../customXml/item84.xml"/><Relationship Id="rId144" Type="http://schemas.openxmlformats.org/officeDocument/2006/relationships/customXml" Target="../customXml/item105.xml"/><Relationship Id="rId90" Type="http://schemas.openxmlformats.org/officeDocument/2006/relationships/customXml" Target="../customXml/item51.xml"/><Relationship Id="rId165" Type="http://schemas.openxmlformats.org/officeDocument/2006/relationships/customXml" Target="../customXml/item126.xml"/><Relationship Id="rId186" Type="http://schemas.openxmlformats.org/officeDocument/2006/relationships/customXml" Target="../customXml/item147.xml"/><Relationship Id="rId211" Type="http://schemas.openxmlformats.org/officeDocument/2006/relationships/customXml" Target="../customXml/item172.xml"/><Relationship Id="rId232" Type="http://schemas.openxmlformats.org/officeDocument/2006/relationships/customXml" Target="../customXml/item193.xml"/><Relationship Id="rId27" Type="http://schemas.openxmlformats.org/officeDocument/2006/relationships/pivotCacheDefinition" Target="pivotCache/pivotCacheDefinition16.xml"/><Relationship Id="rId48" Type="http://schemas.openxmlformats.org/officeDocument/2006/relationships/customXml" Target="../customXml/item9.xml"/><Relationship Id="rId69" Type="http://schemas.openxmlformats.org/officeDocument/2006/relationships/customXml" Target="../customXml/item30.xml"/><Relationship Id="rId113" Type="http://schemas.openxmlformats.org/officeDocument/2006/relationships/customXml" Target="../customXml/item74.xml"/><Relationship Id="rId134" Type="http://schemas.openxmlformats.org/officeDocument/2006/relationships/customXml" Target="../customXml/item95.xml"/><Relationship Id="rId80" Type="http://schemas.openxmlformats.org/officeDocument/2006/relationships/customXml" Target="../customXml/item41.xml"/><Relationship Id="rId155" Type="http://schemas.openxmlformats.org/officeDocument/2006/relationships/customXml" Target="../customXml/item116.xml"/><Relationship Id="rId176" Type="http://schemas.openxmlformats.org/officeDocument/2006/relationships/customXml" Target="../customXml/item137.xml"/><Relationship Id="rId197" Type="http://schemas.openxmlformats.org/officeDocument/2006/relationships/customXml" Target="../customXml/item158.xml"/><Relationship Id="rId201" Type="http://schemas.openxmlformats.org/officeDocument/2006/relationships/customXml" Target="../customXml/item162.xml"/><Relationship Id="rId222" Type="http://schemas.openxmlformats.org/officeDocument/2006/relationships/customXml" Target="../customXml/item183.xml"/><Relationship Id="rId17" Type="http://schemas.openxmlformats.org/officeDocument/2006/relationships/pivotCacheDefinition" Target="pivotCache/pivotCacheDefinition6.xml"/><Relationship Id="rId38" Type="http://schemas.openxmlformats.org/officeDocument/2006/relationships/powerPivotData" Target="model/item.data"/><Relationship Id="rId59" Type="http://schemas.openxmlformats.org/officeDocument/2006/relationships/customXml" Target="../customXml/item20.xml"/><Relationship Id="rId103" Type="http://schemas.openxmlformats.org/officeDocument/2006/relationships/customXml" Target="../customXml/item64.xml"/><Relationship Id="rId124" Type="http://schemas.openxmlformats.org/officeDocument/2006/relationships/customXml" Target="../customXml/item85.xml"/><Relationship Id="rId70" Type="http://schemas.openxmlformats.org/officeDocument/2006/relationships/customXml" Target="../customXml/item31.xml"/><Relationship Id="rId91" Type="http://schemas.openxmlformats.org/officeDocument/2006/relationships/customXml" Target="../customXml/item52.xml"/><Relationship Id="rId145" Type="http://schemas.openxmlformats.org/officeDocument/2006/relationships/customXml" Target="../customXml/item106.xml"/><Relationship Id="rId166" Type="http://schemas.openxmlformats.org/officeDocument/2006/relationships/customXml" Target="../customXml/item127.xml"/><Relationship Id="rId187" Type="http://schemas.openxmlformats.org/officeDocument/2006/relationships/customXml" Target="../customXml/item148.xml"/><Relationship Id="rId1" Type="http://schemas.openxmlformats.org/officeDocument/2006/relationships/worksheet" Target="worksheets/sheet1.xml"/><Relationship Id="rId212" Type="http://schemas.openxmlformats.org/officeDocument/2006/relationships/customXml" Target="../customXml/item173.xml"/><Relationship Id="rId233" Type="http://schemas.openxmlformats.org/officeDocument/2006/relationships/customXml" Target="../customXml/item194.xml"/><Relationship Id="rId28" Type="http://schemas.openxmlformats.org/officeDocument/2006/relationships/pivotCacheDefinition" Target="pivotCache/pivotCacheDefinition17.xml"/><Relationship Id="rId49" Type="http://schemas.openxmlformats.org/officeDocument/2006/relationships/customXml" Target="../customXml/item10.xml"/><Relationship Id="rId114" Type="http://schemas.openxmlformats.org/officeDocument/2006/relationships/customXml" Target="../customXml/item75.xml"/><Relationship Id="rId60" Type="http://schemas.openxmlformats.org/officeDocument/2006/relationships/customXml" Target="../customXml/item21.xml"/><Relationship Id="rId81" Type="http://schemas.openxmlformats.org/officeDocument/2006/relationships/customXml" Target="../customXml/item42.xml"/><Relationship Id="rId135" Type="http://schemas.openxmlformats.org/officeDocument/2006/relationships/customXml" Target="../customXml/item96.xml"/><Relationship Id="rId156" Type="http://schemas.openxmlformats.org/officeDocument/2006/relationships/customXml" Target="../customXml/item117.xml"/><Relationship Id="rId177" Type="http://schemas.openxmlformats.org/officeDocument/2006/relationships/customXml" Target="../customXml/item138.xml"/><Relationship Id="rId198" Type="http://schemas.openxmlformats.org/officeDocument/2006/relationships/customXml" Target="../customXml/item159.xml"/><Relationship Id="rId202" Type="http://schemas.openxmlformats.org/officeDocument/2006/relationships/customXml" Target="../customXml/item163.xml"/><Relationship Id="rId223" Type="http://schemas.openxmlformats.org/officeDocument/2006/relationships/customXml" Target="../customXml/item184.xml"/><Relationship Id="rId18" Type="http://schemas.openxmlformats.org/officeDocument/2006/relationships/pivotCacheDefinition" Target="pivotCache/pivotCacheDefinition7.xml"/><Relationship Id="rId39" Type="http://schemas.openxmlformats.org/officeDocument/2006/relationships/calcChain" Target="calcChain.xml"/><Relationship Id="rId50" Type="http://schemas.openxmlformats.org/officeDocument/2006/relationships/customXml" Target="../customXml/item11.xml"/><Relationship Id="rId104" Type="http://schemas.openxmlformats.org/officeDocument/2006/relationships/customXml" Target="../customXml/item65.xml"/><Relationship Id="rId125" Type="http://schemas.openxmlformats.org/officeDocument/2006/relationships/customXml" Target="../customXml/item86.xml"/><Relationship Id="rId146" Type="http://schemas.openxmlformats.org/officeDocument/2006/relationships/customXml" Target="../customXml/item107.xml"/><Relationship Id="rId167" Type="http://schemas.openxmlformats.org/officeDocument/2006/relationships/customXml" Target="../customXml/item128.xml"/><Relationship Id="rId188" Type="http://schemas.openxmlformats.org/officeDocument/2006/relationships/customXml" Target="../customXml/item149.xml"/><Relationship Id="rId71" Type="http://schemas.openxmlformats.org/officeDocument/2006/relationships/customXml" Target="../customXml/item32.xml"/><Relationship Id="rId92" Type="http://schemas.openxmlformats.org/officeDocument/2006/relationships/customXml" Target="../customXml/item53.xml"/><Relationship Id="rId213" Type="http://schemas.openxmlformats.org/officeDocument/2006/relationships/customXml" Target="../customXml/item174.xml"/><Relationship Id="rId2" Type="http://schemas.openxmlformats.org/officeDocument/2006/relationships/worksheet" Target="worksheets/sheet2.xml"/><Relationship Id="rId29" Type="http://schemas.openxmlformats.org/officeDocument/2006/relationships/pivotCacheDefinition" Target="pivotCache/pivotCacheDefinition18.xml"/><Relationship Id="rId40" Type="http://schemas.openxmlformats.org/officeDocument/2006/relationships/customXml" Target="../customXml/item1.xml"/><Relationship Id="rId115" Type="http://schemas.openxmlformats.org/officeDocument/2006/relationships/customXml" Target="../customXml/item76.xml"/><Relationship Id="rId136" Type="http://schemas.openxmlformats.org/officeDocument/2006/relationships/customXml" Target="../customXml/item97.xml"/><Relationship Id="rId157" Type="http://schemas.openxmlformats.org/officeDocument/2006/relationships/customXml" Target="../customXml/item118.xml"/><Relationship Id="rId178" Type="http://schemas.openxmlformats.org/officeDocument/2006/relationships/customXml" Target="../customXml/item139.xml"/><Relationship Id="rId61" Type="http://schemas.openxmlformats.org/officeDocument/2006/relationships/customXml" Target="../customXml/item22.xml"/><Relationship Id="rId82" Type="http://schemas.openxmlformats.org/officeDocument/2006/relationships/customXml" Target="../customXml/item43.xml"/><Relationship Id="rId199" Type="http://schemas.openxmlformats.org/officeDocument/2006/relationships/customXml" Target="../customXml/item160.xml"/><Relationship Id="rId203" Type="http://schemas.openxmlformats.org/officeDocument/2006/relationships/customXml" Target="../customXml/item164.xml"/><Relationship Id="rId19" Type="http://schemas.openxmlformats.org/officeDocument/2006/relationships/pivotCacheDefinition" Target="pivotCache/pivotCacheDefinition8.xml"/><Relationship Id="rId224" Type="http://schemas.openxmlformats.org/officeDocument/2006/relationships/customXml" Target="../customXml/item185.xml"/><Relationship Id="rId30" Type="http://schemas.openxmlformats.org/officeDocument/2006/relationships/pivotCacheDefinition" Target="pivotCache/pivotCacheDefinition19.xml"/><Relationship Id="rId105" Type="http://schemas.openxmlformats.org/officeDocument/2006/relationships/customXml" Target="../customXml/item66.xml"/><Relationship Id="rId126" Type="http://schemas.openxmlformats.org/officeDocument/2006/relationships/customXml" Target="../customXml/item87.xml"/><Relationship Id="rId147" Type="http://schemas.openxmlformats.org/officeDocument/2006/relationships/customXml" Target="../customXml/item108.xml"/><Relationship Id="rId168" Type="http://schemas.openxmlformats.org/officeDocument/2006/relationships/customXml" Target="../customXml/item129.xml"/><Relationship Id="rId51" Type="http://schemas.openxmlformats.org/officeDocument/2006/relationships/customXml" Target="../customXml/item12.xml"/><Relationship Id="rId72" Type="http://schemas.openxmlformats.org/officeDocument/2006/relationships/customXml" Target="../customXml/item33.xml"/><Relationship Id="rId93" Type="http://schemas.openxmlformats.org/officeDocument/2006/relationships/customXml" Target="../customXml/item54.xml"/><Relationship Id="rId189" Type="http://schemas.openxmlformats.org/officeDocument/2006/relationships/customXml" Target="../customXml/item150.xml"/><Relationship Id="rId3" Type="http://schemas.openxmlformats.org/officeDocument/2006/relationships/worksheet" Target="worksheets/sheet3.xml"/><Relationship Id="rId214" Type="http://schemas.openxmlformats.org/officeDocument/2006/relationships/customXml" Target="../customXml/item175.xml"/><Relationship Id="rId116" Type="http://schemas.openxmlformats.org/officeDocument/2006/relationships/customXml" Target="../customXml/item77.xml"/><Relationship Id="rId137" Type="http://schemas.openxmlformats.org/officeDocument/2006/relationships/customXml" Target="../customXml/item98.xml"/><Relationship Id="rId158" Type="http://schemas.openxmlformats.org/officeDocument/2006/relationships/customXml" Target="../customXml/item11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6.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3.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4.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r>
              <a:rPr lang="en-US"/>
              <a:t>Revenue</a:t>
            </a:r>
          </a:p>
        </c:rich>
      </c:tx>
      <c:overlay val="0"/>
      <c:spPr>
        <a:noFill/>
        <a:ln>
          <a:noFill/>
        </a:ln>
        <a:effectLst/>
      </c:spPr>
      <c:txPr>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Data!$P$35</c:f>
              <c:strCache>
                <c:ptCount val="1"/>
                <c:pt idx="0">
                  <c:v>Revenue</c:v>
                </c:pt>
              </c:strCache>
            </c:strRef>
          </c:tx>
          <c:dPt>
            <c:idx val="0"/>
            <c:bubble3D val="0"/>
            <c:spPr>
              <a:solidFill>
                <a:srgbClr val="CBD5E1"/>
              </a:solidFill>
              <a:ln w="19050">
                <a:noFill/>
              </a:ln>
              <a:effectLst/>
            </c:spPr>
            <c:extLst>
              <c:ext xmlns:c16="http://schemas.microsoft.com/office/drawing/2014/chart" uri="{C3380CC4-5D6E-409C-BE32-E72D297353CC}">
                <c16:uniqueId val="{00000001-06B0-4A5D-8A07-0B22E77C4A42}"/>
              </c:ext>
            </c:extLst>
          </c:dPt>
          <c:dPt>
            <c:idx val="1"/>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3-06B0-4A5D-8A07-0B22E77C4A42}"/>
              </c:ext>
            </c:extLst>
          </c:dPt>
          <c:dPt>
            <c:idx val="2"/>
            <c:bubble3D val="0"/>
            <c:spPr>
              <a:solidFill>
                <a:srgbClr val="E3120B"/>
              </a:solidFill>
              <a:ln w="19050">
                <a:noFill/>
              </a:ln>
              <a:effectLst/>
            </c:spPr>
            <c:extLst>
              <c:ext xmlns:c16="http://schemas.microsoft.com/office/drawing/2014/chart" uri="{C3380CC4-5D6E-409C-BE32-E72D297353CC}">
                <c16:uniqueId val="{00000005-06B0-4A5D-8A07-0B22E77C4A42}"/>
              </c:ext>
            </c:extLst>
          </c:dPt>
          <c:dPt>
            <c:idx val="3"/>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7-06B0-4A5D-8A07-0B22E77C4A42}"/>
              </c:ext>
            </c:extLst>
          </c:dPt>
          <c:cat>
            <c:strRef>
              <c:f>Data!$O$36:$O$39</c:f>
              <c:strCache>
                <c:ptCount val="4"/>
                <c:pt idx="0">
                  <c:v>A (+)</c:v>
                </c:pt>
                <c:pt idx="1">
                  <c:v>B (+)</c:v>
                </c:pt>
                <c:pt idx="2">
                  <c:v>A (-)</c:v>
                </c:pt>
                <c:pt idx="3">
                  <c:v>B (-)</c:v>
                </c:pt>
              </c:strCache>
            </c:strRef>
          </c:cat>
          <c:val>
            <c:numRef>
              <c:f>Data!$P$36:$P$39</c:f>
              <c:numCache>
                <c:formatCode>0%</c:formatCode>
                <c:ptCount val="4"/>
                <c:pt idx="0">
                  <c:v>0</c:v>
                </c:pt>
                <c:pt idx="1">
                  <c:v>0</c:v>
                </c:pt>
                <c:pt idx="2">
                  <c:v>6.3937668983684286E-3</c:v>
                </c:pt>
                <c:pt idx="3">
                  <c:v>0.99360623310163154</c:v>
                </c:pt>
              </c:numCache>
            </c:numRef>
          </c:val>
          <c:extLst>
            <c:ext xmlns:c16="http://schemas.microsoft.com/office/drawing/2014/chart" uri="{C3380CC4-5D6E-409C-BE32-E72D297353CC}">
              <c16:uniqueId val="{00000008-06B0-4A5D-8A07-0B22E77C4A42}"/>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c:chart>
  <c:spPr>
    <a:no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r>
              <a:rPr lang="en-US"/>
              <a:t>Revenue</a:t>
            </a:r>
          </a:p>
        </c:rich>
      </c:tx>
      <c:overlay val="0"/>
      <c:spPr>
        <a:noFill/>
        <a:ln>
          <a:noFill/>
        </a:ln>
        <a:effectLst/>
      </c:spPr>
      <c:txPr>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Data!$P$49</c:f>
              <c:strCache>
                <c:ptCount val="1"/>
                <c:pt idx="0">
                  <c:v>Revenue</c:v>
                </c:pt>
              </c:strCache>
            </c:strRef>
          </c:tx>
          <c:dPt>
            <c:idx val="0"/>
            <c:bubble3D val="0"/>
            <c:spPr>
              <a:solidFill>
                <a:srgbClr val="CBD5E1"/>
              </a:solidFill>
              <a:ln w="19050">
                <a:noFill/>
              </a:ln>
              <a:effectLst/>
            </c:spPr>
            <c:extLst>
              <c:ext xmlns:c16="http://schemas.microsoft.com/office/drawing/2014/chart" uri="{C3380CC4-5D6E-409C-BE32-E72D297353CC}">
                <c16:uniqueId val="{00000001-B0FF-4948-A4FE-3326466401B2}"/>
              </c:ext>
            </c:extLst>
          </c:dPt>
          <c:dPt>
            <c:idx val="1"/>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3-B0FF-4948-A4FE-3326466401B2}"/>
              </c:ext>
            </c:extLst>
          </c:dPt>
          <c:dPt>
            <c:idx val="2"/>
            <c:bubble3D val="0"/>
            <c:spPr>
              <a:solidFill>
                <a:srgbClr val="E3120B"/>
              </a:solidFill>
              <a:ln w="19050">
                <a:noFill/>
              </a:ln>
              <a:effectLst/>
            </c:spPr>
            <c:extLst>
              <c:ext xmlns:c16="http://schemas.microsoft.com/office/drawing/2014/chart" uri="{C3380CC4-5D6E-409C-BE32-E72D297353CC}">
                <c16:uniqueId val="{00000005-B0FF-4948-A4FE-3326466401B2}"/>
              </c:ext>
            </c:extLst>
          </c:dPt>
          <c:dPt>
            <c:idx val="3"/>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7-B0FF-4948-A4FE-3326466401B2}"/>
              </c:ext>
            </c:extLst>
          </c:dPt>
          <c:cat>
            <c:strRef>
              <c:f>Data!$O$50:$O$53</c:f>
              <c:strCache>
                <c:ptCount val="4"/>
                <c:pt idx="0">
                  <c:v>A (+)</c:v>
                </c:pt>
                <c:pt idx="1">
                  <c:v>B (+)</c:v>
                </c:pt>
                <c:pt idx="2">
                  <c:v>A (-)</c:v>
                </c:pt>
                <c:pt idx="3">
                  <c:v>B (-)</c:v>
                </c:pt>
              </c:strCache>
            </c:strRef>
          </c:cat>
          <c:val>
            <c:numRef>
              <c:f>Data!$P$50:$P$53</c:f>
              <c:numCache>
                <c:formatCode>0%</c:formatCode>
                <c:ptCount val="4"/>
                <c:pt idx="0">
                  <c:v>0.12146244497557178</c:v>
                </c:pt>
                <c:pt idx="1">
                  <c:v>0.87853755502442821</c:v>
                </c:pt>
                <c:pt idx="2">
                  <c:v>0</c:v>
                </c:pt>
                <c:pt idx="3">
                  <c:v>0</c:v>
                </c:pt>
              </c:numCache>
            </c:numRef>
          </c:val>
          <c:extLst>
            <c:ext xmlns:c16="http://schemas.microsoft.com/office/drawing/2014/chart" uri="{C3380CC4-5D6E-409C-BE32-E72D297353CC}">
              <c16:uniqueId val="{00000008-B0FF-4948-A4FE-3326466401B2}"/>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c:chart>
  <c:spPr>
    <a:no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r>
              <a:rPr lang="en-US"/>
              <a:t>Gross Profit</a:t>
            </a:r>
          </a:p>
        </c:rich>
      </c:tx>
      <c:overlay val="0"/>
      <c:spPr>
        <a:noFill/>
        <a:ln>
          <a:noFill/>
        </a:ln>
        <a:effectLst/>
      </c:spPr>
      <c:txPr>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Data!$Q$49</c:f>
              <c:strCache>
                <c:ptCount val="1"/>
                <c:pt idx="0">
                  <c:v>Gross Profit</c:v>
                </c:pt>
              </c:strCache>
            </c:strRef>
          </c:tx>
          <c:dPt>
            <c:idx val="0"/>
            <c:bubble3D val="0"/>
            <c:spPr>
              <a:solidFill>
                <a:srgbClr val="CBD5E1"/>
              </a:solidFill>
              <a:ln w="19050">
                <a:noFill/>
              </a:ln>
              <a:effectLst/>
            </c:spPr>
            <c:extLst>
              <c:ext xmlns:c16="http://schemas.microsoft.com/office/drawing/2014/chart" uri="{C3380CC4-5D6E-409C-BE32-E72D297353CC}">
                <c16:uniqueId val="{00000003-1A96-48B0-82D7-2B2B2CEC2AAA}"/>
              </c:ext>
            </c:extLst>
          </c:dPt>
          <c:dPt>
            <c:idx val="1"/>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1-1A96-48B0-82D7-2B2B2CEC2AAA}"/>
              </c:ext>
            </c:extLst>
          </c:dPt>
          <c:dPt>
            <c:idx val="2"/>
            <c:bubble3D val="0"/>
            <c:spPr>
              <a:solidFill>
                <a:srgbClr val="E3120B"/>
              </a:solidFill>
              <a:ln w="19050">
                <a:noFill/>
              </a:ln>
              <a:effectLst/>
            </c:spPr>
            <c:extLst>
              <c:ext xmlns:c16="http://schemas.microsoft.com/office/drawing/2014/chart" uri="{C3380CC4-5D6E-409C-BE32-E72D297353CC}">
                <c16:uniqueId val="{00000004-1A96-48B0-82D7-2B2B2CEC2AAA}"/>
              </c:ext>
            </c:extLst>
          </c:dPt>
          <c:dPt>
            <c:idx val="3"/>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2-1A96-48B0-82D7-2B2B2CEC2AAA}"/>
              </c:ext>
            </c:extLst>
          </c:dPt>
          <c:cat>
            <c:strRef>
              <c:f>Data!$O$50:$O$53</c:f>
              <c:strCache>
                <c:ptCount val="4"/>
                <c:pt idx="0">
                  <c:v>A (+)</c:v>
                </c:pt>
                <c:pt idx="1">
                  <c:v>B (+)</c:v>
                </c:pt>
                <c:pt idx="2">
                  <c:v>A (-)</c:v>
                </c:pt>
                <c:pt idx="3">
                  <c:v>B (-)</c:v>
                </c:pt>
              </c:strCache>
            </c:strRef>
          </c:cat>
          <c:val>
            <c:numRef>
              <c:f>Data!$Q$50:$Q$53</c:f>
              <c:numCache>
                <c:formatCode>0%</c:formatCode>
                <c:ptCount val="4"/>
                <c:pt idx="0">
                  <c:v>0.1806310765922966</c:v>
                </c:pt>
                <c:pt idx="1">
                  <c:v>0.8193689234077034</c:v>
                </c:pt>
                <c:pt idx="2">
                  <c:v>0</c:v>
                </c:pt>
                <c:pt idx="3">
                  <c:v>0</c:v>
                </c:pt>
              </c:numCache>
            </c:numRef>
          </c:val>
          <c:extLst>
            <c:ext xmlns:c16="http://schemas.microsoft.com/office/drawing/2014/chart" uri="{C3380CC4-5D6E-409C-BE32-E72D297353CC}">
              <c16:uniqueId val="{00000000-1A96-48B0-82D7-2B2B2CEC2AAA}"/>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c:chart>
  <c:spPr>
    <a:no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Data!$Q$35</c:f>
              <c:strCache>
                <c:ptCount val="1"/>
                <c:pt idx="0">
                  <c:v>Gross Profit</c:v>
                </c:pt>
              </c:strCache>
            </c:strRef>
          </c:tx>
          <c:dPt>
            <c:idx val="0"/>
            <c:bubble3D val="0"/>
            <c:spPr>
              <a:solidFill>
                <a:srgbClr val="CBD5E1"/>
              </a:solidFill>
              <a:ln w="19050">
                <a:noFill/>
              </a:ln>
              <a:effectLst/>
            </c:spPr>
            <c:extLst>
              <c:ext xmlns:c16="http://schemas.microsoft.com/office/drawing/2014/chart" uri="{C3380CC4-5D6E-409C-BE32-E72D297353CC}">
                <c16:uniqueId val="{00000003-1A96-48B0-82D7-2B2B2CEC2AAA}"/>
              </c:ext>
            </c:extLst>
          </c:dPt>
          <c:dPt>
            <c:idx val="1"/>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1-1A96-48B0-82D7-2B2B2CEC2AAA}"/>
              </c:ext>
            </c:extLst>
          </c:dPt>
          <c:dPt>
            <c:idx val="2"/>
            <c:bubble3D val="0"/>
            <c:spPr>
              <a:solidFill>
                <a:srgbClr val="E3120B"/>
              </a:solidFill>
              <a:ln w="19050">
                <a:noFill/>
              </a:ln>
              <a:effectLst/>
            </c:spPr>
            <c:extLst>
              <c:ext xmlns:c16="http://schemas.microsoft.com/office/drawing/2014/chart" uri="{C3380CC4-5D6E-409C-BE32-E72D297353CC}">
                <c16:uniqueId val="{00000004-1A96-48B0-82D7-2B2B2CEC2AAA}"/>
              </c:ext>
            </c:extLst>
          </c:dPt>
          <c:dPt>
            <c:idx val="3"/>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2-1A96-48B0-82D7-2B2B2CEC2AAA}"/>
              </c:ext>
            </c:extLst>
          </c:dPt>
          <c:cat>
            <c:strRef>
              <c:f>Data!$O$36:$O$39</c:f>
              <c:strCache>
                <c:ptCount val="4"/>
                <c:pt idx="0">
                  <c:v>A (+)</c:v>
                </c:pt>
                <c:pt idx="1">
                  <c:v>B (+)</c:v>
                </c:pt>
                <c:pt idx="2">
                  <c:v>A (-)</c:v>
                </c:pt>
                <c:pt idx="3">
                  <c:v>B (-)</c:v>
                </c:pt>
              </c:strCache>
            </c:strRef>
          </c:cat>
          <c:val>
            <c:numRef>
              <c:f>Data!$Q$36:$Q$39</c:f>
              <c:numCache>
                <c:formatCode>0%</c:formatCode>
                <c:ptCount val="4"/>
                <c:pt idx="0">
                  <c:v>0</c:v>
                </c:pt>
                <c:pt idx="1">
                  <c:v>0</c:v>
                </c:pt>
                <c:pt idx="2">
                  <c:v>0.18673509156019519</c:v>
                </c:pt>
                <c:pt idx="3">
                  <c:v>0.81326490843980481</c:v>
                </c:pt>
              </c:numCache>
            </c:numRef>
          </c:val>
          <c:extLst>
            <c:ext xmlns:c16="http://schemas.microsoft.com/office/drawing/2014/chart" uri="{C3380CC4-5D6E-409C-BE32-E72D297353CC}">
              <c16:uniqueId val="{00000000-1A96-48B0-82D7-2B2B2CEC2AAA}"/>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[finance-dashboard.RECALC3.xlsx]Data!PivotTable8</c:name>
    <c:fmtId val="17"/>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1E3A8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20586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B6560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6D7E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1E3A8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20586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B6560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6D7E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1E3A8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0586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6560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6D7E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43835412866645E-2"/>
          <c:y val="0.25951393763695041"/>
          <c:w val="0.60832285766113192"/>
          <c:h val="0.631984735460699"/>
        </c:manualLayout>
      </c:layout>
      <c:barChart>
        <c:barDir val="col"/>
        <c:grouping val="clustered"/>
        <c:varyColors val="0"/>
        <c:ser>
          <c:idx val="0"/>
          <c:order val="0"/>
          <c:tx>
            <c:strRef>
              <c:f>Data!$AH$26:$AH$27</c:f>
              <c:strCache>
                <c:ptCount val="1"/>
                <c:pt idx="0">
                  <c:v>Advertising</c:v>
                </c:pt>
              </c:strCache>
            </c:strRef>
          </c:tx>
          <c:spPr>
            <a:solidFill>
              <a:srgbClr val="1E3A8A"/>
            </a:solidFill>
            <a:ln>
              <a:noFill/>
            </a:ln>
            <a:effectLst/>
          </c:spPr>
          <c:invertIfNegative val="0"/>
          <c:cat>
            <c:strRef>
              <c:f>Data!$AG$28:$AG$34</c:f>
              <c:strCache>
                <c:ptCount val="7"/>
                <c:pt idx="0">
                  <c:v>Jan-24</c:v>
                </c:pt>
                <c:pt idx="1">
                  <c:v>Feb-24</c:v>
                </c:pt>
                <c:pt idx="2">
                  <c:v>Mar-24</c:v>
                </c:pt>
                <c:pt idx="3">
                  <c:v>Apr-24</c:v>
                </c:pt>
                <c:pt idx="4">
                  <c:v>May-24</c:v>
                </c:pt>
                <c:pt idx="5">
                  <c:v>Jun-24</c:v>
                </c:pt>
                <c:pt idx="6">
                  <c:v>Jul-24</c:v>
                </c:pt>
              </c:strCache>
            </c:strRef>
          </c:cat>
          <c:val>
            <c:numRef>
              <c:f>Data!$AH$28:$AH$34</c:f>
              <c:numCache>
                <c:formatCode>#,##0_);\(#,##0\)</c:formatCode>
                <c:ptCount val="7"/>
                <c:pt idx="0">
                  <c:v>19431.89164257532</c:v>
                </c:pt>
                <c:pt idx="1">
                  <c:v>19953.33570194335</c:v>
                </c:pt>
                <c:pt idx="2">
                  <c:v>19835.193127287439</c:v>
                </c:pt>
                <c:pt idx="3">
                  <c:v>19786.86844817438</c:v>
                </c:pt>
                <c:pt idx="4">
                  <c:v>18029.407205686242</c:v>
                </c:pt>
                <c:pt idx="5">
                  <c:v>16401.450126074356</c:v>
                </c:pt>
                <c:pt idx="6">
                  <c:v>16822.569064192194</c:v>
                </c:pt>
              </c:numCache>
            </c:numRef>
          </c:val>
          <c:extLst>
            <c:ext xmlns:c16="http://schemas.microsoft.com/office/drawing/2014/chart" uri="{C3380CC4-5D6E-409C-BE32-E72D297353CC}">
              <c16:uniqueId val="{00000000-4EA4-4E05-855D-F90B0CB88BDC}"/>
            </c:ext>
          </c:extLst>
        </c:ser>
        <c:ser>
          <c:idx val="1"/>
          <c:order val="1"/>
          <c:tx>
            <c:strRef>
              <c:f>Data!$AI$26:$AI$27</c:f>
              <c:strCache>
                <c:ptCount val="1"/>
                <c:pt idx="0">
                  <c:v>Other G&amp;A</c:v>
                </c:pt>
              </c:strCache>
            </c:strRef>
          </c:tx>
          <c:spPr>
            <a:solidFill>
              <a:srgbClr val="205867"/>
            </a:solidFill>
            <a:ln>
              <a:noFill/>
            </a:ln>
            <a:effectLst/>
          </c:spPr>
          <c:invertIfNegative val="0"/>
          <c:cat>
            <c:strRef>
              <c:f>Data!$AG$28:$AG$34</c:f>
              <c:strCache>
                <c:ptCount val="7"/>
                <c:pt idx="0">
                  <c:v>Jan-24</c:v>
                </c:pt>
                <c:pt idx="1">
                  <c:v>Feb-24</c:v>
                </c:pt>
                <c:pt idx="2">
                  <c:v>Mar-24</c:v>
                </c:pt>
                <c:pt idx="3">
                  <c:v>Apr-24</c:v>
                </c:pt>
                <c:pt idx="4">
                  <c:v>May-24</c:v>
                </c:pt>
                <c:pt idx="5">
                  <c:v>Jun-24</c:v>
                </c:pt>
                <c:pt idx="6">
                  <c:v>Jul-24</c:v>
                </c:pt>
              </c:strCache>
            </c:strRef>
          </c:cat>
          <c:val>
            <c:numRef>
              <c:f>Data!$AI$28:$AI$34</c:f>
              <c:numCache>
                <c:formatCode>#,##0_);\(#,##0\)</c:formatCode>
                <c:ptCount val="7"/>
                <c:pt idx="0">
                  <c:v>29529.336285449597</c:v>
                </c:pt>
                <c:pt idx="1">
                  <c:v>29350.079416848508</c:v>
                </c:pt>
                <c:pt idx="2">
                  <c:v>29407.744952775938</c:v>
                </c:pt>
                <c:pt idx="3">
                  <c:v>30154.319705420978</c:v>
                </c:pt>
                <c:pt idx="4">
                  <c:v>31227.748491222792</c:v>
                </c:pt>
                <c:pt idx="5">
                  <c:v>31067.125406550505</c:v>
                </c:pt>
                <c:pt idx="6">
                  <c:v>32172.833540030737</c:v>
                </c:pt>
              </c:numCache>
            </c:numRef>
          </c:val>
          <c:extLst>
            <c:ext xmlns:c16="http://schemas.microsoft.com/office/drawing/2014/chart" uri="{C3380CC4-5D6E-409C-BE32-E72D297353CC}">
              <c16:uniqueId val="{00000001-4EA4-4E05-855D-F90B0CB88BDC}"/>
            </c:ext>
          </c:extLst>
        </c:ser>
        <c:ser>
          <c:idx val="2"/>
          <c:order val="2"/>
          <c:tx>
            <c:strRef>
              <c:f>Data!$AJ$26:$AJ$27</c:f>
              <c:strCache>
                <c:ptCount val="1"/>
                <c:pt idx="0">
                  <c:v>Payroll</c:v>
                </c:pt>
              </c:strCache>
            </c:strRef>
          </c:tx>
          <c:spPr>
            <a:solidFill>
              <a:srgbClr val="B65608"/>
            </a:solidFill>
            <a:ln>
              <a:noFill/>
            </a:ln>
            <a:effectLst/>
          </c:spPr>
          <c:invertIfNegative val="0"/>
          <c:cat>
            <c:strRef>
              <c:f>Data!$AG$28:$AG$34</c:f>
              <c:strCache>
                <c:ptCount val="7"/>
                <c:pt idx="0">
                  <c:v>Jan-24</c:v>
                </c:pt>
                <c:pt idx="1">
                  <c:v>Feb-24</c:v>
                </c:pt>
                <c:pt idx="2">
                  <c:v>Mar-24</c:v>
                </c:pt>
                <c:pt idx="3">
                  <c:v>Apr-24</c:v>
                </c:pt>
                <c:pt idx="4">
                  <c:v>May-24</c:v>
                </c:pt>
                <c:pt idx="5">
                  <c:v>Jun-24</c:v>
                </c:pt>
                <c:pt idx="6">
                  <c:v>Jul-24</c:v>
                </c:pt>
              </c:strCache>
            </c:strRef>
          </c:cat>
          <c:val>
            <c:numRef>
              <c:f>Data!$AJ$28:$AJ$34</c:f>
              <c:numCache>
                <c:formatCode>#,##0_);\(#,##0\)</c:formatCode>
                <c:ptCount val="7"/>
                <c:pt idx="0">
                  <c:v>36264.881753753172</c:v>
                </c:pt>
                <c:pt idx="1">
                  <c:v>37044.557095615732</c:v>
                </c:pt>
                <c:pt idx="2">
                  <c:v>37529.780669671163</c:v>
                </c:pt>
                <c:pt idx="3">
                  <c:v>38092.386899192374</c:v>
                </c:pt>
                <c:pt idx="4">
                  <c:v>38614.425100643202</c:v>
                </c:pt>
                <c:pt idx="5">
                  <c:v>39060.712424119301</c:v>
                </c:pt>
                <c:pt idx="6">
                  <c:v>37857.273268431563</c:v>
                </c:pt>
              </c:numCache>
            </c:numRef>
          </c:val>
          <c:extLst>
            <c:ext xmlns:c16="http://schemas.microsoft.com/office/drawing/2014/chart" uri="{C3380CC4-5D6E-409C-BE32-E72D297353CC}">
              <c16:uniqueId val="{00000002-4EA4-4E05-855D-F90B0CB88BDC}"/>
            </c:ext>
          </c:extLst>
        </c:ser>
        <c:ser>
          <c:idx val="3"/>
          <c:order val="3"/>
          <c:tx>
            <c:strRef>
              <c:f>Data!$AK$26:$AK$27</c:f>
              <c:strCache>
                <c:ptCount val="1"/>
                <c:pt idx="0">
                  <c:v>Professional Fees</c:v>
                </c:pt>
              </c:strCache>
            </c:strRef>
          </c:tx>
          <c:spPr>
            <a:solidFill>
              <a:srgbClr val="6D7E96"/>
            </a:solidFill>
            <a:ln>
              <a:noFill/>
            </a:ln>
            <a:effectLst/>
          </c:spPr>
          <c:invertIfNegative val="0"/>
          <c:cat>
            <c:strRef>
              <c:f>Data!$AG$28:$AG$34</c:f>
              <c:strCache>
                <c:ptCount val="7"/>
                <c:pt idx="0">
                  <c:v>Jan-24</c:v>
                </c:pt>
                <c:pt idx="1">
                  <c:v>Feb-24</c:v>
                </c:pt>
                <c:pt idx="2">
                  <c:v>Mar-24</c:v>
                </c:pt>
                <c:pt idx="3">
                  <c:v>Apr-24</c:v>
                </c:pt>
                <c:pt idx="4">
                  <c:v>May-24</c:v>
                </c:pt>
                <c:pt idx="5">
                  <c:v>Jun-24</c:v>
                </c:pt>
                <c:pt idx="6">
                  <c:v>Jul-24</c:v>
                </c:pt>
              </c:strCache>
            </c:strRef>
          </c:cat>
          <c:val>
            <c:numRef>
              <c:f>Data!$AK$28:$AK$34</c:f>
              <c:numCache>
                <c:formatCode>#,##0_);\(#,##0\)</c:formatCode>
                <c:ptCount val="7"/>
                <c:pt idx="0">
                  <c:v>14660.921963006282</c:v>
                </c:pt>
                <c:pt idx="1">
                  <c:v>14514.141056048988</c:v>
                </c:pt>
                <c:pt idx="2">
                  <c:v>14938.542134394958</c:v>
                </c:pt>
                <c:pt idx="3">
                  <c:v>15375.454782024601</c:v>
                </c:pt>
                <c:pt idx="4">
                  <c:v>15515.976736702187</c:v>
                </c:pt>
                <c:pt idx="5">
                  <c:v>15528.443812538881</c:v>
                </c:pt>
                <c:pt idx="6">
                  <c:v>15982.833225580287</c:v>
                </c:pt>
              </c:numCache>
            </c:numRef>
          </c:val>
          <c:extLst>
            <c:ext xmlns:c16="http://schemas.microsoft.com/office/drawing/2014/chart" uri="{C3380CC4-5D6E-409C-BE32-E72D297353CC}">
              <c16:uniqueId val="{00000003-4EA4-4E05-855D-F90B0CB88BDC}"/>
            </c:ext>
          </c:extLst>
        </c:ser>
        <c:dLbls>
          <c:showLegendKey val="0"/>
          <c:showVal val="0"/>
          <c:showCatName val="0"/>
          <c:showSerName val="0"/>
          <c:showPercent val="0"/>
          <c:showBubbleSize val="0"/>
        </c:dLbls>
        <c:gapWidth val="219"/>
        <c:overlap val="-27"/>
        <c:axId val="1875494272"/>
        <c:axId val="1875501472"/>
      </c:barChart>
      <c:catAx>
        <c:axId val="187549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crossAx val="1875501472"/>
        <c:crosses val="autoZero"/>
        <c:auto val="1"/>
        <c:lblAlgn val="ctr"/>
        <c:lblOffset val="100"/>
        <c:noMultiLvlLbl val="0"/>
      </c:catAx>
      <c:valAx>
        <c:axId val="1875501472"/>
        <c:scaling>
          <c:orientation val="minMax"/>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875494272"/>
        <c:crosses val="autoZero"/>
        <c:crossBetween val="between"/>
      </c:valAx>
      <c:spPr>
        <a:noFill/>
        <a:ln>
          <a:noFill/>
        </a:ln>
        <a:effectLst/>
      </c:spPr>
    </c:plotArea>
    <c:legend>
      <c:legendPos val="t"/>
      <c:layout>
        <c:manualLayout>
          <c:xMode val="edge"/>
          <c:yMode val="edge"/>
          <c:x val="0.15748186949920914"/>
          <c:y val="2.300575914852749E-2"/>
          <c:w val="0.62230283163092015"/>
          <c:h val="0.19403002256296908"/>
        </c:manualLayout>
      </c:layout>
      <c:overlay val="0"/>
      <c:spPr>
        <a:noFill/>
        <a:ln>
          <a:noFill/>
        </a:ln>
        <a:effectLst/>
      </c:spPr>
      <c:txPr>
        <a:bodyPr rot="0" spcFirstLastPara="1" vertOverflow="ellipsis" vert="horz" wrap="square" anchor="ctr" anchorCtr="1"/>
        <a:lstStyle/>
        <a:p>
          <a:pPr>
            <a:defRPr lang="en-US"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lang="en-US" sz="900" b="0" i="0" u="none" strike="noStrike" kern="1200" baseline="0">
          <a:solidFill>
            <a:schemeClr val="tx1">
              <a:lumMod val="65000"/>
              <a:lumOff val="35000"/>
            </a:schemeClr>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[finance-dashboard.RECALC3.xlsx]Data!PivotTable1</c:name>
    <c:fmtId val="10"/>
  </c:pivotSource>
  <c:chart>
    <c:autoTitleDeleted val="0"/>
    <c:pivotFmts>
      <c:pivotFmt>
        <c:idx val="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CBD5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rgbClr val="1E3A8A"/>
            </a:solidFill>
            <a:round/>
          </a:ln>
          <a:effectLst>
            <a:softEdge rad="0"/>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pivotFmt>
      <c:pivotFmt>
        <c:idx val="7"/>
        <c:spPr>
          <a:solidFill>
            <a:srgbClr val="CBD5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1E3A8A"/>
            </a:solidFill>
            <a:round/>
          </a:ln>
          <a:effectLst>
            <a:softEdge rad="0"/>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CBD5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rgbClr val="1E3A8A"/>
            </a:solidFill>
            <a:round/>
          </a:ln>
          <a:effectLst>
            <a:softEdge rad="0"/>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6034896428834131E-2"/>
          <c:y val="4.8098295066773204E-2"/>
          <c:w val="0.86630089466222648"/>
          <c:h val="0.85244677958863835"/>
        </c:manualLayout>
      </c:layout>
      <c:barChart>
        <c:barDir val="col"/>
        <c:grouping val="clustered"/>
        <c:varyColors val="0"/>
        <c:ser>
          <c:idx val="0"/>
          <c:order val="0"/>
          <c:tx>
            <c:strRef>
              <c:f>Data!$C$9</c:f>
              <c:strCache>
                <c:ptCount val="1"/>
                <c:pt idx="0">
                  <c:v>Revenue</c:v>
                </c:pt>
              </c:strCache>
            </c:strRef>
          </c:tx>
          <c:spPr>
            <a:solidFill>
              <a:srgbClr val="CBD5E1"/>
            </a:solidFill>
            <a:ln>
              <a:noFill/>
            </a:ln>
            <a:effectLst/>
          </c:spPr>
          <c:invertIfNegative val="0"/>
          <c:dPt>
            <c:idx val="4"/>
            <c:invertIfNegative val="0"/>
            <c:bubble3D val="0"/>
            <c:extLst>
              <c:ext xmlns:c16="http://schemas.microsoft.com/office/drawing/2014/chart" uri="{C3380CC4-5D6E-409C-BE32-E72D297353CC}">
                <c16:uniqueId val="{00000000-444B-4601-A534-2F571AD9FEED}"/>
              </c:ext>
            </c:extLst>
          </c:dPt>
          <c:cat>
            <c:strRef>
              <c:f>Data!$B$10:$B$16</c:f>
              <c:strCache>
                <c:ptCount val="7"/>
                <c:pt idx="0">
                  <c:v>Jan-24</c:v>
                </c:pt>
                <c:pt idx="1">
                  <c:v>Feb-24</c:v>
                </c:pt>
                <c:pt idx="2">
                  <c:v>Mar-24</c:v>
                </c:pt>
                <c:pt idx="3">
                  <c:v>Apr-24</c:v>
                </c:pt>
                <c:pt idx="4">
                  <c:v>May-24</c:v>
                </c:pt>
                <c:pt idx="5">
                  <c:v>Jun-24</c:v>
                </c:pt>
                <c:pt idx="6">
                  <c:v>Jul-24</c:v>
                </c:pt>
              </c:strCache>
            </c:strRef>
          </c:cat>
          <c:val>
            <c:numRef>
              <c:f>Data!$C$10:$C$16</c:f>
              <c:numCache>
                <c:formatCode>#,##0_);\(#,##0\)</c:formatCode>
                <c:ptCount val="7"/>
                <c:pt idx="0">
                  <c:v>112146.24449755717</c:v>
                </c:pt>
                <c:pt idx="1">
                  <c:v>115510.63183248389</c:v>
                </c:pt>
                <c:pt idx="2">
                  <c:v>112045.31287750938</c:v>
                </c:pt>
                <c:pt idx="3">
                  <c:v>115406.67226383467</c:v>
                </c:pt>
                <c:pt idx="4">
                  <c:v>111944.47209591963</c:v>
                </c:pt>
                <c:pt idx="5">
                  <c:v>115302.80625879722</c:v>
                </c:pt>
                <c:pt idx="6">
                  <c:v>118761.89044656114</c:v>
                </c:pt>
              </c:numCache>
            </c:numRef>
          </c:val>
          <c:extLst>
            <c:ext xmlns:c16="http://schemas.microsoft.com/office/drawing/2014/chart" uri="{C3380CC4-5D6E-409C-BE32-E72D297353CC}">
              <c16:uniqueId val="{00000001-444B-4601-A534-2F571AD9FEED}"/>
            </c:ext>
          </c:extLst>
        </c:ser>
        <c:dLbls>
          <c:showLegendKey val="0"/>
          <c:showVal val="0"/>
          <c:showCatName val="0"/>
          <c:showSerName val="0"/>
          <c:showPercent val="0"/>
          <c:showBubbleSize val="0"/>
        </c:dLbls>
        <c:gapWidth val="219"/>
        <c:overlap val="-27"/>
        <c:axId val="1558826863"/>
        <c:axId val="1558823983"/>
      </c:barChart>
      <c:lineChart>
        <c:grouping val="standard"/>
        <c:varyColors val="0"/>
        <c:ser>
          <c:idx val="1"/>
          <c:order val="1"/>
          <c:tx>
            <c:strRef>
              <c:f>Data!$D$9</c:f>
              <c:strCache>
                <c:ptCount val="1"/>
                <c:pt idx="0">
                  <c:v>Gross margin</c:v>
                </c:pt>
              </c:strCache>
            </c:strRef>
          </c:tx>
          <c:spPr>
            <a:ln w="28575" cap="rnd">
              <a:solidFill>
                <a:srgbClr val="1E3A8A"/>
              </a:solidFill>
              <a:round/>
            </a:ln>
            <a:effectLst>
              <a:softEdge rad="0"/>
            </a:effectLst>
          </c:spPr>
          <c:marker>
            <c:symbol val="none"/>
          </c:marker>
          <c:cat>
            <c:strRef>
              <c:f>Data!$B$10:$B$16</c:f>
              <c:strCache>
                <c:ptCount val="7"/>
                <c:pt idx="0">
                  <c:v>Jan-24</c:v>
                </c:pt>
                <c:pt idx="1">
                  <c:v>Feb-24</c:v>
                </c:pt>
                <c:pt idx="2">
                  <c:v>Mar-24</c:v>
                </c:pt>
                <c:pt idx="3">
                  <c:v>Apr-24</c:v>
                </c:pt>
                <c:pt idx="4">
                  <c:v>May-24</c:v>
                </c:pt>
                <c:pt idx="5">
                  <c:v>Jun-24</c:v>
                </c:pt>
                <c:pt idx="6">
                  <c:v>Jul-24</c:v>
                </c:pt>
              </c:strCache>
            </c:strRef>
          </c:cat>
          <c:val>
            <c:numRef>
              <c:f>Data!$D$10:$D$16</c:f>
              <c:numCache>
                <c:formatCode>#,##0.0%;\-#,##0.0%;#,##0.0%</c:formatCode>
                <c:ptCount val="7"/>
                <c:pt idx="0">
                  <c:v>0.87300371527048859</c:v>
                </c:pt>
                <c:pt idx="1">
                  <c:v>0.81252823927161577</c:v>
                </c:pt>
                <c:pt idx="2">
                  <c:v>0.85152686935065336</c:v>
                </c:pt>
                <c:pt idx="3">
                  <c:v>0.75095102562071181</c:v>
                </c:pt>
                <c:pt idx="4">
                  <c:v>0.81973827632481056</c:v>
                </c:pt>
                <c:pt idx="5">
                  <c:v>0.79904087757595799</c:v>
                </c:pt>
                <c:pt idx="6">
                  <c:v>0.85829608316875317</c:v>
                </c:pt>
              </c:numCache>
            </c:numRef>
          </c:val>
          <c:smooth val="1"/>
          <c:extLst>
            <c:ext xmlns:c16="http://schemas.microsoft.com/office/drawing/2014/chart" uri="{C3380CC4-5D6E-409C-BE32-E72D297353CC}">
              <c16:uniqueId val="{00000002-444B-4601-A534-2F571AD9FEED}"/>
            </c:ext>
          </c:extLst>
        </c:ser>
        <c:dLbls>
          <c:showLegendKey val="0"/>
          <c:showVal val="0"/>
          <c:showCatName val="0"/>
          <c:showSerName val="0"/>
          <c:showPercent val="0"/>
          <c:showBubbleSize val="0"/>
        </c:dLbls>
        <c:marker val="1"/>
        <c:smooth val="0"/>
        <c:axId val="1555755647"/>
        <c:axId val="1555733487"/>
      </c:lineChart>
      <c:dateAx>
        <c:axId val="1558826863"/>
        <c:scaling>
          <c:orientation val="minMax"/>
        </c:scaling>
        <c:delete val="0"/>
        <c:axPos val="b"/>
        <c:numFmt formatCode="General"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558823983"/>
        <c:crosses val="autoZero"/>
        <c:auto val="0"/>
        <c:lblOffset val="100"/>
        <c:baseTimeUnit val="days"/>
      </c:dateAx>
      <c:valAx>
        <c:axId val="1558823983"/>
        <c:scaling>
          <c:orientation val="minMax"/>
        </c:scaling>
        <c:delete val="0"/>
        <c:axPos val="l"/>
        <c:numFmt formatCode="#,##0_);\(#,##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8826863"/>
        <c:crosses val="autoZero"/>
        <c:crossBetween val="between"/>
      </c:valAx>
      <c:valAx>
        <c:axId val="1555733487"/>
        <c:scaling>
          <c:orientation val="minMax"/>
          <c:max val="1"/>
        </c:scaling>
        <c:delete val="0"/>
        <c:axPos val="r"/>
        <c:numFmt formatCode="#,##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5755647"/>
        <c:crosses val="max"/>
        <c:crossBetween val="between"/>
      </c:valAx>
      <c:catAx>
        <c:axId val="1555755647"/>
        <c:scaling>
          <c:orientation val="minMax"/>
        </c:scaling>
        <c:delete val="1"/>
        <c:axPos val="t"/>
        <c:numFmt formatCode="General" sourceLinked="1"/>
        <c:majorTickMark val="out"/>
        <c:minorTickMark val="none"/>
        <c:tickLblPos val="nextTo"/>
        <c:crossAx val="1555733487"/>
        <c:crosses val="max"/>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[finance-dashboard.RECALC3.xlsx]Data!Opex by Dept and Month</c:name>
    <c:fmtId val="24"/>
  </c:pivotSource>
  <c:chart>
    <c:autoTitleDeleted val="0"/>
    <c:pivotFmts>
      <c:pivotFmt>
        <c:idx val="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1E3A8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6D7E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20586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B6560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B65608"/>
          </a:solidFill>
          <a:ln>
            <a:noFill/>
          </a:ln>
          <a:effectLst/>
        </c:spPr>
      </c:pivotFmt>
      <c:pivotFmt>
        <c:idx val="13"/>
        <c:spPr>
          <a:solidFill>
            <a:srgbClr val="1E3A8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6D7E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20586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B6560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1E3A8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6D7E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20586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B6560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071035985853022"/>
          <c:y val="0.25317664434315396"/>
          <c:w val="0.51689507658313893"/>
          <c:h val="0.62240215015430411"/>
        </c:manualLayout>
      </c:layout>
      <c:barChart>
        <c:barDir val="col"/>
        <c:grouping val="stacked"/>
        <c:varyColors val="0"/>
        <c:ser>
          <c:idx val="0"/>
          <c:order val="0"/>
          <c:tx>
            <c:strRef>
              <c:f>Data!$AH$8:$AH$9</c:f>
              <c:strCache>
                <c:ptCount val="1"/>
                <c:pt idx="0">
                  <c:v>Customer Support</c:v>
                </c:pt>
              </c:strCache>
            </c:strRef>
          </c:tx>
          <c:spPr>
            <a:solidFill>
              <a:srgbClr val="1E3A8A"/>
            </a:solidFill>
            <a:ln>
              <a:noFill/>
            </a:ln>
            <a:effectLst/>
          </c:spPr>
          <c:invertIfNegative val="0"/>
          <c:cat>
            <c:strRef>
              <c:f>Data!$AG$10:$AG$16</c:f>
              <c:strCache>
                <c:ptCount val="7"/>
                <c:pt idx="0">
                  <c:v>Jan-24</c:v>
                </c:pt>
                <c:pt idx="1">
                  <c:v>Feb-24</c:v>
                </c:pt>
                <c:pt idx="2">
                  <c:v>Mar-24</c:v>
                </c:pt>
                <c:pt idx="3">
                  <c:v>Apr-24</c:v>
                </c:pt>
                <c:pt idx="4">
                  <c:v>May-24</c:v>
                </c:pt>
                <c:pt idx="5">
                  <c:v>Jun-24</c:v>
                </c:pt>
                <c:pt idx="6">
                  <c:v>Jul-24</c:v>
                </c:pt>
              </c:strCache>
            </c:strRef>
          </c:cat>
          <c:val>
            <c:numRef>
              <c:f>Data!$AH$10:$AH$16</c:f>
              <c:numCache>
                <c:formatCode>#,##0_);\(#,##0\)</c:formatCode>
                <c:ptCount val="7"/>
                <c:pt idx="0">
                  <c:v>11405.289845734786</c:v>
                </c:pt>
                <c:pt idx="1">
                  <c:v>11747.448541106831</c:v>
                </c:pt>
                <c:pt idx="2">
                  <c:v>11777.677721590215</c:v>
                </c:pt>
                <c:pt idx="3">
                  <c:v>11834.58931954808</c:v>
                </c:pt>
                <c:pt idx="4">
                  <c:v>12189.626999134529</c:v>
                </c:pt>
                <c:pt idx="5">
                  <c:v>12023.518620775505</c:v>
                </c:pt>
                <c:pt idx="6">
                  <c:v>11894.970766132357</c:v>
                </c:pt>
              </c:numCache>
            </c:numRef>
          </c:val>
          <c:extLst>
            <c:ext xmlns:c16="http://schemas.microsoft.com/office/drawing/2014/chart" uri="{C3380CC4-5D6E-409C-BE32-E72D297353CC}">
              <c16:uniqueId val="{00000000-4BDF-4213-9E68-A0F47ED53363}"/>
            </c:ext>
          </c:extLst>
        </c:ser>
        <c:ser>
          <c:idx val="1"/>
          <c:order val="1"/>
          <c:tx>
            <c:strRef>
              <c:f>Data!$AI$8:$AI$9</c:f>
              <c:strCache>
                <c:ptCount val="1"/>
                <c:pt idx="0">
                  <c:v>General &amp; Administrative</c:v>
                </c:pt>
              </c:strCache>
            </c:strRef>
          </c:tx>
          <c:spPr>
            <a:solidFill>
              <a:srgbClr val="6D7E96"/>
            </a:solidFill>
            <a:ln>
              <a:noFill/>
            </a:ln>
            <a:effectLst/>
          </c:spPr>
          <c:invertIfNegative val="0"/>
          <c:cat>
            <c:strRef>
              <c:f>Data!$AG$10:$AG$16</c:f>
              <c:strCache>
                <c:ptCount val="7"/>
                <c:pt idx="0">
                  <c:v>Jan-24</c:v>
                </c:pt>
                <c:pt idx="1">
                  <c:v>Feb-24</c:v>
                </c:pt>
                <c:pt idx="2">
                  <c:v>Mar-24</c:v>
                </c:pt>
                <c:pt idx="3">
                  <c:v>Apr-24</c:v>
                </c:pt>
                <c:pt idx="4">
                  <c:v>May-24</c:v>
                </c:pt>
                <c:pt idx="5">
                  <c:v>Jun-24</c:v>
                </c:pt>
                <c:pt idx="6">
                  <c:v>Jul-24</c:v>
                </c:pt>
              </c:strCache>
            </c:strRef>
          </c:cat>
          <c:val>
            <c:numRef>
              <c:f>Data!$AI$10:$AI$16</c:f>
              <c:numCache>
                <c:formatCode>#,##0_);\(#,##0\)</c:formatCode>
                <c:ptCount val="7"/>
                <c:pt idx="0">
                  <c:v>30761.504775093545</c:v>
                </c:pt>
                <c:pt idx="1">
                  <c:v>30146.274679591683</c:v>
                </c:pt>
                <c:pt idx="2">
                  <c:v>30578.688960530817</c:v>
                </c:pt>
                <c:pt idx="3">
                  <c:v>31094.818706838301</c:v>
                </c:pt>
                <c:pt idx="4">
                  <c:v>32277.813474329087</c:v>
                </c:pt>
                <c:pt idx="5">
                  <c:v>31632.257204842495</c:v>
                </c:pt>
                <c:pt idx="6">
                  <c:v>32838.838861917866</c:v>
                </c:pt>
              </c:numCache>
            </c:numRef>
          </c:val>
          <c:extLst>
            <c:ext xmlns:c16="http://schemas.microsoft.com/office/drawing/2014/chart" uri="{C3380CC4-5D6E-409C-BE32-E72D297353CC}">
              <c16:uniqueId val="{00000001-4BDF-4213-9E68-A0F47ED53363}"/>
            </c:ext>
          </c:extLst>
        </c:ser>
        <c:ser>
          <c:idx val="2"/>
          <c:order val="2"/>
          <c:tx>
            <c:strRef>
              <c:f>Data!$AJ$8:$AJ$9</c:f>
              <c:strCache>
                <c:ptCount val="1"/>
                <c:pt idx="0">
                  <c:v>Research &amp; Development</c:v>
                </c:pt>
              </c:strCache>
            </c:strRef>
          </c:tx>
          <c:spPr>
            <a:solidFill>
              <a:srgbClr val="205867"/>
            </a:solidFill>
            <a:ln>
              <a:noFill/>
            </a:ln>
            <a:effectLst/>
          </c:spPr>
          <c:invertIfNegative val="0"/>
          <c:cat>
            <c:strRef>
              <c:f>Data!$AG$10:$AG$16</c:f>
              <c:strCache>
                <c:ptCount val="7"/>
                <c:pt idx="0">
                  <c:v>Jan-24</c:v>
                </c:pt>
                <c:pt idx="1">
                  <c:v>Feb-24</c:v>
                </c:pt>
                <c:pt idx="2">
                  <c:v>Mar-24</c:v>
                </c:pt>
                <c:pt idx="3">
                  <c:v>Apr-24</c:v>
                </c:pt>
                <c:pt idx="4">
                  <c:v>May-24</c:v>
                </c:pt>
                <c:pt idx="5">
                  <c:v>Jun-24</c:v>
                </c:pt>
                <c:pt idx="6">
                  <c:v>Jul-24</c:v>
                </c:pt>
              </c:strCache>
            </c:strRef>
          </c:cat>
          <c:val>
            <c:numRef>
              <c:f>Data!$AJ$10:$AJ$16</c:f>
              <c:numCache>
                <c:formatCode>#,##0_);\(#,##0\)</c:formatCode>
                <c:ptCount val="7"/>
                <c:pt idx="0">
                  <c:v>21048.484420049408</c:v>
                </c:pt>
                <c:pt idx="1">
                  <c:v>21358.440230608991</c:v>
                </c:pt>
                <c:pt idx="2">
                  <c:v>21709.844587689557</c:v>
                </c:pt>
                <c:pt idx="3">
                  <c:v>22361.139925320243</c:v>
                </c:pt>
                <c:pt idx="4">
                  <c:v>22722.700923026958</c:v>
                </c:pt>
                <c:pt idx="5">
                  <c:v>23128.108775404224</c:v>
                </c:pt>
                <c:pt idx="6">
                  <c:v>21769.636886875916</c:v>
                </c:pt>
              </c:numCache>
            </c:numRef>
          </c:val>
          <c:extLst>
            <c:ext xmlns:c16="http://schemas.microsoft.com/office/drawing/2014/chart" uri="{C3380CC4-5D6E-409C-BE32-E72D297353CC}">
              <c16:uniqueId val="{00000002-4BDF-4213-9E68-A0F47ED53363}"/>
            </c:ext>
          </c:extLst>
        </c:ser>
        <c:ser>
          <c:idx val="3"/>
          <c:order val="3"/>
          <c:tx>
            <c:strRef>
              <c:f>Data!$AK$8:$AK$9</c:f>
              <c:strCache>
                <c:ptCount val="1"/>
                <c:pt idx="0">
                  <c:v>Sales &amp; Marketing</c:v>
                </c:pt>
              </c:strCache>
            </c:strRef>
          </c:tx>
          <c:spPr>
            <a:solidFill>
              <a:srgbClr val="B65608"/>
            </a:solidFill>
            <a:ln>
              <a:noFill/>
            </a:ln>
            <a:effectLst/>
          </c:spPr>
          <c:invertIfNegative val="0"/>
          <c:cat>
            <c:strRef>
              <c:f>Data!$AG$10:$AG$16</c:f>
              <c:strCache>
                <c:ptCount val="7"/>
                <c:pt idx="0">
                  <c:v>Jan-24</c:v>
                </c:pt>
                <c:pt idx="1">
                  <c:v>Feb-24</c:v>
                </c:pt>
                <c:pt idx="2">
                  <c:v>Mar-24</c:v>
                </c:pt>
                <c:pt idx="3">
                  <c:v>Apr-24</c:v>
                </c:pt>
                <c:pt idx="4">
                  <c:v>May-24</c:v>
                </c:pt>
                <c:pt idx="5">
                  <c:v>Jun-24</c:v>
                </c:pt>
                <c:pt idx="6">
                  <c:v>Jul-24</c:v>
                </c:pt>
              </c:strCache>
            </c:strRef>
          </c:cat>
          <c:val>
            <c:numRef>
              <c:f>Data!$AK$10:$AK$16</c:f>
              <c:numCache>
                <c:formatCode>#,##0_);\(#,##0\)</c:formatCode>
                <c:ptCount val="7"/>
                <c:pt idx="0">
                  <c:v>36671.752603906629</c:v>
                </c:pt>
                <c:pt idx="1">
                  <c:v>37609.949819149071</c:v>
                </c:pt>
                <c:pt idx="2">
                  <c:v>37645.049614318901</c:v>
                </c:pt>
                <c:pt idx="3">
                  <c:v>38118.481883105698</c:v>
                </c:pt>
                <c:pt idx="4">
                  <c:v>36197.416137763859</c:v>
                </c:pt>
                <c:pt idx="5">
                  <c:v>35273.847168260814</c:v>
                </c:pt>
                <c:pt idx="6">
                  <c:v>36332.062583308631</c:v>
                </c:pt>
              </c:numCache>
            </c:numRef>
          </c:val>
          <c:extLst>
            <c:ext xmlns:c16="http://schemas.microsoft.com/office/drawing/2014/chart" uri="{C3380CC4-5D6E-409C-BE32-E72D297353CC}">
              <c16:uniqueId val="{00000003-4BDF-4213-9E68-A0F47ED53363}"/>
            </c:ext>
          </c:extLst>
        </c:ser>
        <c:dLbls>
          <c:showLegendKey val="0"/>
          <c:showVal val="0"/>
          <c:showCatName val="0"/>
          <c:showSerName val="0"/>
          <c:showPercent val="0"/>
          <c:showBubbleSize val="0"/>
        </c:dLbls>
        <c:gapWidth val="150"/>
        <c:overlap val="100"/>
        <c:axId val="1322934191"/>
        <c:axId val="1322934671"/>
      </c:barChart>
      <c:catAx>
        <c:axId val="1322934191"/>
        <c:scaling>
          <c:orientation val="minMax"/>
        </c:scaling>
        <c:delete val="0"/>
        <c:axPos val="b"/>
        <c:numFmt formatCode="[$-409]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22934671"/>
        <c:crosses val="autoZero"/>
        <c:auto val="1"/>
        <c:lblAlgn val="ctr"/>
        <c:lblOffset val="100"/>
        <c:noMultiLvlLbl val="0"/>
      </c:catAx>
      <c:valAx>
        <c:axId val="1322934671"/>
        <c:scaling>
          <c:orientation val="minMax"/>
        </c:scaling>
        <c:delete val="0"/>
        <c:axPos val="l"/>
        <c:majorGridlines>
          <c:spPr>
            <a:ln w="317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934191"/>
        <c:crosses val="autoZero"/>
        <c:crossBetween val="between"/>
      </c:valAx>
      <c:spPr>
        <a:noFill/>
        <a:ln>
          <a:noFill/>
        </a:ln>
        <a:effectLst/>
      </c:spPr>
    </c:plotArea>
    <c:legend>
      <c:legendPos val="t"/>
      <c:layout>
        <c:manualLayout>
          <c:xMode val="edge"/>
          <c:yMode val="edge"/>
          <c:x val="9.2271056081943151E-2"/>
          <c:y val="3.2127458413456204E-2"/>
          <c:w val="0.78677404573851806"/>
          <c:h val="0.2007220697830899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[finance-dashboard.RECALC3.xlsx]Data!Opex by Dept_No period</c:name>
    <c:fmtId val="29"/>
  </c:pivotSource>
  <c:chart>
    <c:autoTitleDeleted val="1"/>
    <c:pivotFmts>
      <c:pivotFmt>
        <c:idx val="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1E3A8A"/>
          </a:solidFill>
          <a:ln w="19050">
            <a:noFill/>
          </a:ln>
          <a:effectLst/>
        </c:spPr>
      </c:pivotFmt>
      <c:pivotFmt>
        <c:idx val="2"/>
        <c:spPr>
          <a:solidFill>
            <a:srgbClr val="6D7E96"/>
          </a:solidFill>
          <a:ln w="19050">
            <a:noFill/>
          </a:ln>
          <a:effectLst/>
        </c:spPr>
      </c:pivotFmt>
      <c:pivotFmt>
        <c:idx val="3"/>
        <c:spPr>
          <a:solidFill>
            <a:srgbClr val="205867"/>
          </a:solidFill>
          <a:ln w="19050">
            <a:noFill/>
          </a:ln>
          <a:effectLst/>
        </c:spPr>
      </c:pivotFmt>
      <c:pivotFmt>
        <c:idx val="4"/>
        <c:spPr>
          <a:solidFill>
            <a:srgbClr val="B65608"/>
          </a:solidFill>
          <a:ln w="19050">
            <a:noFill/>
          </a:ln>
          <a:effectLst/>
        </c:spPr>
      </c:pivotFmt>
      <c:pivotFmt>
        <c:idx val="5"/>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1E3A8A"/>
          </a:solidFill>
          <a:ln w="19050">
            <a:noFill/>
          </a:ln>
          <a:effectLst/>
        </c:spPr>
      </c:pivotFmt>
      <c:pivotFmt>
        <c:idx val="7"/>
        <c:spPr>
          <a:solidFill>
            <a:srgbClr val="6D7E96"/>
          </a:solidFill>
          <a:ln w="19050">
            <a:noFill/>
          </a:ln>
          <a:effectLst/>
        </c:spPr>
      </c:pivotFmt>
      <c:pivotFmt>
        <c:idx val="8"/>
        <c:spPr>
          <a:solidFill>
            <a:srgbClr val="205867"/>
          </a:solidFill>
          <a:ln w="19050">
            <a:noFill/>
          </a:ln>
          <a:effectLst/>
        </c:spPr>
      </c:pivotFmt>
      <c:pivotFmt>
        <c:idx val="9"/>
        <c:spPr>
          <a:solidFill>
            <a:srgbClr val="B65608"/>
          </a:solidFill>
          <a:ln w="19050">
            <a:noFill/>
          </a:ln>
          <a:effectLst/>
        </c:spPr>
      </c:pivotFmt>
      <c:pivotFmt>
        <c:idx val="1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1E3A8A"/>
          </a:solidFill>
          <a:ln w="19050">
            <a:noFill/>
          </a:ln>
          <a:effectLst/>
        </c:spPr>
      </c:pivotFmt>
      <c:pivotFmt>
        <c:idx val="12"/>
        <c:spPr>
          <a:solidFill>
            <a:srgbClr val="6D7E96"/>
          </a:solidFill>
          <a:ln w="19050">
            <a:noFill/>
          </a:ln>
          <a:effectLst/>
        </c:spPr>
      </c:pivotFmt>
      <c:pivotFmt>
        <c:idx val="13"/>
        <c:spPr>
          <a:solidFill>
            <a:srgbClr val="205867"/>
          </a:solidFill>
          <a:ln w="19050">
            <a:noFill/>
          </a:ln>
          <a:effectLst/>
        </c:spPr>
      </c:pivotFmt>
      <c:pivotFmt>
        <c:idx val="14"/>
        <c:spPr>
          <a:solidFill>
            <a:srgbClr val="B65608"/>
          </a:solidFill>
          <a:ln w="19050">
            <a:noFill/>
          </a:ln>
          <a:effectLst/>
        </c:spPr>
      </c:pivotFmt>
      <c:pivotFmt>
        <c:idx val="15"/>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1E3A8A"/>
          </a:solidFill>
          <a:ln w="19050">
            <a:noFill/>
          </a:ln>
          <a:effectLst/>
        </c:spPr>
      </c:pivotFmt>
      <c:pivotFmt>
        <c:idx val="17"/>
        <c:spPr>
          <a:solidFill>
            <a:srgbClr val="6D7E96"/>
          </a:solidFill>
          <a:ln w="19050">
            <a:noFill/>
          </a:ln>
          <a:effectLst/>
        </c:spPr>
      </c:pivotFmt>
      <c:pivotFmt>
        <c:idx val="18"/>
        <c:spPr>
          <a:solidFill>
            <a:srgbClr val="205867"/>
          </a:solidFill>
          <a:ln w="19050">
            <a:noFill/>
          </a:ln>
          <a:effectLst/>
        </c:spPr>
      </c:pivotFmt>
      <c:pivotFmt>
        <c:idx val="19"/>
        <c:spPr>
          <a:solidFill>
            <a:srgbClr val="B65608"/>
          </a:solidFill>
          <a:ln w="19050">
            <a:noFill/>
          </a:ln>
          <a:effectLst/>
        </c:spPr>
      </c:pivotFmt>
      <c:pivotFmt>
        <c:idx val="2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1E3A8A"/>
          </a:solidFill>
          <a:ln w="19050">
            <a:noFill/>
          </a:ln>
          <a:effectLst/>
        </c:spPr>
      </c:pivotFmt>
      <c:pivotFmt>
        <c:idx val="22"/>
        <c:spPr>
          <a:solidFill>
            <a:srgbClr val="6D7E96"/>
          </a:solidFill>
          <a:ln w="19050">
            <a:noFill/>
          </a:ln>
          <a:effectLst/>
        </c:spPr>
      </c:pivotFmt>
      <c:pivotFmt>
        <c:idx val="23"/>
        <c:spPr>
          <a:solidFill>
            <a:srgbClr val="205867"/>
          </a:solidFill>
          <a:ln w="19050">
            <a:noFill/>
          </a:ln>
          <a:effectLst/>
        </c:spPr>
      </c:pivotFmt>
      <c:pivotFmt>
        <c:idx val="24"/>
        <c:spPr>
          <a:solidFill>
            <a:srgbClr val="B65608"/>
          </a:solidFill>
          <a:ln w="19050">
            <a:noFill/>
          </a:ln>
          <a:effectLst/>
        </c:spPr>
      </c:pivotFmt>
    </c:pivotFmts>
    <c:plotArea>
      <c:layout/>
      <c:pieChart>
        <c:varyColors val="1"/>
        <c:ser>
          <c:idx val="0"/>
          <c:order val="0"/>
          <c:tx>
            <c:strRef>
              <c:f>Data!$AN$11</c:f>
              <c:strCache>
                <c:ptCount val="1"/>
                <c:pt idx="0">
                  <c:v>Total</c:v>
                </c:pt>
              </c:strCache>
            </c:strRef>
          </c:tx>
          <c:spPr>
            <a:ln>
              <a:noFill/>
            </a:ln>
          </c:spPr>
          <c:dPt>
            <c:idx val="0"/>
            <c:bubble3D val="0"/>
            <c:spPr>
              <a:solidFill>
                <a:srgbClr val="1E3A8A"/>
              </a:solidFill>
              <a:ln w="19050">
                <a:noFill/>
              </a:ln>
              <a:effectLst/>
            </c:spPr>
            <c:extLst>
              <c:ext xmlns:c16="http://schemas.microsoft.com/office/drawing/2014/chart" uri="{C3380CC4-5D6E-409C-BE32-E72D297353CC}">
                <c16:uniqueId val="{00000001-C046-4F06-B507-9D47D69B6F22}"/>
              </c:ext>
            </c:extLst>
          </c:dPt>
          <c:dPt>
            <c:idx val="1"/>
            <c:bubble3D val="0"/>
            <c:spPr>
              <a:solidFill>
                <a:srgbClr val="6D7E96"/>
              </a:solidFill>
              <a:ln w="19050">
                <a:noFill/>
              </a:ln>
              <a:effectLst/>
            </c:spPr>
            <c:extLst>
              <c:ext xmlns:c16="http://schemas.microsoft.com/office/drawing/2014/chart" uri="{C3380CC4-5D6E-409C-BE32-E72D297353CC}">
                <c16:uniqueId val="{00000003-C046-4F06-B507-9D47D69B6F22}"/>
              </c:ext>
            </c:extLst>
          </c:dPt>
          <c:dPt>
            <c:idx val="2"/>
            <c:bubble3D val="0"/>
            <c:spPr>
              <a:solidFill>
                <a:srgbClr val="205867"/>
              </a:solidFill>
              <a:ln w="19050">
                <a:noFill/>
              </a:ln>
              <a:effectLst/>
            </c:spPr>
            <c:extLst>
              <c:ext xmlns:c16="http://schemas.microsoft.com/office/drawing/2014/chart" uri="{C3380CC4-5D6E-409C-BE32-E72D297353CC}">
                <c16:uniqueId val="{00000005-C046-4F06-B507-9D47D69B6F22}"/>
              </c:ext>
            </c:extLst>
          </c:dPt>
          <c:dPt>
            <c:idx val="3"/>
            <c:bubble3D val="0"/>
            <c:spPr>
              <a:solidFill>
                <a:srgbClr val="B65608"/>
              </a:solidFill>
              <a:ln w="19050">
                <a:noFill/>
              </a:ln>
              <a:effectLst/>
            </c:spPr>
            <c:extLst>
              <c:ext xmlns:c16="http://schemas.microsoft.com/office/drawing/2014/chart" uri="{C3380CC4-5D6E-409C-BE32-E72D297353CC}">
                <c16:uniqueId val="{00000007-C046-4F06-B507-9D47D69B6F22}"/>
              </c:ext>
            </c:extLst>
          </c:dPt>
          <c:cat>
            <c:strRef>
              <c:f>Data!$AM$12:$AM$16</c:f>
              <c:strCache>
                <c:ptCount val="4"/>
                <c:pt idx="0">
                  <c:v>Customer Support</c:v>
                </c:pt>
                <c:pt idx="1">
                  <c:v>General &amp; Administrative</c:v>
                </c:pt>
                <c:pt idx="2">
                  <c:v>Research &amp; Development</c:v>
                </c:pt>
                <c:pt idx="3">
                  <c:v>Sales &amp; Marketing</c:v>
                </c:pt>
              </c:strCache>
            </c:strRef>
          </c:cat>
          <c:val>
            <c:numRef>
              <c:f>Data!$AN$12:$AN$16</c:f>
              <c:numCache>
                <c:formatCode>#,##0_);\(#,##0\)</c:formatCode>
                <c:ptCount val="4"/>
                <c:pt idx="0">
                  <c:v>82873.121814022306</c:v>
                </c:pt>
                <c:pt idx="1">
                  <c:v>219330.19666314375</c:v>
                </c:pt>
                <c:pt idx="2">
                  <c:v>154098.35574897536</c:v>
                </c:pt>
                <c:pt idx="3">
                  <c:v>257848.55980981363</c:v>
                </c:pt>
              </c:numCache>
            </c:numRef>
          </c:val>
          <c:extLst>
            <c:ext xmlns:c16="http://schemas.microsoft.com/office/drawing/2014/chart" uri="{C3380CC4-5D6E-409C-BE32-E72D297353CC}">
              <c16:uniqueId val="{00000008-C046-4F06-B507-9D47D69B6F2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[finance-dashboard.RECALC3.xlsx]Data!PivotTable5</c:name>
    <c:fmtId val="33"/>
  </c:pivotSource>
  <c:chart>
    <c:autoTitleDeleted val="1"/>
    <c:pivotFmts>
      <c:pivotFmt>
        <c:idx val="0"/>
        <c:spPr>
          <a:solidFill>
            <a:schemeClr val="accent1"/>
          </a:solidFill>
          <a:ln w="19050">
            <a:solidFill>
              <a:schemeClr val="lt1"/>
            </a:solidFill>
          </a:ln>
          <a:effectLst/>
        </c:spPr>
        <c:marker>
          <c:symbol val="none"/>
        </c:marker>
      </c:pivotFmt>
      <c:pivotFmt>
        <c:idx val="1"/>
        <c:spPr>
          <a:solidFill>
            <a:srgbClr val="1E3A8A"/>
          </a:solidFill>
          <a:ln w="19050">
            <a:noFill/>
          </a:ln>
          <a:effectLst/>
        </c:spPr>
      </c:pivotFmt>
      <c:pivotFmt>
        <c:idx val="2"/>
        <c:spPr>
          <a:solidFill>
            <a:srgbClr val="205867"/>
          </a:solidFill>
          <a:ln w="19050">
            <a:noFill/>
          </a:ln>
          <a:effectLst/>
        </c:spPr>
      </c:pivotFmt>
      <c:pivotFmt>
        <c:idx val="3"/>
        <c:spPr>
          <a:solidFill>
            <a:schemeClr val="accent1"/>
          </a:solidFill>
          <a:ln w="19050">
            <a:noFill/>
          </a:ln>
          <a:effectLst/>
        </c:spPr>
      </c:pivotFmt>
      <c:pivotFmt>
        <c:idx val="4"/>
        <c:spPr>
          <a:solidFill>
            <a:srgbClr val="6D7E96"/>
          </a:solidFill>
          <a:ln w="19050">
            <a:noFill/>
          </a:ln>
          <a:effectLst/>
        </c:spPr>
      </c:pivotFmt>
      <c:pivotFmt>
        <c:idx val="5"/>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6"/>
        <c:spPr>
          <a:solidFill>
            <a:srgbClr val="1E3A8A"/>
          </a:solidFill>
          <a:ln w="19050">
            <a:noFill/>
          </a:ln>
          <a:effectLst/>
        </c:spPr>
      </c:pivotFmt>
      <c:pivotFmt>
        <c:idx val="7"/>
        <c:spPr>
          <a:solidFill>
            <a:srgbClr val="205867"/>
          </a:solidFill>
          <a:ln w="19050">
            <a:noFill/>
          </a:ln>
          <a:effectLst/>
        </c:spPr>
      </c:pivotFmt>
      <c:pivotFmt>
        <c:idx val="8"/>
        <c:spPr>
          <a:solidFill>
            <a:schemeClr val="accent1"/>
          </a:solidFill>
          <a:ln w="19050">
            <a:noFill/>
          </a:ln>
          <a:effectLst/>
        </c:spPr>
      </c:pivotFmt>
      <c:pivotFmt>
        <c:idx val="9"/>
        <c:spPr>
          <a:solidFill>
            <a:srgbClr val="6D7E96"/>
          </a:solidFill>
          <a:ln w="19050">
            <a:noFill/>
          </a:ln>
          <a:effectLst/>
        </c:spPr>
      </c:pivotFmt>
      <c:pivotFmt>
        <c:idx val="10"/>
        <c:marker>
          <c:symbol val="none"/>
        </c:marker>
        <c:dLbl>
          <c:idx val="0"/>
          <c:delete val="1"/>
          <c:extLst>
            <c:ext xmlns:c15="http://schemas.microsoft.com/office/drawing/2012/chart" uri="{CE6537A1-D6FC-4f65-9D91-7224C49458BB}"/>
          </c:extLst>
        </c:dLbl>
      </c:pivotFmt>
      <c:pivotFmt>
        <c:idx val="11"/>
        <c:spPr>
          <a:solidFill>
            <a:srgbClr val="1E3A8A"/>
          </a:solidFill>
          <a:ln w="19050">
            <a:noFill/>
          </a:ln>
          <a:effectLst/>
        </c:spPr>
      </c:pivotFmt>
      <c:pivotFmt>
        <c:idx val="12"/>
        <c:spPr>
          <a:solidFill>
            <a:srgbClr val="205867"/>
          </a:solidFill>
          <a:ln w="19050">
            <a:noFill/>
          </a:ln>
          <a:effectLst/>
        </c:spPr>
      </c:pivotFmt>
      <c:pivotFmt>
        <c:idx val="13"/>
        <c:spPr>
          <a:solidFill>
            <a:schemeClr val="accent3"/>
          </a:solidFill>
          <a:ln w="19050">
            <a:noFill/>
          </a:ln>
          <a:effectLst/>
        </c:spPr>
      </c:pivotFmt>
      <c:pivotFmt>
        <c:idx val="14"/>
        <c:spPr>
          <a:solidFill>
            <a:srgbClr val="6D7E96"/>
          </a:solidFill>
          <a:ln w="19050">
            <a:noFill/>
          </a:ln>
          <a:effectLst/>
        </c:spPr>
      </c:pivotFmt>
      <c:pivotFmt>
        <c:idx val="15"/>
        <c:marker>
          <c:symbol val="none"/>
        </c:marker>
        <c:dLbl>
          <c:idx val="0"/>
          <c:delete val="1"/>
          <c:extLst>
            <c:ext xmlns:c15="http://schemas.microsoft.com/office/drawing/2012/chart" uri="{CE6537A1-D6FC-4f65-9D91-7224C49458BB}"/>
          </c:extLst>
        </c:dLbl>
      </c:pivotFmt>
      <c:pivotFmt>
        <c:idx val="16"/>
        <c:spPr>
          <a:solidFill>
            <a:srgbClr val="1E3A8A"/>
          </a:solidFill>
          <a:ln w="19050">
            <a:noFill/>
          </a:ln>
          <a:effectLst/>
        </c:spPr>
      </c:pivotFmt>
      <c:pivotFmt>
        <c:idx val="17"/>
        <c:spPr>
          <a:solidFill>
            <a:srgbClr val="205867"/>
          </a:solidFill>
          <a:ln w="19050">
            <a:noFill/>
          </a:ln>
          <a:effectLst/>
        </c:spPr>
      </c:pivotFmt>
      <c:pivotFmt>
        <c:idx val="18"/>
        <c:spPr>
          <a:solidFill>
            <a:schemeClr val="accent3"/>
          </a:solidFill>
          <a:ln w="19050">
            <a:noFill/>
          </a:ln>
          <a:effectLst/>
        </c:spPr>
      </c:pivotFmt>
      <c:pivotFmt>
        <c:idx val="19"/>
        <c:spPr>
          <a:solidFill>
            <a:srgbClr val="6D7E96"/>
          </a:solidFill>
          <a:ln w="19050">
            <a:noFill/>
          </a:ln>
          <a:effectLst/>
        </c:spPr>
      </c:pivotFmt>
      <c:pivotFmt>
        <c:idx val="20"/>
        <c:marker>
          <c:symbol val="none"/>
        </c:marker>
        <c:dLbl>
          <c:idx val="0"/>
          <c:delete val="1"/>
          <c:extLst>
            <c:ext xmlns:c15="http://schemas.microsoft.com/office/drawing/2012/chart" uri="{CE6537A1-D6FC-4f65-9D91-7224C49458BB}"/>
          </c:extLst>
        </c:dLbl>
      </c:pivotFmt>
      <c:pivotFmt>
        <c:idx val="21"/>
        <c:spPr>
          <a:solidFill>
            <a:srgbClr val="1E3A8A"/>
          </a:solidFill>
          <a:ln w="19050">
            <a:noFill/>
          </a:ln>
          <a:effectLst/>
        </c:spPr>
      </c:pivotFmt>
      <c:pivotFmt>
        <c:idx val="22"/>
        <c:spPr>
          <a:solidFill>
            <a:srgbClr val="205867"/>
          </a:solidFill>
          <a:ln w="19050">
            <a:noFill/>
          </a:ln>
          <a:effectLst/>
        </c:spPr>
      </c:pivotFmt>
      <c:pivotFmt>
        <c:idx val="23"/>
        <c:spPr>
          <a:solidFill>
            <a:schemeClr val="accent3"/>
          </a:solidFill>
          <a:ln w="19050">
            <a:noFill/>
          </a:ln>
          <a:effectLst/>
        </c:spPr>
      </c:pivotFmt>
      <c:pivotFmt>
        <c:idx val="24"/>
        <c:spPr>
          <a:solidFill>
            <a:srgbClr val="6D7E96"/>
          </a:solidFill>
          <a:ln w="19050">
            <a:noFill/>
          </a:ln>
          <a:effectLst/>
        </c:spPr>
      </c:pivotFmt>
    </c:pivotFmts>
    <c:plotArea>
      <c:layout/>
      <c:pieChart>
        <c:varyColors val="1"/>
        <c:ser>
          <c:idx val="0"/>
          <c:order val="0"/>
          <c:tx>
            <c:strRef>
              <c:f>Data!$AN$26</c:f>
              <c:strCache>
                <c:ptCount val="1"/>
                <c:pt idx="0">
                  <c:v>Total</c:v>
                </c:pt>
              </c:strCache>
            </c:strRef>
          </c:tx>
          <c:dPt>
            <c:idx val="0"/>
            <c:bubble3D val="0"/>
            <c:spPr>
              <a:solidFill>
                <a:srgbClr val="1E3A8A"/>
              </a:solidFill>
              <a:ln w="19050">
                <a:noFill/>
              </a:ln>
              <a:effectLst/>
            </c:spPr>
            <c:extLst>
              <c:ext xmlns:c16="http://schemas.microsoft.com/office/drawing/2014/chart" uri="{C3380CC4-5D6E-409C-BE32-E72D297353CC}">
                <c16:uniqueId val="{00000001-F25C-4030-A4E3-3CEA61C3EBFF}"/>
              </c:ext>
            </c:extLst>
          </c:dPt>
          <c:dPt>
            <c:idx val="1"/>
            <c:bubble3D val="0"/>
            <c:spPr>
              <a:solidFill>
                <a:srgbClr val="205867"/>
              </a:solidFill>
              <a:ln w="19050">
                <a:noFill/>
              </a:ln>
              <a:effectLst/>
            </c:spPr>
            <c:extLst>
              <c:ext xmlns:c16="http://schemas.microsoft.com/office/drawing/2014/chart" uri="{C3380CC4-5D6E-409C-BE32-E72D297353CC}">
                <c16:uniqueId val="{00000003-F25C-4030-A4E3-3CEA61C3EBFF}"/>
              </c:ext>
            </c:extLst>
          </c:dPt>
          <c:dPt>
            <c:idx val="2"/>
            <c:bubble3D val="0"/>
            <c:spPr>
              <a:solidFill>
                <a:schemeClr val="accent3"/>
              </a:solidFill>
              <a:ln w="19050">
                <a:noFill/>
              </a:ln>
              <a:effectLst/>
            </c:spPr>
            <c:extLst>
              <c:ext xmlns:c16="http://schemas.microsoft.com/office/drawing/2014/chart" uri="{C3380CC4-5D6E-409C-BE32-E72D297353CC}">
                <c16:uniqueId val="{00000005-F25C-4030-A4E3-3CEA61C3EBFF}"/>
              </c:ext>
            </c:extLst>
          </c:dPt>
          <c:dPt>
            <c:idx val="3"/>
            <c:bubble3D val="0"/>
            <c:spPr>
              <a:solidFill>
                <a:srgbClr val="6D7E96"/>
              </a:solidFill>
              <a:ln w="19050">
                <a:noFill/>
              </a:ln>
              <a:effectLst/>
            </c:spPr>
            <c:extLst>
              <c:ext xmlns:c16="http://schemas.microsoft.com/office/drawing/2014/chart" uri="{C3380CC4-5D6E-409C-BE32-E72D297353CC}">
                <c16:uniqueId val="{00000007-F25C-4030-A4E3-3CEA61C3EBFF}"/>
              </c:ext>
            </c:extLst>
          </c:dPt>
          <c:cat>
            <c:strRef>
              <c:f>Data!$AM$27:$AM$31</c:f>
              <c:strCache>
                <c:ptCount val="4"/>
                <c:pt idx="0">
                  <c:v>Advertising</c:v>
                </c:pt>
                <c:pt idx="1">
                  <c:v>Other G&amp;A</c:v>
                </c:pt>
                <c:pt idx="2">
                  <c:v>Payroll</c:v>
                </c:pt>
                <c:pt idx="3">
                  <c:v>Professional Fees</c:v>
                </c:pt>
              </c:strCache>
            </c:strRef>
          </c:cat>
          <c:val>
            <c:numRef>
              <c:f>Data!$AN$27:$AN$31</c:f>
              <c:numCache>
                <c:formatCode>#,##0_);\(#,##0\)</c:formatCode>
                <c:ptCount val="4"/>
                <c:pt idx="0">
                  <c:v>130260.7153159333</c:v>
                </c:pt>
                <c:pt idx="1">
                  <c:v>212909.18779829898</c:v>
                </c:pt>
                <c:pt idx="2">
                  <c:v>264464.01721142652</c:v>
                </c:pt>
                <c:pt idx="3">
                  <c:v>106516.31371029619</c:v>
                </c:pt>
              </c:numCache>
            </c:numRef>
          </c:val>
          <c:extLst>
            <c:ext xmlns:c16="http://schemas.microsoft.com/office/drawing/2014/chart" uri="{C3380CC4-5D6E-409C-BE32-E72D297353CC}">
              <c16:uniqueId val="{00000008-F25C-4030-A4E3-3CEA61C3EBF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r>
              <a:rPr lang="en-US"/>
              <a:t>Gross Profit</a:t>
            </a:r>
          </a:p>
        </c:rich>
      </c:tx>
      <c:overlay val="0"/>
      <c:spPr>
        <a:noFill/>
        <a:ln>
          <a:noFill/>
        </a:ln>
        <a:effectLst/>
      </c:spPr>
      <c:txPr>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Data!$Q$35</c:f>
              <c:strCache>
                <c:ptCount val="1"/>
                <c:pt idx="0">
                  <c:v>Gross Profit</c:v>
                </c:pt>
              </c:strCache>
            </c:strRef>
          </c:tx>
          <c:dPt>
            <c:idx val="0"/>
            <c:bubble3D val="0"/>
            <c:spPr>
              <a:solidFill>
                <a:srgbClr val="CBD5E1"/>
              </a:solidFill>
              <a:ln w="19050">
                <a:noFill/>
              </a:ln>
              <a:effectLst/>
            </c:spPr>
            <c:extLst>
              <c:ext xmlns:c16="http://schemas.microsoft.com/office/drawing/2014/chart" uri="{C3380CC4-5D6E-409C-BE32-E72D297353CC}">
                <c16:uniqueId val="{00000001-6899-42A4-B4C5-4CA4FCFC6393}"/>
              </c:ext>
            </c:extLst>
          </c:dPt>
          <c:dPt>
            <c:idx val="1"/>
            <c:bubble3D val="0"/>
            <c:spPr>
              <a:solidFill>
                <a:schemeClr val="bg1">
                  <a:lumMod val="95000"/>
                </a:schemeClr>
              </a:solidFill>
              <a:ln w="19050">
                <a:noFill/>
              </a:ln>
              <a:effectLst/>
            </c:spPr>
            <c:extLst>
              <c:ext xmlns:c16="http://schemas.microsoft.com/office/drawing/2014/chart" uri="{C3380CC4-5D6E-409C-BE32-E72D297353CC}">
                <c16:uniqueId val="{00000003-6899-42A4-B4C5-4CA4FCFC6393}"/>
              </c:ext>
            </c:extLst>
          </c:dPt>
          <c:dPt>
            <c:idx val="2"/>
            <c:bubble3D val="0"/>
            <c:spPr>
              <a:solidFill>
                <a:srgbClr val="E3120B"/>
              </a:solidFill>
              <a:ln w="19050">
                <a:solidFill>
                  <a:schemeClr val="lt1"/>
                </a:solidFill>
              </a:ln>
              <a:effectLst/>
            </c:spPr>
            <c:extLst>
              <c:ext xmlns:c16="http://schemas.microsoft.com/office/drawing/2014/chart" uri="{C3380CC4-5D6E-409C-BE32-E72D297353CC}">
                <c16:uniqueId val="{00000005-6899-42A4-B4C5-4CA4FCFC6393}"/>
              </c:ext>
            </c:extLst>
          </c:dPt>
          <c:dPt>
            <c:idx val="3"/>
            <c:bubble3D val="0"/>
            <c:spPr>
              <a:solidFill>
                <a:schemeClr val="bg1">
                  <a:lumMod val="95000"/>
                </a:schemeClr>
              </a:solidFill>
              <a:ln w="19050">
                <a:noFill/>
              </a:ln>
              <a:effectLst/>
            </c:spPr>
            <c:extLst>
              <c:ext xmlns:c16="http://schemas.microsoft.com/office/drawing/2014/chart" uri="{C3380CC4-5D6E-409C-BE32-E72D297353CC}">
                <c16:uniqueId val="{00000007-6899-42A4-B4C5-4CA4FCFC6393}"/>
              </c:ext>
            </c:extLst>
          </c:dPt>
          <c:cat>
            <c:strRef>
              <c:f>Data!$O$36:$O$39</c:f>
              <c:strCache>
                <c:ptCount val="4"/>
                <c:pt idx="0">
                  <c:v>A (+)</c:v>
                </c:pt>
                <c:pt idx="1">
                  <c:v>B (+)</c:v>
                </c:pt>
                <c:pt idx="2">
                  <c:v>A (-)</c:v>
                </c:pt>
                <c:pt idx="3">
                  <c:v>B (-)</c:v>
                </c:pt>
              </c:strCache>
            </c:strRef>
          </c:cat>
          <c:val>
            <c:numRef>
              <c:f>Data!$Q$36:$Q$39</c:f>
              <c:numCache>
                <c:formatCode>0%</c:formatCode>
                <c:ptCount val="4"/>
                <c:pt idx="0">
                  <c:v>0</c:v>
                </c:pt>
                <c:pt idx="1">
                  <c:v>0</c:v>
                </c:pt>
                <c:pt idx="2">
                  <c:v>0.18673509156019519</c:v>
                </c:pt>
                <c:pt idx="3">
                  <c:v>0.81326490843980481</c:v>
                </c:pt>
              </c:numCache>
            </c:numRef>
          </c:val>
          <c:extLst>
            <c:ext xmlns:c16="http://schemas.microsoft.com/office/drawing/2014/chart" uri="{C3380CC4-5D6E-409C-BE32-E72D297353CC}">
              <c16:uniqueId val="{00000008-6899-42A4-B4C5-4CA4FCFC6393}"/>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c:chart>
  <c:spPr>
    <a:no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r>
              <a:rPr lang="en-US"/>
              <a:t>Revenue</a:t>
            </a:r>
          </a:p>
        </c:rich>
      </c:tx>
      <c:overlay val="0"/>
      <c:spPr>
        <a:noFill/>
        <a:ln>
          <a:noFill/>
        </a:ln>
        <a:effectLst/>
      </c:spPr>
      <c:txPr>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Data!$P$42</c:f>
              <c:strCache>
                <c:ptCount val="1"/>
                <c:pt idx="0">
                  <c:v>Revenue</c:v>
                </c:pt>
              </c:strCache>
            </c:strRef>
          </c:tx>
          <c:dPt>
            <c:idx val="0"/>
            <c:bubble3D val="0"/>
            <c:spPr>
              <a:solidFill>
                <a:srgbClr val="CBD5E1"/>
              </a:solidFill>
              <a:ln w="19050">
                <a:noFill/>
              </a:ln>
              <a:effectLst/>
            </c:spPr>
            <c:extLst>
              <c:ext xmlns:c16="http://schemas.microsoft.com/office/drawing/2014/chart" uri="{C3380CC4-5D6E-409C-BE32-E72D297353CC}">
                <c16:uniqueId val="{00000001-D90C-4527-A1E9-DD4C31DF207E}"/>
              </c:ext>
            </c:extLst>
          </c:dPt>
          <c:dPt>
            <c:idx val="1"/>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3-D90C-4527-A1E9-DD4C31DF207E}"/>
              </c:ext>
            </c:extLst>
          </c:dPt>
          <c:dPt>
            <c:idx val="2"/>
            <c:bubble3D val="0"/>
            <c:spPr>
              <a:solidFill>
                <a:srgbClr val="E3120B"/>
              </a:solidFill>
              <a:ln w="19050">
                <a:noFill/>
              </a:ln>
              <a:effectLst/>
            </c:spPr>
            <c:extLst>
              <c:ext xmlns:c16="http://schemas.microsoft.com/office/drawing/2014/chart" uri="{C3380CC4-5D6E-409C-BE32-E72D297353CC}">
                <c16:uniqueId val="{00000005-D90C-4527-A1E9-DD4C31DF207E}"/>
              </c:ext>
            </c:extLst>
          </c:dPt>
          <c:dPt>
            <c:idx val="3"/>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7-D90C-4527-A1E9-DD4C31DF207E}"/>
              </c:ext>
            </c:extLst>
          </c:dPt>
          <c:cat>
            <c:strRef>
              <c:f>Data!$O$43:$O$46</c:f>
              <c:strCache>
                <c:ptCount val="4"/>
                <c:pt idx="0">
                  <c:v>A (+)</c:v>
                </c:pt>
                <c:pt idx="1">
                  <c:v>B (+)</c:v>
                </c:pt>
                <c:pt idx="2">
                  <c:v>A (-)</c:v>
                </c:pt>
                <c:pt idx="3">
                  <c:v>B (-)</c:v>
                </c:pt>
              </c:strCache>
            </c:strRef>
          </c:cat>
          <c:val>
            <c:numRef>
              <c:f>Data!$P$43:$P$46</c:f>
              <c:numCache>
                <c:formatCode>0%</c:formatCode>
                <c:ptCount val="4"/>
                <c:pt idx="0">
                  <c:v>7.1952345804435644E-2</c:v>
                </c:pt>
                <c:pt idx="1">
                  <c:v>0.92804765419556434</c:v>
                </c:pt>
                <c:pt idx="2">
                  <c:v>0</c:v>
                </c:pt>
                <c:pt idx="3">
                  <c:v>0</c:v>
                </c:pt>
              </c:numCache>
            </c:numRef>
          </c:val>
          <c:extLst>
            <c:ext xmlns:c16="http://schemas.microsoft.com/office/drawing/2014/chart" uri="{C3380CC4-5D6E-409C-BE32-E72D297353CC}">
              <c16:uniqueId val="{00000008-D90C-4527-A1E9-DD4C31DF207E}"/>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c:chart>
  <c:spPr>
    <a:no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r>
              <a:rPr lang="en-US"/>
              <a:t>Gross Profit</a:t>
            </a:r>
          </a:p>
        </c:rich>
      </c:tx>
      <c:overlay val="0"/>
      <c:spPr>
        <a:noFill/>
        <a:ln>
          <a:noFill/>
        </a:ln>
        <a:effectLst/>
      </c:spPr>
      <c:txPr>
        <a:bodyPr rot="0" spcFirstLastPara="1" vertOverflow="ellipsis" vert="horz" wrap="square" anchor="ctr" anchorCtr="1"/>
        <a:lstStyle/>
        <a:p>
          <a:pPr>
            <a:defRPr lang="en-US" sz="1080" b="1"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Data!$Q$42</c:f>
              <c:strCache>
                <c:ptCount val="1"/>
                <c:pt idx="0">
                  <c:v>Gross Profit</c:v>
                </c:pt>
              </c:strCache>
            </c:strRef>
          </c:tx>
          <c:dPt>
            <c:idx val="0"/>
            <c:bubble3D val="0"/>
            <c:spPr>
              <a:solidFill>
                <a:srgbClr val="CBD5E1"/>
              </a:solidFill>
              <a:ln w="19050">
                <a:noFill/>
              </a:ln>
              <a:effectLst/>
            </c:spPr>
            <c:extLst>
              <c:ext xmlns:c16="http://schemas.microsoft.com/office/drawing/2014/chart" uri="{C3380CC4-5D6E-409C-BE32-E72D297353CC}">
                <c16:uniqueId val="{00000001-FBBA-4196-98D5-276515EE6180}"/>
              </c:ext>
            </c:extLst>
          </c:dPt>
          <c:dPt>
            <c:idx val="1"/>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3-FBBA-4196-98D5-276515EE6180}"/>
              </c:ext>
            </c:extLst>
          </c:dPt>
          <c:dPt>
            <c:idx val="2"/>
            <c:bubble3D val="0"/>
            <c:spPr>
              <a:solidFill>
                <a:srgbClr val="E3120B"/>
              </a:solidFill>
              <a:ln w="19050">
                <a:noFill/>
              </a:ln>
              <a:effectLst/>
            </c:spPr>
            <c:extLst>
              <c:ext xmlns:c16="http://schemas.microsoft.com/office/drawing/2014/chart" uri="{C3380CC4-5D6E-409C-BE32-E72D297353CC}">
                <c16:uniqueId val="{00000005-FBBA-4196-98D5-276515EE6180}"/>
              </c:ext>
            </c:extLst>
          </c:dPt>
          <c:dPt>
            <c:idx val="3"/>
            <c:bubble3D val="0"/>
            <c:spPr>
              <a:solidFill>
                <a:schemeClr val="bg1">
                  <a:lumMod val="95000"/>
                </a:schemeClr>
              </a:solidFill>
              <a:ln w="19050">
                <a:solidFill>
                  <a:schemeClr val="bg1">
                    <a:lumMod val="95000"/>
                  </a:schemeClr>
                </a:solidFill>
              </a:ln>
              <a:effectLst/>
            </c:spPr>
            <c:extLst>
              <c:ext xmlns:c16="http://schemas.microsoft.com/office/drawing/2014/chart" uri="{C3380CC4-5D6E-409C-BE32-E72D297353CC}">
                <c16:uniqueId val="{00000007-FBBA-4196-98D5-276515EE6180}"/>
              </c:ext>
            </c:extLst>
          </c:dPt>
          <c:cat>
            <c:strRef>
              <c:f>Data!$O$43:$O$46</c:f>
              <c:strCache>
                <c:ptCount val="4"/>
                <c:pt idx="0">
                  <c:v>A (+)</c:v>
                </c:pt>
                <c:pt idx="1">
                  <c:v>B (+)</c:v>
                </c:pt>
                <c:pt idx="2">
                  <c:v>A (-)</c:v>
                </c:pt>
                <c:pt idx="3">
                  <c:v>B (-)</c:v>
                </c:pt>
              </c:strCache>
            </c:strRef>
          </c:cat>
          <c:val>
            <c:numRef>
              <c:f>Data!$Q$43:$Q$46</c:f>
              <c:numCache>
                <c:formatCode>0%</c:formatCode>
                <c:ptCount val="4"/>
                <c:pt idx="0">
                  <c:v>5.7778850121857087E-2</c:v>
                </c:pt>
                <c:pt idx="1">
                  <c:v>0.94222114987814287</c:v>
                </c:pt>
                <c:pt idx="2">
                  <c:v>0</c:v>
                </c:pt>
                <c:pt idx="3">
                  <c:v>0</c:v>
                </c:pt>
              </c:numCache>
            </c:numRef>
          </c:val>
          <c:extLst>
            <c:ext xmlns:c16="http://schemas.microsoft.com/office/drawing/2014/chart" uri="{C3380CC4-5D6E-409C-BE32-E72D297353CC}">
              <c16:uniqueId val="{00000008-FBBA-4196-98D5-276515EE6180}"/>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c:chart>
  <c:spPr>
    <a:no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9</xdr:col>
      <xdr:colOff>267977</xdr:colOff>
      <xdr:row>18</xdr:row>
      <xdr:rowOff>84666</xdr:rowOff>
    </xdr:from>
    <xdr:to>
      <xdr:col>11</xdr:col>
      <xdr:colOff>473294</xdr:colOff>
      <xdr:row>26</xdr:row>
      <xdr:rowOff>312208</xdr:rowOff>
    </xdr:to>
    <xdr:graphicFrame macro="">
      <xdr:nvGraphicFramePr>
        <xdr:cNvPr id="2" name="Chart 1">
          <a:extLst>
            <a:ext uri="{FF2B5EF4-FFF2-40B4-BE49-F238E27FC236}">
              <a16:creationId xmlns:a16="http://schemas.microsoft.com/office/drawing/2014/main" id="{DAE2C37E-124B-459F-BC0F-9D0175E42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74082</xdr:colOff>
      <xdr:row>2</xdr:row>
      <xdr:rowOff>52917</xdr:rowOff>
    </xdr:from>
    <xdr:to>
      <xdr:col>29</xdr:col>
      <xdr:colOff>738885</xdr:colOff>
      <xdr:row>15</xdr:row>
      <xdr:rowOff>8721</xdr:rowOff>
    </xdr:to>
    <xdr:graphicFrame macro="">
      <xdr:nvGraphicFramePr>
        <xdr:cNvPr id="3" name="Chart 2">
          <a:extLst>
            <a:ext uri="{FF2B5EF4-FFF2-40B4-BE49-F238E27FC236}">
              <a16:creationId xmlns:a16="http://schemas.microsoft.com/office/drawing/2014/main" id="{F4C4842A-C40A-4584-A306-4574E525F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17930</xdr:colOff>
      <xdr:row>0</xdr:row>
      <xdr:rowOff>102458</xdr:rowOff>
    </xdr:from>
    <xdr:to>
      <xdr:col>1</xdr:col>
      <xdr:colOff>493060</xdr:colOff>
      <xdr:row>0</xdr:row>
      <xdr:rowOff>585463</xdr:rowOff>
    </xdr:to>
    <xdr:pic>
      <xdr:nvPicPr>
        <xdr:cNvPr id="4" name="Picture 3">
          <a:extLst>
            <a:ext uri="{FF2B5EF4-FFF2-40B4-BE49-F238E27FC236}">
              <a16:creationId xmlns:a16="http://schemas.microsoft.com/office/drawing/2014/main" id="{38B20078-F128-44E5-A068-A57A9AA278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1770" y="102458"/>
          <a:ext cx="475130" cy="483005"/>
        </a:xfrm>
        <a:prstGeom prst="rect">
          <a:avLst/>
        </a:prstGeom>
      </xdr:spPr>
    </xdr:pic>
    <xdr:clientData/>
  </xdr:twoCellAnchor>
  <xdr:twoCellAnchor>
    <xdr:from>
      <xdr:col>14</xdr:col>
      <xdr:colOff>108345</xdr:colOff>
      <xdr:row>1</xdr:row>
      <xdr:rowOff>410689</xdr:rowOff>
    </xdr:from>
    <xdr:to>
      <xdr:col>17</xdr:col>
      <xdr:colOff>195943</xdr:colOff>
      <xdr:row>1</xdr:row>
      <xdr:rowOff>457200</xdr:rowOff>
    </xdr:to>
    <xdr:sp macro="" textlink="">
      <xdr:nvSpPr>
        <xdr:cNvPr id="5" name="Rectangle 4">
          <a:extLst>
            <a:ext uri="{FF2B5EF4-FFF2-40B4-BE49-F238E27FC236}">
              <a16:creationId xmlns:a16="http://schemas.microsoft.com/office/drawing/2014/main" id="{429A1463-56E5-4E73-B71D-D2C24302CF55}"/>
            </a:ext>
          </a:extLst>
        </xdr:cNvPr>
        <xdr:cNvSpPr/>
      </xdr:nvSpPr>
      <xdr:spPr>
        <a:xfrm>
          <a:off x="8414145" y="1194460"/>
          <a:ext cx="1916398" cy="46511"/>
        </a:xfrm>
        <a:prstGeom prst="rect">
          <a:avLst/>
        </a:prstGeom>
        <a:solidFill>
          <a:srgbClr val="6D7E9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90026</xdr:colOff>
      <xdr:row>1</xdr:row>
      <xdr:rowOff>409075</xdr:rowOff>
    </xdr:from>
    <xdr:to>
      <xdr:col>23</xdr:col>
      <xdr:colOff>533400</xdr:colOff>
      <xdr:row>1</xdr:row>
      <xdr:rowOff>454794</xdr:rowOff>
    </xdr:to>
    <xdr:sp macro="" textlink="">
      <xdr:nvSpPr>
        <xdr:cNvPr id="6" name="Rectangle 5">
          <a:extLst>
            <a:ext uri="{FF2B5EF4-FFF2-40B4-BE49-F238E27FC236}">
              <a16:creationId xmlns:a16="http://schemas.microsoft.com/office/drawing/2014/main" id="{C4B49EDC-C630-402B-B015-2D94D138381B}"/>
            </a:ext>
          </a:extLst>
        </xdr:cNvPr>
        <xdr:cNvSpPr/>
      </xdr:nvSpPr>
      <xdr:spPr>
        <a:xfrm>
          <a:off x="14382969" y="1192846"/>
          <a:ext cx="1052974" cy="45719"/>
        </a:xfrm>
        <a:prstGeom prst="rect">
          <a:avLst/>
        </a:prstGeom>
        <a:solidFill>
          <a:srgbClr val="6D7E9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14</xdr:col>
      <xdr:colOff>13855</xdr:colOff>
      <xdr:row>0</xdr:row>
      <xdr:rowOff>44116</xdr:rowOff>
    </xdr:from>
    <xdr:to>
      <xdr:col>29</xdr:col>
      <xdr:colOff>150069</xdr:colOff>
      <xdr:row>0</xdr:row>
      <xdr:rowOff>762573</xdr:rowOff>
    </xdr:to>
    <mc:AlternateContent xmlns:mc="http://schemas.openxmlformats.org/markup-compatibility/2006" xmlns:a14="http://schemas.microsoft.com/office/drawing/2010/main">
      <mc:Choice Requires="a14">
        <xdr:graphicFrame macro="">
          <xdr:nvGraphicFramePr>
            <xdr:cNvPr id="7" name="Period 2">
              <a:extLst>
                <a:ext uri="{FF2B5EF4-FFF2-40B4-BE49-F238E27FC236}">
                  <a16:creationId xmlns:a16="http://schemas.microsoft.com/office/drawing/2014/main" id="{CBEECA39-8583-493E-BC9D-3B211823672F}"/>
                </a:ext>
              </a:extLst>
            </xdr:cNvPr>
            <xdr:cNvGraphicFramePr/>
          </xdr:nvGraphicFramePr>
          <xdr:xfrm>
            <a:off x="0" y="0"/>
            <a:ext cx="0" cy="0"/>
          </xdr:xfrm>
          <a:graphic>
            <a:graphicData uri="http://schemas.microsoft.com/office/drawing/2010/slicer">
              <sle:slicer xmlns:sle="http://schemas.microsoft.com/office/drawing/2010/slicer" name="Period 2"/>
            </a:graphicData>
          </a:graphic>
        </xdr:graphicFrame>
      </mc:Choice>
      <mc:Fallback xmlns="">
        <xdr:sp macro="" textlink="">
          <xdr:nvSpPr>
            <xdr:cNvPr id="0" name=""/>
            <xdr:cNvSpPr>
              <a:spLocks noTextEdit="1"/>
            </xdr:cNvSpPr>
          </xdr:nvSpPr>
          <xdr:spPr>
            <a:xfrm>
              <a:off x="8319655" y="44116"/>
              <a:ext cx="11642414" cy="71845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164497</xdr:colOff>
      <xdr:row>4</xdr:row>
      <xdr:rowOff>26506</xdr:rowOff>
    </xdr:from>
    <xdr:to>
      <xdr:col>13</xdr:col>
      <xdr:colOff>693361</xdr:colOff>
      <xdr:row>15</xdr:row>
      <xdr:rowOff>97971</xdr:rowOff>
    </xdr:to>
    <xdr:graphicFrame macro="">
      <xdr:nvGraphicFramePr>
        <xdr:cNvPr id="8" name="Chart 7">
          <a:extLst>
            <a:ext uri="{FF2B5EF4-FFF2-40B4-BE49-F238E27FC236}">
              <a16:creationId xmlns:a16="http://schemas.microsoft.com/office/drawing/2014/main" id="{0BB957C6-20E7-4BBB-B01E-AE2E7186F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xdr:col>
      <xdr:colOff>4354</xdr:colOff>
      <xdr:row>2</xdr:row>
      <xdr:rowOff>98210</xdr:rowOff>
    </xdr:from>
    <xdr:ext cx="1694906" cy="230777"/>
    <xdr:sp macro="" textlink="">
      <xdr:nvSpPr>
        <xdr:cNvPr id="9" name="Rectangle: Rounded Corners 8">
          <a:extLst>
            <a:ext uri="{FF2B5EF4-FFF2-40B4-BE49-F238E27FC236}">
              <a16:creationId xmlns:a16="http://schemas.microsoft.com/office/drawing/2014/main" id="{78585B23-A89F-4AE1-BB66-31CDF078593A}"/>
            </a:ext>
            <a:ext uri="{147F2762-F138-4A5C-976F-8EAC2B608ADB}">
              <a16:predDERef xmlns:a16="http://schemas.microsoft.com/office/drawing/2014/main" pred="{9C186851-90A2-1DE9-E1B3-7D35435BC77B}"/>
            </a:ext>
          </a:extLst>
        </xdr:cNvPr>
        <xdr:cNvSpPr/>
      </xdr:nvSpPr>
      <xdr:spPr>
        <a:xfrm>
          <a:off x="248194" y="1355510"/>
          <a:ext cx="1694906" cy="230777"/>
        </a:xfrm>
        <a:prstGeom prst="roundRect">
          <a:avLst/>
        </a:prstGeom>
        <a:solidFill>
          <a:srgbClr val="1E293B"/>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lang="en-US" sz="1200" b="1">
              <a:solidFill>
                <a:schemeClr val="bg1"/>
              </a:solidFill>
            </a:rPr>
            <a:t>Revenue &amp; Gross Margin</a:t>
          </a:r>
        </a:p>
      </xdr:txBody>
    </xdr:sp>
    <xdr:clientData/>
  </xdr:oneCellAnchor>
  <xdr:oneCellAnchor>
    <xdr:from>
      <xdr:col>14</xdr:col>
      <xdr:colOff>156754</xdr:colOff>
      <xdr:row>2</xdr:row>
      <xdr:rowOff>98210</xdr:rowOff>
    </xdr:from>
    <xdr:ext cx="570076" cy="230777"/>
    <xdr:sp macro="" textlink="">
      <xdr:nvSpPr>
        <xdr:cNvPr id="10" name="Rectangle: Rounded Corners 9">
          <a:extLst>
            <a:ext uri="{FF2B5EF4-FFF2-40B4-BE49-F238E27FC236}">
              <a16:creationId xmlns:a16="http://schemas.microsoft.com/office/drawing/2014/main" id="{42FC3FCB-610E-4A15-B2BE-E28DC670F3E2}"/>
            </a:ext>
            <a:ext uri="{147F2762-F138-4A5C-976F-8EAC2B608ADB}">
              <a16:predDERef xmlns:a16="http://schemas.microsoft.com/office/drawing/2014/main" pred="{9C186851-90A2-1DE9-E1B3-7D35435BC77B}"/>
            </a:ext>
          </a:extLst>
        </xdr:cNvPr>
        <xdr:cNvSpPr/>
      </xdr:nvSpPr>
      <xdr:spPr>
        <a:xfrm>
          <a:off x="8470174" y="1355510"/>
          <a:ext cx="570076" cy="230777"/>
        </a:xfrm>
        <a:prstGeom prst="roundRect">
          <a:avLst/>
        </a:prstGeom>
        <a:solidFill>
          <a:srgbClr val="1E293B"/>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lang="en-US" sz="1200" b="1">
              <a:solidFill>
                <a:schemeClr val="bg1"/>
              </a:solidFill>
            </a:rPr>
            <a:t>Opex</a:t>
          </a:r>
        </a:p>
      </xdr:txBody>
    </xdr:sp>
    <xdr:clientData/>
  </xdr:oneCellAnchor>
  <xdr:oneCellAnchor>
    <xdr:from>
      <xdr:col>22</xdr:col>
      <xdr:colOff>176632</xdr:colOff>
      <xdr:row>2</xdr:row>
      <xdr:rowOff>102287</xdr:rowOff>
    </xdr:from>
    <xdr:ext cx="570076" cy="230777"/>
    <xdr:sp macro="" textlink="">
      <xdr:nvSpPr>
        <xdr:cNvPr id="11" name="Rectangle: Rounded Corners 10">
          <a:extLst>
            <a:ext uri="{FF2B5EF4-FFF2-40B4-BE49-F238E27FC236}">
              <a16:creationId xmlns:a16="http://schemas.microsoft.com/office/drawing/2014/main" id="{83CEC2B7-786A-4F1C-A7CF-A7D0A5A961F9}"/>
            </a:ext>
            <a:ext uri="{147F2762-F138-4A5C-976F-8EAC2B608ADB}">
              <a16:predDERef xmlns:a16="http://schemas.microsoft.com/office/drawing/2014/main" pred="{9C186851-90A2-1DE9-E1B3-7D35435BC77B}"/>
            </a:ext>
          </a:extLst>
        </xdr:cNvPr>
        <xdr:cNvSpPr/>
      </xdr:nvSpPr>
      <xdr:spPr>
        <a:xfrm>
          <a:off x="14486992" y="1359587"/>
          <a:ext cx="570076" cy="230777"/>
        </a:xfrm>
        <a:prstGeom prst="roundRect">
          <a:avLst/>
        </a:prstGeom>
        <a:solidFill>
          <a:srgbClr val="1E293B"/>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lang="en-US" sz="1200" b="1">
              <a:solidFill>
                <a:schemeClr val="bg1"/>
              </a:solidFill>
            </a:rPr>
            <a:t>Opex</a:t>
          </a:r>
        </a:p>
      </xdr:txBody>
    </xdr:sp>
    <xdr:clientData/>
  </xdr:oneCellAnchor>
  <xdr:twoCellAnchor>
    <xdr:from>
      <xdr:col>1</xdr:col>
      <xdr:colOff>162774</xdr:colOff>
      <xdr:row>17</xdr:row>
      <xdr:rowOff>398715</xdr:rowOff>
    </xdr:from>
    <xdr:to>
      <xdr:col>2</xdr:col>
      <xdr:colOff>599304</xdr:colOff>
      <xdr:row>18</xdr:row>
      <xdr:rowOff>1650</xdr:rowOff>
    </xdr:to>
    <xdr:sp macro="" textlink="">
      <xdr:nvSpPr>
        <xdr:cNvPr id="12" name="Rectangle 11">
          <a:extLst>
            <a:ext uri="{FF2B5EF4-FFF2-40B4-BE49-F238E27FC236}">
              <a16:creationId xmlns:a16="http://schemas.microsoft.com/office/drawing/2014/main" id="{A2F4CCA6-1171-46D7-A387-B18914FD5A39}"/>
            </a:ext>
          </a:extLst>
        </xdr:cNvPr>
        <xdr:cNvSpPr/>
      </xdr:nvSpPr>
      <xdr:spPr>
        <a:xfrm>
          <a:off x="406614" y="4216335"/>
          <a:ext cx="1046130" cy="44895"/>
        </a:xfrm>
        <a:prstGeom prst="rect">
          <a:avLst/>
        </a:prstGeom>
        <a:solidFill>
          <a:srgbClr val="6D7E9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162773</xdr:colOff>
      <xdr:row>28</xdr:row>
      <xdr:rowOff>398715</xdr:rowOff>
    </xdr:from>
    <xdr:to>
      <xdr:col>3</xdr:col>
      <xdr:colOff>512806</xdr:colOff>
      <xdr:row>29</xdr:row>
      <xdr:rowOff>1651</xdr:rowOff>
    </xdr:to>
    <xdr:sp macro="" textlink="">
      <xdr:nvSpPr>
        <xdr:cNvPr id="13" name="Rectangle 12">
          <a:extLst>
            <a:ext uri="{FF2B5EF4-FFF2-40B4-BE49-F238E27FC236}">
              <a16:creationId xmlns:a16="http://schemas.microsoft.com/office/drawing/2014/main" id="{B8B563E4-7FE9-4D18-AB89-32DF08A92628}"/>
            </a:ext>
          </a:extLst>
        </xdr:cNvPr>
        <xdr:cNvSpPr/>
      </xdr:nvSpPr>
      <xdr:spPr>
        <a:xfrm>
          <a:off x="406613" y="6555675"/>
          <a:ext cx="1569233" cy="44896"/>
        </a:xfrm>
        <a:prstGeom prst="rect">
          <a:avLst/>
        </a:prstGeom>
        <a:solidFill>
          <a:srgbClr val="6D7E9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162773</xdr:colOff>
      <xdr:row>39</xdr:row>
      <xdr:rowOff>398715</xdr:rowOff>
    </xdr:from>
    <xdr:to>
      <xdr:col>3</xdr:col>
      <xdr:colOff>341870</xdr:colOff>
      <xdr:row>40</xdr:row>
      <xdr:rowOff>1650</xdr:rowOff>
    </xdr:to>
    <xdr:sp macro="" textlink="">
      <xdr:nvSpPr>
        <xdr:cNvPr id="14" name="Rectangle 13">
          <a:extLst>
            <a:ext uri="{FF2B5EF4-FFF2-40B4-BE49-F238E27FC236}">
              <a16:creationId xmlns:a16="http://schemas.microsoft.com/office/drawing/2014/main" id="{A65CFA05-7FEF-47FA-BE6C-A03DECAA02A3}"/>
            </a:ext>
          </a:extLst>
        </xdr:cNvPr>
        <xdr:cNvSpPr/>
      </xdr:nvSpPr>
      <xdr:spPr>
        <a:xfrm>
          <a:off x="406613" y="8895015"/>
          <a:ext cx="1398297" cy="44895"/>
        </a:xfrm>
        <a:prstGeom prst="rect">
          <a:avLst/>
        </a:prstGeom>
        <a:solidFill>
          <a:srgbClr val="6D7E9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105833</xdr:colOff>
      <xdr:row>2</xdr:row>
      <xdr:rowOff>52917</xdr:rowOff>
    </xdr:from>
    <xdr:to>
      <xdr:col>21</xdr:col>
      <xdr:colOff>772583</xdr:colOff>
      <xdr:row>15</xdr:row>
      <xdr:rowOff>11219</xdr:rowOff>
    </xdr:to>
    <xdr:graphicFrame macro="">
      <xdr:nvGraphicFramePr>
        <xdr:cNvPr id="15" name="Chart 14">
          <a:extLst>
            <a:ext uri="{FF2B5EF4-FFF2-40B4-BE49-F238E27FC236}">
              <a16:creationId xmlns:a16="http://schemas.microsoft.com/office/drawing/2014/main" id="{942CA127-91BF-4CFB-A4DB-C78123E0F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550332</xdr:colOff>
      <xdr:row>5</xdr:row>
      <xdr:rowOff>137583</xdr:rowOff>
    </xdr:from>
    <xdr:to>
      <xdr:col>21</xdr:col>
      <xdr:colOff>359833</xdr:colOff>
      <xdr:row>13</xdr:row>
      <xdr:rowOff>21167</xdr:rowOff>
    </xdr:to>
    <xdr:graphicFrame macro="">
      <xdr:nvGraphicFramePr>
        <xdr:cNvPr id="16" name="Chart 15">
          <a:extLst>
            <a:ext uri="{FF2B5EF4-FFF2-40B4-BE49-F238E27FC236}">
              <a16:creationId xmlns:a16="http://schemas.microsoft.com/office/drawing/2014/main" id="{955EB41B-9EB8-4A59-B2F1-2298C61CA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751417</xdr:colOff>
      <xdr:row>5</xdr:row>
      <xdr:rowOff>137585</xdr:rowOff>
    </xdr:from>
    <xdr:to>
      <xdr:col>29</xdr:col>
      <xdr:colOff>666750</xdr:colOff>
      <xdr:row>13</xdr:row>
      <xdr:rowOff>52917</xdr:rowOff>
    </xdr:to>
    <xdr:graphicFrame macro="">
      <xdr:nvGraphicFramePr>
        <xdr:cNvPr id="17" name="Chart 16">
          <a:extLst>
            <a:ext uri="{FF2B5EF4-FFF2-40B4-BE49-F238E27FC236}">
              <a16:creationId xmlns:a16="http://schemas.microsoft.com/office/drawing/2014/main" id="{FE2EA831-5699-410A-9998-82998321B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524934</xdr:colOff>
      <xdr:row>18</xdr:row>
      <xdr:rowOff>84666</xdr:rowOff>
    </xdr:from>
    <xdr:to>
      <xdr:col>14</xdr:col>
      <xdr:colOff>0</xdr:colOff>
      <xdr:row>26</xdr:row>
      <xdr:rowOff>312208</xdr:rowOff>
    </xdr:to>
    <xdr:graphicFrame macro="">
      <xdr:nvGraphicFramePr>
        <xdr:cNvPr id="75" name="Chart 17">
          <a:extLst>
            <a:ext uri="{FF2B5EF4-FFF2-40B4-BE49-F238E27FC236}">
              <a16:creationId xmlns:a16="http://schemas.microsoft.com/office/drawing/2014/main" id="{DD1C5D30-CDAA-489D-BDBE-C84C24B43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222251</xdr:colOff>
      <xdr:row>29</xdr:row>
      <xdr:rowOff>148168</xdr:rowOff>
    </xdr:from>
    <xdr:to>
      <xdr:col>11</xdr:col>
      <xdr:colOff>427568</xdr:colOff>
      <xdr:row>37</xdr:row>
      <xdr:rowOff>366185</xdr:rowOff>
    </xdr:to>
    <xdr:graphicFrame macro="">
      <xdr:nvGraphicFramePr>
        <xdr:cNvPr id="19" name="Chart 18">
          <a:extLst>
            <a:ext uri="{FF2B5EF4-FFF2-40B4-BE49-F238E27FC236}">
              <a16:creationId xmlns:a16="http://schemas.microsoft.com/office/drawing/2014/main" id="{E2816762-D4C2-40E5-A87A-915435426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479208</xdr:colOff>
      <xdr:row>29</xdr:row>
      <xdr:rowOff>138643</xdr:rowOff>
    </xdr:from>
    <xdr:to>
      <xdr:col>13</xdr:col>
      <xdr:colOff>684524</xdr:colOff>
      <xdr:row>37</xdr:row>
      <xdr:rowOff>366185</xdr:rowOff>
    </xdr:to>
    <xdr:graphicFrame macro="">
      <xdr:nvGraphicFramePr>
        <xdr:cNvPr id="20" name="Chart 19">
          <a:extLst>
            <a:ext uri="{FF2B5EF4-FFF2-40B4-BE49-F238E27FC236}">
              <a16:creationId xmlns:a16="http://schemas.microsoft.com/office/drawing/2014/main" id="{37728F20-F5CE-420E-895B-2277ADBD9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222251</xdr:colOff>
      <xdr:row>40</xdr:row>
      <xdr:rowOff>126999</xdr:rowOff>
    </xdr:from>
    <xdr:to>
      <xdr:col>11</xdr:col>
      <xdr:colOff>427568</xdr:colOff>
      <xdr:row>48</xdr:row>
      <xdr:rowOff>269874</xdr:rowOff>
    </xdr:to>
    <xdr:graphicFrame macro="">
      <xdr:nvGraphicFramePr>
        <xdr:cNvPr id="21" name="Chart 20">
          <a:extLst>
            <a:ext uri="{FF2B5EF4-FFF2-40B4-BE49-F238E27FC236}">
              <a16:creationId xmlns:a16="http://schemas.microsoft.com/office/drawing/2014/main" id="{4D484175-ECDE-4F36-BA2A-E85423917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479208</xdr:colOff>
      <xdr:row>40</xdr:row>
      <xdr:rowOff>126999</xdr:rowOff>
    </xdr:from>
    <xdr:to>
      <xdr:col>13</xdr:col>
      <xdr:colOff>684524</xdr:colOff>
      <xdr:row>48</xdr:row>
      <xdr:rowOff>269874</xdr:rowOff>
    </xdr:to>
    <xdr:graphicFrame macro="">
      <xdr:nvGraphicFramePr>
        <xdr:cNvPr id="22" name="Chart 21">
          <a:extLst>
            <a:ext uri="{FF2B5EF4-FFF2-40B4-BE49-F238E27FC236}">
              <a16:creationId xmlns:a16="http://schemas.microsoft.com/office/drawing/2014/main" id="{FB7AFAFF-B655-4D93-83CD-2C15AEE7E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21768</xdr:colOff>
      <xdr:row>19</xdr:row>
      <xdr:rowOff>127910</xdr:rowOff>
    </xdr:from>
    <xdr:to>
      <xdr:col>3</xdr:col>
      <xdr:colOff>380865</xdr:colOff>
      <xdr:row>26</xdr:row>
      <xdr:rowOff>138041</xdr:rowOff>
    </xdr:to>
    <xdr:grpSp>
      <xdr:nvGrpSpPr>
        <xdr:cNvPr id="23" name="Group 22">
          <a:extLst>
            <a:ext uri="{FF2B5EF4-FFF2-40B4-BE49-F238E27FC236}">
              <a16:creationId xmlns:a16="http://schemas.microsoft.com/office/drawing/2014/main" id="{986EDF09-6F69-44F6-8FA8-48E43518E03A}"/>
            </a:ext>
          </a:extLst>
        </xdr:cNvPr>
        <xdr:cNvGrpSpPr/>
      </xdr:nvGrpSpPr>
      <xdr:grpSpPr>
        <a:xfrm>
          <a:off x="330197" y="4881339"/>
          <a:ext cx="1919382" cy="1280131"/>
          <a:chOff x="243818" y="1863753"/>
          <a:chExt cx="1496027" cy="1352220"/>
        </a:xfrm>
      </xdr:grpSpPr>
      <xdr:sp macro="" textlink="">
        <xdr:nvSpPr>
          <xdr:cNvPr id="24" name="Rectangle: Rounded Corners 23">
            <a:extLst>
              <a:ext uri="{FF2B5EF4-FFF2-40B4-BE49-F238E27FC236}">
                <a16:creationId xmlns:a16="http://schemas.microsoft.com/office/drawing/2014/main" id="{90BF37C9-8B70-A1CB-F789-F9AE567124B9}"/>
              </a:ext>
            </a:extLst>
          </xdr:cNvPr>
          <xdr:cNvSpPr/>
        </xdr:nvSpPr>
        <xdr:spPr>
          <a:xfrm>
            <a:off x="247556" y="1867870"/>
            <a:ext cx="1492289" cy="1348103"/>
          </a:xfrm>
          <a:prstGeom prst="roundRect">
            <a:avLst>
              <a:gd name="adj" fmla="val 862"/>
            </a:avLst>
          </a:prstGeom>
          <a:noFill/>
          <a:ln w="6350">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Rectangle: Top Corners Rounded 24">
            <a:extLst>
              <a:ext uri="{FF2B5EF4-FFF2-40B4-BE49-F238E27FC236}">
                <a16:creationId xmlns:a16="http://schemas.microsoft.com/office/drawing/2014/main" id="{990B5AA2-DC45-B3D2-38FA-5A646AE99B8D}"/>
              </a:ext>
            </a:extLst>
          </xdr:cNvPr>
          <xdr:cNvSpPr/>
        </xdr:nvSpPr>
        <xdr:spPr>
          <a:xfrm>
            <a:off x="243818" y="1863753"/>
            <a:ext cx="1493597" cy="49860"/>
          </a:xfrm>
          <a:prstGeom prst="round2SameRect">
            <a:avLst/>
          </a:prstGeom>
          <a:solidFill>
            <a:srgbClr val="1E29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xdr:col>
      <xdr:colOff>533400</xdr:colOff>
      <xdr:row>19</xdr:row>
      <xdr:rowOff>127910</xdr:rowOff>
    </xdr:from>
    <xdr:to>
      <xdr:col>6</xdr:col>
      <xdr:colOff>301946</xdr:colOff>
      <xdr:row>26</xdr:row>
      <xdr:rowOff>138041</xdr:rowOff>
    </xdr:to>
    <xdr:grpSp>
      <xdr:nvGrpSpPr>
        <xdr:cNvPr id="28" name="Group 27">
          <a:extLst>
            <a:ext uri="{FF2B5EF4-FFF2-40B4-BE49-F238E27FC236}">
              <a16:creationId xmlns:a16="http://schemas.microsoft.com/office/drawing/2014/main" id="{1DFFF860-56A7-471C-AA79-D51AC51F4344}"/>
            </a:ext>
          </a:extLst>
        </xdr:cNvPr>
        <xdr:cNvGrpSpPr/>
      </xdr:nvGrpSpPr>
      <xdr:grpSpPr>
        <a:xfrm>
          <a:off x="2402114" y="4881339"/>
          <a:ext cx="2217832" cy="1280131"/>
          <a:chOff x="243818" y="1863753"/>
          <a:chExt cx="1496027" cy="1352220"/>
        </a:xfrm>
      </xdr:grpSpPr>
      <xdr:sp macro="" textlink="">
        <xdr:nvSpPr>
          <xdr:cNvPr id="29" name="Rectangle: Rounded Corners 28">
            <a:extLst>
              <a:ext uri="{FF2B5EF4-FFF2-40B4-BE49-F238E27FC236}">
                <a16:creationId xmlns:a16="http://schemas.microsoft.com/office/drawing/2014/main" id="{519A129E-7792-90B7-F90D-62DFDC09F13B}"/>
              </a:ext>
            </a:extLst>
          </xdr:cNvPr>
          <xdr:cNvSpPr/>
        </xdr:nvSpPr>
        <xdr:spPr>
          <a:xfrm>
            <a:off x="247556" y="1867870"/>
            <a:ext cx="1492289" cy="1348103"/>
          </a:xfrm>
          <a:prstGeom prst="roundRect">
            <a:avLst>
              <a:gd name="adj" fmla="val 862"/>
            </a:avLst>
          </a:prstGeom>
          <a:noFill/>
          <a:ln w="6350">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Rectangle: Top Corners Rounded 29">
            <a:extLst>
              <a:ext uri="{FF2B5EF4-FFF2-40B4-BE49-F238E27FC236}">
                <a16:creationId xmlns:a16="http://schemas.microsoft.com/office/drawing/2014/main" id="{1A608DF0-7F55-449C-EDB1-DFF4F71AE78C}"/>
              </a:ext>
            </a:extLst>
          </xdr:cNvPr>
          <xdr:cNvSpPr/>
        </xdr:nvSpPr>
        <xdr:spPr>
          <a:xfrm>
            <a:off x="243818" y="1863753"/>
            <a:ext cx="1493597" cy="49860"/>
          </a:xfrm>
          <a:prstGeom prst="round2SameRect">
            <a:avLst/>
          </a:prstGeom>
          <a:solidFill>
            <a:srgbClr val="1E29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6</xdr:col>
      <xdr:colOff>409575</xdr:colOff>
      <xdr:row>19</xdr:row>
      <xdr:rowOff>127910</xdr:rowOff>
    </xdr:from>
    <xdr:to>
      <xdr:col>9</xdr:col>
      <xdr:colOff>183563</xdr:colOff>
      <xdr:row>26</xdr:row>
      <xdr:rowOff>138041</xdr:rowOff>
    </xdr:to>
    <xdr:grpSp>
      <xdr:nvGrpSpPr>
        <xdr:cNvPr id="33" name="Group 32">
          <a:extLst>
            <a:ext uri="{FF2B5EF4-FFF2-40B4-BE49-F238E27FC236}">
              <a16:creationId xmlns:a16="http://schemas.microsoft.com/office/drawing/2014/main" id="{86FC683C-64D0-46A8-B56B-333BB234B957}"/>
            </a:ext>
          </a:extLst>
        </xdr:cNvPr>
        <xdr:cNvGrpSpPr/>
      </xdr:nvGrpSpPr>
      <xdr:grpSpPr>
        <a:xfrm>
          <a:off x="4727575" y="4881339"/>
          <a:ext cx="2114417" cy="1280131"/>
          <a:chOff x="243818" y="1863753"/>
          <a:chExt cx="1496027" cy="1352220"/>
        </a:xfrm>
      </xdr:grpSpPr>
      <xdr:sp macro="" textlink="">
        <xdr:nvSpPr>
          <xdr:cNvPr id="34" name="Rectangle: Rounded Corners 33">
            <a:extLst>
              <a:ext uri="{FF2B5EF4-FFF2-40B4-BE49-F238E27FC236}">
                <a16:creationId xmlns:a16="http://schemas.microsoft.com/office/drawing/2014/main" id="{5B7536C1-FCF4-40FF-131C-54365879B98A}"/>
              </a:ext>
            </a:extLst>
          </xdr:cNvPr>
          <xdr:cNvSpPr/>
        </xdr:nvSpPr>
        <xdr:spPr>
          <a:xfrm>
            <a:off x="247556" y="1867870"/>
            <a:ext cx="1492289" cy="1348103"/>
          </a:xfrm>
          <a:prstGeom prst="roundRect">
            <a:avLst>
              <a:gd name="adj" fmla="val 862"/>
            </a:avLst>
          </a:prstGeom>
          <a:noFill/>
          <a:ln w="6350">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Rectangle: Top Corners Rounded 34">
            <a:extLst>
              <a:ext uri="{FF2B5EF4-FFF2-40B4-BE49-F238E27FC236}">
                <a16:creationId xmlns:a16="http://schemas.microsoft.com/office/drawing/2014/main" id="{08A4C5EE-33BC-BC30-F537-FB2657A51A8D}"/>
              </a:ext>
            </a:extLst>
          </xdr:cNvPr>
          <xdr:cNvSpPr/>
        </xdr:nvSpPr>
        <xdr:spPr>
          <a:xfrm>
            <a:off x="243818" y="1863753"/>
            <a:ext cx="1493597" cy="49860"/>
          </a:xfrm>
          <a:prstGeom prst="round2SameRect">
            <a:avLst/>
          </a:prstGeom>
          <a:solidFill>
            <a:srgbClr val="1E29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146956</xdr:colOff>
      <xdr:row>30</xdr:row>
      <xdr:rowOff>138794</xdr:rowOff>
    </xdr:from>
    <xdr:to>
      <xdr:col>3</xdr:col>
      <xdr:colOff>506052</xdr:colOff>
      <xdr:row>37</xdr:row>
      <xdr:rowOff>148925</xdr:rowOff>
    </xdr:to>
    <xdr:grpSp>
      <xdr:nvGrpSpPr>
        <xdr:cNvPr id="89" name="Group 88">
          <a:extLst>
            <a:ext uri="{FF2B5EF4-FFF2-40B4-BE49-F238E27FC236}">
              <a16:creationId xmlns:a16="http://schemas.microsoft.com/office/drawing/2014/main" id="{43014544-31E6-9EB9-A991-EEC7B2B7B530}"/>
            </a:ext>
          </a:extLst>
        </xdr:cNvPr>
        <xdr:cNvGrpSpPr/>
      </xdr:nvGrpSpPr>
      <xdr:grpSpPr>
        <a:xfrm>
          <a:off x="455385" y="7305223"/>
          <a:ext cx="1919381" cy="1280131"/>
          <a:chOff x="386442" y="7127423"/>
          <a:chExt cx="1578296" cy="1305531"/>
        </a:xfrm>
      </xdr:grpSpPr>
      <xdr:grpSp>
        <xdr:nvGrpSpPr>
          <xdr:cNvPr id="38" name="Group 37">
            <a:extLst>
              <a:ext uri="{FF2B5EF4-FFF2-40B4-BE49-F238E27FC236}">
                <a16:creationId xmlns:a16="http://schemas.microsoft.com/office/drawing/2014/main" id="{9DE24C6A-AB2D-4679-A7D6-64B738AB3C8C}"/>
              </a:ext>
            </a:extLst>
          </xdr:cNvPr>
          <xdr:cNvGrpSpPr/>
        </xdr:nvGrpSpPr>
        <xdr:grpSpPr>
          <a:xfrm>
            <a:off x="386442" y="7127423"/>
            <a:ext cx="1578296" cy="1305531"/>
            <a:chOff x="243818" y="1863753"/>
            <a:chExt cx="1496027" cy="1352220"/>
          </a:xfrm>
        </xdr:grpSpPr>
        <xdr:sp macro="" textlink="">
          <xdr:nvSpPr>
            <xdr:cNvPr id="39" name="Rectangle: Rounded Corners 38">
              <a:extLst>
                <a:ext uri="{FF2B5EF4-FFF2-40B4-BE49-F238E27FC236}">
                  <a16:creationId xmlns:a16="http://schemas.microsoft.com/office/drawing/2014/main" id="{B34E228E-8B79-E4FA-33C0-87713E99C9B8}"/>
                </a:ext>
              </a:extLst>
            </xdr:cNvPr>
            <xdr:cNvSpPr/>
          </xdr:nvSpPr>
          <xdr:spPr>
            <a:xfrm>
              <a:off x="247556" y="1867870"/>
              <a:ext cx="1492289" cy="1348103"/>
            </a:xfrm>
            <a:prstGeom prst="roundRect">
              <a:avLst>
                <a:gd name="adj" fmla="val 862"/>
              </a:avLst>
            </a:prstGeom>
            <a:noFill/>
            <a:ln w="6350">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Rectangle: Top Corners Rounded 39">
              <a:extLst>
                <a:ext uri="{FF2B5EF4-FFF2-40B4-BE49-F238E27FC236}">
                  <a16:creationId xmlns:a16="http://schemas.microsoft.com/office/drawing/2014/main" id="{D25948F5-9AF1-33AD-E1ED-0A4F3C5A6F02}"/>
                </a:ext>
              </a:extLst>
            </xdr:cNvPr>
            <xdr:cNvSpPr/>
          </xdr:nvSpPr>
          <xdr:spPr>
            <a:xfrm>
              <a:off x="243818" y="1863753"/>
              <a:ext cx="1493597" cy="49860"/>
            </a:xfrm>
            <a:prstGeom prst="round2SameRect">
              <a:avLst/>
            </a:prstGeom>
            <a:solidFill>
              <a:srgbClr val="1E29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Data!P58">
        <xdr:nvSpPr>
          <xdr:cNvPr id="41" name="TextBox 40">
            <a:extLst>
              <a:ext uri="{FF2B5EF4-FFF2-40B4-BE49-F238E27FC236}">
                <a16:creationId xmlns:a16="http://schemas.microsoft.com/office/drawing/2014/main" id="{94E535A4-30E3-4A2E-A7BD-AD691EC2F940}"/>
              </a:ext>
            </a:extLst>
          </xdr:cNvPr>
          <xdr:cNvSpPr txBox="1"/>
        </xdr:nvSpPr>
        <xdr:spPr>
          <a:xfrm>
            <a:off x="394803" y="7618708"/>
            <a:ext cx="1560135" cy="488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70174AA0-E89A-4795-8388-E0DD319CE583}" type="TxLink">
              <a:rPr lang="en-US" sz="2400" b="1" i="0" u="none" strike="noStrike">
                <a:solidFill>
                  <a:srgbClr val="1E293B"/>
                </a:solidFill>
                <a:latin typeface="SF Pro Text"/>
                <a:ea typeface="+mn-ea"/>
                <a:cs typeface="+mn-cs"/>
              </a:rPr>
              <a:pPr marL="0" indent="0" algn="l"/>
              <a:t>+53,773</a:t>
            </a:fld>
            <a:endParaRPr lang="en-US" sz="2400" b="1" i="0" u="none" strike="noStrike">
              <a:solidFill>
                <a:srgbClr val="1E293B"/>
              </a:solidFill>
              <a:latin typeface="SF Pro Text"/>
              <a:ea typeface="+mn-ea"/>
              <a:cs typeface="+mn-cs"/>
            </a:endParaRPr>
          </a:p>
        </xdr:txBody>
      </xdr:sp>
      <xdr:sp macro="" textlink="">
        <xdr:nvSpPr>
          <xdr:cNvPr id="42" name="TextBox 41">
            <a:extLst>
              <a:ext uri="{FF2B5EF4-FFF2-40B4-BE49-F238E27FC236}">
                <a16:creationId xmlns:a16="http://schemas.microsoft.com/office/drawing/2014/main" id="{C0368ECC-B4CE-4691-BD52-92870B00EFB8}"/>
              </a:ext>
            </a:extLst>
          </xdr:cNvPr>
          <xdr:cNvSpPr txBox="1"/>
        </xdr:nvSpPr>
        <xdr:spPr>
          <a:xfrm>
            <a:off x="401607" y="7271973"/>
            <a:ext cx="1560135" cy="3205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solidFill>
                  <a:srgbClr val="1E293B"/>
                </a:solidFill>
              </a:rPr>
              <a:t>REVENUE</a:t>
            </a:r>
          </a:p>
        </xdr:txBody>
      </xdr:sp>
    </xdr:grpSp>
    <xdr:clientData/>
  </xdr:twoCellAnchor>
  <xdr:twoCellAnchor>
    <xdr:from>
      <xdr:col>3</xdr:col>
      <xdr:colOff>571500</xdr:colOff>
      <xdr:row>30</xdr:row>
      <xdr:rowOff>138794</xdr:rowOff>
    </xdr:from>
    <xdr:to>
      <xdr:col>6</xdr:col>
      <xdr:colOff>340046</xdr:colOff>
      <xdr:row>37</xdr:row>
      <xdr:rowOff>148925</xdr:rowOff>
    </xdr:to>
    <xdr:grpSp>
      <xdr:nvGrpSpPr>
        <xdr:cNvPr id="88" name="Group 87">
          <a:extLst>
            <a:ext uri="{FF2B5EF4-FFF2-40B4-BE49-F238E27FC236}">
              <a16:creationId xmlns:a16="http://schemas.microsoft.com/office/drawing/2014/main" id="{970344FF-7FD3-FC07-AB15-8B6DD3B7BB5C}"/>
            </a:ext>
          </a:extLst>
        </xdr:cNvPr>
        <xdr:cNvGrpSpPr/>
      </xdr:nvGrpSpPr>
      <xdr:grpSpPr>
        <a:xfrm>
          <a:off x="2440214" y="7305223"/>
          <a:ext cx="2217832" cy="1280131"/>
          <a:chOff x="2030186" y="7127423"/>
          <a:chExt cx="1597346" cy="1305531"/>
        </a:xfrm>
      </xdr:grpSpPr>
      <xdr:grpSp>
        <xdr:nvGrpSpPr>
          <xdr:cNvPr id="43" name="Group 42">
            <a:extLst>
              <a:ext uri="{FF2B5EF4-FFF2-40B4-BE49-F238E27FC236}">
                <a16:creationId xmlns:a16="http://schemas.microsoft.com/office/drawing/2014/main" id="{80928A4C-F5AE-4350-8BDE-67FB231A7B75}"/>
              </a:ext>
            </a:extLst>
          </xdr:cNvPr>
          <xdr:cNvGrpSpPr/>
        </xdr:nvGrpSpPr>
        <xdr:grpSpPr>
          <a:xfrm>
            <a:off x="2030186" y="7127423"/>
            <a:ext cx="1597346" cy="1305531"/>
            <a:chOff x="243818" y="1863753"/>
            <a:chExt cx="1496027" cy="1352220"/>
          </a:xfrm>
        </xdr:grpSpPr>
        <xdr:sp macro="" textlink="">
          <xdr:nvSpPr>
            <xdr:cNvPr id="44" name="Rectangle: Rounded Corners 43">
              <a:extLst>
                <a:ext uri="{FF2B5EF4-FFF2-40B4-BE49-F238E27FC236}">
                  <a16:creationId xmlns:a16="http://schemas.microsoft.com/office/drawing/2014/main" id="{FADB0556-25D7-A2FC-7A14-9F8D466DF617}"/>
                </a:ext>
              </a:extLst>
            </xdr:cNvPr>
            <xdr:cNvSpPr/>
          </xdr:nvSpPr>
          <xdr:spPr>
            <a:xfrm>
              <a:off x="247556" y="1867870"/>
              <a:ext cx="1492289" cy="1348103"/>
            </a:xfrm>
            <a:prstGeom prst="roundRect">
              <a:avLst>
                <a:gd name="adj" fmla="val 862"/>
              </a:avLst>
            </a:prstGeom>
            <a:noFill/>
            <a:ln w="6350">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Rectangle: Top Corners Rounded 44">
              <a:extLst>
                <a:ext uri="{FF2B5EF4-FFF2-40B4-BE49-F238E27FC236}">
                  <a16:creationId xmlns:a16="http://schemas.microsoft.com/office/drawing/2014/main" id="{C428354B-BBD9-3D70-DAD5-D926327D4CCA}"/>
                </a:ext>
              </a:extLst>
            </xdr:cNvPr>
            <xdr:cNvSpPr/>
          </xdr:nvSpPr>
          <xdr:spPr>
            <a:xfrm>
              <a:off x="243818" y="1863753"/>
              <a:ext cx="1493597" cy="49860"/>
            </a:xfrm>
            <a:prstGeom prst="round2SameRect">
              <a:avLst/>
            </a:prstGeom>
            <a:solidFill>
              <a:srgbClr val="1E29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Data!Q58">
        <xdr:nvSpPr>
          <xdr:cNvPr id="46" name="TextBox 45">
            <a:extLst>
              <a:ext uri="{FF2B5EF4-FFF2-40B4-BE49-F238E27FC236}">
                <a16:creationId xmlns:a16="http://schemas.microsoft.com/office/drawing/2014/main" id="{EF293C15-8EDF-4779-A216-FDAB1182BF7A}"/>
              </a:ext>
            </a:extLst>
          </xdr:cNvPr>
          <xdr:cNvSpPr txBox="1"/>
        </xdr:nvSpPr>
        <xdr:spPr>
          <a:xfrm>
            <a:off x="2091614" y="7605101"/>
            <a:ext cx="1428553" cy="488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0AA117FF-1E1C-450F-8824-C8EFC3F5F192}" type="TxLink">
              <a:rPr lang="en-US" sz="2400" b="1" i="0" u="none" strike="noStrike">
                <a:solidFill>
                  <a:srgbClr val="1E293B"/>
                </a:solidFill>
                <a:latin typeface="SF Pro Text"/>
                <a:ea typeface="+mn-ea"/>
                <a:cs typeface="+mn-cs"/>
              </a:rPr>
              <a:pPr marL="0" indent="0" algn="l"/>
              <a:t>+36,033</a:t>
            </a:fld>
            <a:endParaRPr lang="en-US" sz="2400" b="1" i="0" u="none" strike="noStrike">
              <a:solidFill>
                <a:srgbClr val="1E293B"/>
              </a:solidFill>
              <a:latin typeface="SF Pro Text"/>
              <a:ea typeface="+mn-ea"/>
              <a:cs typeface="+mn-cs"/>
            </a:endParaRPr>
          </a:p>
        </xdr:txBody>
      </xdr:sp>
      <xdr:sp macro="" textlink="Data!Q49">
        <xdr:nvSpPr>
          <xdr:cNvPr id="47" name="TextBox 46">
            <a:extLst>
              <a:ext uri="{FF2B5EF4-FFF2-40B4-BE49-F238E27FC236}">
                <a16:creationId xmlns:a16="http://schemas.microsoft.com/office/drawing/2014/main" id="{995D88F5-F46B-443D-83B6-C9397957D52F}"/>
              </a:ext>
            </a:extLst>
          </xdr:cNvPr>
          <xdr:cNvSpPr txBox="1"/>
        </xdr:nvSpPr>
        <xdr:spPr>
          <a:xfrm>
            <a:off x="2098419" y="7312480"/>
            <a:ext cx="1408142" cy="2582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0187DC2D-51EF-4210-9727-B62635ECCE2F}" type="TxLink">
              <a:rPr lang="en-US" sz="1100" b="1">
                <a:solidFill>
                  <a:srgbClr val="1E293B"/>
                </a:solidFill>
                <a:latin typeface="+mn-lt"/>
                <a:ea typeface="+mn-ea"/>
                <a:cs typeface="+mn-cs"/>
              </a:rPr>
              <a:pPr marL="0" indent="0" algn="l"/>
              <a:t>Gross Profit</a:t>
            </a:fld>
            <a:endParaRPr lang="en-US" sz="1100" b="1">
              <a:solidFill>
                <a:srgbClr val="1E293B"/>
              </a:solidFill>
              <a:latin typeface="+mn-lt"/>
              <a:ea typeface="+mn-ea"/>
              <a:cs typeface="+mn-cs"/>
            </a:endParaRPr>
          </a:p>
        </xdr:txBody>
      </xdr:sp>
    </xdr:grpSp>
    <xdr:clientData/>
  </xdr:twoCellAnchor>
  <xdr:twoCellAnchor>
    <xdr:from>
      <xdr:col>6</xdr:col>
      <xdr:colOff>447675</xdr:colOff>
      <xdr:row>30</xdr:row>
      <xdr:rowOff>138794</xdr:rowOff>
    </xdr:from>
    <xdr:to>
      <xdr:col>9</xdr:col>
      <xdr:colOff>221663</xdr:colOff>
      <xdr:row>37</xdr:row>
      <xdr:rowOff>148925</xdr:rowOff>
    </xdr:to>
    <xdr:grpSp>
      <xdr:nvGrpSpPr>
        <xdr:cNvPr id="87" name="Group 86">
          <a:extLst>
            <a:ext uri="{FF2B5EF4-FFF2-40B4-BE49-F238E27FC236}">
              <a16:creationId xmlns:a16="http://schemas.microsoft.com/office/drawing/2014/main" id="{E6A829E9-A078-FBAA-1E2F-7E504B01F23F}"/>
            </a:ext>
          </a:extLst>
        </xdr:cNvPr>
        <xdr:cNvGrpSpPr/>
      </xdr:nvGrpSpPr>
      <xdr:grpSpPr>
        <a:xfrm>
          <a:off x="4765675" y="7305223"/>
          <a:ext cx="2114417" cy="1280131"/>
          <a:chOff x="3735161" y="7127423"/>
          <a:chExt cx="1602788" cy="1305531"/>
        </a:xfrm>
      </xdr:grpSpPr>
      <xdr:grpSp>
        <xdr:nvGrpSpPr>
          <xdr:cNvPr id="48" name="Group 47">
            <a:extLst>
              <a:ext uri="{FF2B5EF4-FFF2-40B4-BE49-F238E27FC236}">
                <a16:creationId xmlns:a16="http://schemas.microsoft.com/office/drawing/2014/main" id="{770D3A4F-14CB-4C66-AD7A-D0472D97495C}"/>
              </a:ext>
            </a:extLst>
          </xdr:cNvPr>
          <xdr:cNvGrpSpPr/>
        </xdr:nvGrpSpPr>
        <xdr:grpSpPr>
          <a:xfrm>
            <a:off x="3735161" y="7127423"/>
            <a:ext cx="1602788" cy="1305531"/>
            <a:chOff x="243818" y="1863753"/>
            <a:chExt cx="1496027" cy="1352220"/>
          </a:xfrm>
        </xdr:grpSpPr>
        <xdr:sp macro="" textlink="">
          <xdr:nvSpPr>
            <xdr:cNvPr id="49" name="Rectangle: Rounded Corners 48">
              <a:extLst>
                <a:ext uri="{FF2B5EF4-FFF2-40B4-BE49-F238E27FC236}">
                  <a16:creationId xmlns:a16="http://schemas.microsoft.com/office/drawing/2014/main" id="{BBD31DF3-FCCC-4B36-38A8-B6803C95AE9E}"/>
                </a:ext>
              </a:extLst>
            </xdr:cNvPr>
            <xdr:cNvSpPr/>
          </xdr:nvSpPr>
          <xdr:spPr>
            <a:xfrm>
              <a:off x="247556" y="1867870"/>
              <a:ext cx="1492289" cy="1348103"/>
            </a:xfrm>
            <a:prstGeom prst="roundRect">
              <a:avLst>
                <a:gd name="adj" fmla="val 862"/>
              </a:avLst>
            </a:prstGeom>
            <a:noFill/>
            <a:ln w="6350">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ctangle: Top Corners Rounded 49">
              <a:extLst>
                <a:ext uri="{FF2B5EF4-FFF2-40B4-BE49-F238E27FC236}">
                  <a16:creationId xmlns:a16="http://schemas.microsoft.com/office/drawing/2014/main" id="{548D5D7F-0972-B269-85AE-1ACA2123339C}"/>
                </a:ext>
              </a:extLst>
            </xdr:cNvPr>
            <xdr:cNvSpPr/>
          </xdr:nvSpPr>
          <xdr:spPr>
            <a:xfrm>
              <a:off x="243818" y="1863753"/>
              <a:ext cx="1493597" cy="49860"/>
            </a:xfrm>
            <a:prstGeom prst="round2SameRect">
              <a:avLst/>
            </a:prstGeom>
            <a:solidFill>
              <a:srgbClr val="1E29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Data!R58">
        <xdr:nvSpPr>
          <xdr:cNvPr id="51" name="TextBox 50">
            <a:extLst>
              <a:ext uri="{FF2B5EF4-FFF2-40B4-BE49-F238E27FC236}">
                <a16:creationId xmlns:a16="http://schemas.microsoft.com/office/drawing/2014/main" id="{30A8DE06-07B4-4118-AE96-5917E6C2E59F}"/>
              </a:ext>
            </a:extLst>
          </xdr:cNvPr>
          <xdr:cNvSpPr txBox="1"/>
        </xdr:nvSpPr>
        <xdr:spPr>
          <a:xfrm>
            <a:off x="3743522" y="7605101"/>
            <a:ext cx="1584627" cy="488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AF53B50C-5A0B-4D6D-8A7D-6F1E8B486385}" type="TxLink">
              <a:rPr lang="en-US" sz="2400" b="1" i="0" u="none" strike="noStrike">
                <a:solidFill>
                  <a:srgbClr val="1E293B"/>
                </a:solidFill>
                <a:latin typeface="SF Pro Text"/>
                <a:ea typeface="+mn-ea"/>
                <a:cs typeface="+mn-cs"/>
              </a:rPr>
              <a:pPr marL="0" indent="0" algn="l"/>
              <a:t>+5,758</a:t>
            </a:fld>
            <a:endParaRPr lang="en-US" sz="2400" b="1" i="0" u="none" strike="noStrike">
              <a:solidFill>
                <a:srgbClr val="1E293B"/>
              </a:solidFill>
              <a:latin typeface="SF Pro Text"/>
              <a:ea typeface="+mn-ea"/>
              <a:cs typeface="+mn-cs"/>
            </a:endParaRPr>
          </a:p>
        </xdr:txBody>
      </xdr:sp>
      <xdr:sp macro="" textlink="Data!R49">
        <xdr:nvSpPr>
          <xdr:cNvPr id="52" name="TextBox 51">
            <a:extLst>
              <a:ext uri="{FF2B5EF4-FFF2-40B4-BE49-F238E27FC236}">
                <a16:creationId xmlns:a16="http://schemas.microsoft.com/office/drawing/2014/main" id="{65977A45-300F-4FE2-8A14-DFB20E45057E}"/>
              </a:ext>
            </a:extLst>
          </xdr:cNvPr>
          <xdr:cNvSpPr txBox="1"/>
        </xdr:nvSpPr>
        <xdr:spPr>
          <a:xfrm>
            <a:off x="3755769" y="7258366"/>
            <a:ext cx="1579184" cy="312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F955FC7C-4F92-473F-A8F3-1F37C83F1A65}" type="TxLink">
              <a:rPr lang="en-US" sz="1100" b="1">
                <a:solidFill>
                  <a:srgbClr val="1E293B"/>
                </a:solidFill>
                <a:latin typeface="+mn-lt"/>
                <a:ea typeface="+mn-ea"/>
                <a:cs typeface="+mn-cs"/>
              </a:rPr>
              <a:pPr marL="0" indent="0" algn="l"/>
              <a:t>EBITDA</a:t>
            </a:fld>
            <a:endParaRPr lang="en-US" sz="1100" b="1">
              <a:solidFill>
                <a:srgbClr val="1E293B"/>
              </a:solidFill>
              <a:latin typeface="+mn-lt"/>
              <a:ea typeface="+mn-ea"/>
              <a:cs typeface="+mn-cs"/>
            </a:endParaRPr>
          </a:p>
        </xdr:txBody>
      </xdr:sp>
    </xdr:grpSp>
    <xdr:clientData/>
  </xdr:twoCellAnchor>
  <xdr:twoCellAnchor>
    <xdr:from>
      <xdr:col>1</xdr:col>
      <xdr:colOff>146956</xdr:colOff>
      <xdr:row>42</xdr:row>
      <xdr:rowOff>0</xdr:rowOff>
    </xdr:from>
    <xdr:to>
      <xdr:col>3</xdr:col>
      <xdr:colOff>506052</xdr:colOff>
      <xdr:row>48</xdr:row>
      <xdr:rowOff>133956</xdr:rowOff>
    </xdr:to>
    <xdr:grpSp>
      <xdr:nvGrpSpPr>
        <xdr:cNvPr id="53" name="Group 52">
          <a:extLst>
            <a:ext uri="{FF2B5EF4-FFF2-40B4-BE49-F238E27FC236}">
              <a16:creationId xmlns:a16="http://schemas.microsoft.com/office/drawing/2014/main" id="{68B98084-C7BA-4588-BCCC-6217A6C3BFC1}"/>
            </a:ext>
          </a:extLst>
        </xdr:cNvPr>
        <xdr:cNvGrpSpPr/>
      </xdr:nvGrpSpPr>
      <xdr:grpSpPr>
        <a:xfrm>
          <a:off x="455385" y="9797143"/>
          <a:ext cx="1919381" cy="1331384"/>
          <a:chOff x="243818" y="1863753"/>
          <a:chExt cx="1496027" cy="1352220"/>
        </a:xfrm>
      </xdr:grpSpPr>
      <xdr:sp macro="" textlink="">
        <xdr:nvSpPr>
          <xdr:cNvPr id="54" name="Rectangle: Rounded Corners 53">
            <a:extLst>
              <a:ext uri="{FF2B5EF4-FFF2-40B4-BE49-F238E27FC236}">
                <a16:creationId xmlns:a16="http://schemas.microsoft.com/office/drawing/2014/main" id="{CF80D736-11DA-2815-490F-2F06B796ECF8}"/>
              </a:ext>
            </a:extLst>
          </xdr:cNvPr>
          <xdr:cNvSpPr/>
        </xdr:nvSpPr>
        <xdr:spPr>
          <a:xfrm>
            <a:off x="247556" y="1867870"/>
            <a:ext cx="1492289" cy="1348103"/>
          </a:xfrm>
          <a:prstGeom prst="roundRect">
            <a:avLst>
              <a:gd name="adj" fmla="val 862"/>
            </a:avLst>
          </a:prstGeom>
          <a:noFill/>
          <a:ln w="6350">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Rectangle: Top Corners Rounded 54">
            <a:extLst>
              <a:ext uri="{FF2B5EF4-FFF2-40B4-BE49-F238E27FC236}">
                <a16:creationId xmlns:a16="http://schemas.microsoft.com/office/drawing/2014/main" id="{D7B31F6E-B709-46F8-015B-02E76537DB40}"/>
              </a:ext>
            </a:extLst>
          </xdr:cNvPr>
          <xdr:cNvSpPr/>
        </xdr:nvSpPr>
        <xdr:spPr>
          <a:xfrm>
            <a:off x="243818" y="1863753"/>
            <a:ext cx="1493597" cy="49860"/>
          </a:xfrm>
          <a:prstGeom prst="round2SameRect">
            <a:avLst/>
          </a:prstGeom>
          <a:solidFill>
            <a:srgbClr val="1E29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155317</xdr:colOff>
      <xdr:row>44</xdr:row>
      <xdr:rowOff>98039</xdr:rowOff>
    </xdr:from>
    <xdr:to>
      <xdr:col>3</xdr:col>
      <xdr:colOff>496252</xdr:colOff>
      <xdr:row>47</xdr:row>
      <xdr:rowOff>7206</xdr:rowOff>
    </xdr:to>
    <xdr:sp macro="" textlink="Data!P59">
      <xdr:nvSpPr>
        <xdr:cNvPr id="56" name="TextBox 55">
          <a:extLst>
            <a:ext uri="{FF2B5EF4-FFF2-40B4-BE49-F238E27FC236}">
              <a16:creationId xmlns:a16="http://schemas.microsoft.com/office/drawing/2014/main" id="{5D60BF8C-56F6-42E5-B37A-8D1956FB8ADD}"/>
            </a:ext>
          </a:extLst>
        </xdr:cNvPr>
        <xdr:cNvSpPr txBox="1"/>
      </xdr:nvSpPr>
      <xdr:spPr>
        <a:xfrm>
          <a:off x="399157" y="9767819"/>
          <a:ext cx="1560135" cy="457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D4E23170-E97A-4C14-924D-011F3A2C4693}" type="TxLink">
            <a:rPr lang="en-US" sz="2400" b="1" i="0" u="none" strike="noStrike">
              <a:solidFill>
                <a:srgbClr val="1E293B"/>
              </a:solidFill>
              <a:latin typeface="SF Pro Text"/>
              <a:ea typeface="+mn-ea"/>
              <a:cs typeface="+mn-cs"/>
            </a:rPr>
            <a:pPr marL="0" indent="0" algn="l"/>
            <a:t>+86,767</a:t>
          </a:fld>
          <a:endParaRPr lang="en-US" sz="2400" b="1" i="0" u="none" strike="noStrike">
            <a:solidFill>
              <a:srgbClr val="1E293B"/>
            </a:solidFill>
            <a:latin typeface="SF Pro Text"/>
            <a:ea typeface="+mn-ea"/>
            <a:cs typeface="+mn-cs"/>
          </a:endParaRPr>
        </a:p>
      </xdr:txBody>
    </xdr:sp>
    <xdr:clientData/>
  </xdr:twoCellAnchor>
  <xdr:twoCellAnchor>
    <xdr:from>
      <xdr:col>1</xdr:col>
      <xdr:colOff>162121</xdr:colOff>
      <xdr:row>42</xdr:row>
      <xdr:rowOff>140468</xdr:rowOff>
    </xdr:from>
    <xdr:to>
      <xdr:col>3</xdr:col>
      <xdr:colOff>503056</xdr:colOff>
      <xdr:row>44</xdr:row>
      <xdr:rowOff>71816</xdr:rowOff>
    </xdr:to>
    <xdr:sp macro="" textlink="">
      <xdr:nvSpPr>
        <xdr:cNvPr id="57" name="TextBox 56">
          <a:extLst>
            <a:ext uri="{FF2B5EF4-FFF2-40B4-BE49-F238E27FC236}">
              <a16:creationId xmlns:a16="http://schemas.microsoft.com/office/drawing/2014/main" id="{0C3B60DE-4E5D-4CD3-9D90-92D91786864A}"/>
            </a:ext>
          </a:extLst>
        </xdr:cNvPr>
        <xdr:cNvSpPr txBox="1"/>
      </xdr:nvSpPr>
      <xdr:spPr>
        <a:xfrm>
          <a:off x="405961" y="9444488"/>
          <a:ext cx="1560135" cy="2971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solidFill>
                <a:srgbClr val="1E293B"/>
              </a:solidFill>
            </a:rPr>
            <a:t>REVENUE</a:t>
          </a:r>
        </a:p>
      </xdr:txBody>
    </xdr:sp>
    <xdr:clientData/>
  </xdr:twoCellAnchor>
  <xdr:twoCellAnchor>
    <xdr:from>
      <xdr:col>3</xdr:col>
      <xdr:colOff>571500</xdr:colOff>
      <xdr:row>42</xdr:row>
      <xdr:rowOff>0</xdr:rowOff>
    </xdr:from>
    <xdr:to>
      <xdr:col>6</xdr:col>
      <xdr:colOff>340046</xdr:colOff>
      <xdr:row>48</xdr:row>
      <xdr:rowOff>133956</xdr:rowOff>
    </xdr:to>
    <xdr:grpSp>
      <xdr:nvGrpSpPr>
        <xdr:cNvPr id="58" name="Group 57">
          <a:extLst>
            <a:ext uri="{FF2B5EF4-FFF2-40B4-BE49-F238E27FC236}">
              <a16:creationId xmlns:a16="http://schemas.microsoft.com/office/drawing/2014/main" id="{F00A2A00-9C9D-4441-A259-E0511A9B6560}"/>
            </a:ext>
          </a:extLst>
        </xdr:cNvPr>
        <xdr:cNvGrpSpPr/>
      </xdr:nvGrpSpPr>
      <xdr:grpSpPr>
        <a:xfrm>
          <a:off x="2440214" y="9797143"/>
          <a:ext cx="2217832" cy="1331384"/>
          <a:chOff x="243818" y="1863753"/>
          <a:chExt cx="1496027" cy="1352220"/>
        </a:xfrm>
      </xdr:grpSpPr>
      <xdr:sp macro="" textlink="">
        <xdr:nvSpPr>
          <xdr:cNvPr id="59" name="Rectangle: Rounded Corners 58">
            <a:extLst>
              <a:ext uri="{FF2B5EF4-FFF2-40B4-BE49-F238E27FC236}">
                <a16:creationId xmlns:a16="http://schemas.microsoft.com/office/drawing/2014/main" id="{1B03372B-875B-1F7B-3E10-A6797A169E4C}"/>
              </a:ext>
            </a:extLst>
          </xdr:cNvPr>
          <xdr:cNvSpPr/>
        </xdr:nvSpPr>
        <xdr:spPr>
          <a:xfrm>
            <a:off x="247556" y="1867870"/>
            <a:ext cx="1492289" cy="1348103"/>
          </a:xfrm>
          <a:prstGeom prst="roundRect">
            <a:avLst>
              <a:gd name="adj" fmla="val 862"/>
            </a:avLst>
          </a:prstGeom>
          <a:noFill/>
          <a:ln w="6350">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ctangle: Top Corners Rounded 59">
            <a:extLst>
              <a:ext uri="{FF2B5EF4-FFF2-40B4-BE49-F238E27FC236}">
                <a16:creationId xmlns:a16="http://schemas.microsoft.com/office/drawing/2014/main" id="{A2FBB9D5-5A89-64EA-E200-1ADF20FDD009}"/>
              </a:ext>
            </a:extLst>
          </xdr:cNvPr>
          <xdr:cNvSpPr/>
        </xdr:nvSpPr>
        <xdr:spPr>
          <a:xfrm>
            <a:off x="243818" y="1863753"/>
            <a:ext cx="1493597" cy="49860"/>
          </a:xfrm>
          <a:prstGeom prst="round2SameRect">
            <a:avLst/>
          </a:prstGeom>
          <a:solidFill>
            <a:srgbClr val="1E29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23328</xdr:colOff>
      <xdr:row>44</xdr:row>
      <xdr:rowOff>84432</xdr:rowOff>
    </xdr:from>
    <xdr:to>
      <xdr:col>6</xdr:col>
      <xdr:colOff>232681</xdr:colOff>
      <xdr:row>46</xdr:row>
      <xdr:rowOff>184099</xdr:rowOff>
    </xdr:to>
    <xdr:sp macro="" textlink="Data!Q59">
      <xdr:nvSpPr>
        <xdr:cNvPr id="61" name="TextBox 60">
          <a:extLst>
            <a:ext uri="{FF2B5EF4-FFF2-40B4-BE49-F238E27FC236}">
              <a16:creationId xmlns:a16="http://schemas.microsoft.com/office/drawing/2014/main" id="{5CF6CE3A-A95D-497D-AC6A-96FE2FF0EB24}"/>
            </a:ext>
          </a:extLst>
        </xdr:cNvPr>
        <xdr:cNvSpPr txBox="1"/>
      </xdr:nvSpPr>
      <xdr:spPr>
        <a:xfrm>
          <a:off x="2095968" y="9754212"/>
          <a:ext cx="1428553" cy="465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72CC4487-2C22-40EA-B840-7A5DE35D2623}" type="TxLink">
            <a:rPr lang="en-US" sz="2400" b="1" i="0" u="none" strike="noStrike">
              <a:solidFill>
                <a:srgbClr val="1E293B"/>
              </a:solidFill>
              <a:latin typeface="SF Pro Text"/>
              <a:ea typeface="+mn-ea"/>
              <a:cs typeface="+mn-cs"/>
            </a:rPr>
            <a:pPr marL="0" indent="0" algn="l"/>
            <a:t>+100,925</a:t>
          </a:fld>
          <a:endParaRPr lang="en-US" sz="2400" b="1" i="0" u="none" strike="noStrike">
            <a:solidFill>
              <a:srgbClr val="1E293B"/>
            </a:solidFill>
            <a:latin typeface="SF Pro Text"/>
            <a:ea typeface="+mn-ea"/>
            <a:cs typeface="+mn-cs"/>
          </a:endParaRPr>
        </a:p>
      </xdr:txBody>
    </xdr:sp>
    <xdr:clientData/>
  </xdr:twoCellAnchor>
  <xdr:twoCellAnchor>
    <xdr:from>
      <xdr:col>4</xdr:col>
      <xdr:colOff>30133</xdr:colOff>
      <xdr:row>42</xdr:row>
      <xdr:rowOff>180975</xdr:rowOff>
    </xdr:from>
    <xdr:to>
      <xdr:col>6</xdr:col>
      <xdr:colOff>219075</xdr:colOff>
      <xdr:row>44</xdr:row>
      <xdr:rowOff>54127</xdr:rowOff>
    </xdr:to>
    <xdr:sp macro="" textlink="Data!Q49">
      <xdr:nvSpPr>
        <xdr:cNvPr id="62" name="TextBox 61">
          <a:extLst>
            <a:ext uri="{FF2B5EF4-FFF2-40B4-BE49-F238E27FC236}">
              <a16:creationId xmlns:a16="http://schemas.microsoft.com/office/drawing/2014/main" id="{8D015047-4856-454E-8E95-68069249E65A}"/>
            </a:ext>
          </a:extLst>
        </xdr:cNvPr>
        <xdr:cNvSpPr txBox="1"/>
      </xdr:nvSpPr>
      <xdr:spPr>
        <a:xfrm>
          <a:off x="2102773" y="9484995"/>
          <a:ext cx="1408142" cy="238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0187DC2D-51EF-4210-9727-B62635ECCE2F}" type="TxLink">
            <a:rPr lang="en-US" sz="1100" b="1">
              <a:solidFill>
                <a:srgbClr val="1E293B"/>
              </a:solidFill>
              <a:latin typeface="+mn-lt"/>
              <a:ea typeface="+mn-ea"/>
              <a:cs typeface="+mn-cs"/>
            </a:rPr>
            <a:pPr marL="0" indent="0" algn="l"/>
            <a:t>Gross Profit</a:t>
          </a:fld>
          <a:endParaRPr lang="en-US" sz="1100" b="1">
            <a:solidFill>
              <a:srgbClr val="1E293B"/>
            </a:solidFill>
            <a:latin typeface="+mn-lt"/>
            <a:ea typeface="+mn-ea"/>
            <a:cs typeface="+mn-cs"/>
          </a:endParaRPr>
        </a:p>
      </xdr:txBody>
    </xdr:sp>
    <xdr:clientData/>
  </xdr:twoCellAnchor>
  <xdr:twoCellAnchor>
    <xdr:from>
      <xdr:col>6</xdr:col>
      <xdr:colOff>447675</xdr:colOff>
      <xdr:row>42</xdr:row>
      <xdr:rowOff>0</xdr:rowOff>
    </xdr:from>
    <xdr:to>
      <xdr:col>9</xdr:col>
      <xdr:colOff>221663</xdr:colOff>
      <xdr:row>48</xdr:row>
      <xdr:rowOff>133956</xdr:rowOff>
    </xdr:to>
    <xdr:grpSp>
      <xdr:nvGrpSpPr>
        <xdr:cNvPr id="63" name="Group 62">
          <a:extLst>
            <a:ext uri="{FF2B5EF4-FFF2-40B4-BE49-F238E27FC236}">
              <a16:creationId xmlns:a16="http://schemas.microsoft.com/office/drawing/2014/main" id="{34033FC1-15A9-4701-AEF7-74592420B30B}"/>
            </a:ext>
          </a:extLst>
        </xdr:cNvPr>
        <xdr:cNvGrpSpPr/>
      </xdr:nvGrpSpPr>
      <xdr:grpSpPr>
        <a:xfrm>
          <a:off x="4765675" y="9797143"/>
          <a:ext cx="2114417" cy="1331384"/>
          <a:chOff x="243818" y="1863753"/>
          <a:chExt cx="1496027" cy="1352220"/>
        </a:xfrm>
      </xdr:grpSpPr>
      <xdr:sp macro="" textlink="">
        <xdr:nvSpPr>
          <xdr:cNvPr id="64" name="Rectangle: Rounded Corners 63">
            <a:extLst>
              <a:ext uri="{FF2B5EF4-FFF2-40B4-BE49-F238E27FC236}">
                <a16:creationId xmlns:a16="http://schemas.microsoft.com/office/drawing/2014/main" id="{C4713F67-08C4-12E3-4D32-DC948484A248}"/>
              </a:ext>
            </a:extLst>
          </xdr:cNvPr>
          <xdr:cNvSpPr/>
        </xdr:nvSpPr>
        <xdr:spPr>
          <a:xfrm>
            <a:off x="247556" y="1867870"/>
            <a:ext cx="1492289" cy="1348103"/>
          </a:xfrm>
          <a:prstGeom prst="roundRect">
            <a:avLst>
              <a:gd name="adj" fmla="val 862"/>
            </a:avLst>
          </a:prstGeom>
          <a:noFill/>
          <a:ln w="6350">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Rectangle: Top Corners Rounded 64">
            <a:extLst>
              <a:ext uri="{FF2B5EF4-FFF2-40B4-BE49-F238E27FC236}">
                <a16:creationId xmlns:a16="http://schemas.microsoft.com/office/drawing/2014/main" id="{2F9CE50E-47FA-CCA4-E7E1-631B9991E76E}"/>
              </a:ext>
            </a:extLst>
          </xdr:cNvPr>
          <xdr:cNvSpPr/>
        </xdr:nvSpPr>
        <xdr:spPr>
          <a:xfrm>
            <a:off x="243818" y="1863753"/>
            <a:ext cx="1493597" cy="49860"/>
          </a:xfrm>
          <a:prstGeom prst="round2SameRect">
            <a:avLst/>
          </a:prstGeom>
          <a:solidFill>
            <a:srgbClr val="1E29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6</xdr:col>
      <xdr:colOff>456036</xdr:colOff>
      <xdr:row>44</xdr:row>
      <xdr:rowOff>84432</xdr:rowOff>
    </xdr:from>
    <xdr:to>
      <xdr:col>9</xdr:col>
      <xdr:colOff>211863</xdr:colOff>
      <xdr:row>46</xdr:row>
      <xdr:rowOff>184099</xdr:rowOff>
    </xdr:to>
    <xdr:sp macro="" textlink="Data!R59">
      <xdr:nvSpPr>
        <xdr:cNvPr id="66" name="TextBox 65">
          <a:extLst>
            <a:ext uri="{FF2B5EF4-FFF2-40B4-BE49-F238E27FC236}">
              <a16:creationId xmlns:a16="http://schemas.microsoft.com/office/drawing/2014/main" id="{F6801538-928A-46DA-B15F-851C661C0663}"/>
            </a:ext>
          </a:extLst>
        </xdr:cNvPr>
        <xdr:cNvSpPr txBox="1"/>
      </xdr:nvSpPr>
      <xdr:spPr>
        <a:xfrm>
          <a:off x="3747876" y="9754212"/>
          <a:ext cx="1584627" cy="465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B73DAA99-11EE-4BEC-8BCE-BB15510B99E6}" type="TxLink">
            <a:rPr lang="en-US" sz="2400" b="1" i="0" u="none" strike="noStrike">
              <a:solidFill>
                <a:srgbClr val="1E293B"/>
              </a:solidFill>
              <a:latin typeface="SF Pro Text"/>
              <a:ea typeface="+mn-ea"/>
              <a:cs typeface="+mn-cs"/>
            </a:rPr>
            <a:pPr marL="0" indent="0" algn="l"/>
            <a:t>+56,858</a:t>
          </a:fld>
          <a:endParaRPr lang="en-US" sz="2400" b="1" i="0" u="none" strike="noStrike">
            <a:solidFill>
              <a:srgbClr val="1E293B"/>
            </a:solidFill>
            <a:latin typeface="SF Pro Text"/>
            <a:ea typeface="+mn-ea"/>
            <a:cs typeface="+mn-cs"/>
          </a:endParaRPr>
        </a:p>
      </xdr:txBody>
    </xdr:sp>
    <xdr:clientData/>
  </xdr:twoCellAnchor>
  <xdr:twoCellAnchor>
    <xdr:from>
      <xdr:col>6</xdr:col>
      <xdr:colOff>468283</xdr:colOff>
      <xdr:row>42</xdr:row>
      <xdr:rowOff>126861</xdr:rowOff>
    </xdr:from>
    <xdr:to>
      <xdr:col>9</xdr:col>
      <xdr:colOff>218667</xdr:colOff>
      <xdr:row>44</xdr:row>
      <xdr:rowOff>54127</xdr:rowOff>
    </xdr:to>
    <xdr:sp macro="" textlink="Data!R49">
      <xdr:nvSpPr>
        <xdr:cNvPr id="67" name="TextBox 66">
          <a:extLst>
            <a:ext uri="{FF2B5EF4-FFF2-40B4-BE49-F238E27FC236}">
              <a16:creationId xmlns:a16="http://schemas.microsoft.com/office/drawing/2014/main" id="{AC08342A-388E-4AE6-BB86-CDF859CC12FF}"/>
            </a:ext>
          </a:extLst>
        </xdr:cNvPr>
        <xdr:cNvSpPr txBox="1"/>
      </xdr:nvSpPr>
      <xdr:spPr>
        <a:xfrm>
          <a:off x="3760123" y="9430881"/>
          <a:ext cx="1579184" cy="293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F955FC7C-4F92-473F-A8F3-1F37C83F1A65}" type="TxLink">
            <a:rPr lang="en-US" sz="1100" b="1">
              <a:solidFill>
                <a:srgbClr val="1E293B"/>
              </a:solidFill>
              <a:latin typeface="+mn-lt"/>
              <a:ea typeface="+mn-ea"/>
              <a:cs typeface="+mn-cs"/>
            </a:rPr>
            <a:pPr marL="0" indent="0" algn="l"/>
            <a:t>EBITDA</a:t>
          </a:fld>
          <a:endParaRPr lang="en-US" sz="1100" b="1">
            <a:solidFill>
              <a:srgbClr val="1E293B"/>
            </a:solidFill>
            <a:latin typeface="+mn-lt"/>
            <a:ea typeface="+mn-ea"/>
            <a:cs typeface="+mn-cs"/>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cdr:x>
      <cdr:y>0.48492</cdr:y>
    </cdr:from>
    <cdr:to>
      <cdr:x>1</cdr:x>
      <cdr:y>0.74533</cdr:y>
    </cdr:to>
    <cdr:sp macro="" textlink="Data!$P$40">
      <cdr:nvSpPr>
        <cdr:cNvPr id="2" name="TextBox 1">
          <a:extLst xmlns:a="http://schemas.openxmlformats.org/drawingml/2006/main">
            <a:ext uri="{FF2B5EF4-FFF2-40B4-BE49-F238E27FC236}">
              <a16:creationId xmlns:a16="http://schemas.microsoft.com/office/drawing/2014/main" id="{108E6960-2357-7DE1-0748-F5253666C7D0}"/>
            </a:ext>
          </a:extLst>
        </cdr:cNvPr>
        <cdr:cNvSpPr txBox="1"/>
      </cdr:nvSpPr>
      <cdr:spPr>
        <a:xfrm xmlns:a="http://schemas.openxmlformats.org/drawingml/2006/main">
          <a:off x="0" y="796573"/>
          <a:ext cx="1375531" cy="42777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8E50AEA-F3F1-4254-B1BF-52218F795E7D}" type="TxLink">
            <a:rPr lang="en-US" sz="1200" b="0" i="1" u="none" strike="noStrike">
              <a:solidFill>
                <a:srgbClr val="718597"/>
              </a:solidFill>
              <a:latin typeface="SF Pro Text"/>
            </a:rPr>
            <a:pPr algn="ctr"/>
            <a:t>1% miss</a:t>
          </a:fld>
          <a:endParaRPr lang="en-US" sz="1200" b="0" i="1">
            <a:solidFill>
              <a:srgbClr val="718597"/>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cdr:x>
      <cdr:y>0.46826</cdr:y>
    </cdr:from>
    <cdr:to>
      <cdr:x>1</cdr:x>
      <cdr:y>0.75362</cdr:y>
    </cdr:to>
    <cdr:sp macro="" textlink="Data!$Q$40">
      <cdr:nvSpPr>
        <cdr:cNvPr id="2" name="TextBox 1">
          <a:extLst xmlns:a="http://schemas.openxmlformats.org/drawingml/2006/main">
            <a:ext uri="{FF2B5EF4-FFF2-40B4-BE49-F238E27FC236}">
              <a16:creationId xmlns:a16="http://schemas.microsoft.com/office/drawing/2014/main" id="{108E6960-2357-7DE1-0748-F5253666C7D0}"/>
            </a:ext>
          </a:extLst>
        </cdr:cNvPr>
        <cdr:cNvSpPr txBox="1"/>
      </cdr:nvSpPr>
      <cdr:spPr>
        <a:xfrm xmlns:a="http://schemas.openxmlformats.org/drawingml/2006/main">
          <a:off x="0" y="791634"/>
          <a:ext cx="1448646" cy="48242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indent="0" algn="ctr"/>
          <a:fld id="{46867945-0BD3-4DA7-9BDE-EE6C2D4964BA}" type="TxLink">
            <a:rPr lang="en-US" sz="1200" b="0" i="1" u="none" strike="noStrike">
              <a:solidFill>
                <a:srgbClr val="718597"/>
              </a:solidFill>
              <a:latin typeface="SF Pro Text"/>
              <a:ea typeface="+mn-ea"/>
              <a:cs typeface="+mn-cs"/>
            </a:rPr>
            <a:pPr marL="0" indent="0" algn="ctr"/>
            <a:t>19% miss</a:t>
          </a:fld>
          <a:endParaRPr lang="en-US" sz="1200" b="0" i="1" u="none" strike="noStrike">
            <a:solidFill>
              <a:srgbClr val="718597"/>
            </a:solidFill>
            <a:latin typeface="SF Pro Text"/>
            <a:ea typeface="+mn-ea"/>
            <a:cs typeface="+mn-cs"/>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0.51157</cdr:y>
    </cdr:from>
    <cdr:to>
      <cdr:x>1</cdr:x>
      <cdr:y>0.66981</cdr:y>
    </cdr:to>
    <cdr:sp macro="" textlink="Data!$P$47">
      <cdr:nvSpPr>
        <cdr:cNvPr id="3" name="TextBox 1">
          <a:extLst xmlns:a="http://schemas.openxmlformats.org/drawingml/2006/main">
            <a:ext uri="{FF2B5EF4-FFF2-40B4-BE49-F238E27FC236}">
              <a16:creationId xmlns:a16="http://schemas.microsoft.com/office/drawing/2014/main" id="{8890A369-D5CA-A15E-FA92-32CFD3063F9E}"/>
            </a:ext>
          </a:extLst>
        </cdr:cNvPr>
        <cdr:cNvSpPr txBox="1"/>
      </cdr:nvSpPr>
      <cdr:spPr>
        <a:xfrm xmlns:a="http://schemas.openxmlformats.org/drawingml/2006/main">
          <a:off x="0" y="852723"/>
          <a:ext cx="1390650" cy="26376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fld id="{EC43EA8C-1642-4E56-AE09-E1F23CA4DD51}" type="TxLink">
            <a:rPr lang="en-US" sz="1200" b="0" i="1" u="none" strike="noStrike">
              <a:solidFill>
                <a:srgbClr val="718597"/>
              </a:solidFill>
              <a:latin typeface="SF Pro Text"/>
              <a:ea typeface="+mn-ea"/>
              <a:cs typeface="+mn-cs"/>
            </a:rPr>
            <a:pPr marL="0" indent="0" algn="ctr"/>
            <a:t>7% hit</a:t>
          </a:fld>
          <a:endParaRPr lang="en-US" sz="1200" b="0" i="1" u="none" strike="noStrike">
            <a:solidFill>
              <a:srgbClr val="718597"/>
            </a:solidFill>
            <a:latin typeface="SF Pro Text"/>
            <a:ea typeface="+mn-ea"/>
            <a:cs typeface="+mn-cs"/>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cdr:x>
      <cdr:y>0.51157</cdr:y>
    </cdr:from>
    <cdr:to>
      <cdr:x>1</cdr:x>
      <cdr:y>0.66981</cdr:y>
    </cdr:to>
    <cdr:sp macro="" textlink="Data!$Q$47">
      <cdr:nvSpPr>
        <cdr:cNvPr id="4" name="TextBox 1">
          <a:extLst xmlns:a="http://schemas.openxmlformats.org/drawingml/2006/main">
            <a:ext uri="{FF2B5EF4-FFF2-40B4-BE49-F238E27FC236}">
              <a16:creationId xmlns:a16="http://schemas.microsoft.com/office/drawing/2014/main" id="{8890A369-D5CA-A15E-FA92-32CFD3063F9E}"/>
            </a:ext>
          </a:extLst>
        </cdr:cNvPr>
        <cdr:cNvSpPr txBox="1"/>
      </cdr:nvSpPr>
      <cdr:spPr>
        <a:xfrm xmlns:a="http://schemas.openxmlformats.org/drawingml/2006/main">
          <a:off x="0" y="852723"/>
          <a:ext cx="1390650" cy="26376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fld id="{54860CEF-8C5C-40C8-8633-F33D7312DD8F}" type="TxLink">
            <a:rPr lang="en-US" sz="1200" b="0" i="1" u="none" strike="noStrike">
              <a:solidFill>
                <a:srgbClr val="718597"/>
              </a:solidFill>
              <a:latin typeface="SF Pro Text"/>
              <a:ea typeface="+mn-ea"/>
              <a:cs typeface="+mn-cs"/>
            </a:rPr>
            <a:pPr marL="0" indent="0" algn="ctr"/>
            <a:t>6% hit</a:t>
          </a:fld>
          <a:endParaRPr lang="en-US" sz="1200" b="0" i="1" u="none" strike="noStrike">
            <a:solidFill>
              <a:srgbClr val="718597"/>
            </a:solidFill>
            <a:latin typeface="SF Pro Text"/>
            <a:ea typeface="+mn-ea"/>
            <a:cs typeface="+mn-cs"/>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cdr:x>
      <cdr:y>0.51157</cdr:y>
    </cdr:from>
    <cdr:to>
      <cdr:x>1</cdr:x>
      <cdr:y>0.66981</cdr:y>
    </cdr:to>
    <cdr:sp macro="" textlink="Data!$P$54">
      <cdr:nvSpPr>
        <cdr:cNvPr id="3" name="TextBox 1">
          <a:extLst xmlns:a="http://schemas.openxmlformats.org/drawingml/2006/main">
            <a:ext uri="{FF2B5EF4-FFF2-40B4-BE49-F238E27FC236}">
              <a16:creationId xmlns:a16="http://schemas.microsoft.com/office/drawing/2014/main" id="{8890A369-D5CA-A15E-FA92-32CFD3063F9E}"/>
            </a:ext>
          </a:extLst>
        </cdr:cNvPr>
        <cdr:cNvSpPr txBox="1"/>
      </cdr:nvSpPr>
      <cdr:spPr>
        <a:xfrm xmlns:a="http://schemas.openxmlformats.org/drawingml/2006/main">
          <a:off x="0" y="852723"/>
          <a:ext cx="1390650" cy="26376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fld id="{89B0BBA9-25F8-412B-8A6F-112BD38928DC}" type="TxLink">
            <a:rPr lang="en-US" sz="1200" b="0" i="1" u="none" strike="noStrike">
              <a:solidFill>
                <a:srgbClr val="718597"/>
              </a:solidFill>
              <a:latin typeface="SF Pro Text"/>
              <a:ea typeface="+mn-ea"/>
              <a:cs typeface="+mn-cs"/>
            </a:rPr>
            <a:pPr marL="0" indent="0" algn="ctr"/>
            <a:t>12% hit</a:t>
          </a:fld>
          <a:endParaRPr lang="en-US" sz="1200" b="0" i="1" u="none" strike="noStrike">
            <a:solidFill>
              <a:srgbClr val="718597"/>
            </a:solidFill>
            <a:latin typeface="SF Pro Text"/>
            <a:ea typeface="+mn-ea"/>
            <a:cs typeface="+mn-cs"/>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0.51157</cdr:y>
    </cdr:from>
    <cdr:to>
      <cdr:x>1</cdr:x>
      <cdr:y>0.66981</cdr:y>
    </cdr:to>
    <cdr:sp macro="" textlink="Data!$Q$54">
      <cdr:nvSpPr>
        <cdr:cNvPr id="3" name="TextBox 1">
          <a:extLst xmlns:a="http://schemas.openxmlformats.org/drawingml/2006/main">
            <a:ext uri="{FF2B5EF4-FFF2-40B4-BE49-F238E27FC236}">
              <a16:creationId xmlns:a16="http://schemas.microsoft.com/office/drawing/2014/main" id="{8890A369-D5CA-A15E-FA92-32CFD3063F9E}"/>
            </a:ext>
          </a:extLst>
        </cdr:cNvPr>
        <cdr:cNvSpPr txBox="1"/>
      </cdr:nvSpPr>
      <cdr:spPr>
        <a:xfrm xmlns:a="http://schemas.openxmlformats.org/drawingml/2006/main">
          <a:off x="0" y="852723"/>
          <a:ext cx="1390650" cy="26376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fld id="{C6DFB5C8-0E66-4BD4-B7F2-6D95E8B10ECA}" type="TxLink">
            <a:rPr lang="en-US" sz="1100" b="0" i="0" u="none" strike="noStrike">
              <a:solidFill>
                <a:srgbClr val="1E293B"/>
              </a:solidFill>
              <a:latin typeface="SF Pro Text"/>
              <a:ea typeface="+mn-ea"/>
              <a:cs typeface="+mn-cs"/>
            </a:rPr>
            <a:pPr marL="0" indent="0" algn="ctr"/>
            <a:t>18% hit</a:t>
          </a:fld>
          <a:endParaRPr lang="en-US" sz="1200" b="0" i="1" u="none" strike="noStrike">
            <a:solidFill>
              <a:srgbClr val="718597"/>
            </a:solidFill>
            <a:latin typeface="SF Pro Text"/>
            <a:ea typeface="+mn-ea"/>
            <a:cs typeface="+mn-cs"/>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26</xdr:col>
      <xdr:colOff>1704975</xdr:colOff>
      <xdr:row>41</xdr:row>
      <xdr:rowOff>123825</xdr:rowOff>
    </xdr:from>
    <xdr:to>
      <xdr:col>34</xdr:col>
      <xdr:colOff>257175</xdr:colOff>
      <xdr:row>56</xdr:row>
      <xdr:rowOff>9525</xdr:rowOff>
    </xdr:to>
    <xdr:graphicFrame macro="">
      <xdr:nvGraphicFramePr>
        <xdr:cNvPr id="5" name="Chart 11">
          <a:extLst>
            <a:ext uri="{FF2B5EF4-FFF2-40B4-BE49-F238E27FC236}">
              <a16:creationId xmlns:a16="http://schemas.microsoft.com/office/drawing/2014/main" id="{EBC702DF-560E-CA28-49EE-F9E635BD2E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0.34605</cdr:x>
      <cdr:y>0.51157</cdr:y>
    </cdr:from>
    <cdr:to>
      <cdr:x>0.65537</cdr:x>
      <cdr:y>0.66981</cdr:y>
    </cdr:to>
    <cdr:sp macro="" textlink="Data!$Q$40">
      <cdr:nvSpPr>
        <cdr:cNvPr id="3" name="TextBox 1">
          <a:extLst xmlns:a="http://schemas.openxmlformats.org/drawingml/2006/main">
            <a:ext uri="{FF2B5EF4-FFF2-40B4-BE49-F238E27FC236}">
              <a16:creationId xmlns:a16="http://schemas.microsoft.com/office/drawing/2014/main" id="{8890A369-D5CA-A15E-FA92-32CFD3063F9E}"/>
            </a:ext>
          </a:extLst>
        </cdr:cNvPr>
        <cdr:cNvSpPr txBox="1"/>
      </cdr:nvSpPr>
      <cdr:spPr>
        <a:xfrm xmlns:a="http://schemas.openxmlformats.org/drawingml/2006/main">
          <a:off x="1555750" y="1403350"/>
          <a:ext cx="1390650" cy="43407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6952757-5498-43D6-8A67-3C79BB640828}" type="TxLink">
            <a:rPr lang="en-US" sz="1100" b="0" i="1" u="none" strike="noStrike">
              <a:solidFill>
                <a:srgbClr val="718597"/>
              </a:solidFill>
              <a:latin typeface="SF Pro Text"/>
            </a:rPr>
            <a:pPr algn="ctr"/>
            <a:t>19% miss</a:t>
          </a:fld>
          <a:endParaRPr lang="en-US" sz="1200" b="0" i="1">
            <a:solidFill>
              <a:srgbClr val="718597"/>
            </a:solidFill>
          </a:endParaRPr>
        </a:p>
      </cdr:txBody>
    </cdr:sp>
  </cdr:relSizeAnchor>
</c:userShape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1597224" backgroundQuery="1" createdVersion="8" refreshedVersion="8" minRefreshableVersion="3" recordCount="0" supportSubquery="1" supportAdvancedDrill="1" xr:uid="{03506CE8-84EC-47C7-9CB0-A11A6293D795}">
  <cacheSource type="external" connectionId="12"/>
  <cacheFields count="7">
    <cacheField name="[Departments].[Departments].[Departments]" caption="Departments" numFmtId="0" hierarchy="14" level="1">
      <sharedItems count="4">
        <s v="Customer Support"/>
        <s v="General &amp; Administrative"/>
        <s v="Research &amp; Development"/>
        <s v="Sales &amp; Marketing"/>
      </sharedItems>
      <extLst>
        <ext xmlns:x15="http://schemas.microsoft.com/office/spreadsheetml/2010/11/main" uri="{4F2E5C28-24EA-4eb8-9CBF-B6C8F9C3D259}">
          <x15:cachedUniqueNames>
            <x15:cachedUniqueName index="0" name="[Departments].[Departments].&amp;[Customer Support]"/>
            <x15:cachedUniqueName index="1" name="[Departments].[Departments].&amp;[General &amp; Administrative]"/>
            <x15:cachedUniqueName index="2" name="[Departments].[Departments].&amp;[Research &amp; Development]"/>
            <x15:cachedUniqueName index="3" name="[Departments].[Departments].&amp;[Sales &amp; Marketing]"/>
          </x15:cachedUniqueNames>
        </ext>
      </extLst>
    </cacheField>
    <cacheField name="[Measures].[Actual]" caption="Actual" numFmtId="0" hierarchy="35" level="32767"/>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Budget]" caption="Budget" numFmtId="0" hierarchy="38" level="32767"/>
    <cacheField name="[Measures].[Var to Budget Expense ($)]" caption="Var to Budget Expense ($)" numFmtId="0" hierarchy="66" level="32767"/>
    <cacheField name="[Measures].[Var to Budget Expense (%)]" caption="Var to Budget Expense (%)" numFmtId="0" hierarchy="67" level="32767"/>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2" memberValueDatatype="130" unbalanced="0">
      <fieldsUsage count="2">
        <fieldUsage x="-1"/>
        <fieldUsage x="0"/>
      </fieldsUsage>
    </cacheHierarchy>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3"/>
      </fieldsUsage>
    </cacheHierarchy>
    <cacheHierarchy uniqueName="[Mappings].[Summary Grouping]" caption="Summary Grouping" attribute="1" defaultMemberUniqueName="[Mappings].[Summary Grouping].[All]" allUniqueName="[Mappings].[Summary Grouping].[All]" dimensionUniqueName="[Mappings]" displayFolder="" count="0" memberValueDatatype="130" unbalanced="0"/>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2"/>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1"/>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oneField="1">
      <fieldsUsage count="1">
        <fieldUsage x="4"/>
      </fieldsUsage>
    </cacheHierarchy>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oneField="1">
      <fieldsUsage count="1">
        <fieldUsage x="5"/>
      </fieldsUsage>
    </cacheHierarchy>
    <cacheHierarchy uniqueName="[Measures].[Var to Budget Expense (%)]" caption="Var to Budget Expense (%)" measure="1" displayFolder="" measureGroup="Departmental Profit   Loss" count="0" oneField="1">
      <fieldsUsage count="1">
        <fieldUsage x="6"/>
      </fieldsUsage>
    </cacheHierarchy>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6574073" backgroundQuery="1" createdVersion="8" refreshedVersion="8" minRefreshableVersion="3" recordCount="0" supportSubquery="1" supportAdvancedDrill="1" xr:uid="{AF333619-D671-4C11-B65A-0F01E5708FBB}">
  <cacheSource type="external" connectionId="12"/>
  <cacheFields count="7">
    <cacheField name="[Mappings].[Summary Grouping].[Summary Grouping]" caption="Summary Grouping" numFmtId="0" hierarchy="17" level="1">
      <sharedItems count="3">
        <s v="EBITDA"/>
        <s v="Gross Profit"/>
        <s v="Revenue"/>
      </sharedItems>
      <extLst>
        <ext xmlns:x15="http://schemas.microsoft.com/office/spreadsheetml/2010/11/main" uri="{4F2E5C28-24EA-4eb8-9CBF-B6C8F9C3D259}">
          <x15:cachedUniqueNames>
            <x15:cachedUniqueName index="0" name="[Mappings].[Summary Grouping].&amp;[EBITDA]"/>
            <x15:cachedUniqueName index="1" name="[Mappings].[Summary Grouping].&amp;[Gross Profit]"/>
            <x15:cachedUniqueName index="2" name="[Mappings].[Summary Grouping].&amp;[Revenue]"/>
          </x15:cachedUniqueNames>
        </ext>
      </extLst>
    </cacheField>
    <cacheField name="[Measures].[Actual]" caption="Actual" numFmtId="0" hierarchy="35" level="32767"/>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Prior Year]" caption="Prior Year" numFmtId="0" hierarchy="65" level="32767"/>
    <cacheField name="[Measures].[Var to Prior Year ($)]" caption="Var to Prior Year ($)" numFmtId="0" hierarchy="72" level="32767"/>
    <cacheField name="[Measures].[Var to Prior Year (%)]" caption="Var to Prior Year (%)" numFmtId="0" hierarchy="73" level="32767"/>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3"/>
      </fieldsUsage>
    </cacheHierarchy>
    <cacheHierarchy uniqueName="[Mappings].[Summary Grouping]" caption="Summary Grouping" attribute="1" defaultMemberUniqueName="[Mappings].[Summary Grouping].[All]" allUniqueName="[Mappings].[Summary Grouping].[All]" dimensionUniqueName="[Mappings]" displayFolder="" count="2" memberValueDatatype="130" unbalanced="0">
      <fieldsUsage count="2">
        <fieldUsage x="-1"/>
        <fieldUsage x="0"/>
      </fieldsUsage>
    </cacheHierarchy>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2"/>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1"/>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oneField="1">
      <fieldsUsage count="1">
        <fieldUsage x="4"/>
      </fieldsUsage>
    </cacheHierarchy>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oneField="1">
      <fieldsUsage count="1">
        <fieldUsage x="5"/>
      </fieldsUsage>
    </cacheHierarchy>
    <cacheHierarchy uniqueName="[Measures].[Var to Prior Year (%)]" caption="Var to Prior Year (%)" measure="1" displayFolder="" measureGroup="Departmental Profit   Loss" count="0" oneField="1">
      <fieldsUsage count="1">
        <fieldUsage x="6"/>
      </fieldsUsage>
    </cacheHierarchy>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7152781" backgroundQuery="1" createdVersion="8" refreshedVersion="8" minRefreshableVersion="3" recordCount="0" supportSubquery="1" supportAdvancedDrill="1" xr:uid="{5D04E730-C156-49C9-8187-E681838B1853}">
  <cacheSource type="external" connectionId="12"/>
  <cacheFields count="5">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Actual]" caption="Actual" numFmtId="0" hierarchy="35" level="32767"/>
    <cacheField name="[Departments].[Departments].[Departments]" caption="Departments" numFmtId="0" hierarchy="14" level="1">
      <sharedItems count="4">
        <s v="Customer Support"/>
        <s v="General &amp; Administrative"/>
        <s v="Research &amp; Development"/>
        <s v="Sales &amp; Marketing"/>
      </sharedItems>
      <extLst>
        <ext xmlns:x15="http://schemas.microsoft.com/office/spreadsheetml/2010/11/main" uri="{4F2E5C28-24EA-4eb8-9CBF-B6C8F9C3D259}">
          <x15:cachedUniqueNames>
            <x15:cachedUniqueName index="0" name="[Departments].[Departments].&amp;[Customer Support]"/>
            <x15:cachedUniqueName index="1" name="[Departments].[Departments].&amp;[General &amp; Administrative]"/>
            <x15:cachedUniqueName index="2" name="[Departments].[Departments].&amp;[Research &amp; Development]"/>
            <x15:cachedUniqueName index="3" name="[Departments].[Departments].&amp;[Sales &amp; Marketing]"/>
          </x15:cachedUniqueNames>
        </ext>
      </extLst>
    </cacheField>
    <cacheField name="[Calendar].[MMM-YY].[MMM-YY]" caption="MMM-YY" numFmtId="0" hierarchy="5" level="1">
      <sharedItems count="7">
        <s v="Jan-24"/>
        <s v="Feb-24"/>
        <s v="Mar-24"/>
        <s v="Apr-24"/>
        <s v="May-24"/>
        <s v="Jun-24"/>
        <s v="Jul-24"/>
      </sharedItems>
      <extLst>
        <ext xmlns:x15="http://schemas.microsoft.com/office/spreadsheetml/2010/11/main" uri="{4F2E5C28-24EA-4eb8-9CBF-B6C8F9C3D259}">
          <x15:cachedUniqueNames>
            <x15:cachedUniqueName index="0" name="[Calendar].[MMM-YY].&amp;[Jan-24]"/>
            <x15:cachedUniqueName index="1" name="[Calendar].[MMM-YY].&amp;[Feb-24]"/>
            <x15:cachedUniqueName index="2" name="[Calendar].[MMM-YY].&amp;[Mar-24]"/>
            <x15:cachedUniqueName index="3" name="[Calendar].[MMM-YY].&amp;[Apr-24]"/>
            <x15:cachedUniqueName index="4" name="[Calendar].[MMM-YY].&amp;[May-24]"/>
            <x15:cachedUniqueName index="5" name="[Calendar].[MMM-YY].&amp;[Jun-24]"/>
            <x15:cachedUniqueName index="6" name="[Calendar].[MMM-YY].&amp;[Jul-24]"/>
          </x15:cachedUniqueNames>
        </ext>
      </extLst>
    </cacheField>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2" memberValueDatatype="130" unbalanced="0">
      <fieldsUsage count="2">
        <fieldUsage x="-1"/>
        <fieldUsage x="4"/>
      </fieldsUsage>
    </cacheHierarchy>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2" memberValueDatatype="130" unbalanced="0">
      <fieldsUsage count="2">
        <fieldUsage x="-1"/>
        <fieldUsage x="3"/>
      </fieldsUsage>
    </cacheHierarchy>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1"/>
      </fieldsUsage>
    </cacheHierarchy>
    <cacheHierarchy uniqueName="[Mappings].[Summary Grouping]" caption="Summary Grouping" attribute="1" defaultMemberUniqueName="[Mappings].[Summary Grouping].[All]" allUniqueName="[Mappings].[Summary Grouping].[All]" dimensionUniqueName="[Mappings]" displayFolder="" count="0" memberValueDatatype="130" unbalanced="0"/>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0"/>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2"/>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7615743" backgroundQuery="1" createdVersion="8" refreshedVersion="8" minRefreshableVersion="3" recordCount="0" supportSubquery="1" supportAdvancedDrill="1" xr:uid="{55DB9E24-278F-4787-93D0-5001DCAF3FE9}">
  <cacheSource type="external" connectionId="12"/>
  <cacheFields count="5">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Actual]" caption="Actual" numFmtId="0" hierarchy="35" level="32767"/>
    <cacheField name="[Mappings].[Summary Grouping].[Summary Grouping]" caption="Summary Grouping" numFmtId="0" hierarchy="17" level="1">
      <sharedItems count="4">
        <s v="Advertising"/>
        <s v="Other G&amp;A"/>
        <s v="Payroll"/>
        <s v="Professional Fees"/>
      </sharedItems>
      <extLst>
        <ext xmlns:x15="http://schemas.microsoft.com/office/spreadsheetml/2010/11/main" uri="{4F2E5C28-24EA-4eb8-9CBF-B6C8F9C3D259}">
          <x15:cachedUniqueNames>
            <x15:cachedUniqueName index="0" name="[Mappings].[Summary Grouping].&amp;[Advertising]"/>
            <x15:cachedUniqueName index="1" name="[Mappings].[Summary Grouping].&amp;[Other G&amp;A]"/>
            <x15:cachedUniqueName index="2" name="[Mappings].[Summary Grouping].&amp;[Payroll]"/>
            <x15:cachedUniqueName index="3" name="[Mappings].[Summary Grouping].&amp;[Professional Fees]"/>
          </x15:cachedUniqueNames>
        </ext>
      </extLst>
    </cacheField>
    <cacheField name="[Calendar].[MMM-YY].[MMM-YY]" caption="MMM-YY" numFmtId="0" hierarchy="5" level="1">
      <sharedItems count="7">
        <s v="Jan-24"/>
        <s v="Feb-24"/>
        <s v="Mar-24"/>
        <s v="Apr-24"/>
        <s v="May-24"/>
        <s v="Jun-24"/>
        <s v="Jul-24"/>
      </sharedItems>
      <extLst>
        <ext xmlns:x15="http://schemas.microsoft.com/office/spreadsheetml/2010/11/main" uri="{4F2E5C28-24EA-4eb8-9CBF-B6C8F9C3D259}">
          <x15:cachedUniqueNames>
            <x15:cachedUniqueName index="0" name="[Calendar].[MMM-YY].&amp;[Jan-24]"/>
            <x15:cachedUniqueName index="1" name="[Calendar].[MMM-YY].&amp;[Feb-24]"/>
            <x15:cachedUniqueName index="2" name="[Calendar].[MMM-YY].&amp;[Mar-24]"/>
            <x15:cachedUniqueName index="3" name="[Calendar].[MMM-YY].&amp;[Apr-24]"/>
            <x15:cachedUniqueName index="4" name="[Calendar].[MMM-YY].&amp;[May-24]"/>
            <x15:cachedUniqueName index="5" name="[Calendar].[MMM-YY].&amp;[Jun-24]"/>
            <x15:cachedUniqueName index="6" name="[Calendar].[MMM-YY].&amp;[Jul-24]"/>
          </x15:cachedUniqueNames>
        </ext>
      </extLst>
    </cacheField>
  </cacheFields>
  <cacheHierarchies count="82">
    <cacheHierarchy uniqueName="[Calendar].[Date]" caption="Date" attribute="1" time="1" keyAttribute="1" defaultMemberUniqueName="[Calendar].[Date].[All]" allUniqueName="[Calendar].[Date].[All]" dimensionUniqueName="[Calendar]" displayFolder="" count="2"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2" memberValueDatatype="130" unbalanced="0">
      <fieldsUsage count="2">
        <fieldUsage x="-1"/>
        <fieldUsage x="4"/>
      </fieldsUsage>
    </cacheHierarchy>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1"/>
      </fieldsUsage>
    </cacheHierarchy>
    <cacheHierarchy uniqueName="[Mappings].[Summary Grouping]" caption="Summary Grouping" attribute="1" defaultMemberUniqueName="[Mappings].[Summary Grouping].[All]" allUniqueName="[Mappings].[Summary Grouping].[All]" dimensionUniqueName="[Mappings]" displayFolder="" count="2" memberValueDatatype="130" unbalanced="0">
      <fieldsUsage count="2">
        <fieldUsage x="-1"/>
        <fieldUsage x="3"/>
      </fieldsUsage>
    </cacheHierarchy>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0"/>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2"/>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7962966" backgroundQuery="1" createdVersion="8" refreshedVersion="8" minRefreshableVersion="3" recordCount="0" supportSubquery="1" supportAdvancedDrill="1" xr:uid="{444B6C42-B3DF-453F-A65C-43CB6D99F00E}">
  <cacheSource type="external" connectionId="12"/>
  <cacheFields count="4">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Actual]" caption="Actual" numFmtId="0" hierarchy="35" level="32767"/>
    <cacheField name="[Departments].[Departments].[Departments]" caption="Departments" numFmtId="0" hierarchy="14" level="1">
      <sharedItems count="4">
        <s v="Customer Support"/>
        <s v="General &amp; Administrative"/>
        <s v="Research &amp; Development"/>
        <s v="Sales &amp; Marketing"/>
      </sharedItems>
      <extLst>
        <ext xmlns:x15="http://schemas.microsoft.com/office/spreadsheetml/2010/11/main" uri="{4F2E5C28-24EA-4eb8-9CBF-B6C8F9C3D259}">
          <x15:cachedUniqueNames>
            <x15:cachedUniqueName index="0" name="[Departments].[Departments].&amp;[Customer Support]"/>
            <x15:cachedUniqueName index="1" name="[Departments].[Departments].&amp;[General &amp; Administrative]"/>
            <x15:cachedUniqueName index="2" name="[Departments].[Departments].&amp;[Research &amp; Development]"/>
            <x15:cachedUniqueName index="3" name="[Departments].[Departments].&amp;[Sales &amp; Marketing]"/>
          </x15:cachedUniqueNames>
        </ext>
      </extLst>
    </cacheField>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2" memberValueDatatype="130" unbalanced="0">
      <fieldsUsage count="2">
        <fieldUsage x="-1"/>
        <fieldUsage x="3"/>
      </fieldsUsage>
    </cacheHierarchy>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1"/>
      </fieldsUsage>
    </cacheHierarchy>
    <cacheHierarchy uniqueName="[Mappings].[Summary Grouping]" caption="Summary Grouping" attribute="1" defaultMemberUniqueName="[Mappings].[Summary Grouping].[All]" allUniqueName="[Mappings].[Summary Grouping].[All]" dimensionUniqueName="[Mappings]" displayFolder="" count="0" memberValueDatatype="130" unbalanced="0"/>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0"/>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2"/>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8425928" backgroundQuery="1" createdVersion="8" refreshedVersion="8" minRefreshableVersion="3" recordCount="0" supportSubquery="1" supportAdvancedDrill="1" xr:uid="{A7357F08-B7D4-4F27-9E6D-3570A66389D1}">
  <cacheSource type="external" connectionId="12"/>
  <cacheFields count="6">
    <cacheField name="[Departments].[Departments].[Departments]" caption="Departments" numFmtId="0" hierarchy="14" level="1">
      <sharedItems containsSemiMixedTypes="0" containsNonDate="0" containsString="0"/>
    </cacheField>
    <cacheField name="[Measures].[Actual]" caption="Actual" numFmtId="0" hierarchy="35" level="32767"/>
    <cacheField name="[TableView].[Period].[Period]" caption="Period" numFmtId="0" hierarchy="21" level="1">
      <sharedItems containsSemiMixedTypes="0" containsNonDate="0" containsString="0"/>
    </cacheField>
    <cacheField name="[Mappings].[Section].[Section]" caption="Section" numFmtId="0" hierarchy="16" level="1">
      <sharedItems count="10">
        <s v="Cost of Goods Sold"/>
        <s v="EBITDA"/>
        <s v="Expenses"/>
        <s v="Gross Profit"/>
        <s v="Income"/>
        <s v="Interest Expense"/>
        <s v="Net Income"/>
        <s v="Net Other Income"/>
        <s v="Other Expenses"/>
        <s v="Other Income"/>
      </sharedItems>
      <extLst>
        <ext xmlns:x15="http://schemas.microsoft.com/office/spreadsheetml/2010/11/main" uri="{4F2E5C28-24EA-4eb8-9CBF-B6C8F9C3D259}">
          <x15:cachedUniqueNames>
            <x15:cachedUniqueName index="0" name="[Mappings].[Section].&amp;[Cost of Goods Sold]"/>
            <x15:cachedUniqueName index="1" name="[Mappings].[Section].&amp;[EBITDA]"/>
            <x15:cachedUniqueName index="2" name="[Mappings].[Section].&amp;[Expenses]"/>
            <x15:cachedUniqueName index="3" name="[Mappings].[Section].&amp;[Gross Profit]"/>
            <x15:cachedUniqueName index="4" name="[Mappings].[Section].&amp;[Income]"/>
            <x15:cachedUniqueName index="5" name="[Mappings].[Section].&amp;[Interest Expense]"/>
            <x15:cachedUniqueName index="6" name="[Mappings].[Section].&amp;[Net Income]"/>
            <x15:cachedUniqueName index="7" name="[Mappings].[Section].&amp;[Net Other Income]"/>
            <x15:cachedUniqueName index="8" name="[Mappings].[Section].&amp;[Other Expenses]"/>
            <x15:cachedUniqueName index="9" name="[Mappings].[Section].&amp;[Other Income]"/>
          </x15:cachedUniqueNames>
        </ext>
      </extLst>
    </cacheField>
    <cacheField name="[Mappings].[Summary Grouping].[Summary Grouping]" caption="Summary Grouping" numFmtId="0" hierarchy="17" level="1">
      <sharedItems count="12">
        <s v="Advertising"/>
        <s v="Other G&amp;A"/>
        <s v="Payroll"/>
        <s v="Professional Fees"/>
        <s v="Revenue" u="1"/>
        <s v="COGS" u="1"/>
        <s v="EBITDA" u="1"/>
        <s v="Gross Profit" u="1"/>
        <s v="Other Expenses" u="1"/>
        <s v="Net Income" u="1"/>
        <s v="Net Other Income" u="1"/>
        <s v="Other Income" u="1"/>
      </sharedItems>
      <extLst>
        <ext xmlns:x15="http://schemas.microsoft.com/office/spreadsheetml/2010/11/main" uri="{4F2E5C28-24EA-4eb8-9CBF-B6C8F9C3D259}">
          <x15:cachedUniqueNames>
            <x15:cachedUniqueName index="0" name="[Mappings].[Summary Grouping].&amp;[Advertising]"/>
            <x15:cachedUniqueName index="1" name="[Mappings].[Summary Grouping].&amp;[Other G&amp;A]"/>
            <x15:cachedUniqueName index="2" name="[Mappings].[Summary Grouping].&amp;[Payroll]"/>
            <x15:cachedUniqueName index="3" name="[Mappings].[Summary Grouping].&amp;[Professional Fees]"/>
            <x15:cachedUniqueName index="4" name="[Mappings].[Summary Grouping].&amp;[Revenue]"/>
            <x15:cachedUniqueName index="5" name="[Mappings].[Summary Grouping].&amp;[COGS]"/>
            <x15:cachedUniqueName index="6" name="[Mappings].[Summary Grouping].&amp;[EBITDA]"/>
            <x15:cachedUniqueName index="7" name="[Mappings].[Summary Grouping].&amp;[Gross Profit]"/>
            <x15:cachedUniqueName index="8" name="[Mappings].[Summary Grouping].&amp;[Other Expenses]"/>
            <x15:cachedUniqueName index="9" name="[Mappings].[Summary Grouping].&amp;[Net Income]"/>
            <x15:cachedUniqueName index="10" name="[Mappings].[Summary Grouping].&amp;[Net Other Income]"/>
            <x15:cachedUniqueName index="11" name="[Mappings].[Summary Grouping].&amp;[Other Income]"/>
          </x15:cachedUniqueNames>
        </ext>
      </extLst>
    </cacheField>
    <cacheField name="[Mappings].[Account].[Account]" caption="Account" numFmtId="0" hierarchy="15" level="1">
      <sharedItems count="2">
        <s v="Advertising &amp; Marketing"/>
        <s v="Conferences &amp; Events"/>
      </sharedItems>
      <extLst>
        <ext xmlns:x15="http://schemas.microsoft.com/office/spreadsheetml/2010/11/main" uri="{4F2E5C28-24EA-4eb8-9CBF-B6C8F9C3D259}">
          <x15:cachedUniqueNames>
            <x15:cachedUniqueName index="0" name="[Mappings].[Account].&amp;[Advertising &amp; Marketing]"/>
            <x15:cachedUniqueName index="1" name="[Mappings].[Account].&amp;[Conferences &amp; Events]"/>
          </x15:cachedUniqueNames>
        </ext>
      </extLst>
    </cacheField>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2" memberValueDatatype="130" unbalanced="0">
      <fieldsUsage count="2">
        <fieldUsage x="-1"/>
        <fieldUsage x="0"/>
      </fieldsUsage>
    </cacheHierarchy>
    <cacheHierarchy uniqueName="[Mappings].[Account]" caption="Account" attribute="1" defaultMemberUniqueName="[Mappings].[Account].[All]" allUniqueName="[Mappings].[Account].[All]" dimensionUniqueName="[Mappings]" displayFolder="" count="2" memberValueDatatype="130" unbalanced="0">
      <fieldsUsage count="2">
        <fieldUsage x="-1"/>
        <fieldUsage x="5"/>
      </fieldsUsage>
    </cacheHierarchy>
    <cacheHierarchy uniqueName="[Mappings].[Section]" caption="Section" attribute="1" defaultMemberUniqueName="[Mappings].[Section].[All]" allUniqueName="[Mappings].[Section].[All]" dimensionUniqueName="[Mappings]" displayFolder="" count="2" memberValueDatatype="130" unbalanced="0">
      <fieldsUsage count="2">
        <fieldUsage x="-1"/>
        <fieldUsage x="3"/>
      </fieldsUsage>
    </cacheHierarchy>
    <cacheHierarchy uniqueName="[Mappings].[Summary Grouping]" caption="Summary Grouping" attribute="1" defaultMemberUniqueName="[Mappings].[Summary Grouping].[All]" allUniqueName="[Mappings].[Summary Grouping].[All]" dimensionUniqueName="[Mappings]" displayFolder="" count="2" memberValueDatatype="130" unbalanced="0">
      <fieldsUsage count="2">
        <fieldUsage x="-1"/>
        <fieldUsage x="4"/>
      </fieldsUsage>
    </cacheHierarchy>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2"/>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1"/>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888889" backgroundQuery="1" createdVersion="8" refreshedVersion="8" minRefreshableVersion="3" recordCount="0" supportSubquery="1" supportAdvancedDrill="1" xr:uid="{741EDBC7-A170-4282-A43B-65FC0798D83E}">
  <cacheSource type="external" connectionId="12"/>
  <cacheFields count="4">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Actual]" caption="Actual" numFmtId="0" hierarchy="35" level="32767"/>
    <cacheField name="[Mappings].[Summary Grouping].[Summary Grouping]" caption="Summary Grouping" numFmtId="0" hierarchy="17" level="1">
      <sharedItems count="4">
        <s v="Advertising"/>
        <s v="Other G&amp;A"/>
        <s v="Payroll"/>
        <s v="Professional Fees"/>
      </sharedItems>
      <extLst>
        <ext xmlns:x15="http://schemas.microsoft.com/office/spreadsheetml/2010/11/main" uri="{4F2E5C28-24EA-4eb8-9CBF-B6C8F9C3D259}">
          <x15:cachedUniqueNames>
            <x15:cachedUniqueName index="0" name="[Mappings].[Summary Grouping].&amp;[Advertising]"/>
            <x15:cachedUniqueName index="1" name="[Mappings].[Summary Grouping].&amp;[Other G&amp;A]"/>
            <x15:cachedUniqueName index="2" name="[Mappings].[Summary Grouping].&amp;[Payroll]"/>
            <x15:cachedUniqueName index="3" name="[Mappings].[Summary Grouping].&amp;[Professional Fees]"/>
          </x15:cachedUniqueNames>
        </ext>
      </extLst>
    </cacheField>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1"/>
      </fieldsUsage>
    </cacheHierarchy>
    <cacheHierarchy uniqueName="[Mappings].[Summary Grouping]" caption="Summary Grouping" attribute="1" defaultMemberUniqueName="[Mappings].[Summary Grouping].[All]" allUniqueName="[Mappings].[Summary Grouping].[All]" dimensionUniqueName="[Mappings]" displayFolder="" count="2" memberValueDatatype="130" unbalanced="0">
      <fieldsUsage count="2">
        <fieldUsage x="-1"/>
        <fieldUsage x="3"/>
      </fieldsUsage>
    </cacheHierarchy>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0"/>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2"/>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946759" backgroundQuery="1" createdVersion="8" refreshedVersion="8" minRefreshableVersion="3" recordCount="0" supportSubquery="1" supportAdvancedDrill="1" xr:uid="{0E6EA8B6-E00D-4978-8DA2-8AEA2AA8BE77}">
  <cacheSource type="external" connectionId="12"/>
  <cacheFields count="5">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Actual]" caption="Actual" numFmtId="0" hierarchy="35" level="32767"/>
    <cacheField name="[Mappings].[Summary Grouping].[Summary Grouping]" caption="Summary Grouping" numFmtId="0" hierarchy="17" level="1">
      <sharedItems count="4">
        <s v="Advertising"/>
        <s v="Other G&amp;A"/>
        <s v="Payroll"/>
        <s v="Professional Fees"/>
      </sharedItems>
      <extLst>
        <ext xmlns:x15="http://schemas.microsoft.com/office/spreadsheetml/2010/11/main" uri="{4F2E5C28-24EA-4eb8-9CBF-B6C8F9C3D259}">
          <x15:cachedUniqueNames>
            <x15:cachedUniqueName index="0" name="[Mappings].[Summary Grouping].&amp;[Advertising]"/>
            <x15:cachedUniqueName index="1" name="[Mappings].[Summary Grouping].&amp;[Other G&amp;A]"/>
            <x15:cachedUniqueName index="2" name="[Mappings].[Summary Grouping].&amp;[Payroll]"/>
            <x15:cachedUniqueName index="3" name="[Mappings].[Summary Grouping].&amp;[Professional Fees]"/>
          </x15:cachedUniqueNames>
        </ext>
      </extLst>
    </cacheField>
    <cacheField name="[Calendar].[MMM-YY].[MMM-YY]" caption="MMM-YY" numFmtId="0" hierarchy="5" level="1">
      <sharedItems count="7">
        <s v="Jan-24"/>
        <s v="Feb-24"/>
        <s v="Mar-24"/>
        <s v="Apr-24"/>
        <s v="May-24"/>
        <s v="Jun-24"/>
        <s v="Jul-24"/>
      </sharedItems>
      <extLst>
        <ext xmlns:x15="http://schemas.microsoft.com/office/spreadsheetml/2010/11/main" uri="{4F2E5C28-24EA-4eb8-9CBF-B6C8F9C3D259}">
          <x15:cachedUniqueNames>
            <x15:cachedUniqueName index="0" name="[Calendar].[MMM-YY].&amp;[Jan-24]"/>
            <x15:cachedUniqueName index="1" name="[Calendar].[MMM-YY].&amp;[Feb-24]"/>
            <x15:cachedUniqueName index="2" name="[Calendar].[MMM-YY].&amp;[Mar-24]"/>
            <x15:cachedUniqueName index="3" name="[Calendar].[MMM-YY].&amp;[Apr-24]"/>
            <x15:cachedUniqueName index="4" name="[Calendar].[MMM-YY].&amp;[May-24]"/>
            <x15:cachedUniqueName index="5" name="[Calendar].[MMM-YY].&amp;[Jun-24]"/>
            <x15:cachedUniqueName index="6" name="[Calendar].[MMM-YY].&amp;[Jul-24]"/>
          </x15:cachedUniqueNames>
        </ext>
      </extLst>
    </cacheField>
  </cacheFields>
  <cacheHierarchies count="82">
    <cacheHierarchy uniqueName="[Calendar].[Date]" caption="Date" attribute="1" time="1" keyAttribute="1" defaultMemberUniqueName="[Calendar].[Date].[All]" allUniqueName="[Calendar].[Date].[All]" dimensionUniqueName="[Calendar]" displayFolder="" count="2"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2" memberValueDatatype="130" unbalanced="0">
      <fieldsUsage count="2">
        <fieldUsage x="-1"/>
        <fieldUsage x="4"/>
      </fieldsUsage>
    </cacheHierarchy>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1"/>
      </fieldsUsage>
    </cacheHierarchy>
    <cacheHierarchy uniqueName="[Mappings].[Summary Grouping]" caption="Summary Grouping" attribute="1" defaultMemberUniqueName="[Mappings].[Summary Grouping].[All]" allUniqueName="[Mappings].[Summary Grouping].[All]" dimensionUniqueName="[Mappings]" displayFolder="" count="2" memberValueDatatype="130" unbalanced="0">
      <fieldsUsage count="2">
        <fieldUsage x="-1"/>
        <fieldUsage x="3"/>
      </fieldsUsage>
    </cacheHierarchy>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0"/>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2"/>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9930552" backgroundQuery="1" createdVersion="8" refreshedVersion="8" minRefreshableVersion="3" recordCount="0" supportSubquery="1" supportAdvancedDrill="1" xr:uid="{07AB9839-13C0-49FD-A12E-655A044EF2D2}">
  <cacheSource type="external" connectionId="12"/>
  <cacheFields count="4">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Actual]" caption="Actual" numFmtId="0" hierarchy="35" level="32767"/>
    <cacheField name="[Mappings].[Summary Grouping].[Summary Grouping]" caption="Summary Grouping" numFmtId="0" hierarchy="17" level="1">
      <sharedItems count="4">
        <s v="Advertising"/>
        <s v="Other G&amp;A"/>
        <s v="Payroll"/>
        <s v="Professional Fees"/>
      </sharedItems>
      <extLst>
        <ext xmlns:x15="http://schemas.microsoft.com/office/spreadsheetml/2010/11/main" uri="{4F2E5C28-24EA-4eb8-9CBF-B6C8F9C3D259}">
          <x15:cachedUniqueNames>
            <x15:cachedUniqueName index="0" name="[Mappings].[Summary Grouping].&amp;[Advertising]"/>
            <x15:cachedUniqueName index="1" name="[Mappings].[Summary Grouping].&amp;[Other G&amp;A]"/>
            <x15:cachedUniqueName index="2" name="[Mappings].[Summary Grouping].&amp;[Payroll]"/>
            <x15:cachedUniqueName index="3" name="[Mappings].[Summary Grouping].&amp;[Professional Fees]"/>
          </x15:cachedUniqueNames>
        </ext>
      </extLst>
    </cacheField>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1"/>
      </fieldsUsage>
    </cacheHierarchy>
    <cacheHierarchy uniqueName="[Mappings].[Summary Grouping]" caption="Summary Grouping" attribute="1" defaultMemberUniqueName="[Mappings].[Summary Grouping].[All]" allUniqueName="[Mappings].[Summary Grouping].[All]" dimensionUniqueName="[Mappings]" displayFolder="" count="2" memberValueDatatype="130" unbalanced="0">
      <fieldsUsage count="2">
        <fieldUsage x="-1"/>
        <fieldUsage x="3"/>
      </fieldsUsage>
    </cacheHierarchy>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0"/>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2"/>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90393522" backgroundQuery="1" createdVersion="8" refreshedVersion="8" minRefreshableVersion="3" recordCount="0" supportSubquery="1" supportAdvancedDrill="1" xr:uid="{AD94C5B1-3570-456D-AA51-6AB3736A1859}">
  <cacheSource type="external" connectionId="12"/>
  <cacheFields count="5">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Actual]" caption="Actual" numFmtId="0" hierarchy="35" level="32767"/>
    <cacheField name="[Departments].[Departments].[Departments]" caption="Departments" numFmtId="0" hierarchy="14" level="1">
      <sharedItems count="4">
        <s v="Customer Support"/>
        <s v="General &amp; Administrative"/>
        <s v="Research &amp; Development"/>
        <s v="Sales &amp; Marketing"/>
      </sharedItems>
      <extLst>
        <ext xmlns:x15="http://schemas.microsoft.com/office/spreadsheetml/2010/11/main" uri="{4F2E5C28-24EA-4eb8-9CBF-B6C8F9C3D259}">
          <x15:cachedUniqueNames>
            <x15:cachedUniqueName index="0" name="[Departments].[Departments].&amp;[Customer Support]"/>
            <x15:cachedUniqueName index="1" name="[Departments].[Departments].&amp;[General &amp; Administrative]"/>
            <x15:cachedUniqueName index="2" name="[Departments].[Departments].&amp;[Research &amp; Development]"/>
            <x15:cachedUniqueName index="3" name="[Departments].[Departments].&amp;[Sales &amp; Marketing]"/>
          </x15:cachedUniqueNames>
        </ext>
      </extLst>
    </cacheField>
    <cacheField name="[Calendar].[MMM-YY].[MMM-YY]" caption="MMM-YY" numFmtId="0" hierarchy="5" level="1">
      <sharedItems count="7">
        <s v="Jan-24"/>
        <s v="Feb-24"/>
        <s v="Mar-24"/>
        <s v="Apr-24"/>
        <s v="May-24"/>
        <s v="Jun-24"/>
        <s v="Jul-24"/>
      </sharedItems>
      <extLst>
        <ext xmlns:x15="http://schemas.microsoft.com/office/spreadsheetml/2010/11/main" uri="{4F2E5C28-24EA-4eb8-9CBF-B6C8F9C3D259}">
          <x15:cachedUniqueNames>
            <x15:cachedUniqueName index="0" name="[Calendar].[MMM-YY].&amp;[Jan-24]"/>
            <x15:cachedUniqueName index="1" name="[Calendar].[MMM-YY].&amp;[Feb-24]"/>
            <x15:cachedUniqueName index="2" name="[Calendar].[MMM-YY].&amp;[Mar-24]"/>
            <x15:cachedUniqueName index="3" name="[Calendar].[MMM-YY].&amp;[Apr-24]"/>
            <x15:cachedUniqueName index="4" name="[Calendar].[MMM-YY].&amp;[May-24]"/>
            <x15:cachedUniqueName index="5" name="[Calendar].[MMM-YY].&amp;[Jun-24]"/>
            <x15:cachedUniqueName index="6" name="[Calendar].[MMM-YY].&amp;[Jul-24]"/>
          </x15:cachedUniqueNames>
        </ext>
      </extLst>
    </cacheField>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2" memberValueDatatype="130" unbalanced="0">
      <fieldsUsage count="2">
        <fieldUsage x="-1"/>
        <fieldUsage x="4"/>
      </fieldsUsage>
    </cacheHierarchy>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2" memberValueDatatype="130" unbalanced="0">
      <fieldsUsage count="2">
        <fieldUsage x="-1"/>
        <fieldUsage x="3"/>
      </fieldsUsage>
    </cacheHierarchy>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1"/>
      </fieldsUsage>
    </cacheHierarchy>
    <cacheHierarchy uniqueName="[Mappings].[Summary Grouping]" caption="Summary Grouping" attribute="1" defaultMemberUniqueName="[Mappings].[Summary Grouping].[All]" allUniqueName="[Mappings].[Summary Grouping].[All]" dimensionUniqueName="[Mappings]" displayFolder="" count="0" memberValueDatatype="130" unbalanced="0"/>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0"/>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2"/>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90856483" backgroundQuery="1" createdVersion="8" refreshedVersion="8" minRefreshableVersion="3" recordCount="0" supportSubquery="1" supportAdvancedDrill="1" xr:uid="{0F4B3C0A-6749-43EF-BC9E-274C70BFF415}">
  <cacheSource type="external" connectionId="12"/>
  <cacheFields count="4">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Actual]" caption="Actual" numFmtId="0" hierarchy="35" level="32767"/>
    <cacheField name="[Departments].[Departments].[Departments]" caption="Departments" numFmtId="0" hierarchy="14" level="1">
      <sharedItems count="4">
        <s v="Customer Support"/>
        <s v="General &amp; Administrative"/>
        <s v="Research &amp; Development"/>
        <s v="Sales &amp; Marketing"/>
      </sharedItems>
      <extLst>
        <ext xmlns:x15="http://schemas.microsoft.com/office/spreadsheetml/2010/11/main" uri="{4F2E5C28-24EA-4eb8-9CBF-B6C8F9C3D259}">
          <x15:cachedUniqueNames>
            <x15:cachedUniqueName index="0" name="[Departments].[Departments].&amp;[Customer Support]"/>
            <x15:cachedUniqueName index="1" name="[Departments].[Departments].&amp;[General &amp; Administrative]"/>
            <x15:cachedUniqueName index="2" name="[Departments].[Departments].&amp;[Research &amp; Development]"/>
            <x15:cachedUniqueName index="3" name="[Departments].[Departments].&amp;[Sales &amp; Marketing]"/>
          </x15:cachedUniqueNames>
        </ext>
      </extLst>
    </cacheField>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2" memberValueDatatype="130" unbalanced="0">
      <fieldsUsage count="2">
        <fieldUsage x="-1"/>
        <fieldUsage x="3"/>
      </fieldsUsage>
    </cacheHierarchy>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1"/>
      </fieldsUsage>
    </cacheHierarchy>
    <cacheHierarchy uniqueName="[Mappings].[Summary Grouping]" caption="Summary Grouping" attribute="1" defaultMemberUniqueName="[Mappings].[Summary Grouping].[All]" allUniqueName="[Mappings].[Summary Grouping].[All]" dimensionUniqueName="[Mappings]" displayFolder="" count="0" memberValueDatatype="130" unbalanced="0"/>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0"/>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2"/>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2175924" backgroundQuery="1" createdVersion="8" refreshedVersion="8" minRefreshableVersion="3" recordCount="0" supportSubquery="1" supportAdvancedDrill="1" xr:uid="{281ACB92-9A1A-4F76-89A7-244551F71405}">
  <cacheSource type="external" connectionId="12"/>
  <cacheFields count="5">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Revenue]" caption="Revenue" numFmtId="0" hierarchy="51" level="32767"/>
    <cacheField name="[Measures].[Gross margin]" caption="Gross margin" numFmtId="0" hierarchy="53" level="32767"/>
    <cacheField name="[Calendar].[MMM-YY].[MMM-YY]" caption="MMM-YY" numFmtId="0" hierarchy="5" level="1">
      <sharedItems count="7">
        <s v="Jan-24"/>
        <s v="Feb-24"/>
        <s v="Mar-24"/>
        <s v="Apr-24"/>
        <s v="May-24"/>
        <s v="Jun-24"/>
        <s v="Jul-24"/>
      </sharedItems>
      <extLst>
        <ext xmlns:x15="http://schemas.microsoft.com/office/spreadsheetml/2010/11/main" uri="{4F2E5C28-24EA-4eb8-9CBF-B6C8F9C3D259}">
          <x15:cachedUniqueNames>
            <x15:cachedUniqueName index="0" name="[Calendar].[MMM-YY].&amp;[Jan-24]"/>
            <x15:cachedUniqueName index="1" name="[Calendar].[MMM-YY].&amp;[Feb-24]"/>
            <x15:cachedUniqueName index="2" name="[Calendar].[MMM-YY].&amp;[Mar-24]"/>
            <x15:cachedUniqueName index="3" name="[Calendar].[MMM-YY].&amp;[Apr-24]"/>
            <x15:cachedUniqueName index="4" name="[Calendar].[MMM-YY].&amp;[May-24]"/>
            <x15:cachedUniqueName index="5" name="[Calendar].[MMM-YY].&amp;[Jun-24]"/>
            <x15:cachedUniqueName index="6" name="[Calendar].[MMM-YY].&amp;[Jul-24]"/>
          </x15:cachedUniqueNames>
        </ext>
      </extLst>
    </cacheField>
  </cacheFields>
  <cacheHierarchies count="82">
    <cacheHierarchy uniqueName="[Calendar].[Date]" caption="Date" attribute="1" time="1" keyAttribute="1" defaultMemberUniqueName="[Calendar].[Date].[All]" allUniqueName="[Calendar].[Date].[All]" dimensionUniqueName="[Calendar]" displayFolder="" count="2"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2" memberValueDatatype="130" unbalanced="0">
      <fieldsUsage count="2">
        <fieldUsage x="-1"/>
        <fieldUsage x="4"/>
      </fieldsUsage>
    </cacheHierarchy>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1"/>
      </fieldsUsage>
    </cacheHierarchy>
    <cacheHierarchy uniqueName="[Mappings].[Summary Grouping]" caption="Summary Grouping" attribute="1" defaultMemberUniqueName="[Mappings].[Summary Grouping].[All]" allUniqueName="[Mappings].[Summary Grouping].[All]" dimensionUniqueName="[Mappings]" displayFolder="" count="0" memberValueDatatype="130" unbalanced="0"/>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0"/>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oneField="1">
      <fieldsUsage count="1">
        <fieldUsage x="2"/>
      </fieldsUsage>
    </cacheHierarchy>
    <cacheHierarchy uniqueName="[Measures].[Gross Profit]" caption="Gross Profit" measure="1" displayFolder="" measureGroup="Departmental Profit   Loss" count="0"/>
    <cacheHierarchy uniqueName="[Measures].[Gross margin]" caption="Gross margin" measure="1" displayFolder="" measureGroup="Departmental Profit   Loss" count="0" oneField="1">
      <fieldsUsage count="1">
        <fieldUsage x="3"/>
      </fieldsUsage>
    </cacheHierarchy>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rrell Day" refreshedDate="45522.433056018519" backgroundQuery="1" createdVersion="3" refreshedVersion="8" minRefreshableVersion="3" recordCount="0" supportSubquery="1" supportAdvancedDrill="1" xr:uid="{E886358A-69BD-45CB-B99E-1FBAD0D8BF34}">
  <cacheSource type="external" connectionId="12">
    <extLst>
      <ext xmlns:x14="http://schemas.microsoft.com/office/spreadsheetml/2009/9/main" uri="{F057638F-6D5F-4e77-A914-E7F072B9BCA8}">
        <x14:sourceConnection name="ThisWorkbookDataModel"/>
      </ext>
    </extLst>
  </cacheSource>
  <cacheFields count="0"/>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0" memberValueDatatype="130" unbalanced="0"/>
    <cacheHierarchy uniqueName="[Mappings].[Summary Grouping]" caption="Summary Grouping" attribute="1" defaultMemberUniqueName="[Mappings].[Summary Grouping].[All]" allUniqueName="[Mappings].[Summary Grouping].[All]" dimensionUniqueName="[Mappings]" displayFolder="" count="0" memberValueDatatype="130" unbalanced="0"/>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06137174"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2638886" backgroundQuery="1" createdVersion="8" refreshedVersion="8" minRefreshableVersion="3" recordCount="0" supportSubquery="1" supportAdvancedDrill="1" xr:uid="{869F00F7-31D0-4B65-8D4A-0AB37C52C536}">
  <cacheSource type="external" connectionId="12"/>
  <cacheFields count="7">
    <cacheField name="[Departments].[Departments].[Departments]" caption="Departments" numFmtId="0" hierarchy="14" level="1">
      <sharedItems count="4">
        <s v="Customer Support"/>
        <s v="General &amp; Administrative"/>
        <s v="Research &amp; Development"/>
        <s v="Sales &amp; Marketing"/>
      </sharedItems>
      <extLst>
        <ext xmlns:x15="http://schemas.microsoft.com/office/spreadsheetml/2010/11/main" uri="{4F2E5C28-24EA-4eb8-9CBF-B6C8F9C3D259}">
          <x15:cachedUniqueNames>
            <x15:cachedUniqueName index="0" name="[Departments].[Departments].&amp;[Customer Support]"/>
            <x15:cachedUniqueName index="1" name="[Departments].[Departments].&amp;[General &amp; Administrative]"/>
            <x15:cachedUniqueName index="2" name="[Departments].[Departments].&amp;[Research &amp; Development]"/>
            <x15:cachedUniqueName index="3" name="[Departments].[Departments].&amp;[Sales &amp; Marketing]"/>
          </x15:cachedUniqueNames>
        </ext>
      </extLst>
    </cacheField>
    <cacheField name="[Measures].[Actual]" caption="Actual" numFmtId="0" hierarchy="35" level="32767"/>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Var to Prior Period ($)]" caption="Var to Prior Period ($)" numFmtId="0" hierarchy="70" level="32767"/>
    <cacheField name="[Measures].[Var to Prior Period (%)]" caption="Var to Prior Period (%)" numFmtId="0" hierarchy="71" level="32767"/>
    <cacheField name="[Measures].[Prior Period]" caption="Prior Period" numFmtId="0" hierarchy="60" level="32767"/>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2" memberValueDatatype="130" unbalanced="0">
      <fieldsUsage count="2">
        <fieldUsage x="-1"/>
        <fieldUsage x="0"/>
      </fieldsUsage>
    </cacheHierarchy>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3"/>
      </fieldsUsage>
    </cacheHierarchy>
    <cacheHierarchy uniqueName="[Mappings].[Summary Grouping]" caption="Summary Grouping" attribute="1" defaultMemberUniqueName="[Mappings].[Summary Grouping].[All]" allUniqueName="[Mappings].[Summary Grouping].[All]" dimensionUniqueName="[Mappings]" displayFolder="" count="0" memberValueDatatype="130" unbalanced="0"/>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2"/>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1"/>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oneField="1">
      <fieldsUsage count="1">
        <fieldUsage x="6"/>
      </fieldsUsage>
    </cacheHierarchy>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oneField="1">
      <fieldsUsage count="1">
        <fieldUsage x="4"/>
      </fieldsUsage>
    </cacheHierarchy>
    <cacheHierarchy uniqueName="[Measures].[Var to Prior Period (%)]" caption="Var to Prior Period (%)" measure="1" displayFolder="" measureGroup="Departmental Profit   Loss" count="0" oneField="1">
      <fieldsUsage count="1">
        <fieldUsage x="5"/>
      </fieldsUsage>
    </cacheHierarchy>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3217594" backgroundQuery="1" createdVersion="8" refreshedVersion="8" minRefreshableVersion="3" recordCount="0" supportSubquery="1" supportAdvancedDrill="1" xr:uid="{2453AE3E-3FD3-436A-A344-FB8C09D29AC0}">
  <cacheSource type="external" connectionId="12"/>
  <cacheFields count="7">
    <cacheField name="[Departments].[Departments].[Departments]" caption="Departments" numFmtId="0" hierarchy="14" level="1">
      <sharedItems count="4">
        <s v="Customer Support"/>
        <s v="General &amp; Administrative"/>
        <s v="Research &amp; Development"/>
        <s v="Sales &amp; Marketing"/>
      </sharedItems>
      <extLst>
        <ext xmlns:x15="http://schemas.microsoft.com/office/spreadsheetml/2010/11/main" uri="{4F2E5C28-24EA-4eb8-9CBF-B6C8F9C3D259}">
          <x15:cachedUniqueNames>
            <x15:cachedUniqueName index="0" name="[Departments].[Departments].&amp;[Customer Support]"/>
            <x15:cachedUniqueName index="1" name="[Departments].[Departments].&amp;[General &amp; Administrative]"/>
            <x15:cachedUniqueName index="2" name="[Departments].[Departments].&amp;[Research &amp; Development]"/>
            <x15:cachedUniqueName index="3" name="[Departments].[Departments].&amp;[Sales &amp; Marketing]"/>
          </x15:cachedUniqueNames>
        </ext>
      </extLst>
    </cacheField>
    <cacheField name="[Measures].[Actual]" caption="Actual" numFmtId="0" hierarchy="35" level="32767"/>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Prior Year]" caption="Prior Year" numFmtId="0" hierarchy="65" level="32767"/>
    <cacheField name="[Measures].[Var to Prior Year ($)]" caption="Var to Prior Year ($)" numFmtId="0" hierarchy="72" level="32767"/>
    <cacheField name="[Measures].[Var to Prior Year (%)]" caption="Var to Prior Year (%)" numFmtId="0" hierarchy="73" level="32767"/>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2" memberValueDatatype="130" unbalanced="0">
      <fieldsUsage count="2">
        <fieldUsage x="-1"/>
        <fieldUsage x="0"/>
      </fieldsUsage>
    </cacheHierarchy>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3"/>
      </fieldsUsage>
    </cacheHierarchy>
    <cacheHierarchy uniqueName="[Mappings].[Summary Grouping]" caption="Summary Grouping" attribute="1" defaultMemberUniqueName="[Mappings].[Summary Grouping].[All]" allUniqueName="[Mappings].[Summary Grouping].[All]" dimensionUniqueName="[Mappings]" displayFolder="" count="0" memberValueDatatype="130" unbalanced="0"/>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2"/>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1"/>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oneField="1">
      <fieldsUsage count="1">
        <fieldUsage x="4"/>
      </fieldsUsage>
    </cacheHierarchy>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oneField="1">
      <fieldsUsage count="1">
        <fieldUsage x="5"/>
      </fieldsUsage>
    </cacheHierarchy>
    <cacheHierarchy uniqueName="[Measures].[Var to Prior Year (%)]" caption="Var to Prior Year (%)" measure="1" displayFolder="" measureGroup="Departmental Profit   Loss" count="0" oneField="1">
      <fieldsUsage count="1">
        <fieldUsage x="6"/>
      </fieldsUsage>
    </cacheHierarchy>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3564817" backgroundQuery="1" createdVersion="8" refreshedVersion="8" minRefreshableVersion="3" recordCount="0" supportSubquery="1" supportAdvancedDrill="1" xr:uid="{93281249-3739-4482-B048-3C6277A6928C}">
  <cacheSource type="external" connectionId="12"/>
  <cacheFields count="7">
    <cacheField name="[Measures].[Actual]" caption="Actual" numFmtId="0" hierarchy="35" level="32767"/>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Prior Year]" caption="Prior Year" numFmtId="0" hierarchy="65" level="32767"/>
    <cacheField name="[Measures].[Var to Prior Year ($)]" caption="Var to Prior Year ($)" numFmtId="0" hierarchy="72" level="32767"/>
    <cacheField name="[Measures].[Var to Prior Year (%)]" caption="Var to Prior Year (%)" numFmtId="0" hierarchy="73" level="32767"/>
    <cacheField name="[Mappings].[Summary Grouping].[Summary Grouping]" caption="Summary Grouping" numFmtId="0" hierarchy="17" level="1">
      <sharedItems count="4">
        <s v="Advertising"/>
        <s v="Other G&amp;A"/>
        <s v="Payroll"/>
        <s v="Professional Fees"/>
      </sharedItems>
      <extLst>
        <ext xmlns:x15="http://schemas.microsoft.com/office/spreadsheetml/2010/11/main" uri="{4F2E5C28-24EA-4eb8-9CBF-B6C8F9C3D259}">
          <x15:cachedUniqueNames>
            <x15:cachedUniqueName index="0" name="[Mappings].[Summary Grouping].&amp;[Advertising]"/>
            <x15:cachedUniqueName index="1" name="[Mappings].[Summary Grouping].&amp;[Other G&amp;A]"/>
            <x15:cachedUniqueName index="2" name="[Mappings].[Summary Grouping].&amp;[Payroll]"/>
            <x15:cachedUniqueName index="3" name="[Mappings].[Summary Grouping].&amp;[Professional Fees]"/>
          </x15:cachedUniqueNames>
        </ext>
      </extLst>
    </cacheField>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2"/>
      </fieldsUsage>
    </cacheHierarchy>
    <cacheHierarchy uniqueName="[Mappings].[Summary Grouping]" caption="Summary Grouping" attribute="1" defaultMemberUniqueName="[Mappings].[Summary Grouping].[All]" allUniqueName="[Mappings].[Summary Grouping].[All]" dimensionUniqueName="[Mappings]" displayFolder="" count="2" memberValueDatatype="130" unbalanced="0">
      <fieldsUsage count="2">
        <fieldUsage x="-1"/>
        <fieldUsage x="6"/>
      </fieldsUsage>
    </cacheHierarchy>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1"/>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0"/>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oneField="1">
      <fieldsUsage count="1">
        <fieldUsage x="3"/>
      </fieldsUsage>
    </cacheHierarchy>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oneField="1">
      <fieldsUsage count="1">
        <fieldUsage x="4"/>
      </fieldsUsage>
    </cacheHierarchy>
    <cacheHierarchy uniqueName="[Measures].[Var to Prior Year (%)]" caption="Var to Prior Year (%)" measure="1" displayFolder="" measureGroup="Departmental Profit   Loss" count="0" oneField="1">
      <fieldsUsage count="1">
        <fieldUsage x="5"/>
      </fieldsUsage>
    </cacheHierarchy>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4143518" backgroundQuery="1" createdVersion="8" refreshedVersion="8" minRefreshableVersion="3" recordCount="0" supportSubquery="1" supportAdvancedDrill="1" xr:uid="{01BCFED2-0C12-4BF2-B7CF-D22C240C4594}">
  <cacheSource type="external" connectionId="12"/>
  <cacheFields count="7">
    <cacheField name="[Measures].[Actual]" caption="Actual" numFmtId="0" hierarchy="35" level="32767"/>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Var to Prior Period ($)]" caption="Var to Prior Period ($)" numFmtId="0" hierarchy="70" level="32767"/>
    <cacheField name="[Measures].[Var to Prior Period (%)]" caption="Var to Prior Period (%)" numFmtId="0" hierarchy="71" level="32767"/>
    <cacheField name="[Measures].[Prior Period]" caption="Prior Period" numFmtId="0" hierarchy="60" level="32767"/>
    <cacheField name="[Mappings].[Summary Grouping].[Summary Grouping]" caption="Summary Grouping" numFmtId="0" hierarchy="17" level="1">
      <sharedItems count="4">
        <s v="Advertising"/>
        <s v="Other G&amp;A"/>
        <s v="Payroll"/>
        <s v="Professional Fees"/>
      </sharedItems>
      <extLst>
        <ext xmlns:x15="http://schemas.microsoft.com/office/spreadsheetml/2010/11/main" uri="{4F2E5C28-24EA-4eb8-9CBF-B6C8F9C3D259}">
          <x15:cachedUniqueNames>
            <x15:cachedUniqueName index="0" name="[Mappings].[Summary Grouping].&amp;[Advertising]"/>
            <x15:cachedUniqueName index="1" name="[Mappings].[Summary Grouping].&amp;[Other G&amp;A]"/>
            <x15:cachedUniqueName index="2" name="[Mappings].[Summary Grouping].&amp;[Payroll]"/>
            <x15:cachedUniqueName index="3" name="[Mappings].[Summary Grouping].&amp;[Professional Fees]"/>
          </x15:cachedUniqueNames>
        </ext>
      </extLst>
    </cacheField>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2"/>
      </fieldsUsage>
    </cacheHierarchy>
    <cacheHierarchy uniqueName="[Mappings].[Summary Grouping]" caption="Summary Grouping" attribute="1" defaultMemberUniqueName="[Mappings].[Summary Grouping].[All]" allUniqueName="[Mappings].[Summary Grouping].[All]" dimensionUniqueName="[Mappings]" displayFolder="" count="2" memberValueDatatype="130" unbalanced="0">
      <fieldsUsage count="2">
        <fieldUsage x="-1"/>
        <fieldUsage x="6"/>
      </fieldsUsage>
    </cacheHierarchy>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1"/>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0"/>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oneField="1">
      <fieldsUsage count="1">
        <fieldUsage x="5"/>
      </fieldsUsage>
    </cacheHierarchy>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oneField="1">
      <fieldsUsage count="1">
        <fieldUsage x="3"/>
      </fieldsUsage>
    </cacheHierarchy>
    <cacheHierarchy uniqueName="[Measures].[Var to Prior Period (%)]" caption="Var to Prior Period (%)" measure="1" displayFolder="" measureGroup="Departmental Profit   Loss" count="0" oneField="1">
      <fieldsUsage count="1">
        <fieldUsage x="4"/>
      </fieldsUsage>
    </cacheHierarchy>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460648" backgroundQuery="1" createdVersion="8" refreshedVersion="8" minRefreshableVersion="3" recordCount="0" supportSubquery="1" supportAdvancedDrill="1" xr:uid="{85B57A7A-2C21-44BB-990F-C7096A87A69F}">
  <cacheSource type="external" connectionId="12"/>
  <cacheFields count="7">
    <cacheField name="[Measures].[Actual]" caption="Actual" numFmtId="0" hierarchy="35" level="32767"/>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Budget]" caption="Budget" numFmtId="0" hierarchy="38" level="32767"/>
    <cacheField name="[Measures].[Var to Budget Expense ($)]" caption="Var to Budget Expense ($)" numFmtId="0" hierarchy="66" level="32767"/>
    <cacheField name="[Measures].[Var to Budget Expense (%)]" caption="Var to Budget Expense (%)" numFmtId="0" hierarchy="67" level="32767"/>
    <cacheField name="[Mappings].[Summary Grouping].[Summary Grouping]" caption="Summary Grouping" numFmtId="0" hierarchy="17" level="1">
      <sharedItems count="4">
        <s v="Advertising"/>
        <s v="Other G&amp;A"/>
        <s v="Payroll"/>
        <s v="Professional Fees"/>
      </sharedItems>
      <extLst>
        <ext xmlns:x15="http://schemas.microsoft.com/office/spreadsheetml/2010/11/main" uri="{4F2E5C28-24EA-4eb8-9CBF-B6C8F9C3D259}">
          <x15:cachedUniqueNames>
            <x15:cachedUniqueName index="0" name="[Mappings].[Summary Grouping].&amp;[Advertising]"/>
            <x15:cachedUniqueName index="1" name="[Mappings].[Summary Grouping].&amp;[Other G&amp;A]"/>
            <x15:cachedUniqueName index="2" name="[Mappings].[Summary Grouping].&amp;[Payroll]"/>
            <x15:cachedUniqueName index="3" name="[Mappings].[Summary Grouping].&amp;[Professional Fees]"/>
          </x15:cachedUniqueNames>
        </ext>
      </extLst>
    </cacheField>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2"/>
      </fieldsUsage>
    </cacheHierarchy>
    <cacheHierarchy uniqueName="[Mappings].[Summary Grouping]" caption="Summary Grouping" attribute="1" defaultMemberUniqueName="[Mappings].[Summary Grouping].[All]" allUniqueName="[Mappings].[Summary Grouping].[All]" dimensionUniqueName="[Mappings]" displayFolder="" count="2" memberValueDatatype="130" unbalanced="0">
      <fieldsUsage count="2">
        <fieldUsage x="-1"/>
        <fieldUsage x="6"/>
      </fieldsUsage>
    </cacheHierarchy>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1"/>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0"/>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oneField="1">
      <fieldsUsage count="1">
        <fieldUsage x="3"/>
      </fieldsUsage>
    </cacheHierarchy>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oneField="1">
      <fieldsUsage count="1">
        <fieldUsage x="4"/>
      </fieldsUsage>
    </cacheHierarchy>
    <cacheHierarchy uniqueName="[Measures].[Var to Budget Expense (%)]" caption="Var to Budget Expense (%)" measure="1" displayFolder="" measureGroup="Departmental Profit   Loss" count="0" oneField="1">
      <fieldsUsage count="1">
        <fieldUsage x="5"/>
      </fieldsUsage>
    </cacheHierarchy>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5185187" backgroundQuery="1" createdVersion="8" refreshedVersion="8" minRefreshableVersion="3" recordCount="0" supportSubquery="1" supportAdvancedDrill="1" xr:uid="{778099AA-4B7D-40FC-AB23-62175BA2D3D7}">
  <cacheSource type="external" connectionId="12"/>
  <cacheFields count="7">
    <cacheField name="[Mappings].[Summary Grouping].[Summary Grouping]" caption="Summary Grouping" numFmtId="0" hierarchy="17" level="1">
      <sharedItems count="3">
        <s v="EBITDA"/>
        <s v="Gross Profit"/>
        <s v="Revenue"/>
      </sharedItems>
      <extLst>
        <ext xmlns:x15="http://schemas.microsoft.com/office/spreadsheetml/2010/11/main" uri="{4F2E5C28-24EA-4eb8-9CBF-B6C8F9C3D259}">
          <x15:cachedUniqueNames>
            <x15:cachedUniqueName index="0" name="[Mappings].[Summary Grouping].&amp;[EBITDA]"/>
            <x15:cachedUniqueName index="1" name="[Mappings].[Summary Grouping].&amp;[Gross Profit]"/>
            <x15:cachedUniqueName index="2" name="[Mappings].[Summary Grouping].&amp;[Revenue]"/>
          </x15:cachedUniqueNames>
        </ext>
      </extLst>
    </cacheField>
    <cacheField name="[Measures].[Actual]" caption="Actual" numFmtId="0" hierarchy="35" level="32767"/>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Budget]" caption="Budget" numFmtId="0" hierarchy="38" level="32767"/>
    <cacheField name="[Measures].[Var to Budget Income ($)]" caption="Var to Budget Income ($)" numFmtId="0" hierarchy="68" level="32767"/>
    <cacheField name="[Measures].[Var to Budget Income (%)]" caption="Var to Budget Income (%)" numFmtId="0" hierarchy="69" level="32767"/>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3"/>
      </fieldsUsage>
    </cacheHierarchy>
    <cacheHierarchy uniqueName="[Mappings].[Summary Grouping]" caption="Summary Grouping" attribute="1" defaultMemberUniqueName="[Mappings].[Summary Grouping].[All]" allUniqueName="[Mappings].[Summary Grouping].[All]" dimensionUniqueName="[Mappings]" displayFolder="" count="2" memberValueDatatype="130" unbalanced="0">
      <fieldsUsage count="2">
        <fieldUsage x="-1"/>
        <fieldUsage x="0"/>
      </fieldsUsage>
    </cacheHierarchy>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2"/>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1"/>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oneField="1">
      <fieldsUsage count="1">
        <fieldUsage x="4"/>
      </fieldsUsage>
    </cacheHierarchy>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oneField="1">
      <fieldsUsage count="1">
        <fieldUsage x="5"/>
      </fieldsUsage>
    </cacheHierarchy>
    <cacheHierarchy uniqueName="[Measures].[Var to Budget Income (%)]" caption="Var to Budget Income (%)" measure="1" displayFolder="" measureGroup="Departmental Profit   Loss" count="0" oneField="1">
      <fieldsUsage count="1">
        <fieldUsage x="6"/>
      </fieldsUsage>
    </cacheHierarchy>
    <cacheHierarchy uniqueName="[Measures].[Var to Prior Period ($)]" caption="Var to Prior Period ($)" measure="1" displayFolder="" measureGroup="Departmental Profit   Loss" count="0"/>
    <cacheHierarchy uniqueName="[Measures].[Var to Prior Period (%)]" caption="Var to Prior Period (%)" measure="1" displayFolder="" measureGroup="Departmental Profit   Loss" count="0"/>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hmed Saleh" refreshedDate="45701.091385763888" backgroundQuery="1" createdVersion="8" refreshedVersion="8" minRefreshableVersion="3" recordCount="0" supportSubquery="1" supportAdvancedDrill="1" xr:uid="{0572CE6C-0666-4B14-9264-9513C699D544}">
  <cacheSource type="external" connectionId="12"/>
  <cacheFields count="7">
    <cacheField name="[Mappings].[Summary Grouping].[Summary Grouping]" caption="Summary Grouping" numFmtId="0" hierarchy="17" level="1">
      <sharedItems count="3">
        <s v="EBITDA"/>
        <s v="Gross Profit"/>
        <s v="Revenue"/>
      </sharedItems>
      <extLst>
        <ext xmlns:x15="http://schemas.microsoft.com/office/spreadsheetml/2010/11/main" uri="{4F2E5C28-24EA-4eb8-9CBF-B6C8F9C3D259}">
          <x15:cachedUniqueNames>
            <x15:cachedUniqueName index="0" name="[Mappings].[Summary Grouping].&amp;[EBITDA]"/>
            <x15:cachedUniqueName index="1" name="[Mappings].[Summary Grouping].&amp;[Gross Profit]"/>
            <x15:cachedUniqueName index="2" name="[Mappings].[Summary Grouping].&amp;[Revenue]"/>
          </x15:cachedUniqueNames>
        </ext>
      </extLst>
    </cacheField>
    <cacheField name="[Measures].[Actual]" caption="Actual" numFmtId="0" hierarchy="35" level="32767"/>
    <cacheField name="[TableView].[Period].[Period]" caption="Period" numFmtId="0" hierarchy="21" level="1">
      <sharedItems containsSemiMixedTypes="0" containsNonDate="0" containsString="0"/>
    </cacheField>
    <cacheField name="[Mappings].[Section].[Section]" caption="Section" numFmtId="0" hierarchy="16" level="1">
      <sharedItems containsSemiMixedTypes="0" containsNonDate="0" containsString="0"/>
    </cacheField>
    <cacheField name="[Measures].[Prior Period]" caption="Prior Period" numFmtId="0" hierarchy="60" level="32767"/>
    <cacheField name="[Measures].[Var to Prior Period ($)]" caption="Var to Prior Period ($)" numFmtId="0" hierarchy="70" level="32767"/>
    <cacheField name="[Measures].[Var to Prior Period (%)]" caption="Var to Prior Period (%)" numFmtId="0" hierarchy="71" level="32767"/>
  </cacheFields>
  <cacheHierarchies count="82">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 caption="MMM-YY" attribute="1" time="1" defaultMemberUniqueName="[Calendar].[MMM-YY].[All]" allUniqueName="[Calendar].[MMM-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Date Value]" caption="Date Value" attribute="1" time="1" defaultMemberUniqueName="[Calendar].[Date Value].[All]" allUniqueName="[Calendar].[Date Value].[All]" dimensionUniqueName="[Calendar]" displayFolder="" count="0" memberValueDatatype="5" unbalanced="0"/>
    <cacheHierarchy uniqueName="[Departmental Profit   Loss].[Department]" caption="Department" attribute="1" defaultMemberUniqueName="[Departmental Profit   Loss].[Department].[All]" allUniqueName="[Departmental Profit   Loss].[Department].[All]" dimensionUniqueName="[Departmental Profit   Loss]" displayFolder="" count="0" memberValueDatatype="130" unbalanced="0"/>
    <cacheHierarchy uniqueName="[Departmental Profit   Loss].[Value]" caption="Value" attribute="1" defaultMemberUniqueName="[Departmental Profit   Loss].[Value].[All]" allUniqueName="[Departmental Profit   Loss].[Value].[All]" dimensionUniqueName="[Departmental Profit   Loss]" displayFolder="" count="0" memberValueDatatype="5" unbalanced="0"/>
    <cacheHierarchy uniqueName="[Departmental Profit   Loss].[Sign]" caption="Sign" attribute="1" defaultMemberUniqueName="[Departmental Profit   Loss].[Sign].[All]" allUniqueName="[Departmental Profit   Loss].[Sign].[All]" dimensionUniqueName="[Departmental Profit   Loss]" displayFolder="" count="0" memberValueDatatype="20" unbalanced="0"/>
    <cacheHierarchy uniqueName="[Departmental Profit   Loss_Budget].[Value]" caption="Value" attribute="1" defaultMemberUniqueName="[Departmental Profit   Loss_Budget].[Value].[All]" allUniqueName="[Departmental Profit   Loss_Budget].[Value].[All]" dimensionUniqueName="[Departmental Profit   Loss_Budget]" displayFolder="" count="0" memberValueDatatype="5" unbalanced="0"/>
    <cacheHierarchy uniqueName="[Departmental Profit   Loss_Budget].[Sign]" caption="Sign" attribute="1" defaultMemberUniqueName="[Departmental Profit   Loss_Budget].[Sign].[All]" allUniqueName="[Departmental Profit   Loss_Budget].[Sign].[All]" dimensionUniqueName="[Departmental Profit   Loss_Budget]" displayFolder="" count="0" memberValueDatatype="20" unbalanced="0"/>
    <cacheHierarchy uniqueName="[Departments].[Departments]" caption="Departments" attribute="1" defaultMemberUniqueName="[Departments].[Departments].[All]" allUniqueName="[Departments].[Departments].[All]" dimensionUniqueName="[Departments]" displayFolder="" count="0" memberValueDatatype="130" unbalanced="0"/>
    <cacheHierarchy uniqueName="[Mappings].[Account]" caption="Account" attribute="1" defaultMemberUniqueName="[Mappings].[Account].[All]" allUniqueName="[Mappings].[Account].[All]" dimensionUniqueName="[Mappings]" displayFolder="" count="0" memberValueDatatype="130" unbalanced="0"/>
    <cacheHierarchy uniqueName="[Mappings].[Section]" caption="Section" attribute="1" defaultMemberUniqueName="[Mappings].[Section].[All]" allUniqueName="[Mappings].[Section].[All]" dimensionUniqueName="[Mappings]" displayFolder="" count="2" memberValueDatatype="130" unbalanced="0">
      <fieldsUsage count="2">
        <fieldUsage x="-1"/>
        <fieldUsage x="3"/>
      </fieldsUsage>
    </cacheHierarchy>
    <cacheHierarchy uniqueName="[Mappings].[Summary Grouping]" caption="Summary Grouping" attribute="1" defaultMemberUniqueName="[Mappings].[Summary Grouping].[All]" allUniqueName="[Mappings].[Summary Grouping].[All]" dimensionUniqueName="[Mappings]" displayFolder="" count="2" memberValueDatatype="130" unbalanced="0">
      <fieldsUsage count="2">
        <fieldUsage x="-1"/>
        <fieldUsage x="0"/>
      </fieldsUsage>
    </cacheHierarchy>
    <cacheHierarchy uniqueName="[Mappings].[Sign]" caption="Sign" attribute="1" defaultMemberUniqueName="[Mappings].[Sign].[All]" allUniqueName="[Mappings].[Sign].[All]" dimensionUniqueName="[Mappings]" displayFolder="" count="0" memberValueDatatype="20" unbalanced="0"/>
    <cacheHierarchy uniqueName="[Predefined_Dates].[Period]" caption="Period" attribute="1" defaultMemberUniqueName="[Predefined_Dates].[Period].[All]" allUniqueName="[Predefined_Dates].[Period].[All]" dimensionUniqueName="[Predefined_Dates]" displayFolder="" count="0" memberValueDatatype="130" unbalanced="0"/>
    <cacheHierarchy uniqueName="[Predefined_Dates].[Date]" caption="Date" attribute="1" time="1" defaultMemberUniqueName="[Predefined_Dates].[Date].[All]" allUniqueName="[Predefined_Dates].[Date].[All]" dimensionUniqueName="[Predefined_Dates]" displayFolder="" count="0" memberValueDatatype="7" unbalanced="0"/>
    <cacheHierarchy uniqueName="[TableView].[Period]" caption="Period" attribute="1" defaultMemberUniqueName="[TableView].[Period].[All]" allUniqueName="[TableView].[Period].[All]" dimensionUniqueName="[TableView]" displayFolder="" count="2" memberValueDatatype="130" unbalanced="0">
      <fieldsUsage count="2">
        <fieldUsage x="-1"/>
        <fieldUsage x="2"/>
      </fieldsUsage>
    </cacheHierarchy>
    <cacheHierarchy uniqueName="[Departmental Profit   Loss].[Account]" caption="Account" attribute="1" defaultMemberUniqueName="[Departmental Profit   Loss].[Account].[All]" allUniqueName="[Departmental Profit   Loss].[Account].[All]" dimensionUniqueName="[Departmental Profit   Loss]" displayFolder="" count="0" memberValueDatatype="130" unbalanced="0" hidden="1"/>
    <cacheHierarchy uniqueName="[Departmental Profit   Loss].[Date]" caption="Date" attribute="1" time="1" defaultMemberUniqueName="[Departmental Profit   Loss].[Date].[All]" allUniqueName="[Departmental Profit   Loss].[Date].[All]" dimensionUniqueName="[Departmental Profit   Loss]" displayFolder="" count="0" memberValueDatatype="7" unbalanced="0" hidden="1"/>
    <cacheHierarchy uniqueName="[Departmental Profit   Loss].[Date (Month Index)]" caption="Date (Month Index)" attribute="1" defaultMemberUniqueName="[Departmental Profit   Loss].[Date (Month Index)].[All]" allUniqueName="[Departmental Profit   Loss].[Date (Month Index)].[All]" dimensionUniqueName="[Departmental Profit   Loss]" displayFolder="" count="0" memberValueDatatype="20" unbalanced="0" hidden="1"/>
    <cacheHierarchy uniqueName="[Departmental Profit   Loss].[Date (Month)]" caption="Date (Month)" attribute="1" defaultMemberUniqueName="[Departmental Profit   Loss].[Date (Month)].[All]" allUniqueName="[Departmental Profit   Loss].[Date (Month)].[All]" dimensionUniqueName="[Departmental Profit   Loss]" displayFolder="" count="0" memberValueDatatype="130" unbalanced="0" hidden="1"/>
    <cacheHierarchy uniqueName="[Departmental Profit   Loss_Budget].[Account]" caption="Account" attribute="1" defaultMemberUniqueName="[Departmental Profit   Loss_Budget].[Account].[All]" allUniqueName="[Departmental Profit   Loss_Budget].[Account].[All]" dimensionUniqueName="[Departmental Profit   Loss_Budget]" displayFolder="" count="0" memberValueDatatype="130" unbalanced="0" hidden="1"/>
    <cacheHierarchy uniqueName="[Departmental Profit   Loss_Budget].[Date]" caption="Date" attribute="1" time="1" defaultMemberUniqueName="[Departmental Profit   Loss_Budget].[Date].[All]" allUniqueName="[Departmental Profit   Loss_Budget].[Date].[All]" dimensionUniqueName="[Departmental Profit   Loss_Budget]" displayFolder="" count="0" memberValueDatatype="7" unbalanced="0" hidden="1"/>
    <cacheHierarchy uniqueName="[Departmental Profit   Loss_Budget].[Department]" caption="Department" attribute="1" defaultMemberUniqueName="[Departmental Profit   Loss_Budget].[Department].[All]" allUniqueName="[Departmental Profit   Loss_Budget].[Department].[All]" dimensionUniqueName="[Departmental Profit   Loss_Budget]" displayFolder="" count="0" memberValueDatatype="130" unbalanced="0" hidden="1"/>
    <cacheHierarchy uniqueName="[Measures].[Sum of Value]" caption="Sum of Value" measure="1" displayFolder="" measureGroup="Departmental Profit   Loss" count="0">
      <extLst>
        <ext xmlns:x15="http://schemas.microsoft.com/office/spreadsheetml/2010/11/main" uri="{B97F6D7D-B522-45F9-BDA1-12C45D357490}">
          <x15:cacheHierarchy aggregatedColumn="10"/>
        </ext>
      </extLst>
    </cacheHierarchy>
    <cacheHierarchy uniqueName="[Measures].[Count of Period]" caption="Count of Period" measure="1" displayFolder="" measureGroup="TableView" count="0">
      <extLst>
        <ext xmlns:x15="http://schemas.microsoft.com/office/spreadsheetml/2010/11/main" uri="{B97F6D7D-B522-45F9-BDA1-12C45D357490}">
          <x15:cacheHierarchy aggregatedColumn="21"/>
        </ext>
      </extLst>
    </cacheHierarchy>
    <cacheHierarchy uniqueName="[Measures].[Sum of Value 2]" caption="Sum of Value 2" measure="1" displayFolder="" measureGroup="Departmental Profit   Loss_Budget" count="0">
      <extLst>
        <ext xmlns:x15="http://schemas.microsoft.com/office/spreadsheetml/2010/11/main" uri="{B97F6D7D-B522-45F9-BDA1-12C45D357490}">
          <x15:cacheHierarchy aggregatedColumn="12"/>
        </ext>
      </extLst>
    </cacheHierarchy>
    <cacheHierarchy uniqueName="[Measures].[SelectedView]" caption="SelectedView" measure="1" displayFolder="" measureGroup="TableView" count="0"/>
    <cacheHierarchy uniqueName="[Measures].[2024 Values]" caption="2024 Values" measure="1" displayFolder="" measureGroup="Departmental Profit   Loss" count="0"/>
    <cacheHierarchy uniqueName="[Measures].[YTD Values]" caption="YTD Values" measure="1" displayFolder="" measureGroup="Departmental Profit   Loss" count="0"/>
    <cacheHierarchy uniqueName="[Measures].[Actual]" caption="Actual" measure="1" displayFolder="" measureGroup="Departmental Profit   Loss" count="0" oneField="1">
      <fieldsUsage count="1">
        <fieldUsage x="1"/>
      </fieldsUsage>
    </cacheHierarchy>
    <cacheHierarchy uniqueName="[Measures].[YTD Values_Budget]" caption="YTD Values_Budget" measure="1" displayFolder="" measureGroup="Departmental Profit   Loss_Budget" count="0"/>
    <cacheHierarchy uniqueName="[Measures].[2024 Values_Budget]" caption="2024 Values_Budget" measure="1" displayFolder="" measureGroup="Departmental Profit   Loss_Budget" count="0"/>
    <cacheHierarchy uniqueName="[Measures].[Budget]" caption="Budget" measure="1" displayFolder="" measureGroup="Departmental Profit   Loss_Budget" count="0"/>
    <cacheHierarchy uniqueName="[Measures].[2023 Values]" caption="2023 Values" measure="1" displayFolder="" measureGroup="Departmental Profit   Loss" count="0"/>
    <cacheHierarchy uniqueName="[Measures].[2023 Values_Budget]" caption="2023 Values_Budget" measure="1" displayFolder="" measureGroup="Departmental Profit   Loss_Budget" count="0"/>
    <cacheHierarchy uniqueName="[Measures].[2025 Values]" caption="2025 Values" measure="1" displayFolder="" measureGroup="Departmental Profit   Loss" count="0"/>
    <cacheHierarchy uniqueName="[Measures].[2025 Values_Budget]" caption="2025 Values_Budget" measure="1" displayFolder="" measureGroup="Departmental Profit   Loss_Budget" count="0"/>
    <cacheHierarchy uniqueName="[Measures].[Current Months Values]" caption="Current Months Values" measure="1" displayFolder="" measureGroup="Departmental Profit   Loss" count="0"/>
    <cacheHierarchy uniqueName="[Measures].[Trailing 12 Months Values]" caption="Trailing 12 Months Values" measure="1" displayFolder="" measureGroup="Departmental Profit   Loss" count="0"/>
    <cacheHierarchy uniqueName="[Measures].[Trailing 3 Months Values]" caption="Trailing 3 Months Values" measure="1" displayFolder="" measureGroup="Departmental Profit   Loss" count="0"/>
    <cacheHierarchy uniqueName="[Measures].[Trailing 6 Months Values]" caption="Trailing 6 Months Values" measure="1" displayFolder="" measureGroup="Departmental Profit   Loss" count="0"/>
    <cacheHierarchy uniqueName="[Measures].[Current Months Values_Budget]" caption="Current Months Values_Budget" measure="1" displayFolder="" measureGroup="Departmental Profit   Loss_Budget" count="0"/>
    <cacheHierarchy uniqueName="[Measures].[Trailing 12 Months Values_Budget]" caption="Trailing 12 Months Values_Budget" measure="1" displayFolder="" measureGroup="Departmental Profit   Loss_Budget" count="0"/>
    <cacheHierarchy uniqueName="[Measures].[Trailing 3 Months Values_Budget]" caption="Trailing 3 Months Values_Budget" measure="1" displayFolder="" measureGroup="Departmental Profit   Loss_Budget" count="0"/>
    <cacheHierarchy uniqueName="[Measures].[Trailing 6 Months Values_Budget]" caption="Trailing 6 Months Values_Budget" measure="1" displayFolder="" measureGroup="Departmental Profit   Loss_Budget" count="0"/>
    <cacheHierarchy uniqueName="[Measures].[Revenue]" caption="Revenue" measure="1" displayFolder="" measureGroup="Departmental Profit   Loss" count="0"/>
    <cacheHierarchy uniqueName="[Measures].[Gross Profit]" caption="Gross Profit" measure="1" displayFolder="" measureGroup="Departmental Profit   Loss" count="0"/>
    <cacheHierarchy uniqueName="[Measures].[Gross margin]" caption="Gross margin" measure="1" displayFolder="" measureGroup="Departmental Profit   Loss" count="0"/>
    <cacheHierarchy uniqueName="[Measures].[Prior Period Current Months Values]" caption="Prior Period Current Months Values" measure="1" displayFolder="" measureGroup="Departmental Profit   Loss" count="0"/>
    <cacheHierarchy uniqueName="[Measures].[Prior Period Trailing 12 Months Values]" caption="Prior Period Trailing 12 Months Values" measure="1" displayFolder="" measureGroup="Departmental Profit   Loss" count="0"/>
    <cacheHierarchy uniqueName="[Measures].[Prior Year YTD Values]" caption="Prior Year YTD Values" measure="1" displayFolder="" measureGroup="Departmental Profit   Loss" count="0"/>
    <cacheHierarchy uniqueName="[Measures].[Prior Period YTD Values]" caption="Prior Period YTD Values" measure="1" displayFolder="" measureGroup="Departmental Profit   Loss" count="0"/>
    <cacheHierarchy uniqueName="[Measures].[Prior Period Trailing 3 Months Values]" caption="Prior Period Trailing 3 Months Values" measure="1" displayFolder="" measureGroup="Departmental Profit   Loss" count="0"/>
    <cacheHierarchy uniqueName="[Measures].[Prior Period Trailing 6 Months Values]" caption="Prior Period Trailing 6 Months Values" measure="1" displayFolder="" measureGroup="Departmental Profit   Loss" count="0"/>
    <cacheHierarchy uniqueName="[Measures].[Prior Period]" caption="Prior Period" measure="1" displayFolder="" measureGroup="Departmental Profit   Loss" count="0" oneField="1">
      <fieldsUsage count="1">
        <fieldUsage x="4"/>
      </fieldsUsage>
    </cacheHierarchy>
    <cacheHierarchy uniqueName="[Measures].[Prior Year Current Months Values]" caption="Prior Year Current Months Values" measure="1" displayFolder="" measureGroup="Departmental Profit   Loss" count="0"/>
    <cacheHierarchy uniqueName="[Measures].[Prior Year Trailing 3 Months Values]" caption="Prior Year Trailing 3 Months Values" measure="1" displayFolder="" measureGroup="Departmental Profit   Loss" count="0"/>
    <cacheHierarchy uniqueName="[Measures].[Prior Year Trailing 6 Months Values]" caption="Prior Year Trailing 6 Months Values" measure="1" displayFolder="" measureGroup="Departmental Profit   Loss" count="0"/>
    <cacheHierarchy uniqueName="[Measures].[Prior Year Trailing 12 Months Values]" caption="Prior Year Trailing 12 Months Values" measure="1" displayFolder="" measureGroup="Departmental Profit   Loss" count="0"/>
    <cacheHierarchy uniqueName="[Measures].[Prior Year]" caption="Prior Year" measure="1" displayFolder="" measureGroup="Departmental Profit   Loss" count="0"/>
    <cacheHierarchy uniqueName="[Measures].[Var to Budget Expense ($)]" caption="Var to Budget Expense ($)" measure="1" displayFolder="" measureGroup="Departmental Profit   Loss" count="0"/>
    <cacheHierarchy uniqueName="[Measures].[Var to Budget Expense (%)]" caption="Var to Budget Expense (%)" measure="1" displayFolder="" measureGroup="Departmental Profit   Loss" count="0"/>
    <cacheHierarchy uniqueName="[Measures].[Var to Budget Income ($)]" caption="Var to Budget Income ($)" measure="1" displayFolder="" measureGroup="Departmental Profit   Loss" count="0"/>
    <cacheHierarchy uniqueName="[Measures].[Var to Budget Income (%)]" caption="Var to Budget Income (%)" measure="1" displayFolder="" measureGroup="Departmental Profit   Loss" count="0"/>
    <cacheHierarchy uniqueName="[Measures].[Var to Prior Period ($)]" caption="Var to Prior Period ($)" measure="1" displayFolder="" measureGroup="Departmental Profit   Loss" count="0" oneField="1">
      <fieldsUsage count="1">
        <fieldUsage x="5"/>
      </fieldsUsage>
    </cacheHierarchy>
    <cacheHierarchy uniqueName="[Measures].[Var to Prior Period (%)]" caption="Var to Prior Period (%)" measure="1" displayFolder="" measureGroup="Departmental Profit   Loss" count="0" oneField="1">
      <fieldsUsage count="1">
        <fieldUsage x="6"/>
      </fieldsUsage>
    </cacheHierarchy>
    <cacheHierarchy uniqueName="[Measures].[Var to Prior Year ($)]" caption="Var to Prior Year ($)" measure="1" displayFolder="" measureGroup="Departmental Profit   Loss" count="0"/>
    <cacheHierarchy uniqueName="[Measures].[Var to Prior Year (%)]" caption="Var to Prior Year (%)" measure="1" displayFolder="" measureGroup="Departmental Profit   Loss" count="0"/>
    <cacheHierarchy uniqueName="[Measures].[__XL_Count TableView]" caption="__XL_Count TableView" measure="1" displayFolder="" measureGroup="TableView" count="0" hidden="1"/>
    <cacheHierarchy uniqueName="[Measures].[__XL_Count Mappings]" caption="__XL_Count Mappings" measure="1" displayFolder="" measureGroup="Mappings" count="0" hidden="1"/>
    <cacheHierarchy uniqueName="[Measures].[__XL_Count Departmental Profit   Loss]" caption="__XL_Count Departmental Profit   Loss" measure="1" displayFolder="" measureGroup="Departmental Profit   Loss" count="0" hidden="1"/>
    <cacheHierarchy uniqueName="[Measures].[__XL_Count Departmental Profit   Loss_Budget]" caption="__XL_Count Departmental Profit   Loss_Budget" measure="1" displayFolder="" measureGroup="Departmental Profit   Loss_Budget" count="0" hidden="1"/>
    <cacheHierarchy uniqueName="[Measures].[__XL_Count Calendar]" caption="__XL_Count Calendar" measure="1" displayFolder="" measureGroup="Calendar" count="0" hidden="1"/>
    <cacheHierarchy uniqueName="[Measures].[__XL_Count Departments 1]" caption="__XL_Count Departments 1" measure="1" displayFolder="" measureGroup="Departments" count="0" hidden="1"/>
    <cacheHierarchy uniqueName="[Measures].[__XL_Count Predefined_Dates]" caption="__XL_Count Predefined_Dates" measure="1" displayFolder="" measureGroup="Predefined_Dates" count="0" hidden="1"/>
    <cacheHierarchy uniqueName="[Measures].[__No measures defined]" caption="__No measures defined" measure="1" displayFolder="" count="0" hidden="1"/>
  </cacheHierarchies>
  <kpis count="0"/>
  <dimensions count="8">
    <dimension name="Calendar" uniqueName="[Calendar]" caption="Calendar"/>
    <dimension name="Departmental Profit   Loss" uniqueName="[Departmental Profit   Loss]" caption="Departmental Profit   Loss"/>
    <dimension name="Departmental Profit   Loss_Budget" uniqueName="[Departmental Profit   Loss_Budget]" caption="Departmental Profit   Loss_Budget"/>
    <dimension name="Departments" uniqueName="[Departments]" caption="Departments"/>
    <dimension name="Mappings" uniqueName="[Mappings]" caption="Mappings"/>
    <dimension measure="1" name="Measures" uniqueName="[Measures]" caption="Measures"/>
    <dimension name="Predefined_Dates" uniqueName="[Predefined_Dates]" caption="Predefined_Dates"/>
    <dimension name="TableView" uniqueName="[TableView]" caption="TableView"/>
  </dimensions>
  <measureGroups count="7">
    <measureGroup name="Calendar" caption="Calendar"/>
    <measureGroup name="Departmental Profit   Loss" caption="Departmental Profit   Loss"/>
    <measureGroup name="Departmental Profit   Loss_Budget" caption="Departmental Profit   Loss_Budget"/>
    <measureGroup name="Departments" caption="Departments"/>
    <measureGroup name="Mappings" caption="Mappings"/>
    <measureGroup name="Predefined_Dates" caption="Predefined_Dates"/>
    <measureGroup name="TableView" caption="TableView"/>
  </measureGroups>
  <maps count="13">
    <map measureGroup="0" dimension="0"/>
    <map measureGroup="1" dimension="0"/>
    <map measureGroup="1" dimension="1"/>
    <map measureGroup="1" dimension="3"/>
    <map measureGroup="1" dimension="4"/>
    <map measureGroup="2" dimension="0"/>
    <map measureGroup="2" dimension="2"/>
    <map measureGroup="2" dimension="3"/>
    <map measureGroup="2" dimension="4"/>
    <map measureGroup="3" dimension="3"/>
    <map measureGroup="4" dimension="4"/>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CE22B05-6D98-495D-ACFD-5C946CAEE5F1}" name="PivotTable5" cacheId="74" applyNumberFormats="0" applyBorderFormats="0" applyFontFormats="0" applyPatternFormats="0" applyAlignmentFormats="0" applyWidthHeightFormats="1" dataCaption="Values" tag="60e26ce5-9a83-4445-bc05-b64c29c7d44d" updatedVersion="8" minRefreshableVersion="3" useAutoFormatting="1" subtotalHiddenItems="1" colGrandTotals="0" itemPrintTitles="1" createdVersion="8" indent="0" outline="1" outlineData="1" multipleFieldFilters="0" chartFormat="34" rowHeaderCaption=" " colHeaderCaption=" ">
  <location ref="AM26:AN31" firstHeaderRow="1" firstDataRow="1" firstDataCol="1" rowPageCount="1" colPageCount="1"/>
  <pivotFields count="4">
    <pivotField allDrilled="1" showAll="0" dataSourceSort="1" defaultAttributeDrillState="1"/>
    <pivotField axis="axisPage" allDrilled="1" showAll="0" dataSourceSort="1" defaultAttributeDrillState="1">
      <items count="1">
        <item t="default"/>
      </items>
    </pivotField>
    <pivotField dataField="1" showAll="0"/>
    <pivotField axis="axisRow" allDrilled="1" showAll="0" dataSourceSort="1" defaultAttributeDrillState="1">
      <items count="5">
        <item x="0"/>
        <item x="1"/>
        <item x="2"/>
        <item x="3"/>
        <item t="default"/>
      </items>
    </pivotField>
  </pivotFields>
  <rowFields count="1">
    <field x="3"/>
  </rowFields>
  <rowItems count="5">
    <i>
      <x/>
    </i>
    <i>
      <x v="1"/>
    </i>
    <i>
      <x v="2"/>
    </i>
    <i>
      <x v="3"/>
    </i>
    <i t="grand">
      <x/>
    </i>
  </rowItems>
  <colItems count="1">
    <i/>
  </colItems>
  <pageFields count="1">
    <pageField fld="1" hier="16" name="[Mappings].[Section].&amp;[Expenses]" cap="Expenses"/>
  </pageFields>
  <dataFields count="1">
    <dataField name=" " fld="2" subtotal="count" baseField="0" baseItem="0"/>
  </dataFields>
  <formats count="3">
    <format dxfId="14">
      <pivotArea type="all" dataOnly="0" outline="0" fieldPosition="0"/>
    </format>
    <format dxfId="13">
      <pivotArea outline="0" collapsedLevelsAreSubtotals="1" fieldPosition="0"/>
    </format>
    <format dxfId="12">
      <pivotArea dataOnly="0" labelOnly="1" outline="0" axis="axisValues" fieldPosition="0"/>
    </format>
  </formats>
  <chartFormats count="9">
    <chartFormat chart="15" format="0" series="1">
      <pivotArea type="data" outline="0" fieldPosition="0">
        <references count="1">
          <reference field="4294967294" count="1" selected="0">
            <x v="0"/>
          </reference>
        </references>
      </pivotArea>
    </chartFormat>
    <chartFormat chart="19" format="0" series="1">
      <pivotArea type="data" outline="0" fieldPosition="0">
        <references count="1">
          <reference field="4294967294" count="1" selected="0">
            <x v="0"/>
          </reference>
        </references>
      </pivotArea>
    </chartFormat>
    <chartFormat chart="24" format="10" series="1">
      <pivotArea type="data" outline="0" fieldPosition="0">
        <references count="1">
          <reference field="4294967294" count="1" selected="0">
            <x v="0"/>
          </reference>
        </references>
      </pivotArea>
    </chartFormat>
    <chartFormat chart="25" format="10" series="1">
      <pivotArea type="data" outline="0" fieldPosition="0">
        <references count="1">
          <reference field="4294967294" count="1" selected="0">
            <x v="0"/>
          </reference>
        </references>
      </pivotArea>
    </chartFormat>
    <chartFormat chart="33" format="20" series="1">
      <pivotArea type="data" outline="0" fieldPosition="0">
        <references count="1">
          <reference field="4294967294" count="1" selected="0">
            <x v="0"/>
          </reference>
        </references>
      </pivotArea>
    </chartFormat>
    <chartFormat chart="33" format="21">
      <pivotArea type="data" outline="0" fieldPosition="0">
        <references count="2">
          <reference field="4294967294" count="1" selected="0">
            <x v="0"/>
          </reference>
          <reference field="3" count="1" selected="0">
            <x v="0"/>
          </reference>
        </references>
      </pivotArea>
    </chartFormat>
    <chartFormat chart="33" format="22">
      <pivotArea type="data" outline="0" fieldPosition="0">
        <references count="2">
          <reference field="4294967294" count="1" selected="0">
            <x v="0"/>
          </reference>
          <reference field="3" count="1" selected="0">
            <x v="1"/>
          </reference>
        </references>
      </pivotArea>
    </chartFormat>
    <chartFormat chart="33" format="23">
      <pivotArea type="data" outline="0" fieldPosition="0">
        <references count="2">
          <reference field="4294967294" count="1" selected="0">
            <x v="0"/>
          </reference>
          <reference field="3" count="1" selected="0">
            <x v="2"/>
          </reference>
        </references>
      </pivotArea>
    </chartFormat>
    <chartFormat chart="33" format="24">
      <pivotArea type="data" outline="0" fieldPosition="0">
        <references count="2">
          <reference field="4294967294" count="1" selected="0">
            <x v="0"/>
          </reference>
          <reference field="3" count="1" selected="0">
            <x v="3"/>
          </reference>
        </references>
      </pivotArea>
    </chartFormat>
  </chart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caption="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4C7E67D-DB22-49E8-9137-5AF6805B6099}" name="PivotTable15" cacheId="69" applyNumberFormats="0" applyBorderFormats="0" applyFontFormats="0" applyPatternFormats="0" applyAlignmentFormats="0" applyWidthHeightFormats="1" dataCaption="Values" tag="1573862c-9e5f-470e-8386-7dcb612352bf" updatedVersion="8" minRefreshableVersion="3" useAutoFormatting="1" subtotalHiddenItems="1" itemPrintTitles="1" createdVersion="8" indent="0" outline="1" outlineData="1" multipleFieldFilters="0" rowHeaderCaption="AvPY: Rev, GP, EBITDA">
  <location ref="O29:S33" firstHeaderRow="0" firstDataRow="1" firstDataCol="1" rowPageCount="1" colPageCount="1"/>
  <pivotFields count="7">
    <pivotField axis="axisRow" allDrilled="1" showAll="0">
      <items count="4">
        <item x="2" e="0"/>
        <item x="1" e="0"/>
        <item x="0" e="0"/>
        <item t="default"/>
      </items>
    </pivotField>
    <pivotField dataField="1" subtotalTop="0" showAll="0" defaultSubtotal="0"/>
    <pivotField allDrilled="1" showAll="0" dataSourceSort="1" defaultAttributeDrillState="1"/>
    <pivotField axis="axisPage" allDrilled="1" showAll="0" dataSourceSort="1" defaultAttributeDrillState="1">
      <items count="1">
        <item t="default"/>
      </items>
    </pivotField>
    <pivotField dataField="1" showAll="0"/>
    <pivotField dataField="1" showAll="0"/>
    <pivotField dataField="1" showAll="0"/>
  </pivotFields>
  <rowFields count="1">
    <field x="0"/>
  </rowFields>
  <rowItems count="4">
    <i>
      <x/>
    </i>
    <i>
      <x v="1"/>
    </i>
    <i>
      <x v="2"/>
    </i>
    <i t="grand">
      <x/>
    </i>
  </rowItems>
  <colFields count="1">
    <field x="-2"/>
  </colFields>
  <colItems count="4">
    <i>
      <x/>
    </i>
    <i i="1">
      <x v="1"/>
    </i>
    <i i="2">
      <x v="2"/>
    </i>
    <i i="3">
      <x v="3"/>
    </i>
  </colItems>
  <pageFields count="1">
    <pageField fld="3" hier="16" name="[Mappings].[Section].&amp;[EBITDA]" cap="EBITDA"/>
  </pageFields>
  <dataFields count="4">
    <dataField fld="4" subtotal="count" baseField="0" baseItem="0"/>
    <dataField fld="1" subtotal="count" baseField="0" baseItem="0"/>
    <dataField fld="5" subtotal="count" baseField="0" baseItem="0"/>
    <dataField fld="6" subtotal="count" baseField="0" baseItem="0"/>
  </dataFields>
  <formats count="8">
    <format dxfId="63">
      <pivotArea field="0" type="button" dataOnly="0" labelOnly="1" outline="0" axis="axisRow" fieldPosition="0"/>
    </format>
    <format dxfId="62">
      <pivotArea dataOnly="0" labelOnly="1" outline="0" fieldPosition="0">
        <references count="1">
          <reference field="4294967294" count="4">
            <x v="0"/>
            <x v="1"/>
            <x v="2"/>
            <x v="3"/>
          </reference>
        </references>
      </pivotArea>
    </format>
    <format dxfId="61">
      <pivotArea collapsedLevelsAreSubtotals="1" fieldPosition="0">
        <references count="1">
          <reference field="0" count="1">
            <x v="0"/>
          </reference>
        </references>
      </pivotArea>
    </format>
    <format dxfId="60">
      <pivotArea dataOnly="0" labelOnly="1" fieldPosition="0">
        <references count="1">
          <reference field="0" count="1">
            <x v="0"/>
          </reference>
        </references>
      </pivotArea>
    </format>
    <format dxfId="59">
      <pivotArea collapsedLevelsAreSubtotals="1" fieldPosition="0">
        <references count="1">
          <reference field="0" count="1">
            <x v="0"/>
          </reference>
        </references>
      </pivotArea>
    </format>
    <format dxfId="58">
      <pivotArea dataOnly="0" labelOnly="1" fieldPosition="0">
        <references count="1">
          <reference field="0" count="1">
            <x v="0"/>
          </reference>
        </references>
      </pivotArea>
    </format>
    <format dxfId="57">
      <pivotArea collapsedLevelsAreSubtotals="1" fieldPosition="0">
        <references count="1">
          <reference field="0" count="1">
            <x v="0"/>
          </reference>
        </references>
      </pivotArea>
    </format>
    <format dxfId="56">
      <pivotArea dataOnly="0" labelOnly="1" fieldPosition="0">
        <references count="1">
          <reference field="0" count="1">
            <x v="0"/>
          </reference>
        </references>
      </pivotArea>
    </format>
  </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Mappings].[Section].&amp;[EBITDA]"/>
        <member name="[Mappings].[Section].&amp;[Income]"/>
        <member name="[Mappings].[Section].&amp;[Gross Profit]"/>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BF3ACCE-DD9C-461A-B0A7-6C0C48B59801}" name="PivotTable1" cacheId="61" applyNumberFormats="0" applyBorderFormats="0" applyFontFormats="0" applyPatternFormats="0" applyAlignmentFormats="0" applyWidthHeightFormats="1" dataCaption="Values" tag="9853d252-6e68-416d-8823-63ffe82aafa7" updatedVersion="8" minRefreshableVersion="3" useAutoFormatting="1" subtotalHiddenItems="1" rowGrandTotals="0" colGrandTotals="0" itemPrintTitles="1" createdVersion="8" indent="0" outline="1" outlineData="1" multipleFieldFilters="0" chartFormat="11" rowHeaderCaption="Revenue &amp; Gross Margin">
  <location ref="B9:D16" firstHeaderRow="0" firstDataRow="1" firstDataCol="1"/>
  <pivotFields count="5">
    <pivotField allDrilled="1" showAll="0" dataSourceSort="1" defaultAttributeDrillState="1"/>
    <pivotField allDrilled="1" showAll="0" dataSourceSort="1" defaultAttributeDrillState="1"/>
    <pivotField dataField="1" showAll="0"/>
    <pivotField dataField="1" showAll="0"/>
    <pivotField axis="axisRow" allDrilled="1" showAll="0" dataSourceSort="1" defaultAttributeDrillState="1">
      <items count="8">
        <item x="0"/>
        <item x="1"/>
        <item x="2"/>
        <item x="3"/>
        <item x="4"/>
        <item x="5"/>
        <item x="6"/>
        <item t="default"/>
      </items>
    </pivotField>
  </pivotFields>
  <rowFields count="1">
    <field x="4"/>
  </rowFields>
  <rowItems count="7">
    <i>
      <x/>
    </i>
    <i>
      <x v="1"/>
    </i>
    <i>
      <x v="2"/>
    </i>
    <i>
      <x v="3"/>
    </i>
    <i>
      <x v="4"/>
    </i>
    <i>
      <x v="5"/>
    </i>
    <i>
      <x v="6"/>
    </i>
  </rowItems>
  <colFields count="1">
    <field x="-2"/>
  </colFields>
  <colItems count="2">
    <i>
      <x/>
    </i>
    <i i="1">
      <x v="1"/>
    </i>
  </colItems>
  <dataFields count="2">
    <dataField fld="2" subtotal="count" baseField="0" baseItem="0"/>
    <dataField fld="3" subtotal="count" baseField="0" baseItem="0"/>
  </dataFields>
  <formats count="4">
    <format dxfId="67">
      <pivotArea dataOnly="0" labelOnly="1" outline="0" fieldPosition="0">
        <references count="1">
          <reference field="4294967294" count="2">
            <x v="0"/>
            <x v="1"/>
          </reference>
        </references>
      </pivotArea>
    </format>
    <format dxfId="66">
      <pivotArea dataOnly="0" labelOnly="1" outline="0" fieldPosition="0">
        <references count="1">
          <reference field="4294967294" count="2">
            <x v="0"/>
            <x v="1"/>
          </reference>
        </references>
      </pivotArea>
    </format>
    <format dxfId="65">
      <pivotArea dataOnly="0" labelOnly="1" outline="0" fieldPosition="0">
        <references count="1">
          <reference field="4294967294" count="2">
            <x v="0"/>
            <x v="1"/>
          </reference>
        </references>
      </pivotArea>
    </format>
    <format dxfId="64">
      <pivotArea field="4" type="button" dataOnly="0" labelOnly="1" outline="0" axis="axisRow" fieldPosition="0"/>
    </format>
  </formats>
  <chartFormats count="4">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10" format="9" series="1">
      <pivotArea type="data" outline="0" fieldPosition="0">
        <references count="1">
          <reference field="4294967294" count="1" selected="0">
            <x v="0"/>
          </reference>
        </references>
      </pivotArea>
    </chartFormat>
    <chartFormat chart="10" format="10" series="1">
      <pivotArea type="data" outline="0" fieldPosition="0">
        <references count="1">
          <reference field="4294967294" count="1" selected="0">
            <x v="1"/>
          </reference>
        </references>
      </pivotArea>
    </chartFormat>
  </chart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Income]"/>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EC8CE10-9377-4C77-97A3-A8396E64A1E8}" name="PivotTable8" cacheId="71" applyNumberFormats="0" applyBorderFormats="0" applyFontFormats="0" applyPatternFormats="0" applyAlignmentFormats="0" applyWidthHeightFormats="1" dataCaption="Values" tag="aec97850-f685-4152-8549-d81eb858ae8d" updatedVersion="8" minRefreshableVersion="3" useAutoFormatting="1" subtotalHiddenItems="1" rowGrandTotals="0" colGrandTotals="0" itemPrintTitles="1" createdVersion="8" indent="0" outline="1" outlineData="1" multipleFieldFilters="0" chartFormat="19" rowHeaderCaption=" " colHeaderCaption=" ">
  <location ref="AG26:AK34" firstHeaderRow="1" firstDataRow="2" firstDataCol="1" rowPageCount="1" colPageCount="1"/>
  <pivotFields count="5">
    <pivotField allDrilled="1" showAll="0" dataSourceSort="1" defaultAttributeDrillState="1"/>
    <pivotField axis="axisPage" allDrilled="1" showAll="0" dataSourceSort="1" defaultAttributeDrillState="1">
      <items count="1">
        <item t="default"/>
      </items>
    </pivotField>
    <pivotField dataField="1" showAll="0"/>
    <pivotField axis="axisCol" allDrilled="1" showAll="0" dataSourceSort="1" defaultAttributeDrillState="1">
      <items count="5">
        <item x="0"/>
        <item x="1"/>
        <item x="2"/>
        <item x="3"/>
        <item t="default"/>
      </items>
    </pivotField>
    <pivotField axis="axisRow" allDrilled="1" showAll="0" dataSourceSort="1" defaultAttributeDrillState="1">
      <items count="8">
        <item x="0"/>
        <item x="1"/>
        <item x="2"/>
        <item x="3"/>
        <item x="4"/>
        <item x="5"/>
        <item x="6"/>
        <item t="default"/>
      </items>
    </pivotField>
  </pivotFields>
  <rowFields count="1">
    <field x="4"/>
  </rowFields>
  <rowItems count="7">
    <i>
      <x/>
    </i>
    <i>
      <x v="1"/>
    </i>
    <i>
      <x v="2"/>
    </i>
    <i>
      <x v="3"/>
    </i>
    <i>
      <x v="4"/>
    </i>
    <i>
      <x v="5"/>
    </i>
    <i>
      <x v="6"/>
    </i>
  </rowItems>
  <colFields count="1">
    <field x="3"/>
  </colFields>
  <colItems count="4">
    <i>
      <x/>
    </i>
    <i>
      <x v="1"/>
    </i>
    <i>
      <x v="2"/>
    </i>
    <i>
      <x v="3"/>
    </i>
  </colItems>
  <pageFields count="1">
    <pageField fld="1" hier="16" name="[Mappings].[Section].&amp;[Expenses]" cap="Expenses"/>
  </pageFields>
  <dataFields count="1">
    <dataField name=" " fld="2" subtotal="count" baseField="0" baseItem="0"/>
  </dataFields>
  <chartFormats count="4">
    <chartFormat chart="17" format="16" series="1">
      <pivotArea type="data" outline="0" fieldPosition="0">
        <references count="2">
          <reference field="4294967294" count="1" selected="0">
            <x v="0"/>
          </reference>
          <reference field="3" count="1" selected="0">
            <x v="0"/>
          </reference>
        </references>
      </pivotArea>
    </chartFormat>
    <chartFormat chart="17" format="17" series="1">
      <pivotArea type="data" outline="0" fieldPosition="0">
        <references count="2">
          <reference field="4294967294" count="1" selected="0">
            <x v="0"/>
          </reference>
          <reference field="3" count="1" selected="0">
            <x v="1"/>
          </reference>
        </references>
      </pivotArea>
    </chartFormat>
    <chartFormat chart="17" format="18" series="1">
      <pivotArea type="data" outline="0" fieldPosition="0">
        <references count="2">
          <reference field="4294967294" count="1" selected="0">
            <x v="0"/>
          </reference>
          <reference field="3" count="1" selected="0">
            <x v="2"/>
          </reference>
        </references>
      </pivotArea>
    </chartFormat>
    <chartFormat chart="17" format="19" series="1">
      <pivotArea type="data" outline="0" fieldPosition="0">
        <references count="2">
          <reference field="4294967294" count="1" selected="0">
            <x v="0"/>
          </reference>
          <reference field="3" count="1" selected="0">
            <x v="3"/>
          </reference>
        </references>
      </pivotArea>
    </chartFormat>
  </chart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caption="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5"/>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44C3676-B87F-4A64-89E4-2D719162349B}" name="PivotTable12" cacheId="66" applyNumberFormats="0" applyBorderFormats="0" applyFontFormats="0" applyPatternFormats="0" applyAlignmentFormats="0" applyWidthHeightFormats="1" dataCaption="Values" tag="7bcb5c80-5a6a-4214-ab93-41a080b4ffd8" updatedVersion="8" minRefreshableVersion="3" useAutoFormatting="1" subtotalHiddenItems="1" itemPrintTitles="1" createdVersion="8" indent="0" outline="1" outlineData="1" multipleFieldFilters="0" chartFormat="1" rowHeaderCaption="BvA: Opex By Cost Type">
  <location ref="AA9:AE14" firstHeaderRow="0" firstDataRow="1" firstDataCol="1" rowPageCount="1" colPageCount="1"/>
  <pivotFields count="7">
    <pivotField dataField="1" subtotalTop="0" showAll="0" defaultSubtotal="0"/>
    <pivotField allDrilled="1" showAll="0" dataSourceSort="1" defaultAttributeDrillState="1"/>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5">
        <item x="0"/>
        <item x="1"/>
        <item x="2"/>
        <item x="3"/>
        <item t="default"/>
      </items>
    </pivotField>
  </pivotFields>
  <rowFields count="1">
    <field x="6"/>
  </rowFields>
  <rowItems count="5">
    <i>
      <x/>
    </i>
    <i>
      <x v="1"/>
    </i>
    <i>
      <x v="2"/>
    </i>
    <i>
      <x v="3"/>
    </i>
    <i t="grand">
      <x/>
    </i>
  </rowItems>
  <colFields count="1">
    <field x="-2"/>
  </colFields>
  <colItems count="4">
    <i>
      <x/>
    </i>
    <i i="1">
      <x v="1"/>
    </i>
    <i i="2">
      <x v="2"/>
    </i>
    <i i="3">
      <x v="3"/>
    </i>
  </colItems>
  <pageFields count="1">
    <pageField fld="2" hier="16" name="[Mappings].[Section].&amp;[Expenses]" cap="Expenses"/>
  </pageFields>
  <dataFields count="4">
    <dataField fld="3" subtotal="count" baseField="0" baseItem="0"/>
    <dataField fld="0" subtotal="count" baseField="0" baseItem="0"/>
    <dataField fld="4" subtotal="count" baseField="0" baseItem="0"/>
    <dataField fld="5" subtotal="count" baseField="0" baseItem="0"/>
  </dataFields>
  <formats count="6">
    <format dxfId="73">
      <pivotArea field="6" type="button" dataOnly="0" labelOnly="1" outline="0" axis="axisRow" fieldPosition="0"/>
    </format>
    <format dxfId="72">
      <pivotArea dataOnly="0" labelOnly="1" outline="0" fieldPosition="0">
        <references count="1">
          <reference field="4294967294" count="4">
            <x v="0"/>
            <x v="1"/>
            <x v="2"/>
            <x v="3"/>
          </reference>
        </references>
      </pivotArea>
    </format>
    <format dxfId="71">
      <pivotArea field="6" type="button" dataOnly="0" labelOnly="1" outline="0" axis="axisRow" fieldPosition="0"/>
    </format>
    <format dxfId="70">
      <pivotArea dataOnly="0" labelOnly="1" outline="0" fieldPosition="0">
        <references count="1">
          <reference field="4294967294" count="4">
            <x v="0"/>
            <x v="1"/>
            <x v="2"/>
            <x v="3"/>
          </reference>
        </references>
      </pivotArea>
    </format>
    <format dxfId="69">
      <pivotArea field="6" type="button" dataOnly="0" labelOnly="1" outline="0" axis="axisRow" fieldPosition="0"/>
    </format>
    <format dxfId="68">
      <pivotArea dataOnly="0" labelOnly="1" outline="0" fieldPosition="0">
        <references count="1">
          <reference field="4294967294" count="4">
            <x v="0"/>
            <x v="1"/>
            <x v="2"/>
            <x v="3"/>
          </reference>
        </references>
      </pivotArea>
    </format>
  </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0CBC2B1-D001-43FC-8AC8-C009A17752A3}" name="PivotTable4" cacheId="60" applyNumberFormats="0" applyBorderFormats="0" applyFontFormats="0" applyPatternFormats="0" applyAlignmentFormats="0" applyWidthHeightFormats="1" dataCaption="Values" tag="aa000665-8879-4e6a-ba50-8721deb058bc" updatedVersion="8" minRefreshableVersion="3" useAutoFormatting="1" subtotalHiddenItems="1" itemPrintTitles="1" createdVersion="8" indent="0" outline="1" outlineData="1" multipleFieldFilters="0" chartFormat="1" rowHeaderCaption="BvA: Opex By Dept">
  <location ref="U9:Y14" firstHeaderRow="0" firstDataRow="1" firstDataCol="1" rowPageCount="1" colPageCount="1"/>
  <pivotFields count="7">
    <pivotField axis="axisRow" allDrilled="1" showAll="0" dataSourceSort="1">
      <items count="5">
        <item x="0" e="0"/>
        <item x="1" e="0"/>
        <item x="2" e="0"/>
        <item x="3" e="0"/>
        <item t="default"/>
      </items>
    </pivotField>
    <pivotField dataField="1" subtotalTop="0" showAll="0" defaultSubtotal="0"/>
    <pivotField allDrilled="1" showAll="0" dataSourceSort="1" defaultAttributeDrillState="1"/>
    <pivotField axis="axisPage" allDrilled="1" showAll="0" dataSourceSort="1" defaultAttributeDrillState="1">
      <items count="1">
        <item t="default"/>
      </items>
    </pivotField>
    <pivotField dataField="1" showAll="0"/>
    <pivotField dataField="1" showAll="0"/>
    <pivotField dataField="1" showAll="0"/>
  </pivotFields>
  <rowFields count="1">
    <field x="0"/>
  </rowFields>
  <rowItems count="5">
    <i>
      <x/>
    </i>
    <i>
      <x v="1"/>
    </i>
    <i>
      <x v="2"/>
    </i>
    <i>
      <x v="3"/>
    </i>
    <i t="grand">
      <x/>
    </i>
  </rowItems>
  <colFields count="1">
    <field x="-2"/>
  </colFields>
  <colItems count="4">
    <i>
      <x/>
    </i>
    <i i="1">
      <x v="1"/>
    </i>
    <i i="2">
      <x v="2"/>
    </i>
    <i i="3">
      <x v="3"/>
    </i>
  </colItems>
  <pageFields count="1">
    <pageField fld="3" hier="16" name="[Mappings].[Section].&amp;[Expenses]" cap="Expenses"/>
  </pageFields>
  <dataFields count="4">
    <dataField fld="4" subtotal="count" baseField="0" baseItem="0"/>
    <dataField fld="1" subtotal="count" baseField="0" baseItem="0"/>
    <dataField fld="5" subtotal="count" baseField="0" baseItem="0"/>
    <dataField fld="6" subtotal="count" baseField="0" baseItem="0"/>
  </dataFields>
  <formats count="6">
    <format dxfId="79">
      <pivotArea field="0" type="button" dataOnly="0" labelOnly="1" outline="0" axis="axisRow" fieldPosition="0"/>
    </format>
    <format dxfId="78">
      <pivotArea dataOnly="0" labelOnly="1" outline="0" fieldPosition="0">
        <references count="1">
          <reference field="4294967294" count="4">
            <x v="0"/>
            <x v="1"/>
            <x v="2"/>
            <x v="3"/>
          </reference>
        </references>
      </pivotArea>
    </format>
    <format dxfId="77">
      <pivotArea field="0" type="button" dataOnly="0" labelOnly="1" outline="0" axis="axisRow" fieldPosition="0"/>
    </format>
    <format dxfId="76">
      <pivotArea dataOnly="0" labelOnly="1" outline="0" fieldPosition="0">
        <references count="1">
          <reference field="4294967294" count="4">
            <x v="0"/>
            <x v="1"/>
            <x v="2"/>
            <x v="3"/>
          </reference>
        </references>
      </pivotArea>
    </format>
    <format dxfId="75">
      <pivotArea field="0" type="button" dataOnly="0" labelOnly="1" outline="0" axis="axisRow" fieldPosition="0"/>
    </format>
    <format dxfId="74">
      <pivotArea dataOnly="0" labelOnly="1" outline="0" fieldPosition="0">
        <references count="1">
          <reference field="4294967294" count="4">
            <x v="0"/>
            <x v="1"/>
            <x v="2"/>
            <x v="3"/>
          </reference>
        </references>
      </pivotArea>
    </format>
  </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6CFC14FD-90EC-43D5-A29B-52E61754D5BC}" name="PivotTable11" cacheId="65" applyNumberFormats="0" applyBorderFormats="0" applyFontFormats="0" applyPatternFormats="0" applyAlignmentFormats="0" applyWidthHeightFormats="1" dataCaption="Values" tag="6cff6473-2dc5-4c5f-bcfd-f87570dad1c6" updatedVersion="8" minRefreshableVersion="3" useAutoFormatting="1" subtotalHiddenItems="1" itemPrintTitles="1" createdVersion="8" indent="0" outline="1" outlineData="1" multipleFieldFilters="0" chartFormat="1" rowHeaderCaption="AvPP: Opex By Cost Type">
  <location ref="AA19:AE24" firstHeaderRow="0" firstDataRow="1" firstDataCol="1" rowPageCount="1" colPageCount="1"/>
  <pivotFields count="7">
    <pivotField dataField="1" subtotalTop="0" showAll="0" defaultSubtotal="0"/>
    <pivotField allDrilled="1" showAll="0" dataSourceSort="1" defaultAttributeDrillState="1"/>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5">
        <item x="0"/>
        <item x="1"/>
        <item x="2"/>
        <item x="3"/>
        <item t="default"/>
      </items>
    </pivotField>
  </pivotFields>
  <rowFields count="1">
    <field x="6"/>
  </rowFields>
  <rowItems count="5">
    <i>
      <x/>
    </i>
    <i>
      <x v="1"/>
    </i>
    <i>
      <x v="2"/>
    </i>
    <i>
      <x v="3"/>
    </i>
    <i t="grand">
      <x/>
    </i>
  </rowItems>
  <colFields count="1">
    <field x="-2"/>
  </colFields>
  <colItems count="4">
    <i>
      <x/>
    </i>
    <i i="1">
      <x v="1"/>
    </i>
    <i i="2">
      <x v="2"/>
    </i>
    <i i="3">
      <x v="3"/>
    </i>
  </colItems>
  <pageFields count="1">
    <pageField fld="2" hier="16" name="[Mappings].[Section].&amp;[Expenses]" cap="Expenses"/>
  </pageFields>
  <dataFields count="4">
    <dataField fld="5" subtotal="count" baseField="0" baseItem="0"/>
    <dataField fld="0" subtotal="count" baseField="0" baseItem="0"/>
    <dataField fld="3" subtotal="count" baseField="0" baseItem="0"/>
    <dataField fld="4" subtotal="count" baseField="0" baseItem="0"/>
  </dataFields>
  <formats count="6">
    <format dxfId="85">
      <pivotArea field="6" type="button" dataOnly="0" labelOnly="1" outline="0" axis="axisRow" fieldPosition="0"/>
    </format>
    <format dxfId="84">
      <pivotArea dataOnly="0" labelOnly="1" outline="0" fieldPosition="0">
        <references count="1">
          <reference field="4294967294" count="4">
            <x v="0"/>
            <x v="1"/>
            <x v="2"/>
            <x v="3"/>
          </reference>
        </references>
      </pivotArea>
    </format>
    <format dxfId="83">
      <pivotArea field="6" type="button" dataOnly="0" labelOnly="1" outline="0" axis="axisRow" fieldPosition="0"/>
    </format>
    <format dxfId="82">
      <pivotArea dataOnly="0" labelOnly="1" outline="0" fieldPosition="0">
        <references count="1">
          <reference field="4294967294" count="4">
            <x v="0"/>
            <x v="1"/>
            <x v="2"/>
            <x v="3"/>
          </reference>
        </references>
      </pivotArea>
    </format>
    <format dxfId="81">
      <pivotArea field="6" type="button" dataOnly="0" labelOnly="1" outline="0" axis="axisRow" fieldPosition="0"/>
    </format>
    <format dxfId="80">
      <pivotArea dataOnly="0" labelOnly="1" outline="0" fieldPosition="0">
        <references count="1">
          <reference field="4294967294" count="4">
            <x v="0"/>
            <x v="1"/>
            <x v="2"/>
            <x v="3"/>
          </reference>
        </references>
      </pivotArea>
    </format>
  </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AC050DC-9137-4810-8AC1-3076328F8DF1}" name="PivotTable13" cacheId="77" applyNumberFormats="0" applyBorderFormats="0" applyFontFormats="0" applyPatternFormats="0" applyAlignmentFormats="0" applyWidthHeightFormats="1" dataCaption="Values" tag="a812b2fa-4435-4478-879d-ecfbe708aa72" updatedVersion="8" minRefreshableVersion="3" useAutoFormatting="1" subtotalHiddenItems="1" rowGrandTotals="0" colGrandTotals="0" itemPrintTitles="1" createdVersion="8" indent="0" outline="1" outlineData="1" multipleFieldFilters="0" chartFormat="25" rowHeaderCaption=" " colHeaderCaption=" ">
  <location ref="F8:J16" firstHeaderRow="1" firstDataRow="2" firstDataCol="1" rowPageCount="1" colPageCount="1"/>
  <pivotFields count="5">
    <pivotField allDrilled="1" showAll="0" dataSourceSort="1" defaultAttributeDrillState="1"/>
    <pivotField axis="axisPage" allDrilled="1" showAll="0" dataSourceSort="1" defaultAttributeDrillState="1">
      <items count="1">
        <item t="default"/>
      </items>
    </pivotField>
    <pivotField dataField="1" showAll="0"/>
    <pivotField axis="axisCol" allDrilled="1" showAll="0" dataSourceSort="1" defaultAttributeDrillState="1">
      <items count="5">
        <item x="0"/>
        <item x="1"/>
        <item x="2"/>
        <item x="3"/>
        <item t="default"/>
      </items>
    </pivotField>
    <pivotField axis="axisRow" allDrilled="1" showAll="0" dataSourceSort="1" defaultAttributeDrillState="1">
      <items count="8">
        <item x="0"/>
        <item x="1"/>
        <item x="2"/>
        <item x="3"/>
        <item x="4"/>
        <item x="5"/>
        <item x="6"/>
        <item t="default"/>
      </items>
    </pivotField>
  </pivotFields>
  <rowFields count="1">
    <field x="4"/>
  </rowFields>
  <rowItems count="7">
    <i>
      <x/>
    </i>
    <i>
      <x v="1"/>
    </i>
    <i>
      <x v="2"/>
    </i>
    <i>
      <x v="3"/>
    </i>
    <i>
      <x v="4"/>
    </i>
    <i>
      <x v="5"/>
    </i>
    <i>
      <x v="6"/>
    </i>
  </rowItems>
  <colFields count="1">
    <field x="3"/>
  </colFields>
  <colItems count="4">
    <i>
      <x/>
    </i>
    <i>
      <x v="1"/>
    </i>
    <i>
      <x v="2"/>
    </i>
    <i>
      <x v="3"/>
    </i>
  </colItems>
  <pageFields count="1">
    <pageField fld="1" hier="16" name="[Mappings].[Section].&amp;[Expenses]" cap="Expenses"/>
  </pageFields>
  <dataFields count="1">
    <dataField name=" " fld="2" subtotal="count" baseField="0" baseItem="0"/>
  </dataFields>
  <formats count="1">
    <format dxfId="86">
      <pivotArea dataOnly="0" labelOnly="1" fieldPosition="0">
        <references count="1">
          <reference field="3" count="0"/>
        </references>
      </pivotArea>
    </format>
  </formats>
  <chartFormats count="8">
    <chartFormat chart="17" format="13" series="1">
      <pivotArea type="data" outline="0" fieldPosition="0">
        <references count="2">
          <reference field="4294967294" count="1" selected="0">
            <x v="0"/>
          </reference>
          <reference field="3" count="1" selected="0">
            <x v="0"/>
          </reference>
        </references>
      </pivotArea>
    </chartFormat>
    <chartFormat chart="17" format="14" series="1">
      <pivotArea type="data" outline="0" fieldPosition="0">
        <references count="2">
          <reference field="4294967294" count="1" selected="0">
            <x v="0"/>
          </reference>
          <reference field="3" count="1" selected="0">
            <x v="1"/>
          </reference>
        </references>
      </pivotArea>
    </chartFormat>
    <chartFormat chart="17" format="15" series="1">
      <pivotArea type="data" outline="0" fieldPosition="0">
        <references count="2">
          <reference field="4294967294" count="1" selected="0">
            <x v="0"/>
          </reference>
          <reference field="3" count="1" selected="0">
            <x v="2"/>
          </reference>
        </references>
      </pivotArea>
    </chartFormat>
    <chartFormat chart="17" format="16" series="1">
      <pivotArea type="data" outline="0" fieldPosition="0">
        <references count="2">
          <reference field="4294967294" count="1" selected="0">
            <x v="0"/>
          </reference>
          <reference field="3" count="1" selected="0">
            <x v="3"/>
          </reference>
        </references>
      </pivotArea>
    </chartFormat>
    <chartFormat chart="24" format="17" series="1">
      <pivotArea type="data" outline="0" fieldPosition="0">
        <references count="2">
          <reference field="4294967294" count="1" selected="0">
            <x v="0"/>
          </reference>
          <reference field="3" count="1" selected="0">
            <x v="0"/>
          </reference>
        </references>
      </pivotArea>
    </chartFormat>
    <chartFormat chart="24" format="18" series="1">
      <pivotArea type="data" outline="0" fieldPosition="0">
        <references count="2">
          <reference field="4294967294" count="1" selected="0">
            <x v="0"/>
          </reference>
          <reference field="3" count="1" selected="0">
            <x v="1"/>
          </reference>
        </references>
      </pivotArea>
    </chartFormat>
    <chartFormat chart="24" format="19" series="1">
      <pivotArea type="data" outline="0" fieldPosition="0">
        <references count="2">
          <reference field="4294967294" count="1" selected="0">
            <x v="0"/>
          </reference>
          <reference field="3" count="1" selected="0">
            <x v="2"/>
          </reference>
        </references>
      </pivotArea>
    </chartFormat>
    <chartFormat chart="24" format="20" series="1">
      <pivotArea type="data" outline="0" fieldPosition="0">
        <references count="2">
          <reference field="4294967294" count="1" selected="0">
            <x v="0"/>
          </reference>
          <reference field="3" count="1" selected="0">
            <x v="3"/>
          </reference>
        </references>
      </pivotArea>
    </chartFormat>
  </chart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caption="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5"/>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1C1D68FB-AF05-4432-99EE-F2F268F8AF10}" name="PivotTable10" cacheId="64" applyNumberFormats="0" applyBorderFormats="0" applyFontFormats="0" applyPatternFormats="0" applyAlignmentFormats="0" applyWidthHeightFormats="1" dataCaption="Values" tag="52c64135-d6c7-4b23-a704-cc40cfa80a37" updatedVersion="8" minRefreshableVersion="3" useAutoFormatting="1" subtotalHiddenItems="1" itemPrintTitles="1" createdVersion="8" indent="0" outline="1" outlineData="1" multipleFieldFilters="0" chartFormat="1" rowHeaderCaption="AvPY: Opex By Cost Type">
  <location ref="AA29:AE34" firstHeaderRow="0" firstDataRow="1" firstDataCol="1" rowPageCount="1" colPageCount="1"/>
  <pivotFields count="7">
    <pivotField dataField="1" subtotalTop="0" showAll="0" defaultSubtotal="0"/>
    <pivotField allDrilled="1" showAll="0" dataSourceSort="1" defaultAttributeDrillState="1"/>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5">
        <item x="0"/>
        <item x="1"/>
        <item x="2"/>
        <item x="3"/>
        <item t="default"/>
      </items>
    </pivotField>
  </pivotFields>
  <rowFields count="1">
    <field x="6"/>
  </rowFields>
  <rowItems count="5">
    <i>
      <x/>
    </i>
    <i>
      <x v="1"/>
    </i>
    <i>
      <x v="2"/>
    </i>
    <i>
      <x v="3"/>
    </i>
    <i t="grand">
      <x/>
    </i>
  </rowItems>
  <colFields count="1">
    <field x="-2"/>
  </colFields>
  <colItems count="4">
    <i>
      <x/>
    </i>
    <i i="1">
      <x v="1"/>
    </i>
    <i i="2">
      <x v="2"/>
    </i>
    <i i="3">
      <x v="3"/>
    </i>
  </colItems>
  <pageFields count="1">
    <pageField fld="2" hier="16" name="[Mappings].[Section].&amp;[Expenses]" cap="Expenses"/>
  </pageFields>
  <dataFields count="4">
    <dataField fld="3" subtotal="count" baseField="0" baseItem="0"/>
    <dataField fld="0" subtotal="count" baseField="0" baseItem="0"/>
    <dataField fld="4" subtotal="count" baseField="0" baseItem="0"/>
    <dataField fld="5" subtotal="count" baseField="0" baseItem="0"/>
  </dataFields>
  <formats count="6">
    <format dxfId="92">
      <pivotArea field="6" type="button" dataOnly="0" labelOnly="1" outline="0" axis="axisRow" fieldPosition="0"/>
    </format>
    <format dxfId="91">
      <pivotArea dataOnly="0" labelOnly="1" outline="0" fieldPosition="0">
        <references count="1">
          <reference field="4294967294" count="4">
            <x v="0"/>
            <x v="1"/>
            <x v="2"/>
            <x v="3"/>
          </reference>
        </references>
      </pivotArea>
    </format>
    <format dxfId="90">
      <pivotArea field="6" type="button" dataOnly="0" labelOnly="1" outline="0" axis="axisRow" fieldPosition="0"/>
    </format>
    <format dxfId="89">
      <pivotArea dataOnly="0" labelOnly="1" outline="0" fieldPosition="0">
        <references count="1">
          <reference field="4294967294" count="4">
            <x v="0"/>
            <x v="1"/>
            <x v="2"/>
            <x v="3"/>
          </reference>
        </references>
      </pivotArea>
    </format>
    <format dxfId="88">
      <pivotArea field="6" type="button" dataOnly="0" labelOnly="1" outline="0" axis="axisRow" fieldPosition="0"/>
    </format>
    <format dxfId="87">
      <pivotArea dataOnly="0" labelOnly="1" outline="0" fieldPosition="0">
        <references count="1">
          <reference field="4294967294" count="4">
            <x v="0"/>
            <x v="1"/>
            <x v="2"/>
            <x v="3"/>
          </reference>
        </references>
      </pivotArea>
    </format>
  </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B4627D5-B9D4-41AC-B1D7-579A333A4D01}" name="PivotTable3" cacheId="75" applyNumberFormats="0" applyBorderFormats="0" applyFontFormats="0" applyPatternFormats="0" applyAlignmentFormats="0" applyWidthHeightFormats="1" dataCaption="Values" tag="aec97850-f685-4152-8549-d81eb858ae8d" updatedVersion="8" minRefreshableVersion="3" useAutoFormatting="1" subtotalHiddenItems="1" rowGrandTotals="0" colGrandTotals="0" itemPrintTitles="1" createdVersion="8" indent="0" outline="1" outlineData="1" multipleFieldFilters="0" chartFormat="19" rowHeaderCaption=" " colHeaderCaption=" ">
  <location ref="F26:J34" firstHeaderRow="1" firstDataRow="2" firstDataCol="1" rowPageCount="1" colPageCount="1"/>
  <pivotFields count="5">
    <pivotField allDrilled="1" showAll="0" dataSourceSort="1" defaultAttributeDrillState="1"/>
    <pivotField axis="axisPage" allDrilled="1" showAll="0" dataSourceSort="1" defaultAttributeDrillState="1">
      <items count="1">
        <item t="default"/>
      </items>
    </pivotField>
    <pivotField dataField="1" showAll="0"/>
    <pivotField axis="axisCol" allDrilled="1" showAll="0" dataSourceSort="1" defaultAttributeDrillState="1">
      <items count="5">
        <item x="0"/>
        <item x="1"/>
        <item x="2"/>
        <item x="3"/>
        <item t="default"/>
      </items>
    </pivotField>
    <pivotField axis="axisRow" allDrilled="1" showAll="0" dataSourceSort="1" defaultAttributeDrillState="1">
      <items count="8">
        <item x="0"/>
        <item x="1"/>
        <item x="2"/>
        <item x="3"/>
        <item x="4"/>
        <item x="5"/>
        <item x="6"/>
        <item t="default"/>
      </items>
    </pivotField>
  </pivotFields>
  <rowFields count="1">
    <field x="4"/>
  </rowFields>
  <rowItems count="7">
    <i>
      <x/>
    </i>
    <i>
      <x v="1"/>
    </i>
    <i>
      <x v="2"/>
    </i>
    <i>
      <x v="3"/>
    </i>
    <i>
      <x v="4"/>
    </i>
    <i>
      <x v="5"/>
    </i>
    <i>
      <x v="6"/>
    </i>
  </rowItems>
  <colFields count="1">
    <field x="3"/>
  </colFields>
  <colItems count="4">
    <i>
      <x/>
    </i>
    <i>
      <x v="1"/>
    </i>
    <i>
      <x v="2"/>
    </i>
    <i>
      <x v="3"/>
    </i>
  </colItems>
  <pageFields count="1">
    <pageField fld="1" hier="16" name="[Mappings].[Section].&amp;[Expenses]" cap="Expenses"/>
  </pageFields>
  <dataFields count="1">
    <dataField name=" " fld="2" subtotal="count" baseField="0" baseItem="0"/>
  </dataFields>
  <chartFormats count="4">
    <chartFormat chart="17" format="16" series="1">
      <pivotArea type="data" outline="0" fieldPosition="0">
        <references count="2">
          <reference field="4294967294" count="1" selected="0">
            <x v="0"/>
          </reference>
          <reference field="3" count="1" selected="0">
            <x v="0"/>
          </reference>
        </references>
      </pivotArea>
    </chartFormat>
    <chartFormat chart="17" format="17" series="1">
      <pivotArea type="data" outline="0" fieldPosition="0">
        <references count="2">
          <reference field="4294967294" count="1" selected="0">
            <x v="0"/>
          </reference>
          <reference field="3" count="1" selected="0">
            <x v="1"/>
          </reference>
        </references>
      </pivotArea>
    </chartFormat>
    <chartFormat chart="17" format="18" series="1">
      <pivotArea type="data" outline="0" fieldPosition="0">
        <references count="2">
          <reference field="4294967294" count="1" selected="0">
            <x v="0"/>
          </reference>
          <reference field="3" count="1" selected="0">
            <x v="2"/>
          </reference>
        </references>
      </pivotArea>
    </chartFormat>
    <chartFormat chart="17" format="19" series="1">
      <pivotArea type="data" outline="0" fieldPosition="0">
        <references count="2">
          <reference field="4294967294" count="1" selected="0">
            <x v="0"/>
          </reference>
          <reference field="3" count="1" selected="0">
            <x v="3"/>
          </reference>
        </references>
      </pivotArea>
    </chartFormat>
  </chart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caption="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5"/>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DE60E685-1B59-4DE1-87BF-2ECE3DCCD01A}" name="PivotTable16" cacheId="78" applyNumberFormats="0" applyBorderFormats="0" applyFontFormats="0" applyPatternFormats="0" applyAlignmentFormats="0" applyWidthHeightFormats="1" dataCaption="Values" tag="f7277403-0e66-4c3a-8be7-6ebaec9c1267" updatedVersion="8" minRefreshableVersion="3" useAutoFormatting="1" subtotalHiddenItems="1" colGrandTotals="0" itemPrintTitles="1" createdVersion="8" indent="0" outline="1" outlineData="1" multipleFieldFilters="0" chartFormat="30" rowHeaderCaption=" " colHeaderCaption=" ">
  <location ref="L11:M16" firstHeaderRow="1" firstDataRow="1" firstDataCol="1" rowPageCount="1" colPageCount="1"/>
  <pivotFields count="4">
    <pivotField allDrilled="1" showAll="0" dataSourceSort="1" defaultAttributeDrillState="1"/>
    <pivotField axis="axisPage" allDrilled="1" showAll="0" dataSourceSort="1" defaultAttributeDrillState="1">
      <items count="1">
        <item t="default"/>
      </items>
    </pivotField>
    <pivotField dataField="1" showAll="0"/>
    <pivotField axis="axisRow" allDrilled="1" showAll="0" dataSourceSort="1" defaultAttributeDrillState="1">
      <items count="5">
        <item x="0"/>
        <item x="1"/>
        <item x="2"/>
        <item x="3"/>
        <item t="default"/>
      </items>
    </pivotField>
  </pivotFields>
  <rowFields count="1">
    <field x="3"/>
  </rowFields>
  <rowItems count="5">
    <i>
      <x/>
    </i>
    <i>
      <x v="1"/>
    </i>
    <i>
      <x v="2"/>
    </i>
    <i>
      <x v="3"/>
    </i>
    <i t="grand">
      <x/>
    </i>
  </rowItems>
  <colItems count="1">
    <i/>
  </colItems>
  <pageFields count="1">
    <pageField fld="1" hier="16" name="[Mappings].[Section].&amp;[Expenses]" cap="Expenses"/>
  </pageFields>
  <dataFields count="1">
    <dataField name=" " fld="2" subtotal="count" baseField="0" baseItem="0"/>
  </dataFields>
  <formats count="7">
    <format dxfId="99">
      <pivotArea dataOnly="0" labelOnly="1" fieldPosition="0">
        <references count="1">
          <reference field="3" count="0"/>
        </references>
      </pivotArea>
    </format>
    <format dxfId="98">
      <pivotArea type="all" dataOnly="0" outline="0" fieldPosition="0"/>
    </format>
    <format dxfId="97">
      <pivotArea outline="0" collapsedLevelsAreSubtotals="1" fieldPosition="0"/>
    </format>
    <format dxfId="96">
      <pivotArea field="3" type="button" dataOnly="0" labelOnly="1" outline="0" axis="axisRow" fieldPosition="0"/>
    </format>
    <format dxfId="95">
      <pivotArea dataOnly="0" labelOnly="1" fieldPosition="0">
        <references count="1">
          <reference field="3" count="0"/>
        </references>
      </pivotArea>
    </format>
    <format dxfId="94">
      <pivotArea dataOnly="0" labelOnly="1" outline="0" axis="axisValues" fieldPosition="0"/>
    </format>
    <format dxfId="93">
      <pivotArea dataOnly="0" labelOnly="1" fieldPosition="0">
        <references count="1">
          <reference field="3" count="0"/>
        </references>
      </pivotArea>
    </format>
  </formats>
  <chartFormats count="14">
    <chartFormat chart="9" format="0" series="1">
      <pivotArea type="data" outline="0" fieldPosition="0">
        <references count="2">
          <reference field="4294967294" count="1" selected="0">
            <x v="0"/>
          </reference>
          <reference field="3" count="1" selected="0">
            <x v="0"/>
          </reference>
        </references>
      </pivotArea>
    </chartFormat>
    <chartFormat chart="9" format="1" series="1">
      <pivotArea type="data" outline="0" fieldPosition="0">
        <references count="2">
          <reference field="4294967294" count="1" selected="0">
            <x v="0"/>
          </reference>
          <reference field="3" count="1" selected="0">
            <x v="1"/>
          </reference>
        </references>
      </pivotArea>
    </chartFormat>
    <chartFormat chart="9" format="2" series="1">
      <pivotArea type="data" outline="0" fieldPosition="0">
        <references count="2">
          <reference field="4294967294" count="1" selected="0">
            <x v="0"/>
          </reference>
          <reference field="3" count="1" selected="0">
            <x v="2"/>
          </reference>
        </references>
      </pivotArea>
    </chartFormat>
    <chartFormat chart="9" format="3" series="1">
      <pivotArea type="data" outline="0" fieldPosition="0">
        <references count="2">
          <reference field="4294967294" count="1" selected="0">
            <x v="0"/>
          </reference>
          <reference field="3" count="1" selected="0">
            <x v="3"/>
          </reference>
        </references>
      </pivotArea>
    </chartFormat>
    <chartFormat chart="12" format="8" series="1">
      <pivotArea type="data" outline="0" fieldPosition="0">
        <references count="2">
          <reference field="4294967294" count="1" selected="0">
            <x v="0"/>
          </reference>
          <reference field="3" count="1" selected="0">
            <x v="0"/>
          </reference>
        </references>
      </pivotArea>
    </chartFormat>
    <chartFormat chart="12" format="9" series="1">
      <pivotArea type="data" outline="0" fieldPosition="0">
        <references count="2">
          <reference field="4294967294" count="1" selected="0">
            <x v="0"/>
          </reference>
          <reference field="3" count="1" selected="0">
            <x v="1"/>
          </reference>
        </references>
      </pivotArea>
    </chartFormat>
    <chartFormat chart="12" format="10" series="1">
      <pivotArea type="data" outline="0" fieldPosition="0">
        <references count="2">
          <reference field="4294967294" count="1" selected="0">
            <x v="0"/>
          </reference>
          <reference field="3" count="1" selected="0">
            <x v="2"/>
          </reference>
        </references>
      </pivotArea>
    </chartFormat>
    <chartFormat chart="12" format="11" series="1">
      <pivotArea type="data" outline="0" fieldPosition="0">
        <references count="2">
          <reference field="4294967294" count="1" selected="0">
            <x v="0"/>
          </reference>
          <reference field="3" count="1" selected="0">
            <x v="3"/>
          </reference>
        </references>
      </pivotArea>
    </chartFormat>
    <chartFormat chart="15" format="0" series="1">
      <pivotArea type="data" outline="0" fieldPosition="0">
        <references count="1">
          <reference field="4294967294" count="1" selected="0">
            <x v="0"/>
          </reference>
        </references>
      </pivotArea>
    </chartFormat>
    <chartFormat chart="29" format="20" series="1">
      <pivotArea type="data" outline="0" fieldPosition="0">
        <references count="1">
          <reference field="4294967294" count="1" selected="0">
            <x v="0"/>
          </reference>
        </references>
      </pivotArea>
    </chartFormat>
    <chartFormat chart="29" format="21">
      <pivotArea type="data" outline="0" fieldPosition="0">
        <references count="2">
          <reference field="4294967294" count="1" selected="0">
            <x v="0"/>
          </reference>
          <reference field="3" count="1" selected="0">
            <x v="0"/>
          </reference>
        </references>
      </pivotArea>
    </chartFormat>
    <chartFormat chart="29" format="22">
      <pivotArea type="data" outline="0" fieldPosition="0">
        <references count="2">
          <reference field="4294967294" count="1" selected="0">
            <x v="0"/>
          </reference>
          <reference field="3" count="1" selected="0">
            <x v="1"/>
          </reference>
        </references>
      </pivotArea>
    </chartFormat>
    <chartFormat chart="29" format="23">
      <pivotArea type="data" outline="0" fieldPosition="0">
        <references count="2">
          <reference field="4294967294" count="1" selected="0">
            <x v="0"/>
          </reference>
          <reference field="3" count="1" selected="0">
            <x v="2"/>
          </reference>
        </references>
      </pivotArea>
    </chartFormat>
    <chartFormat chart="29" format="24">
      <pivotArea type="data" outline="0" fieldPosition="0">
        <references count="2">
          <reference field="4294967294" count="1" selected="0">
            <x v="0"/>
          </reference>
          <reference field="3" count="1" selected="0">
            <x v="3"/>
          </reference>
        </references>
      </pivotArea>
    </chartFormat>
  </chart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caption="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FB80435-D721-4234-A651-45F1C776F60B}" name="PivotTable9" cacheId="63" applyNumberFormats="0" applyBorderFormats="0" applyFontFormats="0" applyPatternFormats="0" applyAlignmentFormats="0" applyWidthHeightFormats="1" dataCaption="Values" tag="6810937e-f186-4cf0-8541-d7cde86ee7c3" updatedVersion="8" minRefreshableVersion="3" useAutoFormatting="1" subtotalHiddenItems="1" itemPrintTitles="1" createdVersion="8" indent="0" outline="1" outlineData="1" multipleFieldFilters="0" chartFormat="1" rowHeaderCaption="AvPY: Opex By Dept">
  <location ref="U29:Y34" firstHeaderRow="0" firstDataRow="1" firstDataCol="1" rowPageCount="1" colPageCount="1"/>
  <pivotFields count="7">
    <pivotField axis="axisRow" allDrilled="1" showAll="0" dataSourceSort="1">
      <items count="5">
        <item x="0" e="0"/>
        <item x="1" e="0"/>
        <item x="2" e="0"/>
        <item x="3" e="0"/>
        <item t="default"/>
      </items>
    </pivotField>
    <pivotField dataField="1" subtotalTop="0" showAll="0" defaultSubtotal="0"/>
    <pivotField allDrilled="1" showAll="0" dataSourceSort="1" defaultAttributeDrillState="1"/>
    <pivotField axis="axisPage" allDrilled="1" showAll="0" dataSourceSort="1" defaultAttributeDrillState="1">
      <items count="1">
        <item t="default"/>
      </items>
    </pivotField>
    <pivotField dataField="1" showAll="0"/>
    <pivotField dataField="1" showAll="0"/>
    <pivotField dataField="1" showAll="0"/>
  </pivotFields>
  <rowFields count="1">
    <field x="0"/>
  </rowFields>
  <rowItems count="5">
    <i>
      <x/>
    </i>
    <i>
      <x v="1"/>
    </i>
    <i>
      <x v="2"/>
    </i>
    <i>
      <x v="3"/>
    </i>
    <i t="grand">
      <x/>
    </i>
  </rowItems>
  <colFields count="1">
    <field x="-2"/>
  </colFields>
  <colItems count="4">
    <i>
      <x/>
    </i>
    <i i="1">
      <x v="1"/>
    </i>
    <i i="2">
      <x v="2"/>
    </i>
    <i i="3">
      <x v="3"/>
    </i>
  </colItems>
  <pageFields count="1">
    <pageField fld="3" hier="16" name="[Mappings].[Section].&amp;[Expenses]" cap="Expenses"/>
  </pageFields>
  <dataFields count="4">
    <dataField fld="4" subtotal="count" baseField="0" baseItem="0"/>
    <dataField fld="1" subtotal="count" baseField="0" baseItem="0"/>
    <dataField fld="5" subtotal="count" baseField="0" baseItem="0"/>
    <dataField fld="6" subtotal="count" baseField="0" baseItem="0"/>
  </dataFields>
  <formats count="6">
    <format dxfId="20">
      <pivotArea field="0" type="button" dataOnly="0" labelOnly="1" outline="0" axis="axisRow" fieldPosition="0"/>
    </format>
    <format dxfId="19">
      <pivotArea dataOnly="0" labelOnly="1" outline="0" fieldPosition="0">
        <references count="1">
          <reference field="4294967294" count="4">
            <x v="0"/>
            <x v="1"/>
            <x v="2"/>
            <x v="3"/>
          </reference>
        </references>
      </pivotArea>
    </format>
    <format dxfId="18">
      <pivotArea field="0" type="button" dataOnly="0" labelOnly="1" outline="0" axis="axisRow" fieldPosition="0"/>
    </format>
    <format dxfId="17">
      <pivotArea dataOnly="0" labelOnly="1" outline="0" fieldPosition="0">
        <references count="1">
          <reference field="4294967294" count="4">
            <x v="0"/>
            <x v="1"/>
            <x v="2"/>
            <x v="3"/>
          </reference>
        </references>
      </pivotArea>
    </format>
    <format dxfId="16">
      <pivotArea field="0" type="button" dataOnly="0" labelOnly="1" outline="0" axis="axisRow" fieldPosition="0"/>
    </format>
    <format dxfId="15">
      <pivotArea dataOnly="0" labelOnly="1" outline="0" fieldPosition="0">
        <references count="1">
          <reference field="4294967294" count="4">
            <x v="0"/>
            <x v="1"/>
            <x v="2"/>
            <x v="3"/>
          </reference>
        </references>
      </pivotArea>
    </format>
  </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C742603-BE48-4668-A43F-73F3E5930753}" name="PivotTable6" cacheId="76" applyNumberFormats="0" applyBorderFormats="0" applyFontFormats="0" applyPatternFormats="0" applyAlignmentFormats="0" applyWidthHeightFormats="1" dataCaption="Values" tag="9fa07cfc-aa6a-41f1-ac44-4bfb28ef498c" updatedVersion="8" minRefreshableVersion="3" useAutoFormatting="1" subtotalHiddenItems="1" colGrandTotals="0" itemPrintTitles="1" createdVersion="8" indent="0" outline="1" outlineData="1" multipleFieldFilters="0" chartFormat="34" rowHeaderCaption=" " colHeaderCaption=" ">
  <location ref="L26:M31" firstHeaderRow="1" firstDataRow="1" firstDataCol="1" rowPageCount="1" colPageCount="1"/>
  <pivotFields count="4">
    <pivotField allDrilled="1" showAll="0" dataSourceSort="1" defaultAttributeDrillState="1"/>
    <pivotField axis="axisPage" allDrilled="1" showAll="0" dataSourceSort="1" defaultAttributeDrillState="1">
      <items count="1">
        <item t="default"/>
      </items>
    </pivotField>
    <pivotField dataField="1" showAll="0"/>
    <pivotField axis="axisRow" allDrilled="1" showAll="0" dataSourceSort="1" defaultAttributeDrillState="1">
      <items count="5">
        <item x="0"/>
        <item x="1"/>
        <item x="2"/>
        <item x="3"/>
        <item t="default"/>
      </items>
    </pivotField>
  </pivotFields>
  <rowFields count="1">
    <field x="3"/>
  </rowFields>
  <rowItems count="5">
    <i>
      <x/>
    </i>
    <i>
      <x v="1"/>
    </i>
    <i>
      <x v="2"/>
    </i>
    <i>
      <x v="3"/>
    </i>
    <i t="grand">
      <x/>
    </i>
  </rowItems>
  <colItems count="1">
    <i/>
  </colItems>
  <pageFields count="1">
    <pageField fld="1" hier="16" name="[Mappings].[Section].&amp;[Expenses]" cap="Expenses"/>
  </pageFields>
  <dataFields count="1">
    <dataField name=" " fld="2" subtotal="count" baseField="0" baseItem="0"/>
  </dataFields>
  <formats count="3">
    <format dxfId="23">
      <pivotArea type="all" dataOnly="0" outline="0" fieldPosition="0"/>
    </format>
    <format dxfId="22">
      <pivotArea outline="0" collapsedLevelsAreSubtotals="1" fieldPosition="0"/>
    </format>
    <format dxfId="21">
      <pivotArea dataOnly="0" labelOnly="1" outline="0" axis="axisValues" fieldPosition="0"/>
    </format>
  </formats>
  <chartFormats count="9">
    <chartFormat chart="15" format="0" series="1">
      <pivotArea type="data" outline="0" fieldPosition="0">
        <references count="1">
          <reference field="4294967294" count="1" selected="0">
            <x v="0"/>
          </reference>
        </references>
      </pivotArea>
    </chartFormat>
    <chartFormat chart="19" format="0" series="1">
      <pivotArea type="data" outline="0" fieldPosition="0">
        <references count="1">
          <reference field="4294967294" count="1" selected="0">
            <x v="0"/>
          </reference>
        </references>
      </pivotArea>
    </chartFormat>
    <chartFormat chart="24" format="10" series="1">
      <pivotArea type="data" outline="0" fieldPosition="0">
        <references count="1">
          <reference field="4294967294" count="1" selected="0">
            <x v="0"/>
          </reference>
        </references>
      </pivotArea>
    </chartFormat>
    <chartFormat chart="25" format="10" series="1">
      <pivotArea type="data" outline="0" fieldPosition="0">
        <references count="1">
          <reference field="4294967294" count="1" selected="0">
            <x v="0"/>
          </reference>
        </references>
      </pivotArea>
    </chartFormat>
    <chartFormat chart="33" format="20" series="1">
      <pivotArea type="data" outline="0" fieldPosition="0">
        <references count="1">
          <reference field="4294967294" count="1" selected="0">
            <x v="0"/>
          </reference>
        </references>
      </pivotArea>
    </chartFormat>
    <chartFormat chart="33" format="21">
      <pivotArea type="data" outline="0" fieldPosition="0">
        <references count="2">
          <reference field="4294967294" count="1" selected="0">
            <x v="0"/>
          </reference>
          <reference field="3" count="1" selected="0">
            <x v="0"/>
          </reference>
        </references>
      </pivotArea>
    </chartFormat>
    <chartFormat chart="33" format="22">
      <pivotArea type="data" outline="0" fieldPosition="0">
        <references count="2">
          <reference field="4294967294" count="1" selected="0">
            <x v="0"/>
          </reference>
          <reference field="3" count="1" selected="0">
            <x v="1"/>
          </reference>
        </references>
      </pivotArea>
    </chartFormat>
    <chartFormat chart="33" format="23">
      <pivotArea type="data" outline="0" fieldPosition="0">
        <references count="2">
          <reference field="4294967294" count="1" selected="0">
            <x v="0"/>
          </reference>
          <reference field="3" count="1" selected="0">
            <x v="2"/>
          </reference>
        </references>
      </pivotArea>
    </chartFormat>
    <chartFormat chart="33" format="24">
      <pivotArea type="data" outline="0" fieldPosition="0">
        <references count="2">
          <reference field="4294967294" count="1" selected="0">
            <x v="0"/>
          </reference>
          <reference field="3" count="1" selected="0">
            <x v="3"/>
          </reference>
        </references>
      </pivotArea>
    </chartFormat>
  </chart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caption="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1526E44-E909-41A6-A776-014A48C1B1F6}" name="PivotTable2" cacheId="73" applyNumberFormats="0" applyBorderFormats="0" applyFontFormats="0" applyPatternFormats="0" applyAlignmentFormats="0" applyWidthHeightFormats="1" dataCaption="Values" tag="9944123b-d4f3-4a03-9394-8a2ac423be46" updatedVersion="8" minRefreshableVersion="3" useAutoFormatting="1" subtotalHiddenItems="1" itemPrintTitles="1" createdVersion="8" indent="0" outline="1" outlineData="1" multipleFieldFilters="0" chartFormat="1" rowHeaderCaption="P&amp;L">
  <location ref="AP8:AQ25" firstHeaderRow="1" firstDataRow="1" firstDataCol="1" rowPageCount="1" colPageCount="1"/>
  <pivotFields count="6">
    <pivotField axis="axisPage" allDrilled="1" showAll="0" dataSourceSort="1" defaultAttributeDrillState="1">
      <items count="1">
        <item t="default"/>
      </items>
    </pivotField>
    <pivotField dataField="1" subtotalTop="0" showAll="0" defaultSubtotal="0"/>
    <pivotField allDrilled="1" showAll="0" dataSourceSort="1" defaultAttributeDrillState="1"/>
    <pivotField axis="axisRow" allDrilled="1" showAll="0">
      <items count="11">
        <item x="4" e="0"/>
        <item x="0" e="0"/>
        <item x="3" e="0"/>
        <item x="2"/>
        <item x="1" e="0"/>
        <item x="9" e="0"/>
        <item x="8" e="0"/>
        <item x="5" e="0"/>
        <item x="7" e="0"/>
        <item x="6" e="0"/>
        <item t="default"/>
      </items>
    </pivotField>
    <pivotField axis="axisRow" allDrilled="1" showAll="0" dataSourceSort="1">
      <items count="13">
        <item s="1" x="0"/>
        <item s="1" x="1" e="0"/>
        <item s="1" x="2" e="0"/>
        <item s="1" x="3" e="0"/>
        <item s="1" x="4" e="0"/>
        <item s="1" x="5" e="0"/>
        <item s="1" x="6" e="0"/>
        <item s="1" x="7" e="0"/>
        <item s="1" x="8" e="0"/>
        <item s="1" x="9" e="0"/>
        <item s="1" x="10" e="0"/>
        <item s="1" x="11" e="0"/>
        <item t="default"/>
      </items>
    </pivotField>
    <pivotField axis="axisRow" allDrilled="1" showAll="0" dataSourceSort="1" defaultAttributeDrillState="1">
      <items count="3">
        <item x="0"/>
        <item x="1"/>
        <item t="default"/>
      </items>
    </pivotField>
  </pivotFields>
  <rowFields count="3">
    <field x="3"/>
    <field x="4"/>
    <field x="5"/>
  </rowFields>
  <rowItems count="17">
    <i>
      <x/>
    </i>
    <i>
      <x v="1"/>
    </i>
    <i>
      <x v="2"/>
    </i>
    <i>
      <x v="3"/>
    </i>
    <i r="1">
      <x/>
    </i>
    <i r="2">
      <x/>
    </i>
    <i r="2">
      <x v="1"/>
    </i>
    <i r="1">
      <x v="1"/>
    </i>
    <i r="1">
      <x v="2"/>
    </i>
    <i r="1">
      <x v="3"/>
    </i>
    <i>
      <x v="4"/>
    </i>
    <i>
      <x v="5"/>
    </i>
    <i>
      <x v="6"/>
    </i>
    <i>
      <x v="7"/>
    </i>
    <i>
      <x v="8"/>
    </i>
    <i>
      <x v="9"/>
    </i>
    <i t="grand">
      <x/>
    </i>
  </rowItems>
  <colItems count="1">
    <i/>
  </colItems>
  <pageFields count="1">
    <pageField fld="0" hier="14" name="[Departments].[Departments].[All]" cap="All"/>
  </pageFields>
  <dataFields count="1">
    <dataField fld="1" subtotal="count" baseField="0" baseItem="0"/>
  </dataFields>
  <formats count="6">
    <format dxfId="29">
      <pivotArea field="0" type="button" dataOnly="0" labelOnly="1" outline="0" axis="axisPage" fieldPosition="0"/>
    </format>
    <format dxfId="28">
      <pivotArea dataOnly="0" labelOnly="1" outline="0" fieldPosition="0">
        <references count="1">
          <reference field="4294967294" count="1">
            <x v="0"/>
          </reference>
        </references>
      </pivotArea>
    </format>
    <format dxfId="27">
      <pivotArea field="0" type="button" dataOnly="0" labelOnly="1" outline="0" axis="axisPage" fieldPosition="0"/>
    </format>
    <format dxfId="26">
      <pivotArea dataOnly="0" labelOnly="1" outline="0" fieldPosition="0">
        <references count="1">
          <reference field="4294967294" count="1">
            <x v="0"/>
          </reference>
        </references>
      </pivotArea>
    </format>
    <format dxfId="25">
      <pivotArea field="0" type="button" dataOnly="0" labelOnly="1" outline="0" axis="axisPage" fieldPosition="0"/>
    </format>
    <format dxfId="24">
      <pivotArea dataOnly="0" labelOnly="1" outline="0" fieldPosition="0">
        <references count="1">
          <reference field="4294967294" count="1">
            <x v="0"/>
          </reference>
        </references>
      </pivotArea>
    </format>
  </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3">
    <rowHierarchyUsage hierarchyUsage="16"/>
    <rowHierarchyUsage hierarchyUsage="17"/>
    <rowHierarchyUsage hierarchyUsage="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29DC1BF-B7CE-48E6-B258-FF7CB343F040}" name="PivotTable14" cacheId="68" applyNumberFormats="0" applyBorderFormats="0" applyFontFormats="0" applyPatternFormats="0" applyAlignmentFormats="0" applyWidthHeightFormats="1" dataCaption="Values" tag="182090d6-0ce3-4f32-8a9b-783d20706a75" updatedVersion="8" minRefreshableVersion="3" useAutoFormatting="1" subtotalHiddenItems="1" itemPrintTitles="1" createdVersion="8" indent="0" outline="1" outlineData="1" multipleFieldFilters="0" rowHeaderCaption="AvPP: Rev, GP, EBITDA">
  <location ref="O19:S23" firstHeaderRow="0" firstDataRow="1" firstDataCol="1" rowPageCount="1" colPageCount="1"/>
  <pivotFields count="7">
    <pivotField axis="axisRow" allDrilled="1" showAll="0">
      <items count="4">
        <item x="2" e="0"/>
        <item x="1" e="0"/>
        <item x="0" e="0"/>
        <item t="default"/>
      </items>
    </pivotField>
    <pivotField dataField="1" subtotalTop="0" showAll="0" defaultSubtotal="0"/>
    <pivotField allDrilled="1" showAll="0" dataSourceSort="1" defaultAttributeDrillState="1"/>
    <pivotField axis="axisPage" allDrilled="1" showAll="0" dataSourceSort="1" defaultAttributeDrillState="1">
      <items count="1">
        <item t="default"/>
      </items>
    </pivotField>
    <pivotField dataField="1" showAll="0"/>
    <pivotField dataField="1" showAll="0"/>
    <pivotField dataField="1" showAll="0"/>
  </pivotFields>
  <rowFields count="1">
    <field x="0"/>
  </rowFields>
  <rowItems count="4">
    <i>
      <x/>
    </i>
    <i>
      <x v="1"/>
    </i>
    <i>
      <x v="2"/>
    </i>
    <i t="grand">
      <x/>
    </i>
  </rowItems>
  <colFields count="1">
    <field x="-2"/>
  </colFields>
  <colItems count="4">
    <i>
      <x/>
    </i>
    <i i="1">
      <x v="1"/>
    </i>
    <i i="2">
      <x v="2"/>
    </i>
    <i i="3">
      <x v="3"/>
    </i>
  </colItems>
  <pageFields count="1">
    <pageField fld="3" hier="16" name="[Mappings].[Section].&amp;[EBITDA]" cap="EBITDA"/>
  </pageFields>
  <dataFields count="4">
    <dataField fld="4" subtotal="count" baseField="0" baseItem="0"/>
    <dataField fld="1" subtotal="count" baseField="0" baseItem="0"/>
    <dataField fld="5" subtotal="count" baseField="0" baseItem="0"/>
    <dataField fld="6" subtotal="count" baseField="0" baseItem="0"/>
  </dataFields>
  <formats count="6">
    <format dxfId="35">
      <pivotArea field="0" type="button" dataOnly="0" labelOnly="1" outline="0" axis="axisRow" fieldPosition="0"/>
    </format>
    <format dxfId="34">
      <pivotArea dataOnly="0" labelOnly="1" outline="0" fieldPosition="0">
        <references count="1">
          <reference field="4294967294" count="4">
            <x v="0"/>
            <x v="1"/>
            <x v="2"/>
            <x v="3"/>
          </reference>
        </references>
      </pivotArea>
    </format>
    <format dxfId="33">
      <pivotArea field="0" type="button" dataOnly="0" labelOnly="1" outline="0" axis="axisRow" fieldPosition="0"/>
    </format>
    <format dxfId="32">
      <pivotArea dataOnly="0" labelOnly="1" outline="0" fieldPosition="0">
        <references count="1">
          <reference field="4294967294" count="4">
            <x v="0"/>
            <x v="1"/>
            <x v="2"/>
            <x v="3"/>
          </reference>
        </references>
      </pivotArea>
    </format>
    <format dxfId="31">
      <pivotArea field="0" type="button" dataOnly="0" labelOnly="1" outline="0" axis="axisRow" fieldPosition="0"/>
    </format>
    <format dxfId="30">
      <pivotArea dataOnly="0" labelOnly="1" outline="0" fieldPosition="0">
        <references count="1">
          <reference field="4294967294" count="4">
            <x v="0"/>
            <x v="1"/>
            <x v="2"/>
            <x v="3"/>
          </reference>
        </references>
      </pivotArea>
    </format>
  </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Mappings].[Section].&amp;[EBITDA]"/>
        <member name="[Mappings].[Section].&amp;[Income]"/>
        <member name="[Mappings].[Section].&amp;[Gross Profit]"/>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9525FBA-086C-4594-B0B8-9573E2652575}" name="Opex by Dept_No period" cacheId="72" applyNumberFormats="0" applyBorderFormats="0" applyFontFormats="0" applyPatternFormats="0" applyAlignmentFormats="0" applyWidthHeightFormats="1" dataCaption="Values" tag="33dbf098-1455-4b62-9eb9-269b557b87df" updatedVersion="8" minRefreshableVersion="3" useAutoFormatting="1" subtotalHiddenItems="1" colGrandTotals="0" itemPrintTitles="1" createdVersion="8" indent="0" outline="1" outlineData="1" multipleFieldFilters="0" chartFormat="30" rowHeaderCaption=" " colHeaderCaption=" ">
  <location ref="AM11:AN16" firstHeaderRow="1" firstDataRow="1" firstDataCol="1" rowPageCount="1" colPageCount="1"/>
  <pivotFields count="4">
    <pivotField allDrilled="1" showAll="0" dataSourceSort="1" defaultAttributeDrillState="1"/>
    <pivotField axis="axisPage" allDrilled="1" showAll="0" dataSourceSort="1" defaultAttributeDrillState="1">
      <items count="1">
        <item t="default"/>
      </items>
    </pivotField>
    <pivotField dataField="1" showAll="0"/>
    <pivotField axis="axisRow" allDrilled="1" showAll="0" dataSourceSort="1" defaultAttributeDrillState="1">
      <items count="5">
        <item x="0"/>
        <item x="1"/>
        <item x="2"/>
        <item x="3"/>
        <item t="default"/>
      </items>
    </pivotField>
  </pivotFields>
  <rowFields count="1">
    <field x="3"/>
  </rowFields>
  <rowItems count="5">
    <i>
      <x/>
    </i>
    <i>
      <x v="1"/>
    </i>
    <i>
      <x v="2"/>
    </i>
    <i>
      <x v="3"/>
    </i>
    <i t="grand">
      <x/>
    </i>
  </rowItems>
  <colItems count="1">
    <i/>
  </colItems>
  <pageFields count="1">
    <pageField fld="1" hier="16" name="[Mappings].[Section].&amp;[Expenses]" cap="Expenses"/>
  </pageFields>
  <dataFields count="1">
    <dataField name=" " fld="2" subtotal="count" baseField="0" baseItem="0"/>
  </dataFields>
  <formats count="7">
    <format dxfId="42">
      <pivotArea dataOnly="0" labelOnly="1" fieldPosition="0">
        <references count="1">
          <reference field="3" count="0"/>
        </references>
      </pivotArea>
    </format>
    <format dxfId="41">
      <pivotArea type="all" dataOnly="0" outline="0" fieldPosition="0"/>
    </format>
    <format dxfId="40">
      <pivotArea outline="0" collapsedLevelsAreSubtotals="1" fieldPosition="0"/>
    </format>
    <format dxfId="39">
      <pivotArea field="3" type="button" dataOnly="0" labelOnly="1" outline="0" axis="axisRow" fieldPosition="0"/>
    </format>
    <format dxfId="38">
      <pivotArea dataOnly="0" labelOnly="1" fieldPosition="0">
        <references count="1">
          <reference field="3" count="0"/>
        </references>
      </pivotArea>
    </format>
    <format dxfId="37">
      <pivotArea dataOnly="0" labelOnly="1" outline="0" axis="axisValues" fieldPosition="0"/>
    </format>
    <format dxfId="36">
      <pivotArea dataOnly="0" labelOnly="1" fieldPosition="0">
        <references count="1">
          <reference field="3" count="0"/>
        </references>
      </pivotArea>
    </format>
  </formats>
  <chartFormats count="14">
    <chartFormat chart="9" format="0" series="1">
      <pivotArea type="data" outline="0" fieldPosition="0">
        <references count="2">
          <reference field="4294967294" count="1" selected="0">
            <x v="0"/>
          </reference>
          <reference field="3" count="1" selected="0">
            <x v="0"/>
          </reference>
        </references>
      </pivotArea>
    </chartFormat>
    <chartFormat chart="9" format="1" series="1">
      <pivotArea type="data" outline="0" fieldPosition="0">
        <references count="2">
          <reference field="4294967294" count="1" selected="0">
            <x v="0"/>
          </reference>
          <reference field="3" count="1" selected="0">
            <x v="1"/>
          </reference>
        </references>
      </pivotArea>
    </chartFormat>
    <chartFormat chart="9" format="2" series="1">
      <pivotArea type="data" outline="0" fieldPosition="0">
        <references count="2">
          <reference field="4294967294" count="1" selected="0">
            <x v="0"/>
          </reference>
          <reference field="3" count="1" selected="0">
            <x v="2"/>
          </reference>
        </references>
      </pivotArea>
    </chartFormat>
    <chartFormat chart="9" format="3" series="1">
      <pivotArea type="data" outline="0" fieldPosition="0">
        <references count="2">
          <reference field="4294967294" count="1" selected="0">
            <x v="0"/>
          </reference>
          <reference field="3" count="1" selected="0">
            <x v="3"/>
          </reference>
        </references>
      </pivotArea>
    </chartFormat>
    <chartFormat chart="12" format="8" series="1">
      <pivotArea type="data" outline="0" fieldPosition="0">
        <references count="2">
          <reference field="4294967294" count="1" selected="0">
            <x v="0"/>
          </reference>
          <reference field="3" count="1" selected="0">
            <x v="0"/>
          </reference>
        </references>
      </pivotArea>
    </chartFormat>
    <chartFormat chart="12" format="9" series="1">
      <pivotArea type="data" outline="0" fieldPosition="0">
        <references count="2">
          <reference field="4294967294" count="1" selected="0">
            <x v="0"/>
          </reference>
          <reference field="3" count="1" selected="0">
            <x v="1"/>
          </reference>
        </references>
      </pivotArea>
    </chartFormat>
    <chartFormat chart="12" format="10" series="1">
      <pivotArea type="data" outline="0" fieldPosition="0">
        <references count="2">
          <reference field="4294967294" count="1" selected="0">
            <x v="0"/>
          </reference>
          <reference field="3" count="1" selected="0">
            <x v="2"/>
          </reference>
        </references>
      </pivotArea>
    </chartFormat>
    <chartFormat chart="12" format="11" series="1">
      <pivotArea type="data" outline="0" fieldPosition="0">
        <references count="2">
          <reference field="4294967294" count="1" selected="0">
            <x v="0"/>
          </reference>
          <reference field="3" count="1" selected="0">
            <x v="3"/>
          </reference>
        </references>
      </pivotArea>
    </chartFormat>
    <chartFormat chart="15" format="0" series="1">
      <pivotArea type="data" outline="0" fieldPosition="0">
        <references count="1">
          <reference field="4294967294" count="1" selected="0">
            <x v="0"/>
          </reference>
        </references>
      </pivotArea>
    </chartFormat>
    <chartFormat chart="29" format="20" series="1">
      <pivotArea type="data" outline="0" fieldPosition="0">
        <references count="1">
          <reference field="4294967294" count="1" selected="0">
            <x v="0"/>
          </reference>
        </references>
      </pivotArea>
    </chartFormat>
    <chartFormat chart="29" format="21">
      <pivotArea type="data" outline="0" fieldPosition="0">
        <references count="2">
          <reference field="4294967294" count="1" selected="0">
            <x v="0"/>
          </reference>
          <reference field="3" count="1" selected="0">
            <x v="0"/>
          </reference>
        </references>
      </pivotArea>
    </chartFormat>
    <chartFormat chart="29" format="22">
      <pivotArea type="data" outline="0" fieldPosition="0">
        <references count="2">
          <reference field="4294967294" count="1" selected="0">
            <x v="0"/>
          </reference>
          <reference field="3" count="1" selected="0">
            <x v="1"/>
          </reference>
        </references>
      </pivotArea>
    </chartFormat>
    <chartFormat chart="29" format="23">
      <pivotArea type="data" outline="0" fieldPosition="0">
        <references count="2">
          <reference field="4294967294" count="1" selected="0">
            <x v="0"/>
          </reference>
          <reference field="3" count="1" selected="0">
            <x v="2"/>
          </reference>
        </references>
      </pivotArea>
    </chartFormat>
    <chartFormat chart="29" format="24">
      <pivotArea type="data" outline="0" fieldPosition="0">
        <references count="2">
          <reference field="4294967294" count="1" selected="0">
            <x v="0"/>
          </reference>
          <reference field="3" count="1" selected="0">
            <x v="3"/>
          </reference>
        </references>
      </pivotArea>
    </chartFormat>
  </chart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caption="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E7E454E-2ECC-47EC-8C25-C7DD839EE2F1}" name="Budget vs Actuals by Profit" cacheId="67" applyNumberFormats="0" applyBorderFormats="0" applyFontFormats="0" applyPatternFormats="0" applyAlignmentFormats="0" applyWidthHeightFormats="1" dataCaption="Values" tag="8cf195a4-900e-44eb-bbe9-aa3bd3cdb07a" updatedVersion="8" minRefreshableVersion="3" useAutoFormatting="1" subtotalHiddenItems="1" itemPrintTitles="1" createdVersion="8" indent="0" outline="1" outlineData="1" multipleFieldFilters="0" rowHeaderCaption="BvA: Rev, GP, EBITDA">
  <location ref="O9:S13" firstHeaderRow="0" firstDataRow="1" firstDataCol="1" rowPageCount="1" colPageCount="1"/>
  <pivotFields count="7">
    <pivotField axis="axisRow" allDrilled="1" showAll="0">
      <items count="4">
        <item x="2" e="0"/>
        <item x="1" e="0"/>
        <item x="0" e="0"/>
        <item t="default"/>
      </items>
    </pivotField>
    <pivotField dataField="1" subtotalTop="0" showAll="0" defaultSubtotal="0"/>
    <pivotField allDrilled="1" showAll="0" dataSourceSort="1" defaultAttributeDrillState="1"/>
    <pivotField axis="axisPage" allDrilled="1" showAll="0" dataSourceSort="1" defaultAttributeDrillState="1">
      <items count="1">
        <item t="default"/>
      </items>
    </pivotField>
    <pivotField dataField="1" showAll="0"/>
    <pivotField dataField="1" showAll="0"/>
    <pivotField dataField="1" showAll="0"/>
  </pivotFields>
  <rowFields count="1">
    <field x="0"/>
  </rowFields>
  <rowItems count="4">
    <i>
      <x/>
    </i>
    <i>
      <x v="1"/>
    </i>
    <i>
      <x v="2"/>
    </i>
    <i t="grand">
      <x/>
    </i>
  </rowItems>
  <colFields count="1">
    <field x="-2"/>
  </colFields>
  <colItems count="4">
    <i>
      <x/>
    </i>
    <i i="1">
      <x v="1"/>
    </i>
    <i i="2">
      <x v="2"/>
    </i>
    <i i="3">
      <x v="3"/>
    </i>
  </colItems>
  <pageFields count="1">
    <pageField fld="3" hier="16" name="[Mappings].[Section].&amp;[EBITDA]" cap="EBITDA"/>
  </pageFields>
  <dataFields count="4">
    <dataField fld="4" subtotal="count" baseField="0" baseItem="0"/>
    <dataField fld="1" subtotal="count" baseField="0" baseItem="0"/>
    <dataField fld="5" subtotal="count" baseField="0" baseItem="0"/>
    <dataField fld="6" subtotal="count" baseField="0" baseItem="0"/>
  </dataFields>
  <formats count="6">
    <format dxfId="48">
      <pivotArea field="0" type="button" dataOnly="0" labelOnly="1" outline="0" axis="axisRow" fieldPosition="0"/>
    </format>
    <format dxfId="47">
      <pivotArea dataOnly="0" labelOnly="1" outline="0" fieldPosition="0">
        <references count="1">
          <reference field="4294967294" count="4">
            <x v="0"/>
            <x v="1"/>
            <x v="2"/>
            <x v="3"/>
          </reference>
        </references>
      </pivotArea>
    </format>
    <format dxfId="46">
      <pivotArea field="0" type="button" dataOnly="0" labelOnly="1" outline="0" axis="axisRow" fieldPosition="0"/>
    </format>
    <format dxfId="45">
      <pivotArea dataOnly="0" labelOnly="1" outline="0" fieldPosition="0">
        <references count="1">
          <reference field="4294967294" count="4">
            <x v="0"/>
            <x v="1"/>
            <x v="2"/>
            <x v="3"/>
          </reference>
        </references>
      </pivotArea>
    </format>
    <format dxfId="44">
      <pivotArea field="0" type="button" dataOnly="0" labelOnly="1" outline="0" axis="axisRow" fieldPosition="0"/>
    </format>
    <format dxfId="43">
      <pivotArea dataOnly="0" labelOnly="1" outline="0" fieldPosition="0">
        <references count="1">
          <reference field="4294967294" count="4">
            <x v="0"/>
            <x v="1"/>
            <x v="2"/>
            <x v="3"/>
          </reference>
        </references>
      </pivotArea>
    </format>
  </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Mappings].[Section].&amp;[EBITDA]"/>
        <member name="[Mappings].[Section].&amp;[Income]"/>
        <member name="[Mappings].[Section].&amp;[Gross Profit]"/>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F0EEE2C-DB5C-4F78-8E5A-E8BE14084891}" name="Opex by Dept and Month" cacheId="70" applyNumberFormats="0" applyBorderFormats="0" applyFontFormats="0" applyPatternFormats="0" applyAlignmentFormats="0" applyWidthHeightFormats="1" dataCaption="Values" tag="5c821b62-43bf-47bf-9257-04e811d1d4ef" updatedVersion="8" minRefreshableVersion="3" useAutoFormatting="1" subtotalHiddenItems="1" rowGrandTotals="0" colGrandTotals="0" itemPrintTitles="1" createdVersion="8" indent="0" outline="1" outlineData="1" multipleFieldFilters="0" chartFormat="25" rowHeaderCaption=" " colHeaderCaption=" ">
  <location ref="AG8:AK16" firstHeaderRow="1" firstDataRow="2" firstDataCol="1" rowPageCount="1" colPageCount="1"/>
  <pivotFields count="5">
    <pivotField allDrilled="1" showAll="0" dataSourceSort="1" defaultAttributeDrillState="1"/>
    <pivotField axis="axisPage" allDrilled="1" showAll="0" dataSourceSort="1" defaultAttributeDrillState="1">
      <items count="1">
        <item t="default"/>
      </items>
    </pivotField>
    <pivotField dataField="1" showAll="0"/>
    <pivotField axis="axisCol" allDrilled="1" showAll="0" dataSourceSort="1" defaultAttributeDrillState="1">
      <items count="5">
        <item x="0"/>
        <item x="1"/>
        <item x="2"/>
        <item x="3"/>
        <item t="default"/>
      </items>
    </pivotField>
    <pivotField axis="axisRow" allDrilled="1" showAll="0" dataSourceSort="1" defaultAttributeDrillState="1">
      <items count="8">
        <item x="0"/>
        <item x="1"/>
        <item x="2"/>
        <item x="3"/>
        <item x="4"/>
        <item x="5"/>
        <item x="6"/>
        <item t="default"/>
      </items>
    </pivotField>
  </pivotFields>
  <rowFields count="1">
    <field x="4"/>
  </rowFields>
  <rowItems count="7">
    <i>
      <x/>
    </i>
    <i>
      <x v="1"/>
    </i>
    <i>
      <x v="2"/>
    </i>
    <i>
      <x v="3"/>
    </i>
    <i>
      <x v="4"/>
    </i>
    <i>
      <x v="5"/>
    </i>
    <i>
      <x v="6"/>
    </i>
  </rowItems>
  <colFields count="1">
    <field x="3"/>
  </colFields>
  <colItems count="4">
    <i>
      <x/>
    </i>
    <i>
      <x v="1"/>
    </i>
    <i>
      <x v="2"/>
    </i>
    <i>
      <x v="3"/>
    </i>
  </colItems>
  <pageFields count="1">
    <pageField fld="1" hier="16" name="[Mappings].[Section].&amp;[Expenses]" cap="Expenses"/>
  </pageFields>
  <dataFields count="1">
    <dataField name=" " fld="2" subtotal="count" baseField="0" baseItem="0"/>
  </dataFields>
  <formats count="1">
    <format dxfId="49">
      <pivotArea dataOnly="0" labelOnly="1" fieldPosition="0">
        <references count="1">
          <reference field="3" count="0"/>
        </references>
      </pivotArea>
    </format>
  </formats>
  <chartFormats count="8">
    <chartFormat chart="17" format="13" series="1">
      <pivotArea type="data" outline="0" fieldPosition="0">
        <references count="2">
          <reference field="4294967294" count="1" selected="0">
            <x v="0"/>
          </reference>
          <reference field="3" count="1" selected="0">
            <x v="0"/>
          </reference>
        </references>
      </pivotArea>
    </chartFormat>
    <chartFormat chart="17" format="14" series="1">
      <pivotArea type="data" outline="0" fieldPosition="0">
        <references count="2">
          <reference field="4294967294" count="1" selected="0">
            <x v="0"/>
          </reference>
          <reference field="3" count="1" selected="0">
            <x v="1"/>
          </reference>
        </references>
      </pivotArea>
    </chartFormat>
    <chartFormat chart="17" format="15" series="1">
      <pivotArea type="data" outline="0" fieldPosition="0">
        <references count="2">
          <reference field="4294967294" count="1" selected="0">
            <x v="0"/>
          </reference>
          <reference field="3" count="1" selected="0">
            <x v="2"/>
          </reference>
        </references>
      </pivotArea>
    </chartFormat>
    <chartFormat chart="17" format="16" series="1">
      <pivotArea type="data" outline="0" fieldPosition="0">
        <references count="2">
          <reference field="4294967294" count="1" selected="0">
            <x v="0"/>
          </reference>
          <reference field="3" count="1" selected="0">
            <x v="3"/>
          </reference>
        </references>
      </pivotArea>
    </chartFormat>
    <chartFormat chart="24" format="17" series="1">
      <pivotArea type="data" outline="0" fieldPosition="0">
        <references count="2">
          <reference field="4294967294" count="1" selected="0">
            <x v="0"/>
          </reference>
          <reference field="3" count="1" selected="0">
            <x v="0"/>
          </reference>
        </references>
      </pivotArea>
    </chartFormat>
    <chartFormat chart="24" format="18" series="1">
      <pivotArea type="data" outline="0" fieldPosition="0">
        <references count="2">
          <reference field="4294967294" count="1" selected="0">
            <x v="0"/>
          </reference>
          <reference field="3" count="1" selected="0">
            <x v="1"/>
          </reference>
        </references>
      </pivotArea>
    </chartFormat>
    <chartFormat chart="24" format="19" series="1">
      <pivotArea type="data" outline="0" fieldPosition="0">
        <references count="2">
          <reference field="4294967294" count="1" selected="0">
            <x v="0"/>
          </reference>
          <reference field="3" count="1" selected="0">
            <x v="2"/>
          </reference>
        </references>
      </pivotArea>
    </chartFormat>
    <chartFormat chart="24" format="20" series="1">
      <pivotArea type="data" outline="0" fieldPosition="0">
        <references count="2">
          <reference field="4294967294" count="1" selected="0">
            <x v="0"/>
          </reference>
          <reference field="3" count="1" selected="0">
            <x v="3"/>
          </reference>
        </references>
      </pivotArea>
    </chartFormat>
  </chart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caption="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5"/>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A1FF854-142A-47C2-88B5-D8BAD3647BBE}" name="PivotTable7" cacheId="62" applyNumberFormats="0" applyBorderFormats="0" applyFontFormats="0" applyPatternFormats="0" applyAlignmentFormats="0" applyWidthHeightFormats="1" dataCaption="Values" tag="47b452f6-fb7b-4d78-9c7f-65a49ca55cb9" updatedVersion="8" minRefreshableVersion="3" useAutoFormatting="1" subtotalHiddenItems="1" itemPrintTitles="1" createdVersion="8" indent="0" outline="1" outlineData="1" multipleFieldFilters="0" chartFormat="1" rowHeaderCaption="AvPP: Opex By Dept">
  <location ref="U19:Y24" firstHeaderRow="0" firstDataRow="1" firstDataCol="1" rowPageCount="1" colPageCount="1"/>
  <pivotFields count="7">
    <pivotField axis="axisRow" allDrilled="1" showAll="0" dataSourceSort="1">
      <items count="5">
        <item x="0" e="0"/>
        <item x="1" e="0"/>
        <item x="2" e="0"/>
        <item x="3" e="0"/>
        <item t="default"/>
      </items>
    </pivotField>
    <pivotField dataField="1" subtotalTop="0" showAll="0" defaultSubtotal="0"/>
    <pivotField allDrilled="1" showAll="0" dataSourceSort="1" defaultAttributeDrillState="1"/>
    <pivotField axis="axisPage" allDrilled="1" showAll="0" dataSourceSort="1" defaultAttributeDrillState="1">
      <items count="1">
        <item t="default"/>
      </items>
    </pivotField>
    <pivotField dataField="1" showAll="0"/>
    <pivotField dataField="1" showAll="0"/>
    <pivotField dataField="1" showAll="0"/>
  </pivotFields>
  <rowFields count="1">
    <field x="0"/>
  </rowFields>
  <rowItems count="5">
    <i>
      <x/>
    </i>
    <i>
      <x v="1"/>
    </i>
    <i>
      <x v="2"/>
    </i>
    <i>
      <x v="3"/>
    </i>
    <i t="grand">
      <x/>
    </i>
  </rowItems>
  <colFields count="1">
    <field x="-2"/>
  </colFields>
  <colItems count="4">
    <i>
      <x/>
    </i>
    <i i="1">
      <x v="1"/>
    </i>
    <i i="2">
      <x v="2"/>
    </i>
    <i i="3">
      <x v="3"/>
    </i>
  </colItems>
  <pageFields count="1">
    <pageField fld="3" hier="16" name="[Mappings].[Section].&amp;[Expenses]" cap="Expenses"/>
  </pageFields>
  <dataFields count="4">
    <dataField fld="6" subtotal="count" baseField="0" baseItem="0"/>
    <dataField fld="1" subtotal="count" baseField="0" baseItem="0"/>
    <dataField fld="4" subtotal="count" baseField="0" baseItem="0"/>
    <dataField fld="5" subtotal="count" baseField="0" baseItem="0"/>
  </dataFields>
  <formats count="6">
    <format dxfId="55">
      <pivotArea field="0" type="button" dataOnly="0" labelOnly="1" outline="0" axis="axisRow" fieldPosition="0"/>
    </format>
    <format dxfId="54">
      <pivotArea dataOnly="0" labelOnly="1" outline="0" fieldPosition="0">
        <references count="1">
          <reference field="4294967294" count="4">
            <x v="0"/>
            <x v="1"/>
            <x v="2"/>
            <x v="3"/>
          </reference>
        </references>
      </pivotArea>
    </format>
    <format dxfId="53">
      <pivotArea field="0" type="button" dataOnly="0" labelOnly="1" outline="0" axis="axisRow" fieldPosition="0"/>
    </format>
    <format dxfId="52">
      <pivotArea dataOnly="0" labelOnly="1" outline="0" fieldPosition="0">
        <references count="1">
          <reference field="4294967294" count="4">
            <x v="0"/>
            <x v="1"/>
            <x v="2"/>
            <x v="3"/>
          </reference>
        </references>
      </pivotArea>
    </format>
    <format dxfId="51">
      <pivotArea field="0" type="button" dataOnly="0" labelOnly="1" outline="0" axis="axisRow" fieldPosition="0"/>
    </format>
    <format dxfId="50">
      <pivotArea dataOnly="0" labelOnly="1" outline="0" fieldPosition="0">
        <references count="1">
          <reference field="4294967294" count="4">
            <x v="0"/>
            <x v="1"/>
            <x v="2"/>
            <x v="3"/>
          </reference>
        </references>
      </pivotArea>
    </format>
  </formats>
  <pivotHierarchies count="82">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appings].[Section].&amp;[Expenses]"/>
      </members>
    </pivotHierarchy>
    <pivotHierarchy dragToData="1"/>
    <pivotHierarchy dragToData="1"/>
    <pivotHierarchy dragToData="1"/>
    <pivotHierarchy dragToData="1"/>
    <pivotHierarchy multipleItemSelectionAllowed="1" dragToData="1">
      <members count="1" level="1">
        <member name="[TableView].[Period].&amp;[YT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1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partments]"/>
        <x15:activeTabTopLevelEntity name="[Mappings]"/>
        <x15:activeTabTopLevelEntity name="[Departmental Profit   Loss]"/>
        <x15:activeTabTopLevelEntity name="[Predefined_Dates]"/>
        <x15:activeTabTopLevelEntity name="[TableView]"/>
        <x15:activeTabTopLevelEntity name="[Departmental Profit   Loss_Budget]"/>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eriod" xr10:uid="{806EC3FF-8D8B-4844-82FB-125DA37C7EFC}" sourceName="[TableView].[Period]">
  <pivotTables>
    <pivotTable tabId="11" name="PivotTable4"/>
    <pivotTable tabId="11" name="PivotTable1"/>
    <pivotTable tabId="11" name="PivotTable7"/>
    <pivotTable tabId="11" name="PivotTable9"/>
    <pivotTable tabId="11" name="PivotTable10"/>
    <pivotTable tabId="11" name="PivotTable11"/>
    <pivotTable tabId="11" name="PivotTable12"/>
    <pivotTable tabId="11" name="Budget vs Actuals by Profit"/>
    <pivotTable tabId="11" name="PivotTable14"/>
    <pivotTable tabId="11" name="PivotTable15"/>
    <pivotTable tabId="11" name="Opex by Dept and Month"/>
    <pivotTable tabId="11" name="PivotTable8"/>
    <pivotTable tabId="11" name="Opex by Dept_No period"/>
    <pivotTable tabId="11" name="PivotTable2"/>
    <pivotTable tabId="11" name="PivotTable5"/>
    <pivotTable tabId="11" name="PivotTable3"/>
    <pivotTable tabId="11" name="PivotTable6"/>
    <pivotTable tabId="11" name="PivotTable13"/>
    <pivotTable tabId="11" name="PivotTable16"/>
  </pivotTables>
  <data>
    <olap pivotCacheId="106137174">
      <levels count="2">
        <level uniqueName="[TableView].[Period].[(All)]" sourceCaption="(All)" count="0"/>
        <level uniqueName="[TableView].[Period].[Period]" sourceCaption="Period" count="8">
          <ranges>
            <range startItem="0">
              <i n="[TableView].[Period].&amp;[2023]" c="2023"/>
              <i n="[TableView].[Period].&amp;[2024]" c="2024"/>
              <i n="[TableView].[Period].&amp;[2025]" c="2025"/>
              <i n="[TableView].[Period].&amp;[Current Month]" c="Current Month"/>
              <i n="[TableView].[Period].&amp;[Trailing 12 Months]" c="Trailing 12 Months"/>
              <i n="[TableView].[Period].&amp;[Trailing 3 Months]" c="Trailing 3 Months"/>
              <i n="[TableView].[Period].&amp;[Trailing 6 Months]" c="Trailing 6 Months"/>
              <i n="[TableView].[Period].&amp;[YTD]" c="YTD"/>
            </range>
          </ranges>
        </level>
      </levels>
      <selections count="1">
        <selection n="[TableView].[Period].&amp;[YTD]"/>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 2" xr10:uid="{746F632C-7EAB-4059-BB0F-612A7BC32A76}" cache="Slicer_Period" caption="Period" columnCount="4" showCaption="0" level="1" style="SlicerStyleLight1 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A28AF3F-F03B-4753-A8E4-6828A631F4B7}" name="TableView" displayName="TableView" ref="L2:L10" totalsRowShown="0" headerRowDxfId="11" dataDxfId="10">
  <autoFilter ref="L2:L10" xr:uid="{3A28AF3F-F03B-4753-A8E4-6828A631F4B7}"/>
  <tableColumns count="1">
    <tableColumn id="1" xr3:uid="{A1B2C5D1-9A09-4ABE-9EBD-E53B8B007FCF}" name="Period" dataDxfId="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7DECC0-8873-4591-8199-D9E79A4A0072}" name="Mappings" displayName="Mappings" ref="N2:Q42" totalsRowShown="0">
  <autoFilter ref="N2:Q42" xr:uid="{A67DECC0-8873-4591-8199-D9E79A4A0072}"/>
  <tableColumns count="4">
    <tableColumn id="1" xr3:uid="{85907C4D-3FE2-4534-B04D-5198B0CA1A86}" name="Account" dataDxfId="8"/>
    <tableColumn id="3" xr3:uid="{B5D4D38A-CACD-40D7-9BF9-9209200B6C71}" name="Section" dataDxfId="7"/>
    <tableColumn id="2" xr3:uid="{3ABF6A49-5639-46AE-B6FA-F987F1258C80}" name="Summary Grouping"/>
    <tableColumn id="4" xr3:uid="{E7E58B7C-9308-498E-BC6F-D70DA3A0E80E}" name="Sig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62B40D-A3CF-44CD-8F69-D8173787B32F}" name="Departments" displayName="Departments" ref="B2:B6" totalsRowShown="0" headerRowDxfId="6" dataDxfId="5" tableBorderDxfId="4">
  <autoFilter ref="B2:B6" xr:uid="{9E62B40D-A3CF-44CD-8F69-D8173787B32F}"/>
  <tableColumns count="1">
    <tableColumn id="1" xr3:uid="{8A51CB9F-CAAF-4013-A54C-A8776B5A4C9E}" name="Department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8CAD6F7-37AB-4530-80CD-B09B721DEF66}" name="Predefined_Dates" displayName="Predefined_Dates" ref="S2:T38" totalsRowShown="0" headerRowDxfId="2">
  <autoFilter ref="S2:T38" xr:uid="{E8CAD6F7-37AB-4530-80CD-B09B721DEF66}"/>
  <tableColumns count="2">
    <tableColumn id="1" xr3:uid="{6EE73E42-AA52-4DAD-B08F-D5182A1058B7}" name="Period"/>
    <tableColumn id="2" xr3:uid="{EC40A99C-7E58-47D9-B8C2-D6FA892E2D3B}" name="Date" dataDxfId="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CF58204-8663-4FE9-A7B4-30FD3DD6D154}" name="Section_Signs" displayName="Section_Signs" ref="Y2:Z11" totalsRowShown="0">
  <autoFilter ref="Y2:Z11" xr:uid="{1CF58204-8663-4FE9-A7B4-30FD3DD6D154}"/>
  <tableColumns count="2">
    <tableColumn id="1" xr3:uid="{84A23D87-9697-4103-90F1-F94D10E9E8CE}" name="Section" dataDxfId="0"/>
    <tableColumn id="2" xr3:uid="{878FE512-E846-41CA-8DCE-52E555A78ECD}" name="Sign"/>
  </tableColumns>
  <tableStyleInfo showFirstColumn="0" showLastColumn="0" showRowStripes="1" showColumnStripes="0"/>
</table>
</file>

<file path=xl/theme/theme1.xml><?xml version="1.0" encoding="utf-8"?>
<a:theme xmlns:a="http://schemas.openxmlformats.org/drawingml/2006/main" name="Office Theme">
  <a:themeElements>
    <a:clrScheme name="YCG">
      <a:dk1>
        <a:srgbClr val="0F172A"/>
      </a:dk1>
      <a:lt1>
        <a:sysClr val="window" lastClr="FFFFFF"/>
      </a:lt1>
      <a:dk2>
        <a:srgbClr val="334155"/>
      </a:dk2>
      <a:lt2>
        <a:srgbClr val="F1F5F9"/>
      </a:lt2>
      <a:accent1>
        <a:srgbClr val="1E3A8A"/>
      </a:accent1>
      <a:accent2>
        <a:srgbClr val="E3120B"/>
      </a:accent2>
      <a:accent3>
        <a:srgbClr val="6D7E96"/>
      </a:accent3>
      <a:accent4>
        <a:srgbClr val="205867"/>
      </a:accent4>
      <a:accent5>
        <a:srgbClr val="B65608"/>
      </a:accent5>
      <a:accent6>
        <a:srgbClr val="8064A2"/>
      </a:accent6>
      <a:hlink>
        <a:srgbClr val="1F497D"/>
      </a:hlink>
      <a:folHlink>
        <a:srgbClr val="800080"/>
      </a:folHlink>
    </a:clrScheme>
    <a:fontScheme name="Office">
      <a:majorFont>
        <a:latin typeface="SF Pro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SF Pro Text"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YCG">
    <a:dk1>
      <a:srgbClr val="0F172A"/>
    </a:dk1>
    <a:lt1>
      <a:sysClr val="window" lastClr="FFFFFF"/>
    </a:lt1>
    <a:dk2>
      <a:srgbClr val="334155"/>
    </a:dk2>
    <a:lt2>
      <a:srgbClr val="F1F5F9"/>
    </a:lt2>
    <a:accent1>
      <a:srgbClr val="1E3A8A"/>
    </a:accent1>
    <a:accent2>
      <a:srgbClr val="E3120B"/>
    </a:accent2>
    <a:accent3>
      <a:srgbClr val="6D7E96"/>
    </a:accent3>
    <a:accent4>
      <a:srgbClr val="205867"/>
    </a:accent4>
    <a:accent5>
      <a:srgbClr val="B65608"/>
    </a:accent5>
    <a:accent6>
      <a:srgbClr val="8064A2"/>
    </a:accent6>
    <a:hlink>
      <a:srgbClr val="1F497D"/>
    </a:hlink>
    <a:folHlink>
      <a:srgbClr val="800080"/>
    </a:folHlink>
  </a:clrScheme>
  <a:fontScheme name="Office">
    <a:majorFont>
      <a:latin typeface="SF Pro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SF Pro Text"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YCG">
    <a:dk1>
      <a:srgbClr val="0F172A"/>
    </a:dk1>
    <a:lt1>
      <a:sysClr val="window" lastClr="FFFFFF"/>
    </a:lt1>
    <a:dk2>
      <a:srgbClr val="334155"/>
    </a:dk2>
    <a:lt2>
      <a:srgbClr val="F1F5F9"/>
    </a:lt2>
    <a:accent1>
      <a:srgbClr val="1E3A8A"/>
    </a:accent1>
    <a:accent2>
      <a:srgbClr val="E3120B"/>
    </a:accent2>
    <a:accent3>
      <a:srgbClr val="6D7E96"/>
    </a:accent3>
    <a:accent4>
      <a:srgbClr val="205867"/>
    </a:accent4>
    <a:accent5>
      <a:srgbClr val="B65608"/>
    </a:accent5>
    <a:accent6>
      <a:srgbClr val="8064A2"/>
    </a:accent6>
    <a:hlink>
      <a:srgbClr val="1F497D"/>
    </a:hlink>
    <a:folHlink>
      <a:srgbClr val="800080"/>
    </a:folHlink>
  </a:clrScheme>
  <a:fontScheme name="Office">
    <a:majorFont>
      <a:latin typeface="SF Pro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SF Pro Text"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YCG">
    <a:dk1>
      <a:srgbClr val="0F172A"/>
    </a:dk1>
    <a:lt1>
      <a:sysClr val="window" lastClr="FFFFFF"/>
    </a:lt1>
    <a:dk2>
      <a:srgbClr val="334155"/>
    </a:dk2>
    <a:lt2>
      <a:srgbClr val="F1F5F9"/>
    </a:lt2>
    <a:accent1>
      <a:srgbClr val="1E3A8A"/>
    </a:accent1>
    <a:accent2>
      <a:srgbClr val="E3120B"/>
    </a:accent2>
    <a:accent3>
      <a:srgbClr val="6D7E96"/>
    </a:accent3>
    <a:accent4>
      <a:srgbClr val="205867"/>
    </a:accent4>
    <a:accent5>
      <a:srgbClr val="B65608"/>
    </a:accent5>
    <a:accent6>
      <a:srgbClr val="8064A2"/>
    </a:accent6>
    <a:hlink>
      <a:srgbClr val="1F497D"/>
    </a:hlink>
    <a:folHlink>
      <a:srgbClr val="800080"/>
    </a:folHlink>
  </a:clrScheme>
  <a:fontScheme name="Office">
    <a:majorFont>
      <a:latin typeface="SF Pro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SF Pro Text"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YCG">
    <a:dk1>
      <a:srgbClr val="0F172A"/>
    </a:dk1>
    <a:lt1>
      <a:sysClr val="window" lastClr="FFFFFF"/>
    </a:lt1>
    <a:dk2>
      <a:srgbClr val="334155"/>
    </a:dk2>
    <a:lt2>
      <a:srgbClr val="F1F5F9"/>
    </a:lt2>
    <a:accent1>
      <a:srgbClr val="1E3A8A"/>
    </a:accent1>
    <a:accent2>
      <a:srgbClr val="E3120B"/>
    </a:accent2>
    <a:accent3>
      <a:srgbClr val="6D7E96"/>
    </a:accent3>
    <a:accent4>
      <a:srgbClr val="205867"/>
    </a:accent4>
    <a:accent5>
      <a:srgbClr val="B65608"/>
    </a:accent5>
    <a:accent6>
      <a:srgbClr val="8064A2"/>
    </a:accent6>
    <a:hlink>
      <a:srgbClr val="1F497D"/>
    </a:hlink>
    <a:folHlink>
      <a:srgbClr val="800080"/>
    </a:folHlink>
  </a:clrScheme>
  <a:fontScheme name="Office">
    <a:majorFont>
      <a:latin typeface="SF Pro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SF Pro Text"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YCG">
    <a:dk1>
      <a:srgbClr val="0F172A"/>
    </a:dk1>
    <a:lt1>
      <a:sysClr val="window" lastClr="FFFFFF"/>
    </a:lt1>
    <a:dk2>
      <a:srgbClr val="334155"/>
    </a:dk2>
    <a:lt2>
      <a:srgbClr val="F1F5F9"/>
    </a:lt2>
    <a:accent1>
      <a:srgbClr val="1E3A8A"/>
    </a:accent1>
    <a:accent2>
      <a:srgbClr val="E3120B"/>
    </a:accent2>
    <a:accent3>
      <a:srgbClr val="6D7E96"/>
    </a:accent3>
    <a:accent4>
      <a:srgbClr val="205867"/>
    </a:accent4>
    <a:accent5>
      <a:srgbClr val="B65608"/>
    </a:accent5>
    <a:accent6>
      <a:srgbClr val="8064A2"/>
    </a:accent6>
    <a:hlink>
      <a:srgbClr val="1F497D"/>
    </a:hlink>
    <a:folHlink>
      <a:srgbClr val="800080"/>
    </a:folHlink>
  </a:clrScheme>
  <a:fontScheme name="Office">
    <a:majorFont>
      <a:latin typeface="SF Pro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SF Pro Text"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YCG">
    <a:dk1>
      <a:srgbClr val="0F172A"/>
    </a:dk1>
    <a:lt1>
      <a:sysClr val="window" lastClr="FFFFFF"/>
    </a:lt1>
    <a:dk2>
      <a:srgbClr val="334155"/>
    </a:dk2>
    <a:lt2>
      <a:srgbClr val="F1F5F9"/>
    </a:lt2>
    <a:accent1>
      <a:srgbClr val="1E3A8A"/>
    </a:accent1>
    <a:accent2>
      <a:srgbClr val="E3120B"/>
    </a:accent2>
    <a:accent3>
      <a:srgbClr val="6D7E96"/>
    </a:accent3>
    <a:accent4>
      <a:srgbClr val="205867"/>
    </a:accent4>
    <a:accent5>
      <a:srgbClr val="B65608"/>
    </a:accent5>
    <a:accent6>
      <a:srgbClr val="8064A2"/>
    </a:accent6>
    <a:hlink>
      <a:srgbClr val="1F497D"/>
    </a:hlink>
    <a:folHlink>
      <a:srgbClr val="800080"/>
    </a:folHlink>
  </a:clrScheme>
  <a:fontScheme name="Office">
    <a:majorFont>
      <a:latin typeface="SF Pro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SF Pro Text"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38" row="1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42CFFBD0-B667-4AE6-AB24-4B66FC94C30F}">
  <we:reference id="wa200006775" version="1.0.0.4" store="en-US" storeType="OMEX"/>
  <we:alternateReferences>
    <we:reference id="wa200006775" version="1.0.0.4" store="WA200006775" storeType="OMEX"/>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21" Type="http://schemas.openxmlformats.org/officeDocument/2006/relationships/drawing" Target="../drawings/drawing8.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2.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42C95-49BA-4031-B83A-40D6953707B0}">
  <sheetPr>
    <tabColor rgb="FF1E3A8A"/>
    <pageSetUpPr fitToPage="1"/>
  </sheetPr>
  <dimension ref="A1:AE50"/>
  <sheetViews>
    <sheetView showGridLines="0" tabSelected="1" zoomScale="70" zoomScaleNormal="70" workbookViewId="0">
      <selection activeCell="J2" sqref="J2"/>
    </sheetView>
  </sheetViews>
  <sheetFormatPr baseColWidth="10" defaultColWidth="8.85546875" defaultRowHeight="15" x14ac:dyDescent="0.2"/>
  <cols>
    <col min="1" max="1" width="3.42578125" style="39" customWidth="1"/>
    <col min="2" max="2" width="8.85546875" style="39"/>
    <col min="3" max="3" width="8.85546875" style="39" customWidth="1"/>
    <col min="4" max="4" width="8.85546875" style="39"/>
    <col min="5" max="5" width="10" style="39" customWidth="1"/>
    <col min="6" max="9" width="8.85546875" style="39"/>
    <col min="10" max="10" width="8.85546875" style="39" customWidth="1"/>
    <col min="11" max="13" width="8.85546875" style="39"/>
    <col min="14" max="14" width="11" style="39" customWidth="1"/>
    <col min="15" max="18" width="8.85546875" style="39"/>
    <col min="19" max="19" width="14.42578125" style="39" bestFit="1" customWidth="1"/>
    <col min="20" max="20" width="15.140625" style="39" bestFit="1" customWidth="1"/>
    <col min="21" max="22" width="12.42578125" style="39" customWidth="1"/>
    <col min="23" max="26" width="8.85546875" style="39"/>
    <col min="27" max="27" width="14.42578125" style="39" bestFit="1" customWidth="1"/>
    <col min="28" max="28" width="15.140625" style="39" bestFit="1" customWidth="1"/>
    <col min="29" max="30" width="12.42578125" style="39" customWidth="1"/>
    <col min="31" max="16384" width="8.85546875" style="39"/>
  </cols>
  <sheetData>
    <row r="1" spans="1:30" ht="62" customHeight="1" x14ac:dyDescent="0.2">
      <c r="A1" s="37"/>
      <c r="B1" s="37"/>
      <c r="C1" s="117" t="s">
        <v>0</v>
      </c>
      <c r="D1" s="118"/>
      <c r="E1" s="118"/>
      <c r="F1" s="118"/>
      <c r="G1" s="118"/>
      <c r="H1" s="118"/>
      <c r="I1" s="118"/>
      <c r="J1" s="118"/>
      <c r="K1" s="118"/>
      <c r="L1" s="37"/>
      <c r="M1" s="37"/>
      <c r="N1" s="37"/>
      <c r="O1" s="37"/>
      <c r="P1" s="37"/>
      <c r="Q1" s="37"/>
      <c r="R1" s="37"/>
      <c r="S1" s="37"/>
      <c r="T1" s="37"/>
      <c r="U1" s="37"/>
      <c r="V1" s="37"/>
      <c r="W1" s="37"/>
      <c r="X1" s="37"/>
      <c r="Y1" s="38"/>
      <c r="Z1" s="38"/>
      <c r="AA1" s="119"/>
      <c r="AB1" s="119"/>
      <c r="AC1" s="119"/>
      <c r="AD1" s="44"/>
    </row>
    <row r="2" spans="1:30" ht="37.25" customHeight="1" x14ac:dyDescent="0.2">
      <c r="A2" s="47"/>
      <c r="B2" s="120"/>
      <c r="C2" s="120"/>
      <c r="D2" s="120"/>
      <c r="E2" s="47"/>
      <c r="F2" s="47"/>
      <c r="G2" s="47"/>
      <c r="H2" s="47"/>
      <c r="I2" s="47"/>
      <c r="J2" s="47"/>
      <c r="K2" s="47"/>
      <c r="L2" s="47"/>
      <c r="M2" s="47"/>
      <c r="N2" s="66"/>
      <c r="O2" s="124" t="s">
        <v>1</v>
      </c>
      <c r="P2" s="124"/>
      <c r="Q2" s="124"/>
      <c r="R2" s="124"/>
      <c r="S2" s="124"/>
      <c r="T2" s="124"/>
      <c r="U2" s="124"/>
      <c r="V2" s="125"/>
      <c r="W2" s="124" t="s">
        <v>2</v>
      </c>
      <c r="X2" s="124"/>
      <c r="Y2" s="124"/>
      <c r="Z2" s="124"/>
      <c r="AA2" s="124"/>
      <c r="AB2" s="124"/>
      <c r="AC2" s="124"/>
      <c r="AD2" s="126"/>
    </row>
    <row r="3" spans="1:30" x14ac:dyDescent="0.2">
      <c r="A3" s="40"/>
      <c r="B3" s="40"/>
      <c r="C3" s="40"/>
      <c r="D3" s="40"/>
      <c r="E3" s="40"/>
      <c r="F3" s="40"/>
      <c r="G3" s="40"/>
      <c r="H3" s="40"/>
      <c r="I3" s="40"/>
      <c r="J3" s="40"/>
      <c r="K3" s="40"/>
      <c r="L3" s="40"/>
      <c r="M3" s="40"/>
      <c r="N3" s="67"/>
      <c r="O3" s="41"/>
      <c r="P3" s="41"/>
      <c r="Q3" s="41"/>
      <c r="R3" s="41"/>
      <c r="S3" s="41"/>
      <c r="T3" s="41"/>
      <c r="U3" s="41"/>
      <c r="V3" s="70"/>
      <c r="W3" s="41"/>
      <c r="X3" s="41"/>
      <c r="Y3" s="41"/>
      <c r="Z3" s="41"/>
      <c r="AA3" s="41"/>
      <c r="AB3" s="41"/>
      <c r="AC3" s="41"/>
      <c r="AD3" s="45"/>
    </row>
    <row r="4" spans="1:30" x14ac:dyDescent="0.2">
      <c r="A4" s="40"/>
      <c r="B4" s="40"/>
      <c r="C4" s="40"/>
      <c r="D4" s="40"/>
      <c r="E4" s="40"/>
      <c r="F4" s="40"/>
      <c r="G4" s="40"/>
      <c r="H4" s="40"/>
      <c r="I4" s="40"/>
      <c r="J4" s="40"/>
      <c r="K4" s="40"/>
      <c r="L4" s="40"/>
      <c r="M4" s="40"/>
      <c r="N4" s="67"/>
      <c r="O4" s="41"/>
      <c r="P4" s="41"/>
      <c r="Q4" s="41"/>
      <c r="R4" s="41"/>
      <c r="S4" s="41"/>
      <c r="T4" s="41"/>
      <c r="U4" s="41"/>
      <c r="V4" s="70"/>
      <c r="W4" s="41"/>
      <c r="X4" s="41"/>
      <c r="Y4" s="41"/>
      <c r="Z4" s="41"/>
      <c r="AA4" s="41"/>
      <c r="AB4" s="41"/>
      <c r="AC4" s="41"/>
      <c r="AD4" s="45"/>
    </row>
    <row r="5" spans="1:30" x14ac:dyDescent="0.2">
      <c r="A5" s="40"/>
      <c r="B5" s="40"/>
      <c r="C5" s="40"/>
      <c r="D5" s="40"/>
      <c r="E5" s="40"/>
      <c r="F5" s="40"/>
      <c r="G5" s="40"/>
      <c r="H5" s="40"/>
      <c r="I5" s="40"/>
      <c r="J5" s="40"/>
      <c r="K5" s="40"/>
      <c r="L5" s="40"/>
      <c r="M5" s="40"/>
      <c r="N5" s="67"/>
      <c r="O5" s="41"/>
      <c r="P5" s="41"/>
      <c r="Q5" s="41"/>
      <c r="R5" s="41"/>
      <c r="S5" s="41"/>
      <c r="T5" s="41"/>
      <c r="U5" s="41"/>
      <c r="V5" s="70"/>
      <c r="W5" s="41"/>
      <c r="X5" s="41"/>
      <c r="Y5" s="41"/>
      <c r="Z5" s="41"/>
      <c r="AA5" s="41"/>
      <c r="AB5" s="41"/>
      <c r="AC5" s="41"/>
      <c r="AD5" s="45"/>
    </row>
    <row r="6" spans="1:30" x14ac:dyDescent="0.2">
      <c r="A6" s="40"/>
      <c r="B6" s="40"/>
      <c r="C6" s="40"/>
      <c r="D6" s="40"/>
      <c r="E6" s="40"/>
      <c r="F6" s="40"/>
      <c r="G6" s="40"/>
      <c r="H6" s="40"/>
      <c r="I6" s="40"/>
      <c r="J6" s="40"/>
      <c r="K6" s="40"/>
      <c r="L6" s="40"/>
      <c r="M6" s="40"/>
      <c r="N6" s="67"/>
      <c r="O6" s="41"/>
      <c r="P6" s="41"/>
      <c r="Q6" s="41"/>
      <c r="R6" s="41"/>
      <c r="S6" s="41"/>
      <c r="T6" s="41"/>
      <c r="U6" s="41"/>
      <c r="V6" s="70"/>
      <c r="W6" s="41"/>
      <c r="X6" s="41"/>
      <c r="Y6" s="41"/>
      <c r="Z6" s="41"/>
      <c r="AA6" s="41"/>
      <c r="AB6" s="41"/>
      <c r="AC6" s="41"/>
      <c r="AD6" s="45"/>
    </row>
    <row r="7" spans="1:30" x14ac:dyDescent="0.2">
      <c r="A7" s="40"/>
      <c r="B7" s="40"/>
      <c r="C7" s="40"/>
      <c r="D7" s="40"/>
      <c r="E7" s="40"/>
      <c r="F7" s="40"/>
      <c r="G7" s="40"/>
      <c r="H7" s="40"/>
      <c r="I7" s="40"/>
      <c r="J7" s="40"/>
      <c r="K7" s="40"/>
      <c r="L7" s="40"/>
      <c r="M7" s="40"/>
      <c r="N7" s="67"/>
      <c r="O7" s="41"/>
      <c r="P7" s="41"/>
      <c r="Q7" s="41"/>
      <c r="R7" s="41"/>
      <c r="S7" s="41"/>
      <c r="T7" s="41"/>
      <c r="U7" s="41"/>
      <c r="V7" s="70"/>
      <c r="W7" s="41"/>
      <c r="X7" s="41"/>
      <c r="Y7" s="41"/>
      <c r="Z7" s="41"/>
      <c r="AA7" s="41"/>
      <c r="AB7" s="41"/>
      <c r="AC7" s="41"/>
      <c r="AD7" s="45"/>
    </row>
    <row r="8" spans="1:30" x14ac:dyDescent="0.2">
      <c r="A8" s="40"/>
      <c r="B8" s="40"/>
      <c r="C8" s="40"/>
      <c r="D8" s="40"/>
      <c r="E8" s="40"/>
      <c r="F8" s="40"/>
      <c r="G8" s="40"/>
      <c r="H8" s="40"/>
      <c r="I8" s="40"/>
      <c r="J8" s="40"/>
      <c r="K8" s="40"/>
      <c r="L8" s="40"/>
      <c r="M8" s="40"/>
      <c r="N8" s="67"/>
      <c r="O8" s="41"/>
      <c r="P8" s="41"/>
      <c r="Q8" s="41"/>
      <c r="R8" s="41"/>
      <c r="S8" s="41"/>
      <c r="T8" s="41"/>
      <c r="U8" s="41"/>
      <c r="V8" s="70"/>
      <c r="W8" s="41"/>
      <c r="X8" s="41"/>
      <c r="Y8" s="41"/>
      <c r="Z8" s="41"/>
      <c r="AA8" s="41"/>
      <c r="AB8" s="41"/>
      <c r="AC8" s="41"/>
      <c r="AD8" s="45"/>
    </row>
    <row r="9" spans="1:30" x14ac:dyDescent="0.2">
      <c r="A9" s="40"/>
      <c r="B9" s="40"/>
      <c r="C9" s="40"/>
      <c r="D9" s="40"/>
      <c r="E9" s="40"/>
      <c r="F9" s="40"/>
      <c r="G9" s="40"/>
      <c r="H9" s="40"/>
      <c r="I9" s="40"/>
      <c r="J9" s="40"/>
      <c r="K9" s="40"/>
      <c r="L9" s="40"/>
      <c r="M9" s="40"/>
      <c r="N9" s="67"/>
      <c r="O9" s="41"/>
      <c r="P9" s="41"/>
      <c r="Q9" s="41"/>
      <c r="R9" s="41"/>
      <c r="S9" s="41"/>
      <c r="T9" s="41"/>
      <c r="U9" s="41"/>
      <c r="V9" s="70"/>
      <c r="W9" s="41"/>
      <c r="X9" s="41"/>
      <c r="Y9" s="41"/>
      <c r="Z9" s="41"/>
      <c r="AA9" s="41"/>
      <c r="AB9" s="41"/>
      <c r="AC9" s="41"/>
      <c r="AD9" s="45"/>
    </row>
    <row r="10" spans="1:30" x14ac:dyDescent="0.2">
      <c r="A10" s="40"/>
      <c r="B10" s="40"/>
      <c r="C10" s="40"/>
      <c r="D10" s="40"/>
      <c r="E10" s="40"/>
      <c r="F10" s="40"/>
      <c r="G10" s="40"/>
      <c r="H10" s="40"/>
      <c r="I10" s="40"/>
      <c r="J10" s="40"/>
      <c r="K10" s="40"/>
      <c r="L10" s="40"/>
      <c r="M10" s="40"/>
      <c r="N10" s="67"/>
      <c r="O10" s="41"/>
      <c r="P10" s="41"/>
      <c r="Q10" s="41"/>
      <c r="R10" s="41"/>
      <c r="S10" s="41"/>
      <c r="T10" s="41"/>
      <c r="U10" s="41"/>
      <c r="V10" s="70"/>
      <c r="W10" s="41"/>
      <c r="X10" s="41"/>
      <c r="Y10" s="41"/>
      <c r="Z10" s="41"/>
      <c r="AA10" s="41"/>
      <c r="AB10" s="41"/>
      <c r="AC10" s="41"/>
      <c r="AD10" s="45"/>
    </row>
    <row r="11" spans="1:30" x14ac:dyDescent="0.2">
      <c r="A11" s="40"/>
      <c r="B11" s="40"/>
      <c r="C11" s="40"/>
      <c r="D11" s="40"/>
      <c r="E11" s="40"/>
      <c r="F11" s="40"/>
      <c r="G11" s="40"/>
      <c r="H11" s="40"/>
      <c r="I11" s="40"/>
      <c r="J11" s="40"/>
      <c r="K11" s="40"/>
      <c r="L11" s="40"/>
      <c r="M11" s="40"/>
      <c r="N11" s="67"/>
      <c r="O11" s="41"/>
      <c r="P11" s="41"/>
      <c r="Q11" s="41"/>
      <c r="R11" s="41"/>
      <c r="S11" s="41"/>
      <c r="T11" s="41"/>
      <c r="U11" s="41"/>
      <c r="V11" s="70"/>
      <c r="W11" s="41"/>
      <c r="X11" s="41"/>
      <c r="Y11" s="41"/>
      <c r="Z11" s="41"/>
      <c r="AA11" s="41"/>
      <c r="AB11" s="41"/>
      <c r="AC11" s="41"/>
      <c r="AD11" s="45"/>
    </row>
    <row r="12" spans="1:30" x14ac:dyDescent="0.2">
      <c r="A12" s="40"/>
      <c r="B12" s="40"/>
      <c r="C12" s="40"/>
      <c r="D12" s="40"/>
      <c r="E12" s="40"/>
      <c r="F12" s="40"/>
      <c r="G12" s="40"/>
      <c r="H12" s="40"/>
      <c r="I12" s="40"/>
      <c r="J12" s="40"/>
      <c r="K12" s="40"/>
      <c r="L12" s="40"/>
      <c r="M12" s="40"/>
      <c r="N12" s="67"/>
      <c r="O12" s="41"/>
      <c r="P12" s="41"/>
      <c r="Q12" s="41"/>
      <c r="R12" s="41"/>
      <c r="S12" s="41"/>
      <c r="T12" s="41"/>
      <c r="U12" s="41"/>
      <c r="V12" s="70"/>
      <c r="W12" s="41"/>
      <c r="X12" s="41"/>
      <c r="Y12" s="41"/>
      <c r="Z12" s="41"/>
      <c r="AA12" s="41"/>
      <c r="AB12" s="41"/>
      <c r="AC12" s="41"/>
      <c r="AD12" s="45"/>
    </row>
    <row r="13" spans="1:30" x14ac:dyDescent="0.2">
      <c r="A13" s="40"/>
      <c r="B13" s="40"/>
      <c r="C13" s="40"/>
      <c r="D13" s="40"/>
      <c r="E13" s="40"/>
      <c r="F13" s="40"/>
      <c r="G13" s="40"/>
      <c r="H13" s="40"/>
      <c r="I13" s="40"/>
      <c r="J13" s="40"/>
      <c r="K13" s="40"/>
      <c r="L13" s="40"/>
      <c r="M13" s="40"/>
      <c r="N13" s="67"/>
      <c r="O13" s="41"/>
      <c r="P13" s="41"/>
      <c r="Q13" s="41"/>
      <c r="R13" s="41"/>
      <c r="S13" s="41"/>
      <c r="T13" s="41"/>
      <c r="U13" s="41"/>
      <c r="V13" s="70"/>
      <c r="W13" s="41"/>
      <c r="X13" s="41"/>
      <c r="Y13" s="41"/>
      <c r="Z13" s="41"/>
      <c r="AA13" s="41"/>
      <c r="AB13" s="41"/>
      <c r="AC13" s="41"/>
      <c r="AD13" s="45"/>
    </row>
    <row r="14" spans="1:30" x14ac:dyDescent="0.2">
      <c r="A14" s="40"/>
      <c r="B14" s="40"/>
      <c r="C14" s="40"/>
      <c r="D14" s="40"/>
      <c r="E14" s="40"/>
      <c r="F14" s="40"/>
      <c r="G14" s="40"/>
      <c r="H14" s="40"/>
      <c r="I14" s="40"/>
      <c r="J14" s="40"/>
      <c r="K14" s="40"/>
      <c r="L14" s="40"/>
      <c r="M14" s="40"/>
      <c r="N14" s="67"/>
      <c r="O14" s="41"/>
      <c r="P14" s="41"/>
      <c r="Q14" s="41"/>
      <c r="R14" s="41"/>
      <c r="S14" s="41"/>
      <c r="T14" s="41"/>
      <c r="U14" s="41"/>
      <c r="V14" s="70"/>
      <c r="W14" s="41"/>
      <c r="X14" s="41"/>
      <c r="Y14" s="41"/>
      <c r="Z14" s="41"/>
      <c r="AA14" s="41"/>
      <c r="AB14" s="41"/>
      <c r="AC14" s="41"/>
      <c r="AD14" s="45"/>
    </row>
    <row r="15" spans="1:30" x14ac:dyDescent="0.2">
      <c r="A15" s="40"/>
      <c r="B15" s="40"/>
      <c r="C15" s="40"/>
      <c r="D15" s="40"/>
      <c r="E15" s="40"/>
      <c r="F15" s="40"/>
      <c r="G15" s="40"/>
      <c r="H15" s="40"/>
      <c r="I15" s="40"/>
      <c r="J15" s="40"/>
      <c r="K15" s="40"/>
      <c r="L15" s="40"/>
      <c r="M15" s="40"/>
      <c r="N15" s="67"/>
      <c r="O15" s="41"/>
      <c r="P15" s="41"/>
      <c r="Q15" s="41"/>
      <c r="R15" s="41"/>
      <c r="S15" s="41"/>
      <c r="T15" s="41"/>
      <c r="U15" s="41"/>
      <c r="V15" s="70"/>
      <c r="W15" s="41"/>
      <c r="X15" s="41"/>
      <c r="Y15" s="41"/>
      <c r="Z15" s="41"/>
      <c r="AA15" s="41"/>
      <c r="AB15" s="41"/>
      <c r="AC15" s="41"/>
      <c r="AD15" s="45"/>
    </row>
    <row r="16" spans="1:30" x14ac:dyDescent="0.2">
      <c r="A16" s="42"/>
      <c r="B16" s="40"/>
      <c r="C16" s="40"/>
      <c r="D16" s="40"/>
      <c r="E16" s="40"/>
      <c r="F16" s="42"/>
      <c r="G16" s="42"/>
      <c r="H16" s="42"/>
      <c r="I16" s="42"/>
      <c r="J16" s="42"/>
      <c r="K16" s="42"/>
      <c r="L16" s="42"/>
      <c r="M16" s="42"/>
      <c r="N16" s="68"/>
      <c r="O16" s="43"/>
      <c r="P16" s="43"/>
      <c r="Q16" s="43"/>
      <c r="R16" s="43"/>
      <c r="S16" s="43"/>
      <c r="T16" s="43"/>
      <c r="U16" s="43"/>
      <c r="V16" s="71"/>
      <c r="W16" s="43"/>
      <c r="X16" s="43"/>
      <c r="Y16" s="43"/>
      <c r="Z16" s="43"/>
      <c r="AA16" s="43"/>
      <c r="AB16" s="43"/>
      <c r="AC16" s="43"/>
      <c r="AD16" s="46"/>
    </row>
    <row r="17" spans="1:30" ht="6" customHeight="1" x14ac:dyDescent="0.2">
      <c r="A17" s="61"/>
      <c r="B17" s="37"/>
      <c r="C17" s="37"/>
      <c r="D17" s="37"/>
      <c r="E17" s="37"/>
      <c r="F17" s="61"/>
      <c r="G17" s="61"/>
      <c r="H17" s="61"/>
      <c r="I17" s="61"/>
      <c r="J17" s="61"/>
      <c r="K17" s="61"/>
      <c r="L17" s="61"/>
      <c r="M17" s="61"/>
      <c r="N17" s="69"/>
      <c r="O17" s="62"/>
      <c r="P17" s="62"/>
      <c r="Q17" s="62"/>
      <c r="R17" s="62"/>
      <c r="S17" s="63"/>
      <c r="T17" s="63"/>
      <c r="U17" s="63"/>
      <c r="V17" s="72"/>
      <c r="W17" s="64"/>
      <c r="X17" s="64"/>
      <c r="Y17" s="64"/>
      <c r="Z17" s="64"/>
      <c r="AA17" s="63"/>
      <c r="AB17" s="63"/>
      <c r="AC17" s="63"/>
      <c r="AD17" s="65"/>
    </row>
    <row r="18" spans="1:30" ht="35" customHeight="1" x14ac:dyDescent="0.2">
      <c r="A18" s="47"/>
      <c r="B18" s="121" t="s">
        <v>3</v>
      </c>
      <c r="C18" s="121"/>
      <c r="D18" s="121"/>
      <c r="E18" s="121"/>
      <c r="F18" s="47"/>
      <c r="G18" s="47"/>
      <c r="H18" s="47"/>
      <c r="I18" s="47"/>
      <c r="J18" s="47"/>
      <c r="K18" s="47"/>
      <c r="L18" s="47"/>
      <c r="M18" s="47"/>
      <c r="N18" s="66"/>
      <c r="O18" s="122" t="s">
        <v>1</v>
      </c>
      <c r="P18" s="122"/>
      <c r="Q18" s="122"/>
      <c r="R18" s="122"/>
      <c r="S18" s="75" t="s">
        <v>4</v>
      </c>
      <c r="T18" s="75" t="s">
        <v>5</v>
      </c>
      <c r="U18" s="75" t="s">
        <v>6</v>
      </c>
      <c r="V18" s="76" t="s">
        <v>7</v>
      </c>
      <c r="W18" s="123" t="s">
        <v>2</v>
      </c>
      <c r="X18" s="123"/>
      <c r="Y18" s="123"/>
      <c r="Z18" s="123"/>
      <c r="AA18" s="75" t="s">
        <v>4</v>
      </c>
      <c r="AB18" s="75" t="s">
        <v>5</v>
      </c>
      <c r="AC18" s="75" t="s">
        <v>6</v>
      </c>
      <c r="AD18" s="75" t="s">
        <v>7</v>
      </c>
    </row>
    <row r="19" spans="1:30" ht="14.5" customHeight="1" x14ac:dyDescent="0.2">
      <c r="A19" s="41"/>
      <c r="B19" s="41"/>
      <c r="C19" s="41"/>
      <c r="D19" s="41"/>
      <c r="E19" s="41"/>
      <c r="F19" s="41"/>
      <c r="G19" s="41"/>
      <c r="H19" s="41"/>
      <c r="I19" s="41"/>
      <c r="J19" s="41"/>
      <c r="K19" s="41"/>
      <c r="L19" s="41"/>
      <c r="M19" s="41"/>
      <c r="N19" s="70"/>
      <c r="O19" s="111" t="s">
        <v>8</v>
      </c>
      <c r="P19" s="111"/>
      <c r="Q19" s="111"/>
      <c r="R19" s="111"/>
      <c r="S19" s="113">
        <f>Data!V10</f>
        <v>151803.7508945041</v>
      </c>
      <c r="T19" s="113">
        <f>Data!W10</f>
        <v>82873.121814022306</v>
      </c>
      <c r="U19" s="113">
        <f>Data!X10</f>
        <v>68930.629080481798</v>
      </c>
      <c r="V19" s="115">
        <f>Data!Y10</f>
        <v>0.83176098078181226</v>
      </c>
      <c r="W19" s="111" t="s">
        <v>9</v>
      </c>
      <c r="X19" s="111"/>
      <c r="Y19" s="111"/>
      <c r="Z19" s="111"/>
      <c r="AA19" s="113">
        <f>Data!AB10</f>
        <v>245241.10737736861</v>
      </c>
      <c r="AB19" s="113">
        <f>Data!AC10</f>
        <v>130260.7153159333</v>
      </c>
      <c r="AC19" s="113">
        <f>Data!AD10</f>
        <v>114980.39206143531</v>
      </c>
      <c r="AD19" s="127">
        <f>IFERROR(AC19/ABS(AA19),0)</f>
        <v>0.46884632552448652</v>
      </c>
    </row>
    <row r="20" spans="1:30" ht="14.5" customHeight="1" x14ac:dyDescent="0.2">
      <c r="A20" s="41"/>
      <c r="B20" s="41"/>
      <c r="C20" s="41"/>
      <c r="D20" s="41"/>
      <c r="E20" s="41"/>
      <c r="F20" s="41"/>
      <c r="G20" s="41"/>
      <c r="H20" s="41"/>
      <c r="I20" s="41"/>
      <c r="J20" s="41"/>
      <c r="K20" s="41"/>
      <c r="L20" s="41"/>
      <c r="M20" s="41"/>
      <c r="N20" s="70"/>
      <c r="O20" s="112"/>
      <c r="P20" s="112"/>
      <c r="Q20" s="112"/>
      <c r="R20" s="112"/>
      <c r="S20" s="114"/>
      <c r="T20" s="114"/>
      <c r="U20" s="114"/>
      <c r="V20" s="116"/>
      <c r="W20" s="112"/>
      <c r="X20" s="112"/>
      <c r="Y20" s="112"/>
      <c r="Z20" s="112"/>
      <c r="AA20" s="114"/>
      <c r="AB20" s="114"/>
      <c r="AC20" s="114"/>
      <c r="AD20" s="128"/>
    </row>
    <row r="21" spans="1:30" ht="14.5" customHeight="1" x14ac:dyDescent="0.2">
      <c r="A21" s="41"/>
      <c r="B21" s="41"/>
      <c r="C21" s="41"/>
      <c r="D21" s="41"/>
      <c r="E21" s="41"/>
      <c r="F21" s="41"/>
      <c r="G21" s="41"/>
      <c r="H21" s="41"/>
      <c r="I21" s="41"/>
      <c r="J21" s="41"/>
      <c r="K21" s="41"/>
      <c r="L21" s="41"/>
      <c r="M21" s="41"/>
      <c r="N21" s="70"/>
      <c r="O21" s="111" t="s">
        <v>10</v>
      </c>
      <c r="P21" s="111"/>
      <c r="Q21" s="111"/>
      <c r="R21" s="111"/>
      <c r="S21" s="113">
        <f>Data!V11</f>
        <v>248464.66047175819</v>
      </c>
      <c r="T21" s="113">
        <f>Data!W11</f>
        <v>219330.19666314375</v>
      </c>
      <c r="U21" s="113">
        <f>Data!X11</f>
        <v>29134.46380861444</v>
      </c>
      <c r="V21" s="115">
        <f>Data!Y11</f>
        <v>0.13283380150960397</v>
      </c>
      <c r="W21" s="111" t="s">
        <v>11</v>
      </c>
      <c r="X21" s="111"/>
      <c r="Y21" s="111"/>
      <c r="Z21" s="111"/>
      <c r="AA21" s="113">
        <f>Data!AB11</f>
        <v>292884.35423249949</v>
      </c>
      <c r="AB21" s="113">
        <f>Data!AC11</f>
        <v>212909.18779829898</v>
      </c>
      <c r="AC21" s="113">
        <f>Data!AD11</f>
        <v>79975.16643420051</v>
      </c>
      <c r="AD21" s="127">
        <f>IFERROR(AC21/ABS(AA21),0)</f>
        <v>0.27306056222693981</v>
      </c>
    </row>
    <row r="22" spans="1:30" ht="14.5" customHeight="1" x14ac:dyDescent="0.2">
      <c r="A22" s="41"/>
      <c r="B22" s="139" t="s">
        <v>12</v>
      </c>
      <c r="C22" s="139"/>
      <c r="D22" s="41"/>
      <c r="E22" s="142" t="str">
        <f>Data!Q49</f>
        <v>Gross Profit</v>
      </c>
      <c r="F22" s="142"/>
      <c r="G22" s="41"/>
      <c r="H22" s="142" t="str">
        <f>Data!R49</f>
        <v>EBITDA</v>
      </c>
      <c r="I22" s="142"/>
      <c r="J22" s="41"/>
      <c r="K22" s="41"/>
      <c r="L22" s="41"/>
      <c r="M22" s="41"/>
      <c r="N22" s="70"/>
      <c r="O22" s="112"/>
      <c r="P22" s="112"/>
      <c r="Q22" s="112"/>
      <c r="R22" s="112"/>
      <c r="S22" s="114"/>
      <c r="T22" s="114"/>
      <c r="U22" s="114"/>
      <c r="V22" s="116"/>
      <c r="W22" s="112"/>
      <c r="X22" s="112"/>
      <c r="Y22" s="112"/>
      <c r="Z22" s="112"/>
      <c r="AA22" s="114"/>
      <c r="AB22" s="114"/>
      <c r="AC22" s="114"/>
      <c r="AD22" s="128"/>
    </row>
    <row r="23" spans="1:30" ht="14.5" customHeight="1" x14ac:dyDescent="0.2">
      <c r="A23" s="41"/>
      <c r="B23" s="41"/>
      <c r="C23" s="41"/>
      <c r="D23" s="41"/>
      <c r="E23" s="41"/>
      <c r="F23" s="41"/>
      <c r="G23" s="41"/>
      <c r="H23" s="74"/>
      <c r="I23" s="74"/>
      <c r="J23" s="41"/>
      <c r="K23" s="41"/>
      <c r="L23" s="41"/>
      <c r="M23" s="41"/>
      <c r="N23" s="70"/>
      <c r="O23" s="111" t="s">
        <v>13</v>
      </c>
      <c r="P23" s="111"/>
      <c r="Q23" s="111"/>
      <c r="R23" s="111"/>
      <c r="S23" s="113">
        <f>Data!V12</f>
        <v>184162.14064593866</v>
      </c>
      <c r="T23" s="113">
        <f>Data!W12</f>
        <v>154098.35574897536</v>
      </c>
      <c r="U23" s="113">
        <f>Data!X12</f>
        <v>30063.784896963305</v>
      </c>
      <c r="V23" s="115">
        <f>Data!Y12</f>
        <v>0.19509478054351795</v>
      </c>
      <c r="W23" s="111" t="s">
        <v>14</v>
      </c>
      <c r="X23" s="111"/>
      <c r="Y23" s="111"/>
      <c r="Z23" s="111"/>
      <c r="AA23" s="113">
        <f>Data!AB12</f>
        <v>327740.24684747623</v>
      </c>
      <c r="AB23" s="113">
        <f>Data!AC12</f>
        <v>264464.01721142652</v>
      </c>
      <c r="AC23" s="113">
        <f>Data!AD12</f>
        <v>63276.229636049713</v>
      </c>
      <c r="AD23" s="127">
        <f>IFERROR(AC23/ABS(AA23),0)</f>
        <v>0.19306823084653746</v>
      </c>
    </row>
    <row r="24" spans="1:30" ht="14.5" customHeight="1" x14ac:dyDescent="0.2">
      <c r="A24" s="41"/>
      <c r="B24" s="140">
        <f>Data!P57</f>
        <v>-5122.1619436434703</v>
      </c>
      <c r="C24" s="141"/>
      <c r="D24" s="41"/>
      <c r="E24" s="143">
        <f>Data!Q57</f>
        <v>-123182.37660000008</v>
      </c>
      <c r="F24" s="144"/>
      <c r="G24" s="41"/>
      <c r="H24" s="143">
        <f>Data!R57</f>
        <v>104879.22180000014</v>
      </c>
      <c r="I24" s="144"/>
      <c r="J24" s="41"/>
      <c r="K24" s="41"/>
      <c r="L24" s="41"/>
      <c r="M24" s="41"/>
      <c r="N24" s="70"/>
      <c r="O24" s="112"/>
      <c r="P24" s="112"/>
      <c r="Q24" s="112"/>
      <c r="R24" s="112"/>
      <c r="S24" s="114"/>
      <c r="T24" s="114"/>
      <c r="U24" s="114"/>
      <c r="V24" s="116"/>
      <c r="W24" s="112"/>
      <c r="X24" s="112"/>
      <c r="Y24" s="112"/>
      <c r="Z24" s="112"/>
      <c r="AA24" s="114"/>
      <c r="AB24" s="114"/>
      <c r="AC24" s="114"/>
      <c r="AD24" s="128"/>
    </row>
    <row r="25" spans="1:30" ht="14.5" customHeight="1" x14ac:dyDescent="0.2">
      <c r="A25" s="41"/>
      <c r="B25" s="141"/>
      <c r="C25" s="141"/>
      <c r="D25" s="41"/>
      <c r="E25" s="144"/>
      <c r="F25" s="144"/>
      <c r="G25" s="41"/>
      <c r="H25" s="144"/>
      <c r="I25" s="144"/>
      <c r="J25" s="41"/>
      <c r="K25" s="41"/>
      <c r="L25" s="41"/>
      <c r="M25" s="41"/>
      <c r="N25" s="70"/>
      <c r="O25" s="111" t="s">
        <v>15</v>
      </c>
      <c r="P25" s="111"/>
      <c r="Q25" s="111"/>
      <c r="R25" s="111"/>
      <c r="S25" s="113">
        <f>Data!V13</f>
        <v>357781.2807775457</v>
      </c>
      <c r="T25" s="113">
        <f>Data!W13</f>
        <v>257848.55980981363</v>
      </c>
      <c r="U25" s="113">
        <f>Data!X13</f>
        <v>99932.720967732079</v>
      </c>
      <c r="V25" s="115">
        <f>Data!Y13</f>
        <v>0.38756361889878849</v>
      </c>
      <c r="W25" s="111" t="s">
        <v>16</v>
      </c>
      <c r="X25" s="111"/>
      <c r="Y25" s="111"/>
      <c r="Z25" s="111"/>
      <c r="AA25" s="113">
        <f>Data!AB13</f>
        <v>76346.124332402338</v>
      </c>
      <c r="AB25" s="113">
        <f>Data!AC13</f>
        <v>106516.31371029619</v>
      </c>
      <c r="AC25" s="113">
        <f>Data!AD13</f>
        <v>-30170.189377893854</v>
      </c>
      <c r="AD25" s="127">
        <f>IFERROR(AC25/ABS(AA25),0)</f>
        <v>-0.39517643680950043</v>
      </c>
    </row>
    <row r="26" spans="1:30" ht="14.5" customHeight="1" x14ac:dyDescent="0.2">
      <c r="A26" s="41"/>
      <c r="B26" s="41"/>
      <c r="C26" s="41"/>
      <c r="D26" s="41"/>
      <c r="E26" s="41"/>
      <c r="F26" s="41"/>
      <c r="G26" s="41"/>
      <c r="H26" s="41"/>
      <c r="I26" s="41"/>
      <c r="J26" s="41"/>
      <c r="K26" s="41"/>
      <c r="L26" s="41"/>
      <c r="M26" s="41"/>
      <c r="N26" s="70"/>
      <c r="O26" s="112"/>
      <c r="P26" s="112"/>
      <c r="Q26" s="112"/>
      <c r="R26" s="112"/>
      <c r="S26" s="114"/>
      <c r="T26" s="114"/>
      <c r="U26" s="114"/>
      <c r="V26" s="116"/>
      <c r="W26" s="112"/>
      <c r="X26" s="112"/>
      <c r="Y26" s="112"/>
      <c r="Z26" s="112"/>
      <c r="AA26" s="114"/>
      <c r="AB26" s="114"/>
      <c r="AC26" s="114"/>
      <c r="AD26" s="128"/>
    </row>
    <row r="27" spans="1:30" ht="34.25" customHeight="1" x14ac:dyDescent="0.2">
      <c r="A27" s="43"/>
      <c r="B27" s="41"/>
      <c r="C27" s="41"/>
      <c r="D27" s="41"/>
      <c r="E27" s="41"/>
      <c r="F27" s="43"/>
      <c r="G27" s="43"/>
      <c r="H27" s="43"/>
      <c r="I27" s="43"/>
      <c r="J27" s="43"/>
      <c r="K27" s="43"/>
      <c r="L27" s="43"/>
      <c r="M27" s="43"/>
      <c r="N27" s="71"/>
      <c r="O27" s="129" t="s">
        <v>17</v>
      </c>
      <c r="P27" s="129"/>
      <c r="Q27" s="129"/>
      <c r="R27" s="129"/>
      <c r="S27" s="80">
        <f>SUM(S19:S26)</f>
        <v>942211.83278974658</v>
      </c>
      <c r="T27" s="80">
        <f>SUM(T19:T26)</f>
        <v>714150.23403595504</v>
      </c>
      <c r="U27" s="80">
        <f>SUM(U19:U26)</f>
        <v>228061.59875379162</v>
      </c>
      <c r="V27" s="81">
        <f>IFERROR(U27/ABS(S27),0)</f>
        <v>0.24204917707150392</v>
      </c>
      <c r="W27" s="130" t="s">
        <v>17</v>
      </c>
      <c r="X27" s="131"/>
      <c r="Y27" s="131"/>
      <c r="Z27" s="131"/>
      <c r="AA27" s="80">
        <f>SUM(AA19:AA26)</f>
        <v>942211.8327897467</v>
      </c>
      <c r="AB27" s="80">
        <f>SUM(AB19:AB26)</f>
        <v>714150.23403595493</v>
      </c>
      <c r="AC27" s="80">
        <f>SUM(AC19:AC26)</f>
        <v>228061.59875379165</v>
      </c>
      <c r="AD27" s="81">
        <f>IFERROR(AC27/ABS(AA27),0)</f>
        <v>0.24204917707150392</v>
      </c>
    </row>
    <row r="28" spans="1:30" ht="6" customHeight="1" x14ac:dyDescent="0.2">
      <c r="A28" s="61"/>
      <c r="B28" s="37"/>
      <c r="C28" s="37"/>
      <c r="D28" s="37"/>
      <c r="E28" s="37"/>
      <c r="F28" s="61"/>
      <c r="G28" s="61"/>
      <c r="H28" s="61"/>
      <c r="I28" s="61"/>
      <c r="J28" s="61"/>
      <c r="K28" s="61"/>
      <c r="L28" s="61"/>
      <c r="M28" s="61"/>
      <c r="N28" s="69"/>
      <c r="O28" s="62"/>
      <c r="P28" s="62"/>
      <c r="Q28" s="62"/>
      <c r="R28" s="62"/>
      <c r="S28" s="63"/>
      <c r="T28" s="63"/>
      <c r="U28" s="63"/>
      <c r="V28" s="72"/>
      <c r="W28" s="64"/>
      <c r="X28" s="64"/>
      <c r="Y28" s="64"/>
      <c r="Z28" s="64"/>
      <c r="AA28" s="63"/>
      <c r="AB28" s="63"/>
      <c r="AC28" s="63"/>
      <c r="AD28" s="65"/>
    </row>
    <row r="29" spans="1:30" ht="35" customHeight="1" x14ac:dyDescent="0.2">
      <c r="A29" s="47"/>
      <c r="B29" s="121" t="s">
        <v>18</v>
      </c>
      <c r="C29" s="121"/>
      <c r="D29" s="121"/>
      <c r="E29" s="121"/>
      <c r="F29" s="47"/>
      <c r="G29" s="47"/>
      <c r="H29" s="47"/>
      <c r="I29" s="47"/>
      <c r="J29" s="47"/>
      <c r="K29" s="47"/>
      <c r="L29" s="47"/>
      <c r="M29" s="47"/>
      <c r="N29" s="66"/>
      <c r="O29" s="122" t="s">
        <v>1</v>
      </c>
      <c r="P29" s="122"/>
      <c r="Q29" s="122"/>
      <c r="R29" s="122"/>
      <c r="S29" s="48" t="s">
        <v>19</v>
      </c>
      <c r="T29" s="48" t="s">
        <v>5</v>
      </c>
      <c r="U29" s="48" t="s">
        <v>6</v>
      </c>
      <c r="V29" s="73" t="s">
        <v>7</v>
      </c>
      <c r="W29" s="122" t="s">
        <v>2</v>
      </c>
      <c r="X29" s="122"/>
      <c r="Y29" s="122"/>
      <c r="Z29" s="122"/>
      <c r="AA29" s="48" t="s">
        <v>19</v>
      </c>
      <c r="AB29" s="48" t="s">
        <v>5</v>
      </c>
      <c r="AC29" s="48" t="s">
        <v>6</v>
      </c>
      <c r="AD29" s="59" t="s">
        <v>7</v>
      </c>
    </row>
    <row r="30" spans="1:30" ht="14.5" customHeight="1" x14ac:dyDescent="0.2">
      <c r="A30" s="40"/>
      <c r="B30" s="40"/>
      <c r="C30" s="40"/>
      <c r="D30" s="40"/>
      <c r="E30" s="40"/>
      <c r="F30" s="40"/>
      <c r="G30" s="40"/>
      <c r="H30" s="40"/>
      <c r="I30" s="40"/>
      <c r="J30" s="40"/>
      <c r="K30" s="40"/>
      <c r="L30" s="40"/>
      <c r="M30" s="40"/>
      <c r="N30" s="67"/>
      <c r="O30" s="111" t="s">
        <v>8</v>
      </c>
      <c r="P30" s="111"/>
      <c r="Q30" s="111"/>
      <c r="R30" s="111"/>
      <c r="S30" s="113">
        <f>Data!V20</f>
        <v>74262.566967268998</v>
      </c>
      <c r="T30" s="113">
        <f>Data!W20</f>
        <v>82873.121814022306</v>
      </c>
      <c r="U30" s="113">
        <f>Data!X20</f>
        <v>8610.5548467533081</v>
      </c>
      <c r="V30" s="115">
        <f>Data!Y20</f>
        <v>0.11594744429651058</v>
      </c>
      <c r="W30" s="111" t="s">
        <v>9</v>
      </c>
      <c r="X30" s="111"/>
      <c r="Y30" s="111"/>
      <c r="Z30" s="111"/>
      <c r="AA30" s="113">
        <f>Data!AB20</f>
        <v>146366.51232549825</v>
      </c>
      <c r="AB30" s="113">
        <f>Data!AC20</f>
        <v>130260.7153159333</v>
      </c>
      <c r="AC30" s="113">
        <f>Data!AD20</f>
        <v>-16105.797009564951</v>
      </c>
      <c r="AD30" s="127">
        <f>IFERROR(AC30/ABS(AA30),0)</f>
        <v>-0.11003744472470557</v>
      </c>
    </row>
    <row r="31" spans="1:30" ht="14.5" customHeight="1" x14ac:dyDescent="0.2">
      <c r="A31" s="40"/>
      <c r="B31" s="40"/>
      <c r="C31" s="40"/>
      <c r="D31" s="40"/>
      <c r="E31" s="40"/>
      <c r="F31" s="40"/>
      <c r="G31" s="40"/>
      <c r="H31" s="40"/>
      <c r="I31" s="40"/>
      <c r="J31" s="40"/>
      <c r="K31" s="40"/>
      <c r="L31" s="40"/>
      <c r="M31" s="40"/>
      <c r="N31" s="67"/>
      <c r="O31" s="112"/>
      <c r="P31" s="112"/>
      <c r="Q31" s="112"/>
      <c r="R31" s="112"/>
      <c r="S31" s="114"/>
      <c r="T31" s="114"/>
      <c r="U31" s="114"/>
      <c r="V31" s="116"/>
      <c r="W31" s="112"/>
      <c r="X31" s="112"/>
      <c r="Y31" s="112"/>
      <c r="Z31" s="112"/>
      <c r="AA31" s="114"/>
      <c r="AB31" s="114"/>
      <c r="AC31" s="114"/>
      <c r="AD31" s="128"/>
    </row>
    <row r="32" spans="1:30" ht="14.5" customHeight="1" x14ac:dyDescent="0.2">
      <c r="A32" s="40"/>
      <c r="B32" s="40"/>
      <c r="C32" s="40"/>
      <c r="D32" s="40"/>
      <c r="E32" s="40"/>
      <c r="F32" s="40"/>
      <c r="G32" s="40"/>
      <c r="H32" s="40"/>
      <c r="I32" s="40"/>
      <c r="J32" s="40"/>
      <c r="K32" s="40"/>
      <c r="L32" s="40"/>
      <c r="M32" s="40"/>
      <c r="N32" s="67"/>
      <c r="O32" s="111" t="s">
        <v>10</v>
      </c>
      <c r="P32" s="111"/>
      <c r="Q32" s="111"/>
      <c r="R32" s="111"/>
      <c r="S32" s="113">
        <f>Data!V21</f>
        <v>191874.76060625652</v>
      </c>
      <c r="T32" s="113">
        <f>Data!W21</f>
        <v>219330.19666314375</v>
      </c>
      <c r="U32" s="113">
        <f>Data!X21</f>
        <v>27455.436056887236</v>
      </c>
      <c r="V32" s="115">
        <f>Data!Y21</f>
        <v>0.14309039901932777</v>
      </c>
      <c r="W32" s="111" t="s">
        <v>11</v>
      </c>
      <c r="X32" s="111"/>
      <c r="Y32" s="111"/>
      <c r="Z32" s="111"/>
      <c r="AA32" s="113">
        <f>Data!AB21</f>
        <v>184365.16956747416</v>
      </c>
      <c r="AB32" s="113">
        <f>Data!AC21</f>
        <v>212909.18779829898</v>
      </c>
      <c r="AC32" s="113">
        <f>Data!AD21</f>
        <v>28544.018230824819</v>
      </c>
      <c r="AD32" s="127">
        <f>IFERROR(AC32/ABS(AA32),0)</f>
        <v>0.15482326893843279</v>
      </c>
    </row>
    <row r="33" spans="1:31" ht="14.5" customHeight="1" x14ac:dyDescent="0.2">
      <c r="A33" s="40"/>
      <c r="B33" s="40"/>
      <c r="C33" s="40"/>
      <c r="D33" s="40"/>
      <c r="E33" s="40"/>
      <c r="F33" s="40"/>
      <c r="G33" s="40"/>
      <c r="H33" s="40"/>
      <c r="I33" s="40"/>
      <c r="J33" s="40"/>
      <c r="K33" s="40"/>
      <c r="L33" s="40"/>
      <c r="M33" s="40"/>
      <c r="N33" s="67"/>
      <c r="O33" s="112"/>
      <c r="P33" s="112"/>
      <c r="Q33" s="112"/>
      <c r="R33" s="112"/>
      <c r="S33" s="114"/>
      <c r="T33" s="114"/>
      <c r="U33" s="114"/>
      <c r="V33" s="116"/>
      <c r="W33" s="112"/>
      <c r="X33" s="112"/>
      <c r="Y33" s="112"/>
      <c r="Z33" s="112"/>
      <c r="AA33" s="114"/>
      <c r="AB33" s="114"/>
      <c r="AC33" s="114"/>
      <c r="AD33" s="128"/>
    </row>
    <row r="34" spans="1:31" ht="14.5" customHeight="1" x14ac:dyDescent="0.2">
      <c r="A34" s="40"/>
      <c r="B34" s="40"/>
      <c r="C34" s="40"/>
      <c r="D34" s="40"/>
      <c r="E34" s="40"/>
      <c r="F34" s="40"/>
      <c r="G34" s="40"/>
      <c r="H34" s="40"/>
      <c r="I34" s="40"/>
      <c r="J34" s="40"/>
      <c r="K34" s="40"/>
      <c r="L34" s="40"/>
      <c r="M34" s="40"/>
      <c r="N34" s="67"/>
      <c r="O34" s="111" t="s">
        <v>13</v>
      </c>
      <c r="P34" s="111"/>
      <c r="Q34" s="111"/>
      <c r="R34" s="111"/>
      <c r="S34" s="113">
        <f>Data!V22</f>
        <v>144059.52276565303</v>
      </c>
      <c r="T34" s="113">
        <f>Data!W22</f>
        <v>154098.35574897536</v>
      </c>
      <c r="U34" s="113">
        <f>Data!X22</f>
        <v>10038.832983322325</v>
      </c>
      <c r="V34" s="115">
        <f>Data!Y22</f>
        <v>6.968531333852096E-2</v>
      </c>
      <c r="W34" s="111" t="s">
        <v>14</v>
      </c>
      <c r="X34" s="111"/>
      <c r="Y34" s="111"/>
      <c r="Z34" s="111"/>
      <c r="AA34" s="113">
        <f>Data!AB22</f>
        <v>255693.73230041485</v>
      </c>
      <c r="AB34" s="113">
        <f>Data!AC22</f>
        <v>264464.01721142652</v>
      </c>
      <c r="AC34" s="113">
        <f>Data!AD22</f>
        <v>8770.2849110116658</v>
      </c>
      <c r="AD34" s="127">
        <f>IFERROR(AC34/ABS(AA34),0)</f>
        <v>3.4299960472662067E-2</v>
      </c>
    </row>
    <row r="35" spans="1:31" ht="14.5" customHeight="1" x14ac:dyDescent="0.2">
      <c r="A35" s="40"/>
      <c r="B35" s="40"/>
      <c r="C35" s="40"/>
      <c r="D35" s="40"/>
      <c r="E35" s="40"/>
      <c r="F35" s="40"/>
      <c r="G35" s="40"/>
      <c r="H35" s="40"/>
      <c r="I35" s="40"/>
      <c r="J35" s="40"/>
      <c r="K35" s="40"/>
      <c r="L35" s="40"/>
      <c r="M35" s="40"/>
      <c r="N35" s="67"/>
      <c r="O35" s="112"/>
      <c r="P35" s="112"/>
      <c r="Q35" s="112"/>
      <c r="R35" s="112"/>
      <c r="S35" s="114"/>
      <c r="T35" s="114"/>
      <c r="U35" s="114"/>
      <c r="V35" s="116"/>
      <c r="W35" s="112"/>
      <c r="X35" s="112"/>
      <c r="Y35" s="112"/>
      <c r="Z35" s="112"/>
      <c r="AA35" s="114"/>
      <c r="AB35" s="114"/>
      <c r="AC35" s="114"/>
      <c r="AD35" s="128"/>
    </row>
    <row r="36" spans="1:31" ht="14.5" customHeight="1" x14ac:dyDescent="0.2">
      <c r="A36" s="40"/>
      <c r="B36" s="40"/>
      <c r="C36" s="40"/>
      <c r="D36" s="40"/>
      <c r="E36" s="40"/>
      <c r="F36" s="40"/>
      <c r="G36" s="40"/>
      <c r="H36" s="40"/>
      <c r="I36" s="40"/>
      <c r="J36" s="40"/>
      <c r="K36" s="40"/>
      <c r="L36" s="40"/>
      <c r="M36" s="40"/>
      <c r="N36" s="67"/>
      <c r="O36" s="111" t="s">
        <v>15</v>
      </c>
      <c r="P36" s="111"/>
      <c r="Q36" s="111"/>
      <c r="R36" s="111"/>
      <c r="S36" s="113">
        <f>Data!V23</f>
        <v>273679.05693780229</v>
      </c>
      <c r="T36" s="113">
        <f>Data!W23</f>
        <v>257848.55980981363</v>
      </c>
      <c r="U36" s="113">
        <f>Data!X23</f>
        <v>-15830.497127988667</v>
      </c>
      <c r="V36" s="115">
        <f>Data!Y23</f>
        <v>-5.784329025799876E-2</v>
      </c>
      <c r="W36" s="111" t="s">
        <v>16</v>
      </c>
      <c r="X36" s="111"/>
      <c r="Y36" s="111"/>
      <c r="Z36" s="111"/>
      <c r="AA36" s="113">
        <f>Data!AB23</f>
        <v>97450.493083593668</v>
      </c>
      <c r="AB36" s="113">
        <f>Data!AC23</f>
        <v>106516.31371029619</v>
      </c>
      <c r="AC36" s="113">
        <f>Data!AD23</f>
        <v>9065.8206267025234</v>
      </c>
      <c r="AD36" s="127">
        <f>IFERROR(AC36/ABS(AA36),0)</f>
        <v>9.3030012879727592E-2</v>
      </c>
    </row>
    <row r="37" spans="1:31" ht="14.5" customHeight="1" x14ac:dyDescent="0.2">
      <c r="A37" s="40"/>
      <c r="B37" s="40"/>
      <c r="C37" s="40"/>
      <c r="D37" s="40"/>
      <c r="E37" s="40"/>
      <c r="F37" s="40"/>
      <c r="G37" s="40"/>
      <c r="H37" s="40"/>
      <c r="I37" s="40"/>
      <c r="J37" s="40"/>
      <c r="K37" s="40"/>
      <c r="L37" s="40"/>
      <c r="M37" s="40"/>
      <c r="N37" s="67"/>
      <c r="O37" s="112"/>
      <c r="P37" s="112"/>
      <c r="Q37" s="112"/>
      <c r="R37" s="112"/>
      <c r="S37" s="114"/>
      <c r="T37" s="114"/>
      <c r="U37" s="114"/>
      <c r="V37" s="116"/>
      <c r="W37" s="112"/>
      <c r="X37" s="112"/>
      <c r="Y37" s="112"/>
      <c r="Z37" s="112"/>
      <c r="AA37" s="114"/>
      <c r="AB37" s="114"/>
      <c r="AC37" s="114"/>
      <c r="AD37" s="128"/>
    </row>
    <row r="38" spans="1:31" ht="34.25" customHeight="1" x14ac:dyDescent="0.2">
      <c r="A38" s="42"/>
      <c r="B38" s="40"/>
      <c r="C38" s="40"/>
      <c r="D38" s="40"/>
      <c r="E38" s="40"/>
      <c r="F38" s="42"/>
      <c r="G38" s="42"/>
      <c r="H38" s="42"/>
      <c r="I38" s="42"/>
      <c r="J38" s="42"/>
      <c r="K38" s="42"/>
      <c r="L38" s="42"/>
      <c r="M38" s="42"/>
      <c r="N38" s="68"/>
      <c r="O38" s="129" t="s">
        <v>17</v>
      </c>
      <c r="P38" s="129"/>
      <c r="Q38" s="129"/>
      <c r="R38" s="129"/>
      <c r="S38" s="80">
        <f>SUM(S30:S37)</f>
        <v>683875.90727698081</v>
      </c>
      <c r="T38" s="80">
        <f t="shared" ref="T38:U38" si="0">SUM(T30:T37)</f>
        <v>714150.23403595504</v>
      </c>
      <c r="U38" s="80">
        <f t="shared" si="0"/>
        <v>30274.326758974203</v>
      </c>
      <c r="V38" s="81">
        <f>IFERROR(U38/ABS(S38),0)</f>
        <v>4.4268742964668602E-2</v>
      </c>
      <c r="W38" s="130" t="s">
        <v>17</v>
      </c>
      <c r="X38" s="131"/>
      <c r="Y38" s="131"/>
      <c r="Z38" s="131"/>
      <c r="AA38" s="80">
        <f>SUM(AA30:AA37)</f>
        <v>683875.90727698093</v>
      </c>
      <c r="AB38" s="80">
        <f t="shared" ref="AB38:AC38" si="1">SUM(AB30:AB37)</f>
        <v>714150.23403595493</v>
      </c>
      <c r="AC38" s="80">
        <f t="shared" si="1"/>
        <v>30274.326758974057</v>
      </c>
      <c r="AD38" s="81">
        <f>IFERROR(AC38/ABS(AA38),0)</f>
        <v>4.4268742964668387E-2</v>
      </c>
    </row>
    <row r="39" spans="1:31" ht="6" customHeight="1" x14ac:dyDescent="0.2">
      <c r="A39" s="61"/>
      <c r="B39" s="37"/>
      <c r="C39" s="37"/>
      <c r="D39" s="37"/>
      <c r="E39" s="37"/>
      <c r="F39" s="61"/>
      <c r="G39" s="61"/>
      <c r="H39" s="61"/>
      <c r="I39" s="61"/>
      <c r="J39" s="61"/>
      <c r="K39" s="61"/>
      <c r="L39" s="61"/>
      <c r="M39" s="61"/>
      <c r="N39" s="69"/>
      <c r="O39" s="62"/>
      <c r="P39" s="62"/>
      <c r="Q39" s="62"/>
      <c r="R39" s="62"/>
      <c r="S39" s="63"/>
      <c r="T39" s="63"/>
      <c r="U39" s="63"/>
      <c r="V39" s="72"/>
      <c r="W39" s="64"/>
      <c r="X39" s="64"/>
      <c r="Y39" s="64"/>
      <c r="Z39" s="64"/>
      <c r="AA39" s="63"/>
      <c r="AB39" s="63"/>
      <c r="AC39" s="63"/>
      <c r="AD39" s="65"/>
    </row>
    <row r="40" spans="1:31" ht="35" customHeight="1" x14ac:dyDescent="0.2">
      <c r="A40" s="47"/>
      <c r="B40" s="121" t="s">
        <v>20</v>
      </c>
      <c r="C40" s="121"/>
      <c r="D40" s="121"/>
      <c r="E40" s="121"/>
      <c r="F40" s="47"/>
      <c r="G40" s="47"/>
      <c r="H40" s="47"/>
      <c r="I40" s="47"/>
      <c r="J40" s="47"/>
      <c r="K40" s="47"/>
      <c r="L40" s="47"/>
      <c r="M40" s="47"/>
      <c r="N40" s="66"/>
      <c r="O40" s="122" t="s">
        <v>1</v>
      </c>
      <c r="P40" s="122"/>
      <c r="Q40" s="122"/>
      <c r="R40" s="122"/>
      <c r="S40" s="48" t="s">
        <v>21</v>
      </c>
      <c r="T40" s="48" t="s">
        <v>5</v>
      </c>
      <c r="U40" s="48" t="s">
        <v>6</v>
      </c>
      <c r="V40" s="73" t="s">
        <v>7</v>
      </c>
      <c r="W40" s="122" t="s">
        <v>2</v>
      </c>
      <c r="X40" s="122"/>
      <c r="Y40" s="122"/>
      <c r="Z40" s="122"/>
      <c r="AA40" s="48" t="s">
        <v>21</v>
      </c>
      <c r="AB40" s="48" t="s">
        <v>5</v>
      </c>
      <c r="AC40" s="48" t="s">
        <v>6</v>
      </c>
      <c r="AD40" s="59" t="s">
        <v>7</v>
      </c>
    </row>
    <row r="41" spans="1:31" x14ac:dyDescent="0.2">
      <c r="A41" s="40"/>
      <c r="B41" s="40"/>
      <c r="C41" s="40"/>
      <c r="D41" s="40"/>
      <c r="E41" s="40"/>
      <c r="F41" s="40"/>
      <c r="G41" s="40"/>
      <c r="H41" s="40"/>
      <c r="I41" s="40"/>
      <c r="J41" s="40"/>
      <c r="K41" s="40"/>
      <c r="L41" s="40"/>
      <c r="M41" s="40"/>
      <c r="N41" s="67"/>
      <c r="O41" s="111" t="s">
        <v>8</v>
      </c>
      <c r="P41" s="111"/>
      <c r="Q41" s="111"/>
      <c r="R41" s="111"/>
      <c r="S41" s="113">
        <f>Data!V30</f>
        <v>73148.432798432113</v>
      </c>
      <c r="T41" s="113">
        <f>Data!W30</f>
        <v>82873.121814022306</v>
      </c>
      <c r="U41" s="113">
        <f>Data!X30</f>
        <v>9724.6890155901929</v>
      </c>
      <c r="V41" s="115">
        <f>Data!Y30</f>
        <v>0.13294459831268776</v>
      </c>
      <c r="W41" s="111" t="s">
        <v>9</v>
      </c>
      <c r="X41" s="111"/>
      <c r="Y41" s="111"/>
      <c r="Z41" s="111"/>
      <c r="AA41" s="113">
        <f>Data!AB30</f>
        <v>144548.58751290641</v>
      </c>
      <c r="AB41" s="113">
        <f>Data!AC30</f>
        <v>130260.7153159333</v>
      </c>
      <c r="AC41" s="113">
        <f>Data!AD30</f>
        <v>-14287.872196973112</v>
      </c>
      <c r="AD41" s="127">
        <f>IFERROR(AC41/ABS(AA41),0)</f>
        <v>-9.8844772147617013E-2</v>
      </c>
    </row>
    <row r="42" spans="1:31" x14ac:dyDescent="0.2">
      <c r="A42" s="40"/>
      <c r="B42" s="40"/>
      <c r="C42" s="40"/>
      <c r="D42" s="40"/>
      <c r="E42" s="40"/>
      <c r="F42" s="40"/>
      <c r="G42" s="40"/>
      <c r="H42" s="40"/>
      <c r="I42" s="40"/>
      <c r="J42" s="40"/>
      <c r="K42" s="40"/>
      <c r="L42" s="40"/>
      <c r="M42" s="40"/>
      <c r="N42" s="67"/>
      <c r="O42" s="112"/>
      <c r="P42" s="112"/>
      <c r="Q42" s="112"/>
      <c r="R42" s="112"/>
      <c r="S42" s="114"/>
      <c r="T42" s="114"/>
      <c r="U42" s="114"/>
      <c r="V42" s="116"/>
      <c r="W42" s="112"/>
      <c r="X42" s="112"/>
      <c r="Y42" s="112"/>
      <c r="Z42" s="112"/>
      <c r="AA42" s="114"/>
      <c r="AB42" s="114"/>
      <c r="AC42" s="114"/>
      <c r="AD42" s="128"/>
    </row>
    <row r="43" spans="1:31" x14ac:dyDescent="0.2">
      <c r="A43" s="40"/>
      <c r="B43" s="40"/>
      <c r="C43" s="40"/>
      <c r="D43" s="40"/>
      <c r="E43" s="40"/>
      <c r="F43" s="40"/>
      <c r="G43" s="40"/>
      <c r="H43" s="40"/>
      <c r="I43" s="40"/>
      <c r="J43" s="40"/>
      <c r="K43" s="40"/>
      <c r="L43" s="40"/>
      <c r="M43" s="40"/>
      <c r="N43" s="67"/>
      <c r="O43" s="111" t="s">
        <v>10</v>
      </c>
      <c r="P43" s="111"/>
      <c r="Q43" s="111"/>
      <c r="R43" s="111"/>
      <c r="S43" s="113">
        <f>Data!V31</f>
        <v>179360.62713651889</v>
      </c>
      <c r="T43" s="113">
        <f>Data!W31</f>
        <v>219330.19666314375</v>
      </c>
      <c r="U43" s="113">
        <f>Data!X31</f>
        <v>39969.569526624866</v>
      </c>
      <c r="V43" s="115">
        <f>Data!Y31</f>
        <v>0.22284472442328357</v>
      </c>
      <c r="W43" s="111" t="s">
        <v>11</v>
      </c>
      <c r="X43" s="111"/>
      <c r="Y43" s="111"/>
      <c r="Z43" s="111"/>
      <c r="AA43" s="113">
        <f>Data!AB31</f>
        <v>170315.5104661439</v>
      </c>
      <c r="AB43" s="113">
        <f>Data!AC31</f>
        <v>212909.18779829898</v>
      </c>
      <c r="AC43" s="113">
        <f>Data!AD31</f>
        <v>42593.677332155086</v>
      </c>
      <c r="AD43" s="127">
        <f>IFERROR(AC43/ABS(AA43),0)</f>
        <v>0.25008689587682653</v>
      </c>
    </row>
    <row r="44" spans="1:31" x14ac:dyDescent="0.2">
      <c r="A44" s="40"/>
      <c r="B44" s="40"/>
      <c r="C44" s="40"/>
      <c r="D44" s="40"/>
      <c r="E44" s="40"/>
      <c r="F44" s="40"/>
      <c r="G44" s="40"/>
      <c r="H44" s="40"/>
      <c r="I44" s="40"/>
      <c r="J44" s="40"/>
      <c r="K44" s="40"/>
      <c r="L44" s="40"/>
      <c r="M44" s="40"/>
      <c r="N44" s="67"/>
      <c r="O44" s="112"/>
      <c r="P44" s="112"/>
      <c r="Q44" s="112"/>
      <c r="R44" s="112"/>
      <c r="S44" s="114"/>
      <c r="T44" s="114"/>
      <c r="U44" s="114"/>
      <c r="V44" s="116"/>
      <c r="W44" s="112"/>
      <c r="X44" s="112"/>
      <c r="Y44" s="112"/>
      <c r="Z44" s="112"/>
      <c r="AA44" s="114"/>
      <c r="AB44" s="114"/>
      <c r="AC44" s="114"/>
      <c r="AD44" s="128"/>
    </row>
    <row r="45" spans="1:31" x14ac:dyDescent="0.2">
      <c r="A45" s="40"/>
      <c r="B45" s="40"/>
      <c r="C45" s="40"/>
      <c r="D45" s="40"/>
      <c r="E45" s="40"/>
      <c r="F45" s="40"/>
      <c r="G45" s="40"/>
      <c r="H45" s="40"/>
      <c r="I45" s="40"/>
      <c r="J45" s="40"/>
      <c r="K45" s="40"/>
      <c r="L45" s="40"/>
      <c r="M45" s="40"/>
      <c r="N45" s="67"/>
      <c r="O45" s="111" t="s">
        <v>13</v>
      </c>
      <c r="P45" s="111"/>
      <c r="Q45" s="111"/>
      <c r="R45" s="111"/>
      <c r="S45" s="113">
        <f>Data!V32</f>
        <v>134084.39928095025</v>
      </c>
      <c r="T45" s="113">
        <f>Data!W32</f>
        <v>154098.35574897536</v>
      </c>
      <c r="U45" s="113">
        <f>Data!X32</f>
        <v>20013.956468025106</v>
      </c>
      <c r="V45" s="115">
        <f>Data!Y32</f>
        <v>0.1492638709301996</v>
      </c>
      <c r="W45" s="111" t="s">
        <v>14</v>
      </c>
      <c r="X45" s="111"/>
      <c r="Y45" s="111"/>
      <c r="Z45" s="111"/>
      <c r="AA45" s="113">
        <f>Data!AB32</f>
        <v>263571.97253655945</v>
      </c>
      <c r="AB45" s="113">
        <f>Data!AC32</f>
        <v>264464.01721142652</v>
      </c>
      <c r="AC45" s="113">
        <f>Data!AD32</f>
        <v>892.04467486706562</v>
      </c>
      <c r="AD45" s="127">
        <f>IFERROR(AC45/ABS(AA45),0)</f>
        <v>3.3844443560604011E-3</v>
      </c>
    </row>
    <row r="46" spans="1:31" x14ac:dyDescent="0.2">
      <c r="A46" s="40"/>
      <c r="B46" s="40"/>
      <c r="C46" s="40"/>
      <c r="D46" s="40"/>
      <c r="E46" s="40"/>
      <c r="F46" s="40"/>
      <c r="G46" s="40"/>
      <c r="H46" s="40"/>
      <c r="I46" s="40"/>
      <c r="J46" s="40"/>
      <c r="K46" s="40"/>
      <c r="L46" s="40"/>
      <c r="M46" s="40"/>
      <c r="N46" s="67"/>
      <c r="O46" s="112"/>
      <c r="P46" s="112"/>
      <c r="Q46" s="112"/>
      <c r="R46" s="112"/>
      <c r="S46" s="114"/>
      <c r="T46" s="114"/>
      <c r="U46" s="114"/>
      <c r="V46" s="116"/>
      <c r="W46" s="112"/>
      <c r="X46" s="112"/>
      <c r="Y46" s="112"/>
      <c r="Z46" s="112"/>
      <c r="AA46" s="114"/>
      <c r="AB46" s="114"/>
      <c r="AC46" s="114"/>
      <c r="AD46" s="128"/>
    </row>
    <row r="47" spans="1:31" x14ac:dyDescent="0.2">
      <c r="A47" s="40"/>
      <c r="B47" s="40"/>
      <c r="C47" s="40"/>
      <c r="D47" s="40"/>
      <c r="E47" s="40"/>
      <c r="F47" s="40"/>
      <c r="G47" s="40"/>
      <c r="H47" s="40"/>
      <c r="I47" s="40"/>
      <c r="J47" s="40"/>
      <c r="K47" s="40"/>
      <c r="L47" s="40"/>
      <c r="M47" s="40"/>
      <c r="N47" s="67"/>
      <c r="O47" s="137" t="s">
        <v>15</v>
      </c>
      <c r="P47" s="111"/>
      <c r="Q47" s="111"/>
      <c r="R47" s="111"/>
      <c r="S47" s="113">
        <f>Data!V33</f>
        <v>283488.94108059909</v>
      </c>
      <c r="T47" s="113">
        <f>Data!W33</f>
        <v>257848.55980981363</v>
      </c>
      <c r="U47" s="113">
        <f>Data!X33</f>
        <v>-25640.381270785467</v>
      </c>
      <c r="V47" s="115">
        <f>Data!Y33</f>
        <v>-9.0445790135762719E-2</v>
      </c>
      <c r="W47" s="137" t="s">
        <v>16</v>
      </c>
      <c r="X47" s="111"/>
      <c r="Y47" s="111"/>
      <c r="Z47" s="111"/>
      <c r="AA47" s="113">
        <f>Data!AB33</f>
        <v>91646.329780890504</v>
      </c>
      <c r="AB47" s="113">
        <f>Data!AC33</f>
        <v>106516.31371029619</v>
      </c>
      <c r="AC47" s="113">
        <f>Data!AD33</f>
        <v>14869.983929405687</v>
      </c>
      <c r="AD47" s="127">
        <f>IFERROR(AC47/ABS(AA47),0)</f>
        <v>0.16225400367867518</v>
      </c>
    </row>
    <row r="48" spans="1:31" x14ac:dyDescent="0.2">
      <c r="A48" s="40"/>
      <c r="B48" s="40"/>
      <c r="C48" s="40"/>
      <c r="D48" s="40"/>
      <c r="E48" s="40"/>
      <c r="F48" s="40"/>
      <c r="G48" s="40"/>
      <c r="H48" s="40"/>
      <c r="I48" s="40"/>
      <c r="J48" s="40"/>
      <c r="K48" s="40"/>
      <c r="L48" s="40"/>
      <c r="M48" s="40"/>
      <c r="N48" s="67"/>
      <c r="O48" s="138"/>
      <c r="P48" s="112"/>
      <c r="Q48" s="112"/>
      <c r="R48" s="112"/>
      <c r="S48" s="114"/>
      <c r="T48" s="114"/>
      <c r="U48" s="114"/>
      <c r="V48" s="116"/>
      <c r="W48" s="138"/>
      <c r="X48" s="112"/>
      <c r="Y48" s="112"/>
      <c r="Z48" s="112"/>
      <c r="AA48" s="114"/>
      <c r="AB48" s="114"/>
      <c r="AC48" s="114"/>
      <c r="AD48" s="132"/>
      <c r="AE48" s="60"/>
    </row>
    <row r="49" spans="1:31" ht="34.25" customHeight="1" x14ac:dyDescent="0.2">
      <c r="A49" s="42"/>
      <c r="B49" s="42"/>
      <c r="C49" s="42"/>
      <c r="D49" s="42"/>
      <c r="E49" s="42"/>
      <c r="F49" s="42"/>
      <c r="G49" s="42"/>
      <c r="H49" s="42"/>
      <c r="I49" s="42"/>
      <c r="J49" s="42"/>
      <c r="K49" s="42"/>
      <c r="L49" s="42"/>
      <c r="M49" s="42"/>
      <c r="N49" s="42"/>
      <c r="O49" s="133" t="s">
        <v>17</v>
      </c>
      <c r="P49" s="134"/>
      <c r="Q49" s="134"/>
      <c r="R49" s="134"/>
      <c r="S49" s="82">
        <f>SUM(S41:S48)</f>
        <v>670082.40029650042</v>
      </c>
      <c r="T49" s="82">
        <f t="shared" ref="T49:U49" si="2">SUM(T41:T48)</f>
        <v>714150.23403595504</v>
      </c>
      <c r="U49" s="82">
        <f t="shared" si="2"/>
        <v>44067.833739454698</v>
      </c>
      <c r="V49" s="83">
        <f>IFERROR(U49/ABS(S49),0)</f>
        <v>6.576479806058988E-2</v>
      </c>
      <c r="W49" s="135" t="s">
        <v>17</v>
      </c>
      <c r="X49" s="136"/>
      <c r="Y49" s="136"/>
      <c r="Z49" s="136"/>
      <c r="AA49" s="84">
        <f>SUM(AA41:AA48)</f>
        <v>670082.4002965003</v>
      </c>
      <c r="AB49" s="84">
        <f t="shared" ref="AB49:AC49" si="3">SUM(AB41:AB48)</f>
        <v>714150.23403595493</v>
      </c>
      <c r="AC49" s="84">
        <f t="shared" si="3"/>
        <v>44067.833739454727</v>
      </c>
      <c r="AD49" s="85">
        <f>IFERROR(AC49/ABS(AA49),0)</f>
        <v>6.5764798060589935E-2</v>
      </c>
      <c r="AE49" s="60"/>
    </row>
    <row r="50" spans="1:31" x14ac:dyDescent="0.2">
      <c r="V50" s="77"/>
      <c r="W50" s="77"/>
      <c r="X50" s="77"/>
      <c r="Y50" s="77"/>
      <c r="Z50" s="77"/>
      <c r="AA50" s="77"/>
      <c r="AB50" s="77"/>
      <c r="AC50" s="77"/>
    </row>
  </sheetData>
  <mergeCells count="146">
    <mergeCell ref="B22:C22"/>
    <mergeCell ref="B24:C25"/>
    <mergeCell ref="E22:F22"/>
    <mergeCell ref="E24:F25"/>
    <mergeCell ref="H22:I22"/>
    <mergeCell ref="H24:I25"/>
    <mergeCell ref="AA47:AA48"/>
    <mergeCell ref="AB47:AB48"/>
    <mergeCell ref="AC47:AC48"/>
    <mergeCell ref="AA43:AA44"/>
    <mergeCell ref="AB43:AB44"/>
    <mergeCell ref="AC43:AC44"/>
    <mergeCell ref="B40:E40"/>
    <mergeCell ref="O40:R40"/>
    <mergeCell ref="W40:Z40"/>
    <mergeCell ref="AA36:AA37"/>
    <mergeCell ref="AB36:AB37"/>
    <mergeCell ref="AC36:AC37"/>
    <mergeCell ref="AA32:AA33"/>
    <mergeCell ref="AB32:AB33"/>
    <mergeCell ref="AC32:AC33"/>
    <mergeCell ref="B29:E29"/>
    <mergeCell ref="O29:R29"/>
    <mergeCell ref="W29:Z29"/>
    <mergeCell ref="AD47:AD48"/>
    <mergeCell ref="O49:R49"/>
    <mergeCell ref="W49:Z49"/>
    <mergeCell ref="AA45:AA46"/>
    <mergeCell ref="AB45:AB46"/>
    <mergeCell ref="AC45:AC46"/>
    <mergeCell ref="AD45:AD46"/>
    <mergeCell ref="O47:R48"/>
    <mergeCell ref="S47:S48"/>
    <mergeCell ref="T47:T48"/>
    <mergeCell ref="U47:U48"/>
    <mergeCell ref="V47:V48"/>
    <mergeCell ref="W47:Z48"/>
    <mergeCell ref="AD43:AD44"/>
    <mergeCell ref="O45:R46"/>
    <mergeCell ref="S45:S46"/>
    <mergeCell ref="T45:T46"/>
    <mergeCell ref="U45:U46"/>
    <mergeCell ref="V45:V46"/>
    <mergeCell ref="W45:Z46"/>
    <mergeCell ref="AA41:AA42"/>
    <mergeCell ref="AB41:AB42"/>
    <mergeCell ref="AC41:AC42"/>
    <mergeCell ref="AD41:AD42"/>
    <mergeCell ref="O43:R44"/>
    <mergeCell ref="S43:S44"/>
    <mergeCell ref="T43:T44"/>
    <mergeCell ref="U43:U44"/>
    <mergeCell ref="V43:V44"/>
    <mergeCell ref="W43:Z44"/>
    <mergeCell ref="O41:R42"/>
    <mergeCell ref="S41:S42"/>
    <mergeCell ref="T41:T42"/>
    <mergeCell ref="U41:U42"/>
    <mergeCell ref="V41:V42"/>
    <mergeCell ref="W41:Z42"/>
    <mergeCell ref="AD36:AD37"/>
    <mergeCell ref="O38:R38"/>
    <mergeCell ref="W38:Z38"/>
    <mergeCell ref="AA34:AA35"/>
    <mergeCell ref="AB34:AB35"/>
    <mergeCell ref="AC34:AC35"/>
    <mergeCell ref="AD34:AD35"/>
    <mergeCell ref="O36:R37"/>
    <mergeCell ref="S36:S37"/>
    <mergeCell ref="T36:T37"/>
    <mergeCell ref="U36:U37"/>
    <mergeCell ref="V36:V37"/>
    <mergeCell ref="W36:Z37"/>
    <mergeCell ref="AD32:AD33"/>
    <mergeCell ref="O34:R35"/>
    <mergeCell ref="S34:S35"/>
    <mergeCell ref="T34:T35"/>
    <mergeCell ref="U34:U35"/>
    <mergeCell ref="V34:V35"/>
    <mergeCell ref="W34:Z35"/>
    <mergeCell ref="AA30:AA31"/>
    <mergeCell ref="AB30:AB31"/>
    <mergeCell ref="AC30:AC31"/>
    <mergeCell ref="AD30:AD31"/>
    <mergeCell ref="O32:R33"/>
    <mergeCell ref="S32:S33"/>
    <mergeCell ref="T32:T33"/>
    <mergeCell ref="U32:U33"/>
    <mergeCell ref="V32:V33"/>
    <mergeCell ref="W32:Z33"/>
    <mergeCell ref="O30:R31"/>
    <mergeCell ref="S30:S31"/>
    <mergeCell ref="T30:T31"/>
    <mergeCell ref="U30:U31"/>
    <mergeCell ref="V30:V31"/>
    <mergeCell ref="W30:Z31"/>
    <mergeCell ref="AA25:AA26"/>
    <mergeCell ref="AB25:AB26"/>
    <mergeCell ref="AC25:AC26"/>
    <mergeCell ref="AD25:AD26"/>
    <mergeCell ref="O27:R27"/>
    <mergeCell ref="W27:Z27"/>
    <mergeCell ref="AA23:AA24"/>
    <mergeCell ref="AB23:AB24"/>
    <mergeCell ref="AC23:AC24"/>
    <mergeCell ref="AD23:AD24"/>
    <mergeCell ref="O25:R26"/>
    <mergeCell ref="S25:S26"/>
    <mergeCell ref="T25:T26"/>
    <mergeCell ref="U25:U26"/>
    <mergeCell ref="V25:V26"/>
    <mergeCell ref="W25:Z26"/>
    <mergeCell ref="AA21:AA22"/>
    <mergeCell ref="AB21:AB22"/>
    <mergeCell ref="AC21:AC22"/>
    <mergeCell ref="AD21:AD22"/>
    <mergeCell ref="O23:R24"/>
    <mergeCell ref="S23:S24"/>
    <mergeCell ref="T23:T24"/>
    <mergeCell ref="U23:U24"/>
    <mergeCell ref="V23:V24"/>
    <mergeCell ref="W23:Z24"/>
    <mergeCell ref="O21:R22"/>
    <mergeCell ref="S21:S22"/>
    <mergeCell ref="T21:T22"/>
    <mergeCell ref="U21:U22"/>
    <mergeCell ref="V21:V22"/>
    <mergeCell ref="W21:Z22"/>
    <mergeCell ref="O19:R20"/>
    <mergeCell ref="S19:S20"/>
    <mergeCell ref="T19:T20"/>
    <mergeCell ref="U19:U20"/>
    <mergeCell ref="V19:V20"/>
    <mergeCell ref="W19:Z20"/>
    <mergeCell ref="C1:K1"/>
    <mergeCell ref="AA1:AC1"/>
    <mergeCell ref="B2:D2"/>
    <mergeCell ref="B18:E18"/>
    <mergeCell ref="O18:R18"/>
    <mergeCell ref="W18:Z18"/>
    <mergeCell ref="O2:V2"/>
    <mergeCell ref="W2:AD2"/>
    <mergeCell ref="AA19:AA20"/>
    <mergeCell ref="AB19:AB20"/>
    <mergeCell ref="AC19:AC20"/>
    <mergeCell ref="AD19:AD20"/>
  </mergeCells>
  <pageMargins left="0.25" right="0.25" top="0.75" bottom="0.75" header="0.3" footer="0.3"/>
  <pageSetup paperSize="66" scale="93" orientation="landscape" r:id="rId1"/>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13E6-C076-43FF-BD0A-4D8A0686820E}">
  <sheetPr>
    <tabColor theme="6" tint="0.79998168889431442"/>
    <outlinePr summaryBelow="0" summaryRight="0"/>
  </sheetPr>
  <dimension ref="A1:NTQ304"/>
  <sheetViews>
    <sheetView showGridLines="0" zoomScaleNormal="100" workbookViewId="0">
      <pane xSplit="4" ySplit="4" topLeftCell="E17" activePane="bottomRight" state="frozen"/>
      <selection activeCell="E49" sqref="E49"/>
      <selection pane="topRight" activeCell="E49" sqref="E49"/>
      <selection pane="bottomLeft" activeCell="E49" sqref="E49"/>
      <selection pane="bottomRight" activeCell="E49" sqref="E49"/>
    </sheetView>
  </sheetViews>
  <sheetFormatPr baseColWidth="10" defaultColWidth="9.140625" defaultRowHeight="15" x14ac:dyDescent="0.2"/>
  <cols>
    <col min="1" max="1" width="2.42578125" customWidth="1"/>
    <col min="2" max="2" width="42.28515625" style="2" customWidth="1"/>
    <col min="3" max="3" width="7.7109375" style="2" bestFit="1" customWidth="1"/>
    <col min="4" max="4" width="2.7109375" customWidth="1"/>
    <col min="5" max="5" width="12.42578125" style="21" customWidth="1"/>
    <col min="6" max="40" width="13.28515625" style="21" customWidth="1"/>
    <col min="41" max="9998" width="9.140625" style="21"/>
    <col min="9999" max="9999" width="9.140625" style="20"/>
    <col min="10000" max="16384" width="9.140625" style="21"/>
  </cols>
  <sheetData>
    <row r="1" spans="1:40" customFormat="1" ht="21" customHeight="1" x14ac:dyDescent="0.2">
      <c r="A1" s="10" t="s">
        <v>141</v>
      </c>
      <c r="B1" s="2"/>
      <c r="C1" s="2"/>
    </row>
    <row r="2" spans="1:40" customFormat="1" ht="21" customHeight="1" x14ac:dyDescent="0.2">
      <c r="A2" s="11" t="s">
        <v>142</v>
      </c>
      <c r="B2" s="2"/>
      <c r="C2" s="2"/>
    </row>
    <row r="3" spans="1:40" customFormat="1" x14ac:dyDescent="0.2">
      <c r="A3" t="s">
        <v>8</v>
      </c>
      <c r="B3" s="2"/>
      <c r="C3" s="2"/>
    </row>
    <row r="4" spans="1:40" s="12" customFormat="1" ht="16" x14ac:dyDescent="0.2">
      <c r="B4" s="3"/>
      <c r="C4" s="98" t="s">
        <v>144</v>
      </c>
      <c r="E4" s="99">
        <v>44957</v>
      </c>
      <c r="F4" s="100">
        <f t="shared" ref="F4" si="0">EOMONTH(E4,1)</f>
        <v>44985</v>
      </c>
      <c r="G4" s="100">
        <f t="shared" ref="G4" si="1">EOMONTH(F4,1)</f>
        <v>45016</v>
      </c>
      <c r="H4" s="100">
        <f t="shared" ref="H4" si="2">EOMONTH(G4,1)</f>
        <v>45046</v>
      </c>
      <c r="I4" s="100">
        <f t="shared" ref="I4" si="3">EOMONTH(H4,1)</f>
        <v>45077</v>
      </c>
      <c r="J4" s="100">
        <f t="shared" ref="J4" si="4">EOMONTH(I4,1)</f>
        <v>45107</v>
      </c>
      <c r="K4" s="100">
        <f t="shared" ref="K4" si="5">EOMONTH(J4,1)</f>
        <v>45138</v>
      </c>
      <c r="L4" s="100">
        <f t="shared" ref="L4" si="6">EOMONTH(K4,1)</f>
        <v>45169</v>
      </c>
      <c r="M4" s="100">
        <f t="shared" ref="M4" si="7">EOMONTH(L4,1)</f>
        <v>45199</v>
      </c>
      <c r="N4" s="100">
        <f t="shared" ref="N4" si="8">EOMONTH(M4,1)</f>
        <v>45230</v>
      </c>
      <c r="O4" s="100">
        <f t="shared" ref="O4" si="9">EOMONTH(N4,1)</f>
        <v>45260</v>
      </c>
      <c r="P4" s="100">
        <f t="shared" ref="P4" si="10">EOMONTH(O4,1)</f>
        <v>45291</v>
      </c>
      <c r="Q4" s="100">
        <f t="shared" ref="Q4" si="11">EOMONTH(P4,1)</f>
        <v>45322</v>
      </c>
      <c r="R4" s="100">
        <f t="shared" ref="R4" si="12">EOMONTH(Q4,1)</f>
        <v>45351</v>
      </c>
      <c r="S4" s="100">
        <f t="shared" ref="S4" si="13">EOMONTH(R4,1)</f>
        <v>45382</v>
      </c>
      <c r="T4" s="100">
        <f t="shared" ref="T4" si="14">EOMONTH(S4,1)</f>
        <v>45412</v>
      </c>
      <c r="U4" s="100">
        <f t="shared" ref="U4" si="15">EOMONTH(T4,1)</f>
        <v>45443</v>
      </c>
      <c r="V4" s="100">
        <f t="shared" ref="V4" si="16">EOMONTH(U4,1)</f>
        <v>45473</v>
      </c>
      <c r="W4" s="100">
        <f t="shared" ref="W4" si="17">EOMONTH(V4,1)</f>
        <v>45504</v>
      </c>
      <c r="X4" s="100">
        <f t="shared" ref="X4" si="18">EOMONTH(W4,1)</f>
        <v>45535</v>
      </c>
      <c r="Y4" s="100">
        <f t="shared" ref="Y4" si="19">EOMONTH(X4,1)</f>
        <v>45565</v>
      </c>
      <c r="Z4" s="100">
        <f t="shared" ref="Z4" si="20">EOMONTH(Y4,1)</f>
        <v>45596</v>
      </c>
      <c r="AA4" s="100">
        <f t="shared" ref="AA4" si="21">EOMONTH(Z4,1)</f>
        <v>45626</v>
      </c>
      <c r="AB4" s="100">
        <f t="shared" ref="AB4" si="22">EOMONTH(AA4,1)</f>
        <v>45657</v>
      </c>
      <c r="AC4" s="100">
        <f t="shared" ref="AC4" si="23">EOMONTH(AB4,1)</f>
        <v>45688</v>
      </c>
      <c r="AD4" s="100">
        <f t="shared" ref="AD4" si="24">EOMONTH(AC4,1)</f>
        <v>45716</v>
      </c>
      <c r="AE4" s="100">
        <f t="shared" ref="AE4" si="25">EOMONTH(AD4,1)</f>
        <v>45747</v>
      </c>
      <c r="AF4" s="100">
        <f t="shared" ref="AF4" si="26">EOMONTH(AE4,1)</f>
        <v>45777</v>
      </c>
      <c r="AG4" s="100">
        <f t="shared" ref="AG4" si="27">EOMONTH(AF4,1)</f>
        <v>45808</v>
      </c>
      <c r="AH4" s="100">
        <f t="shared" ref="AH4" si="28">EOMONTH(AG4,1)</f>
        <v>45838</v>
      </c>
      <c r="AI4" s="100">
        <f t="shared" ref="AI4" si="29">EOMONTH(AH4,1)</f>
        <v>45869</v>
      </c>
      <c r="AJ4" s="100">
        <f t="shared" ref="AJ4" si="30">EOMONTH(AI4,1)</f>
        <v>45900</v>
      </c>
      <c r="AK4" s="100">
        <f t="shared" ref="AK4" si="31">EOMONTH(AJ4,1)</f>
        <v>45930</v>
      </c>
      <c r="AL4" s="100">
        <f t="shared" ref="AL4" si="32">EOMONTH(AK4,1)</f>
        <v>45961</v>
      </c>
      <c r="AM4" s="100">
        <f t="shared" ref="AM4" si="33">EOMONTH(AL4,1)</f>
        <v>45991</v>
      </c>
      <c r="AN4" s="100">
        <f t="shared" ref="AN4" si="34">EOMONTH(AM4,1)</f>
        <v>46022</v>
      </c>
    </row>
    <row r="5" spans="1:40" s="16" customFormat="1" ht="21" customHeight="1" x14ac:dyDescent="0.2">
      <c r="A5" s="13"/>
      <c r="B5" s="4" t="s">
        <v>30</v>
      </c>
      <c r="C5" s="4"/>
      <c r="D5" s="14"/>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row>
    <row r="6" spans="1:40" s="16" customFormat="1" ht="21" customHeight="1" x14ac:dyDescent="0.2">
      <c r="A6" s="13"/>
      <c r="B6" s="5" t="s">
        <v>92</v>
      </c>
      <c r="C6" s="101">
        <v>0.1</v>
      </c>
      <c r="D6" s="14"/>
      <c r="E6" s="102">
        <v>0</v>
      </c>
      <c r="F6" s="102">
        <v>0</v>
      </c>
      <c r="G6" s="102">
        <v>0</v>
      </c>
      <c r="H6" s="102">
        <v>0</v>
      </c>
      <c r="I6" s="102">
        <v>0</v>
      </c>
      <c r="J6" s="102">
        <v>0</v>
      </c>
      <c r="K6" s="102">
        <v>0</v>
      </c>
      <c r="L6" s="102">
        <v>0</v>
      </c>
      <c r="M6" s="102">
        <v>0</v>
      </c>
      <c r="N6" s="102">
        <v>0</v>
      </c>
      <c r="O6" s="102">
        <v>0</v>
      </c>
      <c r="P6" s="102">
        <v>0</v>
      </c>
      <c r="Q6" s="102">
        <v>0</v>
      </c>
      <c r="R6" s="102">
        <v>0</v>
      </c>
      <c r="S6" s="102">
        <v>0</v>
      </c>
      <c r="T6" s="102">
        <v>0</v>
      </c>
      <c r="U6" s="102">
        <v>0</v>
      </c>
      <c r="V6" s="102">
        <v>0</v>
      </c>
      <c r="W6" s="102">
        <v>0</v>
      </c>
      <c r="X6" s="102">
        <v>0</v>
      </c>
      <c r="Y6" s="102">
        <v>0</v>
      </c>
      <c r="Z6" s="102">
        <v>0</v>
      </c>
      <c r="AA6" s="102">
        <v>0</v>
      </c>
      <c r="AB6" s="102">
        <v>0</v>
      </c>
      <c r="AC6" s="102">
        <v>0</v>
      </c>
      <c r="AD6" s="102">
        <v>0</v>
      </c>
      <c r="AE6" s="102">
        <v>0</v>
      </c>
      <c r="AF6" s="102">
        <v>0</v>
      </c>
      <c r="AG6" s="102">
        <v>0</v>
      </c>
      <c r="AH6" s="102">
        <v>0</v>
      </c>
      <c r="AI6" s="102">
        <v>0</v>
      </c>
      <c r="AJ6" s="102">
        <v>0</v>
      </c>
      <c r="AK6" s="102">
        <v>0</v>
      </c>
      <c r="AL6" s="102">
        <v>0</v>
      </c>
      <c r="AM6" s="102">
        <v>0</v>
      </c>
      <c r="AN6" s="102">
        <v>0</v>
      </c>
    </row>
    <row r="7" spans="1:40" s="16" customFormat="1" ht="21" customHeight="1" x14ac:dyDescent="0.2">
      <c r="A7" s="13"/>
      <c r="B7" s="6" t="s">
        <v>145</v>
      </c>
      <c r="C7" s="26"/>
      <c r="D7" s="14"/>
      <c r="E7" s="104">
        <f t="shared" ref="E7:AN7" si="35">SUM(E6 + E5)</f>
        <v>0</v>
      </c>
      <c r="F7" s="104">
        <f t="shared" ref="F7:AM7" si="36">SUM(F6 + F5)</f>
        <v>0</v>
      </c>
      <c r="G7" s="104">
        <f t="shared" si="36"/>
        <v>0</v>
      </c>
      <c r="H7" s="104">
        <f t="shared" si="36"/>
        <v>0</v>
      </c>
      <c r="I7" s="104">
        <f t="shared" si="36"/>
        <v>0</v>
      </c>
      <c r="J7" s="104">
        <f t="shared" si="36"/>
        <v>0</v>
      </c>
      <c r="K7" s="104">
        <f t="shared" si="36"/>
        <v>0</v>
      </c>
      <c r="L7" s="104">
        <f t="shared" si="36"/>
        <v>0</v>
      </c>
      <c r="M7" s="104">
        <f t="shared" si="36"/>
        <v>0</v>
      </c>
      <c r="N7" s="104">
        <f t="shared" si="36"/>
        <v>0</v>
      </c>
      <c r="O7" s="104">
        <f t="shared" si="36"/>
        <v>0</v>
      </c>
      <c r="P7" s="104">
        <f t="shared" si="36"/>
        <v>0</v>
      </c>
      <c r="Q7" s="104">
        <f t="shared" si="36"/>
        <v>0</v>
      </c>
      <c r="R7" s="104">
        <f t="shared" si="36"/>
        <v>0</v>
      </c>
      <c r="S7" s="104">
        <f t="shared" si="36"/>
        <v>0</v>
      </c>
      <c r="T7" s="104">
        <f t="shared" si="36"/>
        <v>0</v>
      </c>
      <c r="U7" s="104">
        <f t="shared" si="36"/>
        <v>0</v>
      </c>
      <c r="V7" s="104">
        <f t="shared" si="36"/>
        <v>0</v>
      </c>
      <c r="W7" s="104">
        <f t="shared" si="36"/>
        <v>0</v>
      </c>
      <c r="X7" s="104">
        <f t="shared" si="36"/>
        <v>0</v>
      </c>
      <c r="Y7" s="104">
        <f t="shared" si="36"/>
        <v>0</v>
      </c>
      <c r="Z7" s="104">
        <f t="shared" si="36"/>
        <v>0</v>
      </c>
      <c r="AA7" s="104">
        <f t="shared" si="36"/>
        <v>0</v>
      </c>
      <c r="AB7" s="104">
        <f t="shared" si="36"/>
        <v>0</v>
      </c>
      <c r="AC7" s="104">
        <f t="shared" si="36"/>
        <v>0</v>
      </c>
      <c r="AD7" s="104">
        <f t="shared" si="36"/>
        <v>0</v>
      </c>
      <c r="AE7" s="104">
        <f t="shared" si="36"/>
        <v>0</v>
      </c>
      <c r="AF7" s="104">
        <f t="shared" si="36"/>
        <v>0</v>
      </c>
      <c r="AG7" s="104">
        <f t="shared" si="36"/>
        <v>0</v>
      </c>
      <c r="AH7" s="104">
        <f t="shared" si="36"/>
        <v>0</v>
      </c>
      <c r="AI7" s="104">
        <f t="shared" si="36"/>
        <v>0</v>
      </c>
      <c r="AJ7" s="104">
        <f t="shared" si="36"/>
        <v>0</v>
      </c>
      <c r="AK7" s="104">
        <f t="shared" si="36"/>
        <v>0</v>
      </c>
      <c r="AL7" s="104">
        <f t="shared" si="36"/>
        <v>0</v>
      </c>
      <c r="AM7" s="104">
        <f t="shared" si="36"/>
        <v>0</v>
      </c>
      <c r="AN7" s="104">
        <f t="shared" si="35"/>
        <v>0</v>
      </c>
    </row>
    <row r="8" spans="1:40" s="16" customFormat="1" ht="21" customHeight="1" x14ac:dyDescent="0.2">
      <c r="A8" s="13"/>
      <c r="B8" s="6" t="s">
        <v>41</v>
      </c>
      <c r="C8" s="26"/>
      <c r="D8" s="14"/>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row>
    <row r="9" spans="1:40" s="16" customFormat="1" ht="21" customHeight="1" x14ac:dyDescent="0.2">
      <c r="A9" s="13"/>
      <c r="B9" s="5" t="s">
        <v>96</v>
      </c>
      <c r="C9" s="101">
        <v>0.04</v>
      </c>
      <c r="D9" s="14"/>
      <c r="E9" s="102">
        <v>0</v>
      </c>
      <c r="F9" s="102">
        <v>0</v>
      </c>
      <c r="G9" s="102">
        <v>0</v>
      </c>
      <c r="H9" s="102">
        <v>0</v>
      </c>
      <c r="I9" s="102">
        <v>0</v>
      </c>
      <c r="J9" s="102">
        <v>0</v>
      </c>
      <c r="K9" s="102">
        <v>0</v>
      </c>
      <c r="L9" s="102">
        <v>0</v>
      </c>
      <c r="M9" s="102">
        <v>0</v>
      </c>
      <c r="N9" s="102">
        <v>0</v>
      </c>
      <c r="O9" s="102">
        <v>0</v>
      </c>
      <c r="P9" s="102">
        <v>0</v>
      </c>
      <c r="Q9" s="102">
        <v>0</v>
      </c>
      <c r="R9" s="102">
        <v>0</v>
      </c>
      <c r="S9" s="102">
        <v>0</v>
      </c>
      <c r="T9" s="102">
        <v>0</v>
      </c>
      <c r="U9" s="102">
        <v>0</v>
      </c>
      <c r="V9" s="102">
        <v>0</v>
      </c>
      <c r="W9" s="102">
        <v>0</v>
      </c>
      <c r="X9" s="102">
        <v>0</v>
      </c>
      <c r="Y9" s="102">
        <v>0</v>
      </c>
      <c r="Z9" s="102">
        <v>0</v>
      </c>
      <c r="AA9" s="102">
        <v>0</v>
      </c>
      <c r="AB9" s="102">
        <v>0</v>
      </c>
      <c r="AC9" s="102">
        <v>0</v>
      </c>
      <c r="AD9" s="102">
        <v>0</v>
      </c>
      <c r="AE9" s="102">
        <v>0</v>
      </c>
      <c r="AF9" s="102">
        <v>0</v>
      </c>
      <c r="AG9" s="102">
        <v>0</v>
      </c>
      <c r="AH9" s="102">
        <v>0</v>
      </c>
      <c r="AI9" s="102">
        <v>0</v>
      </c>
      <c r="AJ9" s="102">
        <v>0</v>
      </c>
      <c r="AK9" s="102">
        <v>0</v>
      </c>
      <c r="AL9" s="102">
        <v>0</v>
      </c>
      <c r="AM9" s="102">
        <v>0</v>
      </c>
      <c r="AN9" s="102">
        <v>0</v>
      </c>
    </row>
    <row r="10" spans="1:40" s="16" customFormat="1" ht="21" customHeight="1" x14ac:dyDescent="0.2">
      <c r="A10" s="13"/>
      <c r="B10" s="5" t="s">
        <v>98</v>
      </c>
      <c r="C10" s="101">
        <v>0.04</v>
      </c>
      <c r="D10" s="14"/>
      <c r="E10" s="102">
        <v>0</v>
      </c>
      <c r="F10" s="102">
        <v>0</v>
      </c>
      <c r="G10" s="102">
        <v>0</v>
      </c>
      <c r="H10" s="102">
        <v>0</v>
      </c>
      <c r="I10" s="102">
        <v>0</v>
      </c>
      <c r="J10" s="102">
        <v>0</v>
      </c>
      <c r="K10" s="102">
        <v>0</v>
      </c>
      <c r="L10" s="102">
        <v>0</v>
      </c>
      <c r="M10" s="102">
        <v>0</v>
      </c>
      <c r="N10" s="102">
        <v>0</v>
      </c>
      <c r="O10" s="102">
        <v>0</v>
      </c>
      <c r="P10" s="102">
        <v>0</v>
      </c>
      <c r="Q10" s="102">
        <v>0</v>
      </c>
      <c r="R10" s="102">
        <v>0</v>
      </c>
      <c r="S10" s="102">
        <v>0</v>
      </c>
      <c r="T10" s="102">
        <v>0</v>
      </c>
      <c r="U10" s="102">
        <v>0</v>
      </c>
      <c r="V10" s="102">
        <v>0</v>
      </c>
      <c r="W10" s="102">
        <v>0</v>
      </c>
      <c r="X10" s="102">
        <v>0</v>
      </c>
      <c r="Y10" s="102">
        <v>0</v>
      </c>
      <c r="Z10" s="102">
        <v>0</v>
      </c>
      <c r="AA10" s="102">
        <v>0</v>
      </c>
      <c r="AB10" s="102">
        <v>0</v>
      </c>
      <c r="AC10" s="102">
        <v>0</v>
      </c>
      <c r="AD10" s="102">
        <v>0</v>
      </c>
      <c r="AE10" s="102">
        <v>0</v>
      </c>
      <c r="AF10" s="102">
        <v>0</v>
      </c>
      <c r="AG10" s="102">
        <v>0</v>
      </c>
      <c r="AH10" s="102">
        <v>0</v>
      </c>
      <c r="AI10" s="102">
        <v>0</v>
      </c>
      <c r="AJ10" s="102">
        <v>0</v>
      </c>
      <c r="AK10" s="102">
        <v>0</v>
      </c>
      <c r="AL10" s="102">
        <v>0</v>
      </c>
      <c r="AM10" s="102">
        <v>0</v>
      </c>
      <c r="AN10" s="102">
        <v>0</v>
      </c>
    </row>
    <row r="11" spans="1:40" s="16" customFormat="1" ht="21" customHeight="1" x14ac:dyDescent="0.2">
      <c r="A11" s="13"/>
      <c r="B11" s="6" t="s">
        <v>146</v>
      </c>
      <c r="C11" s="26"/>
      <c r="D11" s="14"/>
      <c r="E11" s="104">
        <f t="shared" ref="E11:AN11" si="37">SUM(E10, E9 + E8)</f>
        <v>0</v>
      </c>
      <c r="F11" s="104">
        <f t="shared" ref="F11:AM11" si="38">SUM(F10, F9 + F8)</f>
        <v>0</v>
      </c>
      <c r="G11" s="104">
        <f t="shared" si="38"/>
        <v>0</v>
      </c>
      <c r="H11" s="104">
        <f t="shared" si="38"/>
        <v>0</v>
      </c>
      <c r="I11" s="104">
        <f t="shared" si="38"/>
        <v>0</v>
      </c>
      <c r="J11" s="104">
        <f t="shared" si="38"/>
        <v>0</v>
      </c>
      <c r="K11" s="104">
        <f t="shared" si="38"/>
        <v>0</v>
      </c>
      <c r="L11" s="104">
        <f t="shared" si="38"/>
        <v>0</v>
      </c>
      <c r="M11" s="104">
        <f t="shared" si="38"/>
        <v>0</v>
      </c>
      <c r="N11" s="104">
        <f t="shared" si="38"/>
        <v>0</v>
      </c>
      <c r="O11" s="104">
        <f t="shared" si="38"/>
        <v>0</v>
      </c>
      <c r="P11" s="104">
        <f t="shared" si="38"/>
        <v>0</v>
      </c>
      <c r="Q11" s="104">
        <f t="shared" si="38"/>
        <v>0</v>
      </c>
      <c r="R11" s="104">
        <f t="shared" si="38"/>
        <v>0</v>
      </c>
      <c r="S11" s="104">
        <f t="shared" si="38"/>
        <v>0</v>
      </c>
      <c r="T11" s="104">
        <f t="shared" si="38"/>
        <v>0</v>
      </c>
      <c r="U11" s="104">
        <f t="shared" si="38"/>
        <v>0</v>
      </c>
      <c r="V11" s="104">
        <f t="shared" si="38"/>
        <v>0</v>
      </c>
      <c r="W11" s="104">
        <f t="shared" si="38"/>
        <v>0</v>
      </c>
      <c r="X11" s="104">
        <f t="shared" si="38"/>
        <v>0</v>
      </c>
      <c r="Y11" s="104">
        <f t="shared" si="38"/>
        <v>0</v>
      </c>
      <c r="Z11" s="104">
        <f t="shared" si="38"/>
        <v>0</v>
      </c>
      <c r="AA11" s="104">
        <f t="shared" si="38"/>
        <v>0</v>
      </c>
      <c r="AB11" s="104">
        <f t="shared" si="38"/>
        <v>0</v>
      </c>
      <c r="AC11" s="104">
        <f t="shared" si="38"/>
        <v>0</v>
      </c>
      <c r="AD11" s="104">
        <f t="shared" si="38"/>
        <v>0</v>
      </c>
      <c r="AE11" s="104">
        <f t="shared" si="38"/>
        <v>0</v>
      </c>
      <c r="AF11" s="104">
        <f t="shared" si="38"/>
        <v>0</v>
      </c>
      <c r="AG11" s="104">
        <f t="shared" si="38"/>
        <v>0</v>
      </c>
      <c r="AH11" s="104">
        <f t="shared" si="38"/>
        <v>0</v>
      </c>
      <c r="AI11" s="104">
        <f t="shared" si="38"/>
        <v>0</v>
      </c>
      <c r="AJ11" s="104">
        <f t="shared" si="38"/>
        <v>0</v>
      </c>
      <c r="AK11" s="104">
        <f t="shared" si="38"/>
        <v>0</v>
      </c>
      <c r="AL11" s="104">
        <f t="shared" si="38"/>
        <v>0</v>
      </c>
      <c r="AM11" s="104">
        <f t="shared" si="38"/>
        <v>0</v>
      </c>
      <c r="AN11" s="104">
        <f t="shared" si="37"/>
        <v>0</v>
      </c>
    </row>
    <row r="12" spans="1:40" s="18" customFormat="1" ht="21" customHeight="1" x14ac:dyDescent="0.2">
      <c r="B12" s="6" t="s">
        <v>43</v>
      </c>
      <c r="C12" s="26"/>
      <c r="D12" s="19"/>
      <c r="E12" s="105">
        <f t="shared" ref="E12:AN12" si="39">E7-E11</f>
        <v>0</v>
      </c>
      <c r="F12" s="105">
        <f t="shared" ref="F12:AM12" si="40">F7-F11</f>
        <v>0</v>
      </c>
      <c r="G12" s="105">
        <f t="shared" si="40"/>
        <v>0</v>
      </c>
      <c r="H12" s="105">
        <f t="shared" si="40"/>
        <v>0</v>
      </c>
      <c r="I12" s="105">
        <f t="shared" si="40"/>
        <v>0</v>
      </c>
      <c r="J12" s="105">
        <f t="shared" si="40"/>
        <v>0</v>
      </c>
      <c r="K12" s="105">
        <f t="shared" si="40"/>
        <v>0</v>
      </c>
      <c r="L12" s="105">
        <f t="shared" si="40"/>
        <v>0</v>
      </c>
      <c r="M12" s="105">
        <f t="shared" si="40"/>
        <v>0</v>
      </c>
      <c r="N12" s="105">
        <f t="shared" si="40"/>
        <v>0</v>
      </c>
      <c r="O12" s="105">
        <f t="shared" si="40"/>
        <v>0</v>
      </c>
      <c r="P12" s="105">
        <f t="shared" si="40"/>
        <v>0</v>
      </c>
      <c r="Q12" s="105">
        <f t="shared" si="40"/>
        <v>0</v>
      </c>
      <c r="R12" s="105">
        <f t="shared" si="40"/>
        <v>0</v>
      </c>
      <c r="S12" s="105">
        <f t="shared" si="40"/>
        <v>0</v>
      </c>
      <c r="T12" s="105">
        <f t="shared" si="40"/>
        <v>0</v>
      </c>
      <c r="U12" s="105">
        <f t="shared" si="40"/>
        <v>0</v>
      </c>
      <c r="V12" s="105">
        <f t="shared" si="40"/>
        <v>0</v>
      </c>
      <c r="W12" s="105">
        <f t="shared" si="40"/>
        <v>0</v>
      </c>
      <c r="X12" s="105">
        <f t="shared" si="40"/>
        <v>0</v>
      </c>
      <c r="Y12" s="105">
        <f t="shared" si="40"/>
        <v>0</v>
      </c>
      <c r="Z12" s="105">
        <f t="shared" si="40"/>
        <v>0</v>
      </c>
      <c r="AA12" s="105">
        <f t="shared" si="40"/>
        <v>0</v>
      </c>
      <c r="AB12" s="105">
        <f t="shared" si="40"/>
        <v>0</v>
      </c>
      <c r="AC12" s="105">
        <f t="shared" si="40"/>
        <v>0</v>
      </c>
      <c r="AD12" s="105">
        <f t="shared" si="40"/>
        <v>0</v>
      </c>
      <c r="AE12" s="105">
        <f t="shared" si="40"/>
        <v>0</v>
      </c>
      <c r="AF12" s="105">
        <f t="shared" si="40"/>
        <v>0</v>
      </c>
      <c r="AG12" s="105">
        <f t="shared" si="40"/>
        <v>0</v>
      </c>
      <c r="AH12" s="105">
        <f t="shared" si="40"/>
        <v>0</v>
      </c>
      <c r="AI12" s="105">
        <f t="shared" si="40"/>
        <v>0</v>
      </c>
      <c r="AJ12" s="105">
        <f t="shared" si="40"/>
        <v>0</v>
      </c>
      <c r="AK12" s="105">
        <f t="shared" si="40"/>
        <v>0</v>
      </c>
      <c r="AL12" s="105">
        <f t="shared" si="40"/>
        <v>0</v>
      </c>
      <c r="AM12" s="105">
        <f t="shared" si="40"/>
        <v>0</v>
      </c>
      <c r="AN12" s="105">
        <f t="shared" si="39"/>
        <v>0</v>
      </c>
    </row>
    <row r="13" spans="1:40" s="16" customFormat="1" ht="21" customHeight="1" x14ac:dyDescent="0.2">
      <c r="A13" s="13"/>
      <c r="B13" s="6" t="s">
        <v>23</v>
      </c>
      <c r="C13" s="26"/>
      <c r="D13" s="14"/>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row>
    <row r="14" spans="1:40" s="16" customFormat="1" ht="21" customHeight="1" x14ac:dyDescent="0.2">
      <c r="B14" s="5" t="s">
        <v>49</v>
      </c>
      <c r="C14" s="101">
        <v>0.04</v>
      </c>
      <c r="D14" s="14"/>
      <c r="E14" s="102">
        <v>0</v>
      </c>
      <c r="F14" s="102">
        <v>0</v>
      </c>
      <c r="G14" s="102">
        <v>0</v>
      </c>
      <c r="H14" s="102">
        <v>0</v>
      </c>
      <c r="I14" s="102">
        <v>0</v>
      </c>
      <c r="J14" s="102">
        <v>0</v>
      </c>
      <c r="K14" s="102">
        <v>0</v>
      </c>
      <c r="L14" s="102">
        <v>0</v>
      </c>
      <c r="M14" s="102">
        <v>0</v>
      </c>
      <c r="N14" s="102">
        <v>0</v>
      </c>
      <c r="O14" s="102">
        <v>0</v>
      </c>
      <c r="P14" s="102">
        <v>0</v>
      </c>
      <c r="Q14" s="102">
        <v>0</v>
      </c>
      <c r="R14" s="102">
        <v>0</v>
      </c>
      <c r="S14" s="102">
        <v>0</v>
      </c>
      <c r="T14" s="102">
        <v>0</v>
      </c>
      <c r="U14" s="102">
        <v>0</v>
      </c>
      <c r="V14" s="102">
        <v>0</v>
      </c>
      <c r="W14" s="102">
        <v>0</v>
      </c>
      <c r="X14" s="102">
        <v>0</v>
      </c>
      <c r="Y14" s="102">
        <v>0</v>
      </c>
      <c r="Z14" s="102">
        <v>0</v>
      </c>
      <c r="AA14" s="102">
        <v>0</v>
      </c>
      <c r="AB14" s="102">
        <v>0</v>
      </c>
      <c r="AC14" s="102">
        <v>0</v>
      </c>
      <c r="AD14" s="102">
        <v>0</v>
      </c>
      <c r="AE14" s="102">
        <v>0</v>
      </c>
      <c r="AF14" s="102">
        <v>0</v>
      </c>
      <c r="AG14" s="102">
        <v>0</v>
      </c>
      <c r="AH14" s="102">
        <v>0</v>
      </c>
      <c r="AI14" s="102">
        <v>0</v>
      </c>
      <c r="AJ14" s="102">
        <v>0</v>
      </c>
      <c r="AK14" s="102">
        <v>0</v>
      </c>
      <c r="AL14" s="102">
        <v>0</v>
      </c>
      <c r="AM14" s="102">
        <v>0</v>
      </c>
      <c r="AN14" s="102">
        <v>0</v>
      </c>
    </row>
    <row r="15" spans="1:40" s="16" customFormat="1" ht="21" customHeight="1" x14ac:dyDescent="0.2">
      <c r="B15" s="5" t="s">
        <v>106</v>
      </c>
      <c r="C15" s="101">
        <v>0.04</v>
      </c>
      <c r="D15" s="14"/>
      <c r="E15" s="102">
        <v>0</v>
      </c>
      <c r="F15" s="102">
        <v>0</v>
      </c>
      <c r="G15" s="102">
        <v>0</v>
      </c>
      <c r="H15" s="102">
        <v>0</v>
      </c>
      <c r="I15" s="102">
        <v>0</v>
      </c>
      <c r="J15" s="102">
        <v>0</v>
      </c>
      <c r="K15" s="102">
        <v>0</v>
      </c>
      <c r="L15" s="102">
        <v>0</v>
      </c>
      <c r="M15" s="102">
        <v>0</v>
      </c>
      <c r="N15" s="102">
        <v>0</v>
      </c>
      <c r="O15" s="102">
        <v>0</v>
      </c>
      <c r="P15" s="102">
        <v>0</v>
      </c>
      <c r="Q15" s="102">
        <v>0</v>
      </c>
      <c r="R15" s="102">
        <v>0</v>
      </c>
      <c r="S15" s="102">
        <v>0</v>
      </c>
      <c r="T15" s="102">
        <v>0</v>
      </c>
      <c r="U15" s="102">
        <v>0</v>
      </c>
      <c r="V15" s="102">
        <v>0</v>
      </c>
      <c r="W15" s="102">
        <v>0</v>
      </c>
      <c r="X15" s="102">
        <v>0</v>
      </c>
      <c r="Y15" s="102">
        <v>0</v>
      </c>
      <c r="Z15" s="102">
        <v>0</v>
      </c>
      <c r="AA15" s="102">
        <v>0</v>
      </c>
      <c r="AB15" s="102">
        <v>0</v>
      </c>
      <c r="AC15" s="102">
        <v>0</v>
      </c>
      <c r="AD15" s="102">
        <v>0</v>
      </c>
      <c r="AE15" s="102">
        <v>0</v>
      </c>
      <c r="AF15" s="102">
        <v>0</v>
      </c>
      <c r="AG15" s="102">
        <v>0</v>
      </c>
      <c r="AH15" s="102">
        <v>0</v>
      </c>
      <c r="AI15" s="102">
        <v>0</v>
      </c>
      <c r="AJ15" s="102">
        <v>0</v>
      </c>
      <c r="AK15" s="102">
        <v>0</v>
      </c>
      <c r="AL15" s="102">
        <v>0</v>
      </c>
      <c r="AM15" s="102">
        <v>0</v>
      </c>
      <c r="AN15" s="102">
        <v>0</v>
      </c>
    </row>
    <row r="16" spans="1:40" s="16" customFormat="1" ht="21" customHeight="1" x14ac:dyDescent="0.2">
      <c r="B16" s="5" t="s">
        <v>51</v>
      </c>
      <c r="C16" s="101">
        <v>0.03</v>
      </c>
      <c r="D16" s="14"/>
      <c r="E16" s="102">
        <v>1500</v>
      </c>
      <c r="F16" s="103">
        <f t="shared" ref="F16:F17" si="41">E16*(1+$C16)</f>
        <v>1545</v>
      </c>
      <c r="G16" s="103">
        <f t="shared" ref="G16:G17" si="42">F16*(1+$C16)</f>
        <v>1591.3500000000001</v>
      </c>
      <c r="H16" s="103">
        <f t="shared" ref="H16" si="43">G16*(1+$C16)</f>
        <v>1639.0905000000002</v>
      </c>
      <c r="I16" s="103">
        <f t="shared" ref="I16:I17" si="44">H16*(1+$C16)</f>
        <v>1688.2632150000004</v>
      </c>
      <c r="J16" s="103">
        <f t="shared" ref="J16:J17" si="45">I16*(1+$C16)</f>
        <v>1738.9111114500004</v>
      </c>
      <c r="K16" s="103">
        <f>J16*(0.9)</f>
        <v>1565.0200003050004</v>
      </c>
      <c r="L16" s="103">
        <f t="shared" ref="L16:L17" si="46">K16*(1+$C16)</f>
        <v>1611.9706003141505</v>
      </c>
      <c r="M16" s="103">
        <f t="shared" ref="M16:M17" si="47">L16*(1+$C16)</f>
        <v>1660.329718323575</v>
      </c>
      <c r="N16" s="103">
        <f t="shared" ref="N16:N17" si="48">M16*(1+$C16)</f>
        <v>1710.1396098732823</v>
      </c>
      <c r="O16" s="103">
        <f t="shared" ref="O16:O17" si="49">N16*(1+$C16)</f>
        <v>1761.4437981694809</v>
      </c>
      <c r="P16" s="103">
        <f t="shared" ref="P16:P17" si="50">O16*(1+$C16)</f>
        <v>1814.2871121145654</v>
      </c>
      <c r="Q16" s="103">
        <f t="shared" ref="Q16:Q17" si="51">P16*(1+$C16)</f>
        <v>1868.7157254780025</v>
      </c>
      <c r="R16" s="103">
        <f t="shared" ref="R16:R17" si="52">Q16*(1+$C16)</f>
        <v>1924.7771972423425</v>
      </c>
      <c r="S16" s="103">
        <f t="shared" ref="S16" si="53">R16*(1+$C16)</f>
        <v>1982.5205131596128</v>
      </c>
      <c r="T16" s="103">
        <f t="shared" ref="T16:T17" si="54">S16*(1+$C16)</f>
        <v>2041.9961285544014</v>
      </c>
      <c r="U16" s="103">
        <f t="shared" ref="U16:U17" si="55">T16*(1+$C16)</f>
        <v>2103.2560124110337</v>
      </c>
      <c r="V16" s="103">
        <f t="shared" ref="V16:V17" si="56">U16*(1+$C16)</f>
        <v>2166.3536927833647</v>
      </c>
      <c r="W16" s="103">
        <f t="shared" ref="W16:W17" si="57">V16*(1+$C16)</f>
        <v>2231.3443035668656</v>
      </c>
      <c r="X16" s="103">
        <f>W16*(0.9)</f>
        <v>2008.209873210179</v>
      </c>
      <c r="Y16" s="103">
        <f t="shared" ref="Y16:Y17" si="58">X16*(1+$C16)</f>
        <v>2068.4561694064846</v>
      </c>
      <c r="Z16" s="103">
        <f t="shared" ref="Z16:Z17" si="59">Y16*(1+$C16)</f>
        <v>2130.5098544886791</v>
      </c>
      <c r="AA16" s="103">
        <f t="shared" ref="AA16:AA17" si="60">Z16*(1+$C16)</f>
        <v>2194.4251501233398</v>
      </c>
      <c r="AB16" s="103">
        <f t="shared" ref="AB16:AB17" si="61">AA16*(1+$C16)</f>
        <v>2260.2579046270403</v>
      </c>
      <c r="AC16" s="103">
        <f t="shared" ref="AC16" si="62">AB16*(1+$C16)</f>
        <v>2328.0656417658515</v>
      </c>
      <c r="AD16" s="103">
        <f t="shared" ref="AD16:AD17" si="63">AC16*(1+$C16)</f>
        <v>2397.9076110188271</v>
      </c>
      <c r="AE16" s="103">
        <f t="shared" ref="AE16:AE17" si="64">AD16*(1+$C16)</f>
        <v>2469.8448393493918</v>
      </c>
      <c r="AF16" s="103">
        <f>AE16*(0.9)</f>
        <v>2222.8603554144529</v>
      </c>
      <c r="AG16" s="103">
        <f t="shared" ref="AG16:AG17" si="65">AF16*(1+$C16)</f>
        <v>2289.5461660768865</v>
      </c>
      <c r="AH16" s="103">
        <f t="shared" ref="AH16:AH17" si="66">AG16*(1+$C16)</f>
        <v>2358.2325510591932</v>
      </c>
      <c r="AI16" s="103">
        <f t="shared" ref="AI16:AI17" si="67">AH16*(1+$C16)</f>
        <v>2428.9795275909692</v>
      </c>
      <c r="AJ16" s="103">
        <f t="shared" ref="AJ16:AJ17" si="68">AI16*(1+$C16)</f>
        <v>2501.8489134186984</v>
      </c>
      <c r="AK16" s="103">
        <f t="shared" ref="AK16" si="69">AJ16*(1+$C16)</f>
        <v>2576.9043808212596</v>
      </c>
      <c r="AL16" s="103">
        <f t="shared" ref="AL16:AL17" si="70">AK16*(1+$C16)</f>
        <v>2654.2115122458972</v>
      </c>
      <c r="AM16" s="103">
        <f>AL16*(0.9)</f>
        <v>2388.7903610213075</v>
      </c>
      <c r="AN16" s="103">
        <f t="shared" ref="AN16:AN20" si="71">AM16*(1+$C16)</f>
        <v>2460.454071851947</v>
      </c>
    </row>
    <row r="17" spans="2:40" s="16" customFormat="1" ht="21" customHeight="1" x14ac:dyDescent="0.2">
      <c r="B17" s="5" t="s">
        <v>110</v>
      </c>
      <c r="C17" s="101">
        <v>0.02</v>
      </c>
      <c r="D17" s="14"/>
      <c r="E17" s="102">
        <v>4500</v>
      </c>
      <c r="F17" s="103">
        <f t="shared" si="41"/>
        <v>4590</v>
      </c>
      <c r="G17" s="103">
        <f t="shared" si="42"/>
        <v>4681.8</v>
      </c>
      <c r="H17" s="103">
        <f>G17*(0.7)</f>
        <v>3277.2599999999998</v>
      </c>
      <c r="I17" s="103">
        <f t="shared" si="44"/>
        <v>3342.8051999999998</v>
      </c>
      <c r="J17" s="103">
        <f t="shared" si="45"/>
        <v>3409.6613039999997</v>
      </c>
      <c r="K17" s="103">
        <f t="shared" ref="K17" si="72">J17*(1+$C17)</f>
        <v>3477.8545300799997</v>
      </c>
      <c r="L17" s="103">
        <f t="shared" si="46"/>
        <v>3547.4116206815997</v>
      </c>
      <c r="M17" s="103">
        <f t="shared" si="47"/>
        <v>3618.3598530952318</v>
      </c>
      <c r="N17" s="103">
        <f t="shared" si="48"/>
        <v>3690.7270501571365</v>
      </c>
      <c r="O17" s="103">
        <f t="shared" si="49"/>
        <v>3764.5415911602795</v>
      </c>
      <c r="P17" s="103">
        <f t="shared" si="50"/>
        <v>3839.8324229834852</v>
      </c>
      <c r="Q17" s="103">
        <f t="shared" si="51"/>
        <v>3916.6290714431552</v>
      </c>
      <c r="R17" s="103">
        <f t="shared" si="52"/>
        <v>3994.9616528720185</v>
      </c>
      <c r="S17" s="103">
        <f>R17*(0.7)</f>
        <v>2796.4731570104127</v>
      </c>
      <c r="T17" s="103">
        <f t="shared" si="54"/>
        <v>2852.4026201506208</v>
      </c>
      <c r="U17" s="103">
        <f t="shared" si="55"/>
        <v>2909.4506725536335</v>
      </c>
      <c r="V17" s="103">
        <f t="shared" si="56"/>
        <v>2967.6396860047062</v>
      </c>
      <c r="W17" s="103">
        <f t="shared" si="57"/>
        <v>3026.9924797248004</v>
      </c>
      <c r="X17" s="103">
        <f t="shared" ref="X17" si="73">W17*(1+$C17)</f>
        <v>3087.5323293192964</v>
      </c>
      <c r="Y17" s="103">
        <f t="shared" si="58"/>
        <v>3149.2829759056826</v>
      </c>
      <c r="Z17" s="103">
        <f t="shared" si="59"/>
        <v>3212.2686354237962</v>
      </c>
      <c r="AA17" s="103">
        <f t="shared" si="60"/>
        <v>3276.514008132272</v>
      </c>
      <c r="AB17" s="103">
        <f t="shared" si="61"/>
        <v>3342.0442882949174</v>
      </c>
      <c r="AC17" s="103">
        <f>AB17*(0.7)</f>
        <v>2339.4310018064421</v>
      </c>
      <c r="AD17" s="103">
        <f t="shared" si="63"/>
        <v>2386.2196218425711</v>
      </c>
      <c r="AE17" s="103">
        <f t="shared" si="64"/>
        <v>2433.9440142794224</v>
      </c>
      <c r="AF17" s="103">
        <f t="shared" ref="AF17" si="74">AE17*(1+$C17)</f>
        <v>2482.6228945650109</v>
      </c>
      <c r="AG17" s="103">
        <f t="shared" si="65"/>
        <v>2532.2753524563113</v>
      </c>
      <c r="AH17" s="103">
        <f t="shared" si="66"/>
        <v>2582.9208595054374</v>
      </c>
      <c r="AI17" s="103">
        <f t="shared" si="67"/>
        <v>2634.579276695546</v>
      </c>
      <c r="AJ17" s="103">
        <f t="shared" si="68"/>
        <v>2687.2708622294572</v>
      </c>
      <c r="AK17" s="103">
        <f>AJ17*(0.7)</f>
        <v>1881.0896035606199</v>
      </c>
      <c r="AL17" s="103">
        <f t="shared" si="70"/>
        <v>1918.7113956318324</v>
      </c>
      <c r="AM17" s="103">
        <f t="shared" ref="AM17" si="75">AL17*(1+$C17)</f>
        <v>1957.0856235444689</v>
      </c>
      <c r="AN17" s="103">
        <f t="shared" si="71"/>
        <v>1996.2273360153583</v>
      </c>
    </row>
    <row r="18" spans="2:40" s="16" customFormat="1" ht="21" customHeight="1" x14ac:dyDescent="0.2">
      <c r="B18" s="5" t="s">
        <v>112</v>
      </c>
      <c r="C18" s="101">
        <v>0.04</v>
      </c>
      <c r="D18" s="14"/>
      <c r="E18" s="102">
        <v>0</v>
      </c>
      <c r="F18" s="102">
        <v>0</v>
      </c>
      <c r="G18" s="102">
        <v>0</v>
      </c>
      <c r="H18" s="102">
        <v>0</v>
      </c>
      <c r="I18" s="102">
        <v>0</v>
      </c>
      <c r="J18" s="102">
        <v>0</v>
      </c>
      <c r="K18" s="102">
        <v>0</v>
      </c>
      <c r="L18" s="102">
        <v>0</v>
      </c>
      <c r="M18" s="102">
        <v>0</v>
      </c>
      <c r="N18" s="102">
        <v>0</v>
      </c>
      <c r="O18" s="102">
        <v>0</v>
      </c>
      <c r="P18" s="102">
        <v>0</v>
      </c>
      <c r="Q18" s="102">
        <v>0</v>
      </c>
      <c r="R18" s="102">
        <v>0</v>
      </c>
      <c r="S18" s="102">
        <v>0</v>
      </c>
      <c r="T18" s="102">
        <v>0</v>
      </c>
      <c r="U18" s="102">
        <v>0</v>
      </c>
      <c r="V18" s="102">
        <v>0</v>
      </c>
      <c r="W18" s="102">
        <v>0</v>
      </c>
      <c r="X18" s="102">
        <v>0</v>
      </c>
      <c r="Y18" s="102">
        <v>0</v>
      </c>
      <c r="Z18" s="102">
        <v>0</v>
      </c>
      <c r="AA18" s="102">
        <v>0</v>
      </c>
      <c r="AB18" s="102">
        <v>0</v>
      </c>
      <c r="AC18" s="102">
        <v>0</v>
      </c>
      <c r="AD18" s="102">
        <v>0</v>
      </c>
      <c r="AE18" s="102">
        <v>0</v>
      </c>
      <c r="AF18" s="102">
        <v>0</v>
      </c>
      <c r="AG18" s="102">
        <v>0</v>
      </c>
      <c r="AH18" s="102">
        <v>0</v>
      </c>
      <c r="AI18" s="102">
        <v>0</v>
      </c>
      <c r="AJ18" s="102">
        <v>0</v>
      </c>
      <c r="AK18" s="102">
        <v>0</v>
      </c>
      <c r="AL18" s="102">
        <v>0</v>
      </c>
      <c r="AM18" s="102">
        <v>0</v>
      </c>
      <c r="AN18" s="102">
        <v>0</v>
      </c>
    </row>
    <row r="19" spans="2:40" s="18" customFormat="1" ht="21" customHeight="1" x14ac:dyDescent="0.2">
      <c r="B19" s="7" t="s">
        <v>114</v>
      </c>
      <c r="C19" s="101">
        <v>0.04</v>
      </c>
      <c r="D19" s="19"/>
      <c r="E19" s="102">
        <v>0</v>
      </c>
      <c r="F19" s="103">
        <f t="shared" ref="F19:F20" si="76">E19*(1+$C19)</f>
        <v>0</v>
      </c>
      <c r="G19" s="103">
        <f t="shared" ref="G19:G20" si="77">F19*(1+$C19)</f>
        <v>0</v>
      </c>
      <c r="H19" s="103">
        <f t="shared" ref="H19:H20" si="78">G19*(1+$C19)</f>
        <v>0</v>
      </c>
      <c r="I19" s="103">
        <f t="shared" ref="I19:I20" si="79">H19*(1+$C19)</f>
        <v>0</v>
      </c>
      <c r="J19" s="103">
        <f t="shared" ref="J19:J20" si="80">I19*(1+$C19)</f>
        <v>0</v>
      </c>
      <c r="K19" s="103">
        <f t="shared" ref="K19:K20" si="81">J19*(1+$C19)</f>
        <v>0</v>
      </c>
      <c r="L19" s="103">
        <f t="shared" ref="L19:L20" si="82">K19*(1+$C19)</f>
        <v>0</v>
      </c>
      <c r="M19" s="103">
        <f t="shared" ref="M19:M20" si="83">L19*(1+$C19)</f>
        <v>0</v>
      </c>
      <c r="N19" s="103">
        <f t="shared" ref="N19:N20" si="84">M19*(1+$C19)</f>
        <v>0</v>
      </c>
      <c r="O19" s="103">
        <f t="shared" ref="O19:O20" si="85">N19*(1+$C19)</f>
        <v>0</v>
      </c>
      <c r="P19" s="103">
        <f t="shared" ref="P19:P20" si="86">O19*(1+$C19)</f>
        <v>0</v>
      </c>
      <c r="Q19" s="103">
        <f t="shared" ref="Q19:Q20" si="87">P19*(1+$C19)</f>
        <v>0</v>
      </c>
      <c r="R19" s="103">
        <f t="shared" ref="R19:R20" si="88">Q19*(1+$C19)</f>
        <v>0</v>
      </c>
      <c r="S19" s="103">
        <f t="shared" ref="S19:S20" si="89">R19*(1+$C19)</f>
        <v>0</v>
      </c>
      <c r="T19" s="103">
        <f t="shared" ref="T19:T20" si="90">S19*(1+$C19)</f>
        <v>0</v>
      </c>
      <c r="U19" s="103">
        <f t="shared" ref="U19:U20" si="91">T19*(1+$C19)</f>
        <v>0</v>
      </c>
      <c r="V19" s="103">
        <f t="shared" ref="V19:V20" si="92">U19*(1+$C19)</f>
        <v>0</v>
      </c>
      <c r="W19" s="103">
        <f t="shared" ref="W19:W20" si="93">V19*(1+$C19)</f>
        <v>0</v>
      </c>
      <c r="X19" s="103">
        <f t="shared" ref="X19:X20" si="94">W19*(1+$C19)</f>
        <v>0</v>
      </c>
      <c r="Y19" s="103">
        <f t="shared" ref="Y19:Y20" si="95">X19*(1+$C19)</f>
        <v>0</v>
      </c>
      <c r="Z19" s="103">
        <f t="shared" ref="Z19:Z20" si="96">Y19*(1+$C19)</f>
        <v>0</v>
      </c>
      <c r="AA19" s="103">
        <f t="shared" ref="AA19:AA20" si="97">Z19*(1+$C19)</f>
        <v>0</v>
      </c>
      <c r="AB19" s="103">
        <f t="shared" ref="AB19:AB20" si="98">AA19*(1+$C19)</f>
        <v>0</v>
      </c>
      <c r="AC19" s="103">
        <f t="shared" ref="AC19:AC20" si="99">AB19*(1+$C19)</f>
        <v>0</v>
      </c>
      <c r="AD19" s="103">
        <f t="shared" ref="AD19:AD20" si="100">AC19*(1+$C19)</f>
        <v>0</v>
      </c>
      <c r="AE19" s="103">
        <f t="shared" ref="AE19:AE20" si="101">AD19*(1+$C19)</f>
        <v>0</v>
      </c>
      <c r="AF19" s="103">
        <f t="shared" ref="AF19:AF20" si="102">AE19*(1+$C19)</f>
        <v>0</v>
      </c>
      <c r="AG19" s="103">
        <f t="shared" ref="AG19:AG20" si="103">AF19*(1+$C19)</f>
        <v>0</v>
      </c>
      <c r="AH19" s="103">
        <f t="shared" ref="AH19:AH20" si="104">AG19*(1+$C19)</f>
        <v>0</v>
      </c>
      <c r="AI19" s="103">
        <f t="shared" ref="AI19:AI20" si="105">AH19*(1+$C19)</f>
        <v>0</v>
      </c>
      <c r="AJ19" s="103">
        <f t="shared" ref="AJ19:AJ20" si="106">AI19*(1+$C19)</f>
        <v>0</v>
      </c>
      <c r="AK19" s="103">
        <f t="shared" ref="AK19:AK20" si="107">AJ19*(1+$C19)</f>
        <v>0</v>
      </c>
      <c r="AL19" s="103">
        <f t="shared" ref="AL19:AL20" si="108">AK19*(1+$C19)</f>
        <v>0</v>
      </c>
      <c r="AM19" s="103">
        <f t="shared" ref="AM19:AM20" si="109">AL19*(1+$C19)</f>
        <v>0</v>
      </c>
      <c r="AN19" s="103">
        <f t="shared" si="71"/>
        <v>0</v>
      </c>
    </row>
    <row r="20" spans="2:40" s="16" customFormat="1" ht="21" customHeight="1" x14ac:dyDescent="0.2">
      <c r="B20" s="8" t="s">
        <v>116</v>
      </c>
      <c r="C20" s="101">
        <v>0.05</v>
      </c>
      <c r="D20" s="14"/>
      <c r="E20" s="102">
        <v>800</v>
      </c>
      <c r="F20" s="103">
        <f t="shared" si="76"/>
        <v>840</v>
      </c>
      <c r="G20" s="103">
        <f t="shared" si="77"/>
        <v>882</v>
      </c>
      <c r="H20" s="103">
        <f t="shared" si="78"/>
        <v>926.1</v>
      </c>
      <c r="I20" s="103">
        <f t="shared" si="79"/>
        <v>972.40500000000009</v>
      </c>
      <c r="J20" s="103">
        <f t="shared" si="80"/>
        <v>1021.0252500000001</v>
      </c>
      <c r="K20" s="103">
        <f t="shared" si="81"/>
        <v>1072.0765125000003</v>
      </c>
      <c r="L20" s="103">
        <f t="shared" si="82"/>
        <v>1125.6803381250004</v>
      </c>
      <c r="M20" s="103">
        <f t="shared" si="83"/>
        <v>1181.9643550312505</v>
      </c>
      <c r="N20" s="103">
        <f t="shared" si="84"/>
        <v>1241.062572782813</v>
      </c>
      <c r="O20" s="103">
        <f t="shared" si="85"/>
        <v>1303.1157014219536</v>
      </c>
      <c r="P20" s="103">
        <f t="shared" si="86"/>
        <v>1368.2714864930515</v>
      </c>
      <c r="Q20" s="103">
        <f t="shared" si="87"/>
        <v>1436.6850608177042</v>
      </c>
      <c r="R20" s="103">
        <f t="shared" si="88"/>
        <v>1508.5193138585894</v>
      </c>
      <c r="S20" s="103">
        <f t="shared" si="89"/>
        <v>1583.945279551519</v>
      </c>
      <c r="T20" s="103">
        <f t="shared" si="90"/>
        <v>1663.1425435290951</v>
      </c>
      <c r="U20" s="103">
        <f t="shared" si="91"/>
        <v>1746.2996707055499</v>
      </c>
      <c r="V20" s="103">
        <f t="shared" si="92"/>
        <v>1833.6146542408276</v>
      </c>
      <c r="W20" s="103">
        <f t="shared" si="93"/>
        <v>1925.295386952869</v>
      </c>
      <c r="X20" s="103">
        <f t="shared" si="94"/>
        <v>2021.5601563005125</v>
      </c>
      <c r="Y20" s="103">
        <f t="shared" si="95"/>
        <v>2122.6381641155381</v>
      </c>
      <c r="Z20" s="103">
        <f t="shared" si="96"/>
        <v>2228.7700723213152</v>
      </c>
      <c r="AA20" s="103">
        <f t="shared" si="97"/>
        <v>2340.2085759373808</v>
      </c>
      <c r="AB20" s="103">
        <f t="shared" si="98"/>
        <v>2457.2190047342501</v>
      </c>
      <c r="AC20" s="103">
        <f t="shared" si="99"/>
        <v>2580.0799549709627</v>
      </c>
      <c r="AD20" s="103">
        <f t="shared" si="100"/>
        <v>2709.0839527195108</v>
      </c>
      <c r="AE20" s="103">
        <f t="shared" si="101"/>
        <v>2844.5381503554863</v>
      </c>
      <c r="AF20" s="103">
        <f t="shared" si="102"/>
        <v>2986.765057873261</v>
      </c>
      <c r="AG20" s="103">
        <f t="shared" si="103"/>
        <v>3136.1033107669241</v>
      </c>
      <c r="AH20" s="103">
        <f t="shared" si="104"/>
        <v>3292.9084763052706</v>
      </c>
      <c r="AI20" s="103">
        <f t="shared" si="105"/>
        <v>3457.5539001205343</v>
      </c>
      <c r="AJ20" s="103">
        <f t="shared" si="106"/>
        <v>3630.4315951265612</v>
      </c>
      <c r="AK20" s="103">
        <f t="shared" si="107"/>
        <v>3811.9531748828895</v>
      </c>
      <c r="AL20" s="103">
        <f t="shared" si="108"/>
        <v>4002.5508336270341</v>
      </c>
      <c r="AM20" s="103">
        <f t="shared" si="109"/>
        <v>4202.6783753083855</v>
      </c>
      <c r="AN20" s="103">
        <f t="shared" si="71"/>
        <v>4412.8122940738049</v>
      </c>
    </row>
    <row r="21" spans="2:40" s="16" customFormat="1" ht="21" customHeight="1" x14ac:dyDescent="0.2">
      <c r="B21" s="8" t="s">
        <v>118</v>
      </c>
      <c r="C21" s="101">
        <v>0.04</v>
      </c>
      <c r="D21" s="14"/>
      <c r="E21" s="102">
        <v>0</v>
      </c>
      <c r="F21" s="102">
        <v>0</v>
      </c>
      <c r="G21" s="102">
        <v>0</v>
      </c>
      <c r="H21" s="102">
        <v>0</v>
      </c>
      <c r="I21" s="102">
        <v>0</v>
      </c>
      <c r="J21" s="102">
        <v>0</v>
      </c>
      <c r="K21" s="102">
        <v>0</v>
      </c>
      <c r="L21" s="102">
        <v>0</v>
      </c>
      <c r="M21" s="102">
        <v>0</v>
      </c>
      <c r="N21" s="102">
        <v>0</v>
      </c>
      <c r="O21" s="102">
        <v>0</v>
      </c>
      <c r="P21" s="102">
        <v>0</v>
      </c>
      <c r="Q21" s="102">
        <v>0</v>
      </c>
      <c r="R21" s="102">
        <v>0</v>
      </c>
      <c r="S21" s="102">
        <v>0</v>
      </c>
      <c r="T21" s="102">
        <v>0</v>
      </c>
      <c r="U21" s="102">
        <v>0</v>
      </c>
      <c r="V21" s="102">
        <v>0</v>
      </c>
      <c r="W21" s="102">
        <v>0</v>
      </c>
      <c r="X21" s="102">
        <v>0</v>
      </c>
      <c r="Y21" s="102">
        <v>0</v>
      </c>
      <c r="Z21" s="102">
        <v>0</v>
      </c>
      <c r="AA21" s="102">
        <v>0</v>
      </c>
      <c r="AB21" s="102">
        <v>0</v>
      </c>
      <c r="AC21" s="102">
        <v>0</v>
      </c>
      <c r="AD21" s="102">
        <v>0</v>
      </c>
      <c r="AE21" s="102">
        <v>0</v>
      </c>
      <c r="AF21" s="102">
        <v>0</v>
      </c>
      <c r="AG21" s="102">
        <v>0</v>
      </c>
      <c r="AH21" s="102">
        <v>0</v>
      </c>
      <c r="AI21" s="102">
        <v>0</v>
      </c>
      <c r="AJ21" s="102">
        <v>0</v>
      </c>
      <c r="AK21" s="102">
        <v>0</v>
      </c>
      <c r="AL21" s="102">
        <v>0</v>
      </c>
      <c r="AM21" s="102">
        <v>0</v>
      </c>
      <c r="AN21" s="102">
        <v>0</v>
      </c>
    </row>
    <row r="22" spans="2:40" s="16" customFormat="1" ht="21" customHeight="1" x14ac:dyDescent="0.2">
      <c r="B22" s="8" t="s">
        <v>120</v>
      </c>
      <c r="C22" s="101">
        <v>0.04</v>
      </c>
      <c r="D22" s="14"/>
      <c r="E22" s="102">
        <v>0</v>
      </c>
      <c r="F22" s="102">
        <v>0</v>
      </c>
      <c r="G22" s="102">
        <v>0</v>
      </c>
      <c r="H22" s="102">
        <v>0</v>
      </c>
      <c r="I22" s="102">
        <v>0</v>
      </c>
      <c r="J22" s="102">
        <v>0</v>
      </c>
      <c r="K22" s="102">
        <v>0</v>
      </c>
      <c r="L22" s="102">
        <v>0</v>
      </c>
      <c r="M22" s="102">
        <v>0</v>
      </c>
      <c r="N22" s="102">
        <v>0</v>
      </c>
      <c r="O22" s="102">
        <v>0</v>
      </c>
      <c r="P22" s="102">
        <v>0</v>
      </c>
      <c r="Q22" s="102">
        <v>0</v>
      </c>
      <c r="R22" s="102">
        <v>0</v>
      </c>
      <c r="S22" s="102">
        <v>0</v>
      </c>
      <c r="T22" s="102">
        <v>0</v>
      </c>
      <c r="U22" s="102">
        <v>0</v>
      </c>
      <c r="V22" s="102">
        <v>0</v>
      </c>
      <c r="W22" s="102">
        <v>0</v>
      </c>
      <c r="X22" s="102">
        <v>0</v>
      </c>
      <c r="Y22" s="102">
        <v>0</v>
      </c>
      <c r="Z22" s="102">
        <v>0</v>
      </c>
      <c r="AA22" s="102">
        <v>0</v>
      </c>
      <c r="AB22" s="102">
        <v>0</v>
      </c>
      <c r="AC22" s="102">
        <v>0</v>
      </c>
      <c r="AD22" s="102">
        <v>0</v>
      </c>
      <c r="AE22" s="102">
        <v>0</v>
      </c>
      <c r="AF22" s="102">
        <v>0</v>
      </c>
      <c r="AG22" s="102">
        <v>0</v>
      </c>
      <c r="AH22" s="102">
        <v>0</v>
      </c>
      <c r="AI22" s="102">
        <v>0</v>
      </c>
      <c r="AJ22" s="102">
        <v>0</v>
      </c>
      <c r="AK22" s="102">
        <v>0</v>
      </c>
      <c r="AL22" s="102">
        <v>0</v>
      </c>
      <c r="AM22" s="102">
        <v>0</v>
      </c>
      <c r="AN22" s="102">
        <v>0</v>
      </c>
    </row>
    <row r="23" spans="2:40" s="16" customFormat="1" ht="21" customHeight="1" x14ac:dyDescent="0.2">
      <c r="B23" s="7" t="s">
        <v>147</v>
      </c>
      <c r="C23" s="27"/>
      <c r="D23" s="14"/>
      <c r="E23" s="104">
        <f t="shared" ref="E23:AN23" si="110">SUM(E22, E21, E20 + E19)</f>
        <v>800</v>
      </c>
      <c r="F23" s="104">
        <f t="shared" ref="F23:AM23" si="111">SUM(F22, F21, F20 + F19)</f>
        <v>840</v>
      </c>
      <c r="G23" s="104">
        <f t="shared" si="111"/>
        <v>882</v>
      </c>
      <c r="H23" s="104">
        <f t="shared" si="111"/>
        <v>926.1</v>
      </c>
      <c r="I23" s="104">
        <f t="shared" si="111"/>
        <v>972.40500000000009</v>
      </c>
      <c r="J23" s="104">
        <f t="shared" si="111"/>
        <v>1021.0252500000001</v>
      </c>
      <c r="K23" s="104">
        <f t="shared" si="111"/>
        <v>1072.0765125000003</v>
      </c>
      <c r="L23" s="104">
        <f t="shared" si="111"/>
        <v>1125.6803381250004</v>
      </c>
      <c r="M23" s="104">
        <f t="shared" si="111"/>
        <v>1181.9643550312505</v>
      </c>
      <c r="N23" s="104">
        <f t="shared" si="111"/>
        <v>1241.062572782813</v>
      </c>
      <c r="O23" s="104">
        <f t="shared" si="111"/>
        <v>1303.1157014219536</v>
      </c>
      <c r="P23" s="104">
        <f t="shared" si="111"/>
        <v>1368.2714864930515</v>
      </c>
      <c r="Q23" s="104">
        <f t="shared" si="111"/>
        <v>1436.6850608177042</v>
      </c>
      <c r="R23" s="104">
        <f t="shared" si="111"/>
        <v>1508.5193138585894</v>
      </c>
      <c r="S23" s="104">
        <f t="shared" si="111"/>
        <v>1583.945279551519</v>
      </c>
      <c r="T23" s="104">
        <f t="shared" si="111"/>
        <v>1663.1425435290951</v>
      </c>
      <c r="U23" s="104">
        <f t="shared" si="111"/>
        <v>1746.2996707055499</v>
      </c>
      <c r="V23" s="104">
        <f t="shared" si="111"/>
        <v>1833.6146542408276</v>
      </c>
      <c r="W23" s="104">
        <f t="shared" si="111"/>
        <v>1925.295386952869</v>
      </c>
      <c r="X23" s="104">
        <f t="shared" si="111"/>
        <v>2021.5601563005125</v>
      </c>
      <c r="Y23" s="104">
        <f t="shared" si="111"/>
        <v>2122.6381641155381</v>
      </c>
      <c r="Z23" s="104">
        <f t="shared" si="111"/>
        <v>2228.7700723213152</v>
      </c>
      <c r="AA23" s="104">
        <f t="shared" si="111"/>
        <v>2340.2085759373808</v>
      </c>
      <c r="AB23" s="104">
        <f t="shared" si="111"/>
        <v>2457.2190047342501</v>
      </c>
      <c r="AC23" s="104">
        <f t="shared" si="111"/>
        <v>2580.0799549709627</v>
      </c>
      <c r="AD23" s="104">
        <f t="shared" si="111"/>
        <v>2709.0839527195108</v>
      </c>
      <c r="AE23" s="104">
        <f t="shared" si="111"/>
        <v>2844.5381503554863</v>
      </c>
      <c r="AF23" s="104">
        <f t="shared" si="111"/>
        <v>2986.765057873261</v>
      </c>
      <c r="AG23" s="104">
        <f t="shared" si="111"/>
        <v>3136.1033107669241</v>
      </c>
      <c r="AH23" s="104">
        <f t="shared" si="111"/>
        <v>3292.9084763052706</v>
      </c>
      <c r="AI23" s="104">
        <f t="shared" si="111"/>
        <v>3457.5539001205343</v>
      </c>
      <c r="AJ23" s="104">
        <f t="shared" si="111"/>
        <v>3630.4315951265612</v>
      </c>
      <c r="AK23" s="104">
        <f t="shared" si="111"/>
        <v>3811.9531748828895</v>
      </c>
      <c r="AL23" s="104">
        <f t="shared" si="111"/>
        <v>4002.5508336270341</v>
      </c>
      <c r="AM23" s="104">
        <f t="shared" si="111"/>
        <v>4202.6783753083855</v>
      </c>
      <c r="AN23" s="104">
        <f t="shared" si="110"/>
        <v>4412.8122940738049</v>
      </c>
    </row>
    <row r="24" spans="2:40" s="18" customFormat="1" ht="21" customHeight="1" x14ac:dyDescent="0.2">
      <c r="B24" s="7" t="s">
        <v>122</v>
      </c>
      <c r="C24" s="27"/>
      <c r="D24" s="19"/>
      <c r="E24" s="102">
        <v>0</v>
      </c>
      <c r="F24" s="103">
        <f t="shared" ref="F24" si="112">E24*(1+$C24)</f>
        <v>0</v>
      </c>
      <c r="G24" s="103">
        <f t="shared" ref="G24" si="113">F24*(1+$C24)</f>
        <v>0</v>
      </c>
      <c r="H24" s="103">
        <f t="shared" ref="H24" si="114">G24*(1+$C24)</f>
        <v>0</v>
      </c>
      <c r="I24" s="103">
        <f t="shared" ref="I24" si="115">H24*(1+$C24)</f>
        <v>0</v>
      </c>
      <c r="J24" s="103">
        <f t="shared" ref="J24" si="116">I24*(1+$C24)</f>
        <v>0</v>
      </c>
      <c r="K24" s="103">
        <f t="shared" ref="K24" si="117">J24*(1+$C24)</f>
        <v>0</v>
      </c>
      <c r="L24" s="103">
        <f t="shared" ref="L24" si="118">K24*(1+$C24)</f>
        <v>0</v>
      </c>
      <c r="M24" s="103">
        <f t="shared" ref="M24" si="119">L24*(1+$C24)</f>
        <v>0</v>
      </c>
      <c r="N24" s="103">
        <f t="shared" ref="N24" si="120">M24*(1+$C24)</f>
        <v>0</v>
      </c>
      <c r="O24" s="103">
        <f t="shared" ref="O24" si="121">N24*(1+$C24)</f>
        <v>0</v>
      </c>
      <c r="P24" s="103">
        <f t="shared" ref="P24" si="122">O24*(1+$C24)</f>
        <v>0</v>
      </c>
      <c r="Q24" s="103">
        <f t="shared" ref="Q24" si="123">P24*(1+$C24)</f>
        <v>0</v>
      </c>
      <c r="R24" s="103">
        <f t="shared" ref="R24" si="124">Q24*(1+$C24)</f>
        <v>0</v>
      </c>
      <c r="S24" s="103">
        <f t="shared" ref="S24" si="125">R24*(1+$C24)</f>
        <v>0</v>
      </c>
      <c r="T24" s="103">
        <f t="shared" ref="T24" si="126">S24*(1+$C24)</f>
        <v>0</v>
      </c>
      <c r="U24" s="103">
        <f t="shared" ref="U24" si="127">T24*(1+$C24)</f>
        <v>0</v>
      </c>
      <c r="V24" s="103">
        <f t="shared" ref="V24" si="128">U24*(1+$C24)</f>
        <v>0</v>
      </c>
      <c r="W24" s="103">
        <f t="shared" ref="W24" si="129">V24*(1+$C24)</f>
        <v>0</v>
      </c>
      <c r="X24" s="103">
        <f t="shared" ref="X24" si="130">W24*(1+$C24)</f>
        <v>0</v>
      </c>
      <c r="Y24" s="103">
        <f t="shared" ref="Y24" si="131">X24*(1+$C24)</f>
        <v>0</v>
      </c>
      <c r="Z24" s="103">
        <f t="shared" ref="Z24" si="132">Y24*(1+$C24)</f>
        <v>0</v>
      </c>
      <c r="AA24" s="103">
        <f t="shared" ref="AA24" si="133">Z24*(1+$C24)</f>
        <v>0</v>
      </c>
      <c r="AB24" s="103">
        <f t="shared" ref="AB24" si="134">AA24*(1+$C24)</f>
        <v>0</v>
      </c>
      <c r="AC24" s="103">
        <f t="shared" ref="AC24" si="135">AB24*(1+$C24)</f>
        <v>0</v>
      </c>
      <c r="AD24" s="103">
        <f t="shared" ref="AD24" si="136">AC24*(1+$C24)</f>
        <v>0</v>
      </c>
      <c r="AE24" s="103">
        <f t="shared" ref="AE24" si="137">AD24*(1+$C24)</f>
        <v>0</v>
      </c>
      <c r="AF24" s="103">
        <f t="shared" ref="AF24" si="138">AE24*(1+$C24)</f>
        <v>0</v>
      </c>
      <c r="AG24" s="103">
        <f t="shared" ref="AG24" si="139">AF24*(1+$C24)</f>
        <v>0</v>
      </c>
      <c r="AH24" s="103">
        <f t="shared" ref="AH24" si="140">AG24*(1+$C24)</f>
        <v>0</v>
      </c>
      <c r="AI24" s="103">
        <f t="shared" ref="AI24" si="141">AH24*(1+$C24)</f>
        <v>0</v>
      </c>
      <c r="AJ24" s="103">
        <f t="shared" ref="AJ24" si="142">AI24*(1+$C24)</f>
        <v>0</v>
      </c>
      <c r="AK24" s="103">
        <f t="shared" ref="AK24" si="143">AJ24*(1+$C24)</f>
        <v>0</v>
      </c>
      <c r="AL24" s="103">
        <f t="shared" ref="AL24" si="144">AK24*(1+$C24)</f>
        <v>0</v>
      </c>
      <c r="AM24" s="103">
        <f t="shared" ref="AM24" si="145">AL24*(1+$C24)</f>
        <v>0</v>
      </c>
      <c r="AN24" s="103">
        <f t="shared" ref="AN24:AN28" si="146">AM24*(1+$C24)</f>
        <v>0</v>
      </c>
    </row>
    <row r="25" spans="2:40" s="16" customFormat="1" ht="21" customHeight="1" x14ac:dyDescent="0.2">
      <c r="B25" s="8" t="s">
        <v>123</v>
      </c>
      <c r="C25" s="101">
        <v>0.04</v>
      </c>
      <c r="D25" s="14"/>
      <c r="E25" s="102">
        <v>0</v>
      </c>
      <c r="F25" s="102">
        <v>0</v>
      </c>
      <c r="G25" s="102">
        <v>0</v>
      </c>
      <c r="H25" s="102">
        <v>0</v>
      </c>
      <c r="I25" s="102">
        <v>0</v>
      </c>
      <c r="J25" s="102">
        <v>0</v>
      </c>
      <c r="K25" s="102">
        <v>0</v>
      </c>
      <c r="L25" s="102">
        <v>0</v>
      </c>
      <c r="M25" s="102">
        <v>0</v>
      </c>
      <c r="N25" s="102">
        <v>0</v>
      </c>
      <c r="O25" s="102">
        <v>0</v>
      </c>
      <c r="P25" s="102">
        <v>0</v>
      </c>
      <c r="Q25" s="102">
        <v>0</v>
      </c>
      <c r="R25" s="102">
        <v>0</v>
      </c>
      <c r="S25" s="102">
        <v>0</v>
      </c>
      <c r="T25" s="102">
        <v>0</v>
      </c>
      <c r="U25" s="102">
        <v>0</v>
      </c>
      <c r="V25" s="102">
        <v>0</v>
      </c>
      <c r="W25" s="102">
        <v>0</v>
      </c>
      <c r="X25" s="102">
        <v>0</v>
      </c>
      <c r="Y25" s="102">
        <v>0</v>
      </c>
      <c r="Z25" s="102">
        <v>0</v>
      </c>
      <c r="AA25" s="102">
        <v>0</v>
      </c>
      <c r="AB25" s="102">
        <v>0</v>
      </c>
      <c r="AC25" s="102">
        <v>0</v>
      </c>
      <c r="AD25" s="102">
        <v>0</v>
      </c>
      <c r="AE25" s="102">
        <v>0</v>
      </c>
      <c r="AF25" s="102">
        <v>0</v>
      </c>
      <c r="AG25" s="102">
        <v>0</v>
      </c>
      <c r="AH25" s="102">
        <v>0</v>
      </c>
      <c r="AI25" s="102">
        <v>0</v>
      </c>
      <c r="AJ25" s="102">
        <v>0</v>
      </c>
      <c r="AK25" s="102">
        <v>0</v>
      </c>
      <c r="AL25" s="102">
        <v>0</v>
      </c>
      <c r="AM25" s="102">
        <v>0</v>
      </c>
      <c r="AN25" s="102">
        <v>0</v>
      </c>
    </row>
    <row r="26" spans="2:40" s="16" customFormat="1" ht="21" customHeight="1" x14ac:dyDescent="0.2">
      <c r="B26" s="8" t="s">
        <v>124</v>
      </c>
      <c r="C26" s="101">
        <v>0.04</v>
      </c>
      <c r="D26" s="14"/>
      <c r="E26" s="102">
        <v>0</v>
      </c>
      <c r="F26" s="102">
        <v>0</v>
      </c>
      <c r="G26" s="102">
        <v>0</v>
      </c>
      <c r="H26" s="102">
        <v>0</v>
      </c>
      <c r="I26" s="102">
        <v>0</v>
      </c>
      <c r="J26" s="102">
        <v>0</v>
      </c>
      <c r="K26" s="102">
        <v>0</v>
      </c>
      <c r="L26" s="102">
        <v>0</v>
      </c>
      <c r="M26" s="102">
        <v>0</v>
      </c>
      <c r="N26" s="102">
        <v>0</v>
      </c>
      <c r="O26" s="102">
        <v>0</v>
      </c>
      <c r="P26" s="102">
        <v>0</v>
      </c>
      <c r="Q26" s="102">
        <v>0</v>
      </c>
      <c r="R26" s="102">
        <v>0</v>
      </c>
      <c r="S26" s="102">
        <v>0</v>
      </c>
      <c r="T26" s="102">
        <v>0</v>
      </c>
      <c r="U26" s="102">
        <v>0</v>
      </c>
      <c r="V26" s="102">
        <v>0</v>
      </c>
      <c r="W26" s="102">
        <v>0</v>
      </c>
      <c r="X26" s="102">
        <v>0</v>
      </c>
      <c r="Y26" s="102">
        <v>0</v>
      </c>
      <c r="Z26" s="102">
        <v>0</v>
      </c>
      <c r="AA26" s="102">
        <v>0</v>
      </c>
      <c r="AB26" s="102">
        <v>0</v>
      </c>
      <c r="AC26" s="102">
        <v>0</v>
      </c>
      <c r="AD26" s="102">
        <v>0</v>
      </c>
      <c r="AE26" s="102">
        <v>0</v>
      </c>
      <c r="AF26" s="102">
        <v>0</v>
      </c>
      <c r="AG26" s="102">
        <v>0</v>
      </c>
      <c r="AH26" s="102">
        <v>0</v>
      </c>
      <c r="AI26" s="102">
        <v>0</v>
      </c>
      <c r="AJ26" s="102">
        <v>0</v>
      </c>
      <c r="AK26" s="102">
        <v>0</v>
      </c>
      <c r="AL26" s="102">
        <v>0</v>
      </c>
      <c r="AM26" s="102">
        <v>0</v>
      </c>
      <c r="AN26" s="102">
        <v>0</v>
      </c>
    </row>
    <row r="27" spans="2:40" s="16" customFormat="1" ht="21" customHeight="1" x14ac:dyDescent="0.2">
      <c r="B27" s="8" t="s">
        <v>125</v>
      </c>
      <c r="C27" s="101">
        <v>0.04</v>
      </c>
      <c r="D27" s="14"/>
      <c r="E27" s="102">
        <v>0</v>
      </c>
      <c r="F27" s="102">
        <v>0</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row>
    <row r="28" spans="2:40" s="16" customFormat="1" ht="21" customHeight="1" x14ac:dyDescent="0.2">
      <c r="B28" s="8" t="s">
        <v>126</v>
      </c>
      <c r="C28" s="101">
        <v>0.08</v>
      </c>
      <c r="D28" s="14"/>
      <c r="E28" s="102">
        <v>600</v>
      </c>
      <c r="F28" s="103">
        <f t="shared" ref="F28" si="147">E28*(1+$C28)</f>
        <v>648</v>
      </c>
      <c r="G28" s="103">
        <f t="shared" ref="G28" si="148">F28*(1+$C28)</f>
        <v>699.84</v>
      </c>
      <c r="H28" s="103">
        <f t="shared" ref="H28" si="149">G28*(1+$C28)</f>
        <v>755.82720000000006</v>
      </c>
      <c r="I28" s="103">
        <f t="shared" ref="I28" si="150">H28*(1+$C28)</f>
        <v>816.29337600000008</v>
      </c>
      <c r="J28" s="103">
        <f t="shared" ref="J28" si="151">I28*(1+$C28)</f>
        <v>881.59684608000009</v>
      </c>
      <c r="K28" s="103">
        <f t="shared" ref="K28" si="152">J28*(1+$C28)</f>
        <v>952.12459376640015</v>
      </c>
      <c r="L28" s="103">
        <f t="shared" ref="L28" si="153">K28*(1+$C28)</f>
        <v>1028.2945612677122</v>
      </c>
      <c r="M28" s="103">
        <f t="shared" ref="M28" si="154">L28*(1+$C28)</f>
        <v>1110.5581261691293</v>
      </c>
      <c r="N28" s="103">
        <f t="shared" ref="N28" si="155">M28*(1+$C28)</f>
        <v>1199.4027762626597</v>
      </c>
      <c r="O28" s="103">
        <f t="shared" ref="O28" si="156">N28*(1+$C28)</f>
        <v>1295.3549983636726</v>
      </c>
      <c r="P28" s="103">
        <f t="shared" ref="P28" si="157">O28*(1+$C28)</f>
        <v>1398.9833982327666</v>
      </c>
      <c r="Q28" s="103">
        <f t="shared" ref="Q28" si="158">P28*(1+$C28)</f>
        <v>1510.9020700913879</v>
      </c>
      <c r="R28" s="103">
        <f t="shared" ref="R28" si="159">Q28*(1+$C28)</f>
        <v>1631.7742356986992</v>
      </c>
      <c r="S28" s="103">
        <f t="shared" ref="S28" si="160">R28*(1+$C28)</f>
        <v>1762.3161745545951</v>
      </c>
      <c r="T28" s="103">
        <f t="shared" ref="T28" si="161">S28*(1+$C28)</f>
        <v>1903.3014685189628</v>
      </c>
      <c r="U28" s="103">
        <f t="shared" ref="U28" si="162">T28*(1+$C28)</f>
        <v>2055.5655860004799</v>
      </c>
      <c r="V28" s="103">
        <f t="shared" ref="V28" si="163">U28*(1+$C28)</f>
        <v>2220.0108328805186</v>
      </c>
      <c r="W28" s="103">
        <f t="shared" ref="W28" si="164">V28*(1+$C28)</f>
        <v>2397.6116995109601</v>
      </c>
      <c r="X28" s="103">
        <f t="shared" ref="X28" si="165">W28*(1+$C28)</f>
        <v>2589.4206354718372</v>
      </c>
      <c r="Y28" s="103">
        <f t="shared" ref="Y28" si="166">X28*(1+$C28)</f>
        <v>2796.5742863095843</v>
      </c>
      <c r="Z28" s="103">
        <f t="shared" ref="Z28" si="167">Y28*(1+$C28)</f>
        <v>3020.300229214351</v>
      </c>
      <c r="AA28" s="103">
        <f t="shared" ref="AA28" si="168">Z28*(1+$C28)</f>
        <v>3261.9242475514993</v>
      </c>
      <c r="AB28" s="103">
        <f t="shared" ref="AB28" si="169">AA28*(1+$C28)</f>
        <v>3522.8781873556195</v>
      </c>
      <c r="AC28" s="103">
        <f t="shared" ref="AC28" si="170">AB28*(1+$C28)</f>
        <v>3804.7084423440692</v>
      </c>
      <c r="AD28" s="103">
        <f t="shared" ref="AD28" si="171">AC28*(1+$C28)</f>
        <v>4109.0851177315953</v>
      </c>
      <c r="AE28" s="103">
        <f t="shared" ref="AE28" si="172">AD28*(1+$C28)</f>
        <v>4437.8119271501237</v>
      </c>
      <c r="AF28" s="103">
        <f t="shared" ref="AF28" si="173">AE28*(1+$C28)</f>
        <v>4792.8368813221341</v>
      </c>
      <c r="AG28" s="103">
        <f t="shared" ref="AG28" si="174">AF28*(1+$C28)</f>
        <v>5176.2638318279051</v>
      </c>
      <c r="AH28" s="103">
        <f t="shared" ref="AH28" si="175">AG28*(1+$C28)</f>
        <v>5590.3649383741376</v>
      </c>
      <c r="AI28" s="103">
        <f t="shared" ref="AI28" si="176">AH28*(1+$C28)</f>
        <v>6037.5941334440695</v>
      </c>
      <c r="AJ28" s="103">
        <f t="shared" ref="AJ28" si="177">AI28*(1+$C28)</f>
        <v>6520.6016641195956</v>
      </c>
      <c r="AK28" s="103">
        <f t="shared" ref="AK28" si="178">AJ28*(1+$C28)</f>
        <v>7042.2497972491637</v>
      </c>
      <c r="AL28" s="103">
        <f t="shared" ref="AL28" si="179">AK28*(1+$C28)</f>
        <v>7605.6297810290971</v>
      </c>
      <c r="AM28" s="103">
        <f t="shared" ref="AM28" si="180">AL28*(1+$C28)</f>
        <v>8214.0801635114258</v>
      </c>
      <c r="AN28" s="103">
        <f t="shared" si="146"/>
        <v>8871.2065765923398</v>
      </c>
    </row>
    <row r="29" spans="2:40" s="16" customFormat="1" ht="21" customHeight="1" x14ac:dyDescent="0.2">
      <c r="B29" s="7" t="s">
        <v>148</v>
      </c>
      <c r="C29" s="27"/>
      <c r="D29" s="14"/>
      <c r="E29" s="104">
        <f t="shared" ref="E29:AN29" si="181">SUM(E28, E27, E26, E25 + E24)</f>
        <v>600</v>
      </c>
      <c r="F29" s="104">
        <f t="shared" ref="F29:AM29" si="182">SUM(F28, F27, F26, F25 + F24)</f>
        <v>648</v>
      </c>
      <c r="G29" s="104">
        <f t="shared" si="182"/>
        <v>699.84</v>
      </c>
      <c r="H29" s="104">
        <f t="shared" si="182"/>
        <v>755.82720000000006</v>
      </c>
      <c r="I29" s="104">
        <f t="shared" si="182"/>
        <v>816.29337600000008</v>
      </c>
      <c r="J29" s="104">
        <f t="shared" si="182"/>
        <v>881.59684608000009</v>
      </c>
      <c r="K29" s="104">
        <f t="shared" si="182"/>
        <v>952.12459376640015</v>
      </c>
      <c r="L29" s="104">
        <f t="shared" si="182"/>
        <v>1028.2945612677122</v>
      </c>
      <c r="M29" s="104">
        <f t="shared" si="182"/>
        <v>1110.5581261691293</v>
      </c>
      <c r="N29" s="104">
        <f t="shared" si="182"/>
        <v>1199.4027762626597</v>
      </c>
      <c r="O29" s="104">
        <f t="shared" si="182"/>
        <v>1295.3549983636726</v>
      </c>
      <c r="P29" s="104">
        <f t="shared" si="182"/>
        <v>1398.9833982327666</v>
      </c>
      <c r="Q29" s="104">
        <f t="shared" si="182"/>
        <v>1510.9020700913879</v>
      </c>
      <c r="R29" s="104">
        <f t="shared" si="182"/>
        <v>1631.7742356986992</v>
      </c>
      <c r="S29" s="104">
        <f t="shared" si="182"/>
        <v>1762.3161745545951</v>
      </c>
      <c r="T29" s="104">
        <f t="shared" si="182"/>
        <v>1903.3014685189628</v>
      </c>
      <c r="U29" s="104">
        <f t="shared" si="182"/>
        <v>2055.5655860004799</v>
      </c>
      <c r="V29" s="104">
        <f t="shared" si="182"/>
        <v>2220.0108328805186</v>
      </c>
      <c r="W29" s="104">
        <f t="shared" si="182"/>
        <v>2397.6116995109601</v>
      </c>
      <c r="X29" s="104">
        <f t="shared" si="182"/>
        <v>2589.4206354718372</v>
      </c>
      <c r="Y29" s="104">
        <f t="shared" si="182"/>
        <v>2796.5742863095843</v>
      </c>
      <c r="Z29" s="104">
        <f t="shared" si="182"/>
        <v>3020.300229214351</v>
      </c>
      <c r="AA29" s="104">
        <f t="shared" si="182"/>
        <v>3261.9242475514993</v>
      </c>
      <c r="AB29" s="104">
        <f t="shared" si="182"/>
        <v>3522.8781873556195</v>
      </c>
      <c r="AC29" s="104">
        <f t="shared" si="182"/>
        <v>3804.7084423440692</v>
      </c>
      <c r="AD29" s="104">
        <f t="shared" si="182"/>
        <v>4109.0851177315953</v>
      </c>
      <c r="AE29" s="104">
        <f t="shared" si="182"/>
        <v>4437.8119271501237</v>
      </c>
      <c r="AF29" s="104">
        <f t="shared" si="182"/>
        <v>4792.8368813221341</v>
      </c>
      <c r="AG29" s="104">
        <f t="shared" si="182"/>
        <v>5176.2638318279051</v>
      </c>
      <c r="AH29" s="104">
        <f t="shared" si="182"/>
        <v>5590.3649383741376</v>
      </c>
      <c r="AI29" s="104">
        <f t="shared" si="182"/>
        <v>6037.5941334440695</v>
      </c>
      <c r="AJ29" s="104">
        <f t="shared" si="182"/>
        <v>6520.6016641195956</v>
      </c>
      <c r="AK29" s="104">
        <f t="shared" si="182"/>
        <v>7042.2497972491637</v>
      </c>
      <c r="AL29" s="104">
        <f t="shared" si="182"/>
        <v>7605.6297810290971</v>
      </c>
      <c r="AM29" s="104">
        <f t="shared" si="182"/>
        <v>8214.0801635114258</v>
      </c>
      <c r="AN29" s="104">
        <f t="shared" si="181"/>
        <v>8871.2065765923398</v>
      </c>
    </row>
    <row r="30" spans="2:40" s="18" customFormat="1" ht="21" customHeight="1" x14ac:dyDescent="0.2">
      <c r="B30" s="7" t="s">
        <v>127</v>
      </c>
      <c r="C30" s="101">
        <v>0.04</v>
      </c>
      <c r="D30" s="19"/>
      <c r="E30" s="102">
        <v>0</v>
      </c>
      <c r="F30" s="103">
        <f t="shared" ref="F30:F35" si="183">E30*(1+$C30)</f>
        <v>0</v>
      </c>
      <c r="G30" s="103">
        <f t="shared" ref="G30:G35" si="184">F30*(1+$C30)</f>
        <v>0</v>
      </c>
      <c r="H30" s="103">
        <f t="shared" ref="H30:H35" si="185">G30*(1+$C30)</f>
        <v>0</v>
      </c>
      <c r="I30" s="103">
        <f t="shared" ref="I30:I35" si="186">H30*(1+$C30)</f>
        <v>0</v>
      </c>
      <c r="J30" s="103">
        <f t="shared" ref="J30:J35" si="187">I30*(1+$C30)</f>
        <v>0</v>
      </c>
      <c r="K30" s="103">
        <f t="shared" ref="K30:K35" si="188">J30*(1+$C30)</f>
        <v>0</v>
      </c>
      <c r="L30" s="103">
        <f t="shared" ref="L30:L35" si="189">K30*(1+$C30)</f>
        <v>0</v>
      </c>
      <c r="M30" s="103">
        <f t="shared" ref="M30:M35" si="190">L30*(1+$C30)</f>
        <v>0</v>
      </c>
      <c r="N30" s="103">
        <f t="shared" ref="N30:N35" si="191">M30*(1+$C30)</f>
        <v>0</v>
      </c>
      <c r="O30" s="103">
        <f t="shared" ref="O30:O35" si="192">N30*(1+$C30)</f>
        <v>0</v>
      </c>
      <c r="P30" s="103">
        <f t="shared" ref="P30:P35" si="193">O30*(1+$C30)</f>
        <v>0</v>
      </c>
      <c r="Q30" s="103">
        <f t="shared" ref="Q30:Q35" si="194">P30*(1+$C30)</f>
        <v>0</v>
      </c>
      <c r="R30" s="103">
        <f t="shared" ref="R30:R35" si="195">Q30*(1+$C30)</f>
        <v>0</v>
      </c>
      <c r="S30" s="103">
        <f t="shared" ref="S30:S35" si="196">R30*(1+$C30)</f>
        <v>0</v>
      </c>
      <c r="T30" s="103">
        <f t="shared" ref="T30:T35" si="197">S30*(1+$C30)</f>
        <v>0</v>
      </c>
      <c r="U30" s="103">
        <f t="shared" ref="U30:U35" si="198">T30*(1+$C30)</f>
        <v>0</v>
      </c>
      <c r="V30" s="103">
        <f t="shared" ref="V30:V35" si="199">U30*(1+$C30)</f>
        <v>0</v>
      </c>
      <c r="W30" s="103">
        <f t="shared" ref="W30:W35" si="200">V30*(1+$C30)</f>
        <v>0</v>
      </c>
      <c r="X30" s="103">
        <f t="shared" ref="X30:X35" si="201">W30*(1+$C30)</f>
        <v>0</v>
      </c>
      <c r="Y30" s="103">
        <f t="shared" ref="Y30:Y35" si="202">X30*(1+$C30)</f>
        <v>0</v>
      </c>
      <c r="Z30" s="103">
        <f t="shared" ref="Z30:Z35" si="203">Y30*(1+$C30)</f>
        <v>0</v>
      </c>
      <c r="AA30" s="103">
        <f t="shared" ref="AA30:AA35" si="204">Z30*(1+$C30)</f>
        <v>0</v>
      </c>
      <c r="AB30" s="103">
        <f t="shared" ref="AB30:AB35" si="205">AA30*(1+$C30)</f>
        <v>0</v>
      </c>
      <c r="AC30" s="103">
        <f t="shared" ref="AC30:AC35" si="206">AB30*(1+$C30)</f>
        <v>0</v>
      </c>
      <c r="AD30" s="103">
        <f t="shared" ref="AD30:AD35" si="207">AC30*(1+$C30)</f>
        <v>0</v>
      </c>
      <c r="AE30" s="103">
        <f t="shared" ref="AE30:AE35" si="208">AD30*(1+$C30)</f>
        <v>0</v>
      </c>
      <c r="AF30" s="103">
        <f t="shared" ref="AF30:AF35" si="209">AE30*(1+$C30)</f>
        <v>0</v>
      </c>
      <c r="AG30" s="103">
        <f t="shared" ref="AG30:AG35" si="210">AF30*(1+$C30)</f>
        <v>0</v>
      </c>
      <c r="AH30" s="103">
        <f t="shared" ref="AH30:AH35" si="211">AG30*(1+$C30)</f>
        <v>0</v>
      </c>
      <c r="AI30" s="103">
        <f t="shared" ref="AI30:AI35" si="212">AH30*(1+$C30)</f>
        <v>0</v>
      </c>
      <c r="AJ30" s="103">
        <f t="shared" ref="AJ30:AJ35" si="213">AI30*(1+$C30)</f>
        <v>0</v>
      </c>
      <c r="AK30" s="103">
        <f t="shared" ref="AK30:AK35" si="214">AJ30*(1+$C30)</f>
        <v>0</v>
      </c>
      <c r="AL30" s="103">
        <f t="shared" ref="AL30:AL35" si="215">AK30*(1+$C30)</f>
        <v>0</v>
      </c>
      <c r="AM30" s="103">
        <f t="shared" ref="AM30:AM35" si="216">AL30*(1+$C30)</f>
        <v>0</v>
      </c>
      <c r="AN30" s="103">
        <f t="shared" ref="AN30:AN35" si="217">AM30*(1+$C30)</f>
        <v>0</v>
      </c>
    </row>
    <row r="31" spans="2:40" s="16" customFormat="1" ht="21" customHeight="1" x14ac:dyDescent="0.2">
      <c r="B31" s="8" t="s">
        <v>128</v>
      </c>
      <c r="C31" s="101">
        <v>7.0000000000000007E-2</v>
      </c>
      <c r="D31" s="14"/>
      <c r="E31" s="102">
        <v>6000</v>
      </c>
      <c r="F31" s="103">
        <f t="shared" si="183"/>
        <v>6420</v>
      </c>
      <c r="G31" s="103">
        <f t="shared" si="184"/>
        <v>6869.4000000000005</v>
      </c>
      <c r="H31" s="103">
        <f t="shared" si="185"/>
        <v>7350.2580000000007</v>
      </c>
      <c r="I31" s="103">
        <f>H31*(0.7)</f>
        <v>5145.1806000000006</v>
      </c>
      <c r="J31" s="103">
        <f t="shared" si="187"/>
        <v>5505.3432420000008</v>
      </c>
      <c r="K31" s="103">
        <f t="shared" si="188"/>
        <v>5890.7172689400013</v>
      </c>
      <c r="L31" s="103">
        <f t="shared" si="189"/>
        <v>6303.0674777658014</v>
      </c>
      <c r="M31" s="103">
        <f t="shared" si="190"/>
        <v>6744.2822012094075</v>
      </c>
      <c r="N31" s="103">
        <f t="shared" si="191"/>
        <v>7216.3819552940668</v>
      </c>
      <c r="O31" s="103">
        <f t="shared" si="192"/>
        <v>7721.5286921646521</v>
      </c>
      <c r="P31" s="103">
        <f t="shared" si="193"/>
        <v>8262.0357006161776</v>
      </c>
      <c r="Q31" s="103">
        <f t="shared" si="194"/>
        <v>8840.3781996593098</v>
      </c>
      <c r="R31" s="103">
        <f t="shared" si="195"/>
        <v>9459.2046736354623</v>
      </c>
      <c r="S31" s="103">
        <f t="shared" si="196"/>
        <v>10121.349000789945</v>
      </c>
      <c r="T31" s="103">
        <f t="shared" si="197"/>
        <v>10829.843430845242</v>
      </c>
      <c r="U31" s="103">
        <f t="shared" si="198"/>
        <v>11587.932471004409</v>
      </c>
      <c r="V31" s="103">
        <f>U31*(0.7)</f>
        <v>8111.5527297030858</v>
      </c>
      <c r="W31" s="103">
        <f t="shared" si="200"/>
        <v>8679.361420782303</v>
      </c>
      <c r="X31" s="103">
        <f t="shared" si="201"/>
        <v>9286.9167202370645</v>
      </c>
      <c r="Y31" s="103">
        <f t="shared" si="202"/>
        <v>9937.0008906536605</v>
      </c>
      <c r="Z31" s="103">
        <f t="shared" si="203"/>
        <v>10632.590952999417</v>
      </c>
      <c r="AA31" s="103">
        <f t="shared" si="204"/>
        <v>11376.872319709377</v>
      </c>
      <c r="AB31" s="103">
        <f t="shared" si="205"/>
        <v>12173.253382089033</v>
      </c>
      <c r="AC31" s="103">
        <f t="shared" ref="AC31:AD31" si="218">AB31*(0.7)</f>
        <v>8521.2773674623222</v>
      </c>
      <c r="AD31" s="103">
        <f t="shared" si="218"/>
        <v>5964.8941572236254</v>
      </c>
      <c r="AE31" s="103">
        <f t="shared" si="208"/>
        <v>6382.4367482292791</v>
      </c>
      <c r="AF31" s="103">
        <f t="shared" si="209"/>
        <v>6829.2073206053292</v>
      </c>
      <c r="AG31" s="103">
        <f t="shared" si="210"/>
        <v>7307.2518330477023</v>
      </c>
      <c r="AH31" s="103">
        <f t="shared" si="211"/>
        <v>7818.7594613610418</v>
      </c>
      <c r="AI31" s="103">
        <f t="shared" si="212"/>
        <v>8366.072623656315</v>
      </c>
      <c r="AJ31" s="103">
        <f t="shared" si="213"/>
        <v>8951.697707312258</v>
      </c>
      <c r="AK31" s="103">
        <f t="shared" si="214"/>
        <v>9578.3165468241168</v>
      </c>
      <c r="AL31" s="103">
        <f>AK31*(0.7)</f>
        <v>6704.8215827768818</v>
      </c>
      <c r="AM31" s="103">
        <f t="shared" si="216"/>
        <v>7174.1590935712638</v>
      </c>
      <c r="AN31" s="103">
        <f t="shared" si="217"/>
        <v>7676.3502301212529</v>
      </c>
    </row>
    <row r="32" spans="2:40" s="16" customFormat="1" ht="21" customHeight="1" x14ac:dyDescent="0.2">
      <c r="B32" s="8" t="s">
        <v>129</v>
      </c>
      <c r="C32" s="101">
        <v>0.04</v>
      </c>
      <c r="D32" s="14"/>
      <c r="E32" s="103">
        <f>E31*0.1</f>
        <v>600</v>
      </c>
      <c r="F32" s="103">
        <f t="shared" si="183"/>
        <v>624</v>
      </c>
      <c r="G32" s="103">
        <f t="shared" si="184"/>
        <v>648.96</v>
      </c>
      <c r="H32" s="103">
        <f t="shared" si="185"/>
        <v>674.91840000000002</v>
      </c>
      <c r="I32" s="103">
        <f t="shared" si="186"/>
        <v>701.91513600000008</v>
      </c>
      <c r="J32" s="103">
        <f t="shared" si="187"/>
        <v>729.99174144000006</v>
      </c>
      <c r="K32" s="103">
        <f t="shared" si="188"/>
        <v>759.19141109760005</v>
      </c>
      <c r="L32" s="103">
        <f t="shared" si="189"/>
        <v>789.55906754150408</v>
      </c>
      <c r="M32" s="103">
        <f t="shared" si="190"/>
        <v>821.14143024316422</v>
      </c>
      <c r="N32" s="103">
        <f t="shared" si="191"/>
        <v>853.98708745289082</v>
      </c>
      <c r="O32" s="103">
        <f t="shared" si="192"/>
        <v>888.14657095100654</v>
      </c>
      <c r="P32" s="103">
        <f t="shared" si="193"/>
        <v>923.67243378904686</v>
      </c>
      <c r="Q32" s="103">
        <f t="shared" si="194"/>
        <v>960.61933114060878</v>
      </c>
      <c r="R32" s="103">
        <f t="shared" si="195"/>
        <v>999.04410438623313</v>
      </c>
      <c r="S32" s="103">
        <f t="shared" si="196"/>
        <v>1039.0058685616825</v>
      </c>
      <c r="T32" s="103">
        <f t="shared" si="197"/>
        <v>1080.5661033041499</v>
      </c>
      <c r="U32" s="103">
        <f t="shared" si="198"/>
        <v>1123.788747436316</v>
      </c>
      <c r="V32" s="103">
        <f t="shared" si="199"/>
        <v>1168.7402973337687</v>
      </c>
      <c r="W32" s="103">
        <f t="shared" si="200"/>
        <v>1215.4899092271196</v>
      </c>
      <c r="X32" s="103">
        <f t="shared" si="201"/>
        <v>1264.1095055962044</v>
      </c>
      <c r="Y32" s="103">
        <f t="shared" si="202"/>
        <v>1314.6738858200526</v>
      </c>
      <c r="Z32" s="103">
        <f t="shared" si="203"/>
        <v>1367.2608412528548</v>
      </c>
      <c r="AA32" s="103">
        <f t="shared" si="204"/>
        <v>1421.9512749029691</v>
      </c>
      <c r="AB32" s="103">
        <f t="shared" si="205"/>
        <v>1478.829325899088</v>
      </c>
      <c r="AC32" s="103">
        <f t="shared" si="206"/>
        <v>1537.9824989350516</v>
      </c>
      <c r="AD32" s="103">
        <f t="shared" si="207"/>
        <v>1599.5017988924537</v>
      </c>
      <c r="AE32" s="103">
        <f t="shared" si="208"/>
        <v>1663.4818708481519</v>
      </c>
      <c r="AF32" s="103">
        <f t="shared" si="209"/>
        <v>1730.021145682078</v>
      </c>
      <c r="AG32" s="103">
        <f t="shared" si="210"/>
        <v>1799.2219915093613</v>
      </c>
      <c r="AH32" s="103">
        <f t="shared" si="211"/>
        <v>1871.1908711697358</v>
      </c>
      <c r="AI32" s="103">
        <f t="shared" si="212"/>
        <v>1946.0385060165254</v>
      </c>
      <c r="AJ32" s="103">
        <f t="shared" si="213"/>
        <v>2023.8800462571865</v>
      </c>
      <c r="AK32" s="103">
        <f t="shared" si="214"/>
        <v>2104.8352481074739</v>
      </c>
      <c r="AL32" s="103">
        <f t="shared" si="215"/>
        <v>2189.0286580317729</v>
      </c>
      <c r="AM32" s="103">
        <f t="shared" si="216"/>
        <v>2276.5898043530437</v>
      </c>
      <c r="AN32" s="103">
        <f t="shared" si="217"/>
        <v>2367.6533965271656</v>
      </c>
    </row>
    <row r="33" spans="2:40" s="16" customFormat="1" ht="21" customHeight="1" x14ac:dyDescent="0.2">
      <c r="B33" s="8" t="s">
        <v>130</v>
      </c>
      <c r="C33" s="101">
        <v>0.04</v>
      </c>
      <c r="D33" s="14"/>
      <c r="E33" s="102">
        <v>550</v>
      </c>
      <c r="F33" s="103">
        <f t="shared" si="183"/>
        <v>572</v>
      </c>
      <c r="G33" s="103">
        <f t="shared" si="184"/>
        <v>594.88</v>
      </c>
      <c r="H33" s="103">
        <f t="shared" si="185"/>
        <v>618.67520000000002</v>
      </c>
      <c r="I33" s="103">
        <f t="shared" si="186"/>
        <v>643.42220800000007</v>
      </c>
      <c r="J33" s="103">
        <f t="shared" si="187"/>
        <v>669.15909632000012</v>
      </c>
      <c r="K33" s="103">
        <f t="shared" si="188"/>
        <v>695.92546017280017</v>
      </c>
      <c r="L33" s="103">
        <f t="shared" si="189"/>
        <v>723.76247857971225</v>
      </c>
      <c r="M33" s="103">
        <f t="shared" si="190"/>
        <v>752.71297772290075</v>
      </c>
      <c r="N33" s="103">
        <f t="shared" si="191"/>
        <v>782.82149683181683</v>
      </c>
      <c r="O33" s="103">
        <f t="shared" si="192"/>
        <v>814.13435670508954</v>
      </c>
      <c r="P33" s="103">
        <f t="shared" si="193"/>
        <v>846.69973097329319</v>
      </c>
      <c r="Q33" s="103">
        <f t="shared" si="194"/>
        <v>880.56772021222491</v>
      </c>
      <c r="R33" s="103">
        <f t="shared" si="195"/>
        <v>915.79042902071399</v>
      </c>
      <c r="S33" s="103">
        <f t="shared" si="196"/>
        <v>952.42204618154256</v>
      </c>
      <c r="T33" s="103">
        <f t="shared" si="197"/>
        <v>990.51892802880434</v>
      </c>
      <c r="U33" s="103">
        <f t="shared" si="198"/>
        <v>1030.1396851499564</v>
      </c>
      <c r="V33" s="103">
        <f t="shared" si="199"/>
        <v>1071.3452725559548</v>
      </c>
      <c r="W33" s="103">
        <f t="shared" si="200"/>
        <v>1114.1990834581929</v>
      </c>
      <c r="X33" s="103">
        <f t="shared" si="201"/>
        <v>1158.7670467965206</v>
      </c>
      <c r="Y33" s="103">
        <f t="shared" si="202"/>
        <v>1205.1177286683815</v>
      </c>
      <c r="Z33" s="103">
        <f t="shared" si="203"/>
        <v>1253.3224378151167</v>
      </c>
      <c r="AA33" s="103">
        <f t="shared" si="204"/>
        <v>1303.4553353277215</v>
      </c>
      <c r="AB33" s="103">
        <f t="shared" si="205"/>
        <v>1355.5935487408303</v>
      </c>
      <c r="AC33" s="103">
        <f t="shared" si="206"/>
        <v>1409.8172906904636</v>
      </c>
      <c r="AD33" s="103">
        <f t="shared" si="207"/>
        <v>1466.2099823180822</v>
      </c>
      <c r="AE33" s="103">
        <f t="shared" si="208"/>
        <v>1524.8583816108055</v>
      </c>
      <c r="AF33" s="103">
        <f t="shared" si="209"/>
        <v>1585.8527168752378</v>
      </c>
      <c r="AG33" s="103">
        <f t="shared" si="210"/>
        <v>1649.2868255502474</v>
      </c>
      <c r="AH33" s="103">
        <f t="shared" si="211"/>
        <v>1715.2582985722574</v>
      </c>
      <c r="AI33" s="103">
        <f t="shared" si="212"/>
        <v>1783.8686305151477</v>
      </c>
      <c r="AJ33" s="103">
        <f t="shared" si="213"/>
        <v>1855.2233757357537</v>
      </c>
      <c r="AK33" s="103">
        <f t="shared" si="214"/>
        <v>1929.432310765184</v>
      </c>
      <c r="AL33" s="103">
        <f t="shared" si="215"/>
        <v>2006.6096031957914</v>
      </c>
      <c r="AM33" s="103">
        <f t="shared" si="216"/>
        <v>2086.8739873236232</v>
      </c>
      <c r="AN33" s="103">
        <f t="shared" si="217"/>
        <v>2170.3489468165681</v>
      </c>
    </row>
    <row r="34" spans="2:40" s="16" customFormat="1" ht="21" customHeight="1" x14ac:dyDescent="0.2">
      <c r="B34" s="8" t="s">
        <v>131</v>
      </c>
      <c r="C34" s="101">
        <v>0.04</v>
      </c>
      <c r="D34" s="14"/>
      <c r="E34" s="102">
        <v>57.375</v>
      </c>
      <c r="F34" s="103">
        <f t="shared" si="183"/>
        <v>59.67</v>
      </c>
      <c r="G34" s="103">
        <f t="shared" si="184"/>
        <v>62.056800000000003</v>
      </c>
      <c r="H34" s="103">
        <f t="shared" si="185"/>
        <v>64.539072000000004</v>
      </c>
      <c r="I34" s="103">
        <f t="shared" si="186"/>
        <v>67.120634880000011</v>
      </c>
      <c r="J34" s="103">
        <f t="shared" si="187"/>
        <v>69.805460275200019</v>
      </c>
      <c r="K34" s="103">
        <f t="shared" si="188"/>
        <v>72.597678686208027</v>
      </c>
      <c r="L34" s="103">
        <f t="shared" si="189"/>
        <v>75.50158583365635</v>
      </c>
      <c r="M34" s="103">
        <f t="shared" si="190"/>
        <v>78.521649267002601</v>
      </c>
      <c r="N34" s="103">
        <f t="shared" si="191"/>
        <v>81.662515237682712</v>
      </c>
      <c r="O34" s="103">
        <f t="shared" si="192"/>
        <v>84.92901584719003</v>
      </c>
      <c r="P34" s="103">
        <f t="shared" si="193"/>
        <v>88.326176481077638</v>
      </c>
      <c r="Q34" s="103">
        <f t="shared" si="194"/>
        <v>91.859223540320741</v>
      </c>
      <c r="R34" s="103">
        <f t="shared" si="195"/>
        <v>95.533592481933567</v>
      </c>
      <c r="S34" s="103">
        <f t="shared" si="196"/>
        <v>99.354936181210917</v>
      </c>
      <c r="T34" s="103">
        <f t="shared" si="197"/>
        <v>103.32913362845936</v>
      </c>
      <c r="U34" s="103">
        <f t="shared" si="198"/>
        <v>107.46229897359774</v>
      </c>
      <c r="V34" s="103">
        <f t="shared" si="199"/>
        <v>111.76079093254165</v>
      </c>
      <c r="W34" s="103">
        <f t="shared" si="200"/>
        <v>116.23122256984333</v>
      </c>
      <c r="X34" s="103">
        <f t="shared" si="201"/>
        <v>120.88047147263707</v>
      </c>
      <c r="Y34" s="103">
        <f t="shared" si="202"/>
        <v>125.71569033154256</v>
      </c>
      <c r="Z34" s="103">
        <f t="shared" si="203"/>
        <v>130.74431794480427</v>
      </c>
      <c r="AA34" s="103">
        <f t="shared" si="204"/>
        <v>135.97409066259644</v>
      </c>
      <c r="AB34" s="103">
        <f t="shared" si="205"/>
        <v>141.4130542891003</v>
      </c>
      <c r="AC34" s="103">
        <f t="shared" si="206"/>
        <v>147.06957646066431</v>
      </c>
      <c r="AD34" s="103">
        <f t="shared" si="207"/>
        <v>152.95235951909089</v>
      </c>
      <c r="AE34" s="103">
        <f t="shared" si="208"/>
        <v>159.07045389985453</v>
      </c>
      <c r="AF34" s="103">
        <f t="shared" si="209"/>
        <v>165.4332720558487</v>
      </c>
      <c r="AG34" s="103">
        <f t="shared" si="210"/>
        <v>172.05060293808265</v>
      </c>
      <c r="AH34" s="103">
        <f t="shared" si="211"/>
        <v>178.93262705560596</v>
      </c>
      <c r="AI34" s="103">
        <f t="shared" si="212"/>
        <v>186.0899321378302</v>
      </c>
      <c r="AJ34" s="103">
        <f t="shared" si="213"/>
        <v>193.53352942334342</v>
      </c>
      <c r="AK34" s="103">
        <f t="shared" si="214"/>
        <v>201.27487060027715</v>
      </c>
      <c r="AL34" s="103">
        <f t="shared" si="215"/>
        <v>209.32586542428825</v>
      </c>
      <c r="AM34" s="103">
        <f t="shared" si="216"/>
        <v>217.6989000412598</v>
      </c>
      <c r="AN34" s="103">
        <f t="shared" si="217"/>
        <v>226.40685604291019</v>
      </c>
    </row>
    <row r="35" spans="2:40" s="16" customFormat="1" ht="21" customHeight="1" x14ac:dyDescent="0.2">
      <c r="B35" s="8" t="s">
        <v>132</v>
      </c>
      <c r="C35" s="101">
        <v>0.04</v>
      </c>
      <c r="D35" s="14"/>
      <c r="E35" s="102">
        <v>0</v>
      </c>
      <c r="F35" s="103">
        <f t="shared" si="183"/>
        <v>0</v>
      </c>
      <c r="G35" s="103">
        <f t="shared" si="184"/>
        <v>0</v>
      </c>
      <c r="H35" s="103">
        <f t="shared" si="185"/>
        <v>0</v>
      </c>
      <c r="I35" s="103">
        <f t="shared" si="186"/>
        <v>0</v>
      </c>
      <c r="J35" s="103">
        <f t="shared" si="187"/>
        <v>0</v>
      </c>
      <c r="K35" s="103">
        <f t="shared" si="188"/>
        <v>0</v>
      </c>
      <c r="L35" s="103">
        <f t="shared" si="189"/>
        <v>0</v>
      </c>
      <c r="M35" s="103">
        <f t="shared" si="190"/>
        <v>0</v>
      </c>
      <c r="N35" s="103">
        <f t="shared" si="191"/>
        <v>0</v>
      </c>
      <c r="O35" s="103">
        <f t="shared" si="192"/>
        <v>0</v>
      </c>
      <c r="P35" s="103">
        <f t="shared" si="193"/>
        <v>0</v>
      </c>
      <c r="Q35" s="103">
        <f t="shared" si="194"/>
        <v>0</v>
      </c>
      <c r="R35" s="103">
        <f t="shared" si="195"/>
        <v>0</v>
      </c>
      <c r="S35" s="103">
        <f t="shared" si="196"/>
        <v>0</v>
      </c>
      <c r="T35" s="103">
        <f t="shared" si="197"/>
        <v>0</v>
      </c>
      <c r="U35" s="103">
        <f t="shared" si="198"/>
        <v>0</v>
      </c>
      <c r="V35" s="103">
        <f t="shared" si="199"/>
        <v>0</v>
      </c>
      <c r="W35" s="103">
        <f t="shared" si="200"/>
        <v>0</v>
      </c>
      <c r="X35" s="103">
        <f t="shared" si="201"/>
        <v>0</v>
      </c>
      <c r="Y35" s="103">
        <f t="shared" si="202"/>
        <v>0</v>
      </c>
      <c r="Z35" s="103">
        <f t="shared" si="203"/>
        <v>0</v>
      </c>
      <c r="AA35" s="103">
        <f t="shared" si="204"/>
        <v>0</v>
      </c>
      <c r="AB35" s="103">
        <f t="shared" si="205"/>
        <v>0</v>
      </c>
      <c r="AC35" s="103">
        <f t="shared" si="206"/>
        <v>0</v>
      </c>
      <c r="AD35" s="103">
        <f t="shared" si="207"/>
        <v>0</v>
      </c>
      <c r="AE35" s="103">
        <f t="shared" si="208"/>
        <v>0</v>
      </c>
      <c r="AF35" s="103">
        <f t="shared" si="209"/>
        <v>0</v>
      </c>
      <c r="AG35" s="103">
        <f t="shared" si="210"/>
        <v>0</v>
      </c>
      <c r="AH35" s="103">
        <f t="shared" si="211"/>
        <v>0</v>
      </c>
      <c r="AI35" s="103">
        <f t="shared" si="212"/>
        <v>0</v>
      </c>
      <c r="AJ35" s="103">
        <f t="shared" si="213"/>
        <v>0</v>
      </c>
      <c r="AK35" s="103">
        <f t="shared" si="214"/>
        <v>0</v>
      </c>
      <c r="AL35" s="103">
        <f t="shared" si="215"/>
        <v>0</v>
      </c>
      <c r="AM35" s="103">
        <f t="shared" si="216"/>
        <v>0</v>
      </c>
      <c r="AN35" s="103">
        <f t="shared" si="217"/>
        <v>0</v>
      </c>
    </row>
    <row r="36" spans="2:40" s="16" customFormat="1" ht="21" customHeight="1" x14ac:dyDescent="0.2">
      <c r="B36" s="7" t="s">
        <v>149</v>
      </c>
      <c r="C36" s="27"/>
      <c r="D36" s="14"/>
      <c r="E36" s="104">
        <f t="shared" ref="E36:AN36" si="219">SUM(E35, E34, E33, E32, E31 + E30)</f>
        <v>7207.375</v>
      </c>
      <c r="F36" s="104">
        <f t="shared" ref="F36:AM36" si="220">SUM(F35, F34, F33, F32, F31 + F30)</f>
        <v>7675.67</v>
      </c>
      <c r="G36" s="104">
        <f t="shared" si="220"/>
        <v>8175.2968000000001</v>
      </c>
      <c r="H36" s="104">
        <f t="shared" si="220"/>
        <v>8708.3906720000014</v>
      </c>
      <c r="I36" s="104">
        <f t="shared" si="220"/>
        <v>6557.6385788800008</v>
      </c>
      <c r="J36" s="104">
        <f t="shared" si="220"/>
        <v>6974.2995400352011</v>
      </c>
      <c r="K36" s="104">
        <f t="shared" si="220"/>
        <v>7418.4318188966099</v>
      </c>
      <c r="L36" s="104">
        <f t="shared" si="220"/>
        <v>7891.8906097206745</v>
      </c>
      <c r="M36" s="104">
        <f t="shared" si="220"/>
        <v>8396.6582584424759</v>
      </c>
      <c r="N36" s="104">
        <f t="shared" si="220"/>
        <v>8934.8530548164563</v>
      </c>
      <c r="O36" s="104">
        <f t="shared" si="220"/>
        <v>9508.7386356679381</v>
      </c>
      <c r="P36" s="104">
        <f t="shared" si="220"/>
        <v>10120.734041859596</v>
      </c>
      <c r="Q36" s="104">
        <f t="shared" si="220"/>
        <v>10773.424474552465</v>
      </c>
      <c r="R36" s="104">
        <f t="shared" si="220"/>
        <v>11469.572799524343</v>
      </c>
      <c r="S36" s="104">
        <f t="shared" si="220"/>
        <v>12212.131851714381</v>
      </c>
      <c r="T36" s="104">
        <f t="shared" si="220"/>
        <v>13004.257595806655</v>
      </c>
      <c r="U36" s="104">
        <f t="shared" si="220"/>
        <v>13849.323202564279</v>
      </c>
      <c r="V36" s="104">
        <f t="shared" si="220"/>
        <v>10463.39909052535</v>
      </c>
      <c r="W36" s="104">
        <f t="shared" si="220"/>
        <v>11125.28163603746</v>
      </c>
      <c r="X36" s="104">
        <f t="shared" si="220"/>
        <v>11830.673744102427</v>
      </c>
      <c r="Y36" s="104">
        <f t="shared" si="220"/>
        <v>12582.508195473638</v>
      </c>
      <c r="Z36" s="104">
        <f t="shared" si="220"/>
        <v>13383.918550012193</v>
      </c>
      <c r="AA36" s="104">
        <f t="shared" si="220"/>
        <v>14238.253020602664</v>
      </c>
      <c r="AB36" s="104">
        <f t="shared" si="220"/>
        <v>15149.089311018051</v>
      </c>
      <c r="AC36" s="104">
        <f t="shared" si="220"/>
        <v>11616.146733548501</v>
      </c>
      <c r="AD36" s="104">
        <f t="shared" si="220"/>
        <v>9183.5582979532519</v>
      </c>
      <c r="AE36" s="104">
        <f t="shared" si="220"/>
        <v>9729.8474545880908</v>
      </c>
      <c r="AF36" s="104">
        <f t="shared" si="220"/>
        <v>10310.514455218494</v>
      </c>
      <c r="AG36" s="104">
        <f t="shared" si="220"/>
        <v>10927.811253045395</v>
      </c>
      <c r="AH36" s="104">
        <f t="shared" si="220"/>
        <v>11584.141258158641</v>
      </c>
      <c r="AI36" s="104">
        <f t="shared" si="220"/>
        <v>12282.069692325818</v>
      </c>
      <c r="AJ36" s="104">
        <f t="shared" si="220"/>
        <v>13024.334658728541</v>
      </c>
      <c r="AK36" s="104">
        <f t="shared" si="220"/>
        <v>13813.858976297051</v>
      </c>
      <c r="AL36" s="104">
        <f t="shared" si="220"/>
        <v>11109.785709428734</v>
      </c>
      <c r="AM36" s="104">
        <f t="shared" si="220"/>
        <v>11755.32178528919</v>
      </c>
      <c r="AN36" s="104">
        <f t="shared" si="219"/>
        <v>12440.759429507896</v>
      </c>
    </row>
    <row r="37" spans="2:40" s="16" customFormat="1" ht="21" customHeight="1" x14ac:dyDescent="0.2">
      <c r="B37" s="8" t="s">
        <v>133</v>
      </c>
      <c r="C37" s="101">
        <v>0.04</v>
      </c>
      <c r="D37" s="14"/>
      <c r="E37" s="102">
        <v>0</v>
      </c>
      <c r="F37" s="102">
        <v>0</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row>
    <row r="38" spans="2:40" s="18" customFormat="1" ht="21" customHeight="1" x14ac:dyDescent="0.2">
      <c r="B38" s="7" t="s">
        <v>134</v>
      </c>
      <c r="C38" s="101">
        <v>0.04</v>
      </c>
      <c r="D38" s="19"/>
      <c r="E38" s="102">
        <v>0</v>
      </c>
      <c r="F38" s="103">
        <f t="shared" ref="F38:F42" si="221">E38*(1+$C38)</f>
        <v>0</v>
      </c>
      <c r="G38" s="103">
        <f t="shared" ref="G38:G42" si="222">F38*(1+$C38)</f>
        <v>0</v>
      </c>
      <c r="H38" s="103">
        <f t="shared" ref="H38:H42" si="223">G38*(1+$C38)</f>
        <v>0</v>
      </c>
      <c r="I38" s="103">
        <f t="shared" ref="I38:I42" si="224">H38*(1+$C38)</f>
        <v>0</v>
      </c>
      <c r="J38" s="103">
        <f t="shared" ref="J38:J42" si="225">I38*(1+$C38)</f>
        <v>0</v>
      </c>
      <c r="K38" s="103">
        <f t="shared" ref="K38:K42" si="226">J38*(1+$C38)</f>
        <v>0</v>
      </c>
      <c r="L38" s="103">
        <f t="shared" ref="L38:L42" si="227">K38*(1+$C38)</f>
        <v>0</v>
      </c>
      <c r="M38" s="103">
        <f t="shared" ref="M38:M42" si="228">L38*(1+$C38)</f>
        <v>0</v>
      </c>
      <c r="N38" s="103">
        <f t="shared" ref="N38:N42" si="229">M38*(1+$C38)</f>
        <v>0</v>
      </c>
      <c r="O38" s="103">
        <f t="shared" ref="O38:O42" si="230">N38*(1+$C38)</f>
        <v>0</v>
      </c>
      <c r="P38" s="103">
        <f t="shared" ref="P38:P42" si="231">O38*(1+$C38)</f>
        <v>0</v>
      </c>
      <c r="Q38" s="103">
        <f t="shared" ref="Q38:Q42" si="232">P38*(1+$C38)</f>
        <v>0</v>
      </c>
      <c r="R38" s="103">
        <f t="shared" ref="R38:R42" si="233">Q38*(1+$C38)</f>
        <v>0</v>
      </c>
      <c r="S38" s="103">
        <f t="shared" ref="S38:S42" si="234">R38*(1+$C38)</f>
        <v>0</v>
      </c>
      <c r="T38" s="103">
        <f t="shared" ref="T38:T42" si="235">S38*(1+$C38)</f>
        <v>0</v>
      </c>
      <c r="U38" s="103">
        <f t="shared" ref="U38:U42" si="236">T38*(1+$C38)</f>
        <v>0</v>
      </c>
      <c r="V38" s="103">
        <f t="shared" ref="V38:V42" si="237">U38*(1+$C38)</f>
        <v>0</v>
      </c>
      <c r="W38" s="103">
        <f t="shared" ref="W38:W42" si="238">V38*(1+$C38)</f>
        <v>0</v>
      </c>
      <c r="X38" s="103">
        <f t="shared" ref="X38:X42" si="239">W38*(1+$C38)</f>
        <v>0</v>
      </c>
      <c r="Y38" s="103">
        <f t="shared" ref="Y38:Y42" si="240">X38*(1+$C38)</f>
        <v>0</v>
      </c>
      <c r="Z38" s="103">
        <f t="shared" ref="Z38:Z42" si="241">Y38*(1+$C38)</f>
        <v>0</v>
      </c>
      <c r="AA38" s="103">
        <f t="shared" ref="AA38:AA42" si="242">Z38*(1+$C38)</f>
        <v>0</v>
      </c>
      <c r="AB38" s="103">
        <f t="shared" ref="AB38:AB42" si="243">AA38*(1+$C38)</f>
        <v>0</v>
      </c>
      <c r="AC38" s="103">
        <f t="shared" ref="AC38:AC42" si="244">AB38*(1+$C38)</f>
        <v>0</v>
      </c>
      <c r="AD38" s="103">
        <f t="shared" ref="AD38:AD42" si="245">AC38*(1+$C38)</f>
        <v>0</v>
      </c>
      <c r="AE38" s="103">
        <f t="shared" ref="AE38:AE42" si="246">AD38*(1+$C38)</f>
        <v>0</v>
      </c>
      <c r="AF38" s="103">
        <f t="shared" ref="AF38:AF42" si="247">AE38*(1+$C38)</f>
        <v>0</v>
      </c>
      <c r="AG38" s="103">
        <f t="shared" ref="AG38:AG42" si="248">AF38*(1+$C38)</f>
        <v>0</v>
      </c>
      <c r="AH38" s="103">
        <f t="shared" ref="AH38:AH42" si="249">AG38*(1+$C38)</f>
        <v>0</v>
      </c>
      <c r="AI38" s="103">
        <f t="shared" ref="AI38:AI42" si="250">AH38*(1+$C38)</f>
        <v>0</v>
      </c>
      <c r="AJ38" s="103">
        <f t="shared" ref="AJ38:AJ42" si="251">AI38*(1+$C38)</f>
        <v>0</v>
      </c>
      <c r="AK38" s="103">
        <f t="shared" ref="AK38:AK42" si="252">AJ38*(1+$C38)</f>
        <v>0</v>
      </c>
      <c r="AL38" s="103">
        <f t="shared" ref="AL38:AL42" si="253">AK38*(1+$C38)</f>
        <v>0</v>
      </c>
      <c r="AM38" s="103">
        <f t="shared" ref="AM38:AM42" si="254">AL38*(1+$C38)</f>
        <v>0</v>
      </c>
      <c r="AN38" s="103">
        <f t="shared" ref="AN38:AN42" si="255">AM38*(1+$C38)</f>
        <v>0</v>
      </c>
    </row>
    <row r="39" spans="2:40" s="16" customFormat="1" ht="21" customHeight="1" x14ac:dyDescent="0.2">
      <c r="B39" s="8" t="s">
        <v>135</v>
      </c>
      <c r="C39" s="101">
        <v>0.04</v>
      </c>
      <c r="D39" s="14"/>
      <c r="E39" s="102">
        <v>200</v>
      </c>
      <c r="F39" s="103">
        <f t="shared" si="221"/>
        <v>208</v>
      </c>
      <c r="G39" s="103">
        <f t="shared" si="222"/>
        <v>216.32</v>
      </c>
      <c r="H39" s="103">
        <f t="shared" si="223"/>
        <v>224.97280000000001</v>
      </c>
      <c r="I39" s="103">
        <f t="shared" si="224"/>
        <v>233.97171200000003</v>
      </c>
      <c r="J39" s="103">
        <f t="shared" si="225"/>
        <v>243.33058048000004</v>
      </c>
      <c r="K39" s="103">
        <f t="shared" si="226"/>
        <v>253.06380369920004</v>
      </c>
      <c r="L39" s="103">
        <f t="shared" si="227"/>
        <v>263.18635584716804</v>
      </c>
      <c r="M39" s="103">
        <f t="shared" si="228"/>
        <v>273.71381008105476</v>
      </c>
      <c r="N39" s="103">
        <f t="shared" si="229"/>
        <v>284.66236248429698</v>
      </c>
      <c r="O39" s="103">
        <f t="shared" si="230"/>
        <v>296.04885698366888</v>
      </c>
      <c r="P39" s="103">
        <f t="shared" si="231"/>
        <v>307.89081126301568</v>
      </c>
      <c r="Q39" s="103">
        <f t="shared" si="232"/>
        <v>320.20644371353632</v>
      </c>
      <c r="R39" s="103">
        <f t="shared" si="233"/>
        <v>333.01470146207777</v>
      </c>
      <c r="S39" s="103">
        <f t="shared" si="234"/>
        <v>346.33528952056088</v>
      </c>
      <c r="T39" s="103">
        <f t="shared" si="235"/>
        <v>360.18870110138334</v>
      </c>
      <c r="U39" s="103">
        <f t="shared" si="236"/>
        <v>374.59624914543872</v>
      </c>
      <c r="V39" s="103">
        <f t="shared" si="237"/>
        <v>389.58009911125629</v>
      </c>
      <c r="W39" s="103">
        <f t="shared" si="238"/>
        <v>405.16330307570655</v>
      </c>
      <c r="X39" s="103">
        <f t="shared" si="239"/>
        <v>421.36983519873485</v>
      </c>
      <c r="Y39" s="103">
        <f t="shared" si="240"/>
        <v>438.22462860668423</v>
      </c>
      <c r="Z39" s="103">
        <f t="shared" si="241"/>
        <v>455.75361375095162</v>
      </c>
      <c r="AA39" s="103">
        <f t="shared" si="242"/>
        <v>473.98375830098968</v>
      </c>
      <c r="AB39" s="103">
        <f t="shared" si="243"/>
        <v>492.94310863302928</v>
      </c>
      <c r="AC39" s="103">
        <f t="shared" si="244"/>
        <v>512.66083297835053</v>
      </c>
      <c r="AD39" s="103">
        <f t="shared" si="245"/>
        <v>533.16726629748462</v>
      </c>
      <c r="AE39" s="103">
        <f t="shared" si="246"/>
        <v>554.49395694938403</v>
      </c>
      <c r="AF39" s="103">
        <f t="shared" si="247"/>
        <v>576.67371522735937</v>
      </c>
      <c r="AG39" s="103">
        <f t="shared" si="248"/>
        <v>599.74066383645379</v>
      </c>
      <c r="AH39" s="103">
        <f t="shared" si="249"/>
        <v>623.73029038991194</v>
      </c>
      <c r="AI39" s="103">
        <f t="shared" si="250"/>
        <v>648.67950200550843</v>
      </c>
      <c r="AJ39" s="103">
        <f t="shared" si="251"/>
        <v>674.62668208572882</v>
      </c>
      <c r="AK39" s="103">
        <f t="shared" si="252"/>
        <v>701.61174936915802</v>
      </c>
      <c r="AL39" s="103">
        <f t="shared" si="253"/>
        <v>729.67621934392434</v>
      </c>
      <c r="AM39" s="103">
        <f t="shared" si="254"/>
        <v>758.8632681176814</v>
      </c>
      <c r="AN39" s="103">
        <f t="shared" si="255"/>
        <v>789.21779884238867</v>
      </c>
    </row>
    <row r="40" spans="2:40" s="16" customFormat="1" ht="21" customHeight="1" x14ac:dyDescent="0.2">
      <c r="B40" s="8" t="s">
        <v>136</v>
      </c>
      <c r="C40" s="101">
        <v>0.02</v>
      </c>
      <c r="D40" s="14"/>
      <c r="E40" s="102">
        <v>200</v>
      </c>
      <c r="F40" s="103">
        <f t="shared" si="221"/>
        <v>204</v>
      </c>
      <c r="G40" s="103">
        <f t="shared" si="222"/>
        <v>208.08</v>
      </c>
      <c r="H40" s="103">
        <f t="shared" si="223"/>
        <v>212.24160000000001</v>
      </c>
      <c r="I40" s="103">
        <f t="shared" si="224"/>
        <v>216.48643200000001</v>
      </c>
      <c r="J40" s="103">
        <f t="shared" si="225"/>
        <v>220.81616064000002</v>
      </c>
      <c r="K40" s="103">
        <f t="shared" si="226"/>
        <v>225.23248385280002</v>
      </c>
      <c r="L40" s="103">
        <f t="shared" si="227"/>
        <v>229.73713352985601</v>
      </c>
      <c r="M40" s="103">
        <f t="shared" si="228"/>
        <v>234.33187620045314</v>
      </c>
      <c r="N40" s="103">
        <f t="shared" si="229"/>
        <v>239.0185137244622</v>
      </c>
      <c r="O40" s="103">
        <f t="shared" si="230"/>
        <v>243.79888399895145</v>
      </c>
      <c r="P40" s="103">
        <f t="shared" si="231"/>
        <v>248.67486167893048</v>
      </c>
      <c r="Q40" s="103">
        <f t="shared" si="232"/>
        <v>253.64835891250911</v>
      </c>
      <c r="R40" s="103">
        <f t="shared" si="233"/>
        <v>258.72132609075931</v>
      </c>
      <c r="S40" s="103">
        <f t="shared" si="234"/>
        <v>263.89575261257448</v>
      </c>
      <c r="T40" s="103">
        <f t="shared" si="235"/>
        <v>269.17366766482598</v>
      </c>
      <c r="U40" s="103">
        <f t="shared" si="236"/>
        <v>274.55714101812254</v>
      </c>
      <c r="V40" s="103">
        <f t="shared" si="237"/>
        <v>280.04828383848502</v>
      </c>
      <c r="W40" s="103">
        <f t="shared" si="238"/>
        <v>285.64924951525472</v>
      </c>
      <c r="X40" s="103">
        <f t="shared" si="239"/>
        <v>291.3622345055598</v>
      </c>
      <c r="Y40" s="103">
        <f t="shared" si="240"/>
        <v>297.18947919567103</v>
      </c>
      <c r="Z40" s="103">
        <f t="shared" si="241"/>
        <v>303.13326877958445</v>
      </c>
      <c r="AA40" s="103">
        <f t="shared" si="242"/>
        <v>309.19593415517613</v>
      </c>
      <c r="AB40" s="103">
        <f t="shared" si="243"/>
        <v>315.37985283827965</v>
      </c>
      <c r="AC40" s="103">
        <f t="shared" si="244"/>
        <v>321.68744989504523</v>
      </c>
      <c r="AD40" s="103">
        <f t="shared" si="245"/>
        <v>328.12119889294615</v>
      </c>
      <c r="AE40" s="103">
        <f t="shared" si="246"/>
        <v>334.6836228708051</v>
      </c>
      <c r="AF40" s="103">
        <f t="shared" si="247"/>
        <v>341.37729532822118</v>
      </c>
      <c r="AG40" s="103">
        <f t="shared" si="248"/>
        <v>348.20484123478559</v>
      </c>
      <c r="AH40" s="103">
        <f t="shared" si="249"/>
        <v>355.16893805948132</v>
      </c>
      <c r="AI40" s="103">
        <f t="shared" si="250"/>
        <v>362.27231682067094</v>
      </c>
      <c r="AJ40" s="103">
        <f t="shared" si="251"/>
        <v>369.51776315708435</v>
      </c>
      <c r="AK40" s="103">
        <f t="shared" si="252"/>
        <v>376.90811842022606</v>
      </c>
      <c r="AL40" s="103">
        <f t="shared" si="253"/>
        <v>384.44628078863059</v>
      </c>
      <c r="AM40" s="103">
        <f t="shared" si="254"/>
        <v>392.13520640440322</v>
      </c>
      <c r="AN40" s="103">
        <f t="shared" si="255"/>
        <v>399.97791053249131</v>
      </c>
    </row>
    <row r="41" spans="2:40" s="16" customFormat="1" ht="21" customHeight="1" x14ac:dyDescent="0.2">
      <c r="B41" s="8" t="s">
        <v>137</v>
      </c>
      <c r="C41" s="101">
        <v>0.04</v>
      </c>
      <c r="D41" s="14"/>
      <c r="E41" s="102">
        <v>200</v>
      </c>
      <c r="F41" s="103">
        <f t="shared" si="221"/>
        <v>208</v>
      </c>
      <c r="G41" s="103">
        <f t="shared" si="222"/>
        <v>216.32</v>
      </c>
      <c r="H41" s="103">
        <f t="shared" si="223"/>
        <v>224.97280000000001</v>
      </c>
      <c r="I41" s="103">
        <f t="shared" si="224"/>
        <v>233.97171200000003</v>
      </c>
      <c r="J41" s="103">
        <f t="shared" si="225"/>
        <v>243.33058048000004</v>
      </c>
      <c r="K41" s="103">
        <f t="shared" si="226"/>
        <v>253.06380369920004</v>
      </c>
      <c r="L41" s="103">
        <f t="shared" si="227"/>
        <v>263.18635584716804</v>
      </c>
      <c r="M41" s="103">
        <f t="shared" si="228"/>
        <v>273.71381008105476</v>
      </c>
      <c r="N41" s="103">
        <f t="shared" si="229"/>
        <v>284.66236248429698</v>
      </c>
      <c r="O41" s="103">
        <f t="shared" si="230"/>
        <v>296.04885698366888</v>
      </c>
      <c r="P41" s="103">
        <f t="shared" si="231"/>
        <v>307.89081126301568</v>
      </c>
      <c r="Q41" s="103">
        <f t="shared" si="232"/>
        <v>320.20644371353632</v>
      </c>
      <c r="R41" s="103">
        <f t="shared" si="233"/>
        <v>333.01470146207777</v>
      </c>
      <c r="S41" s="103">
        <f t="shared" si="234"/>
        <v>346.33528952056088</v>
      </c>
      <c r="T41" s="103">
        <f t="shared" si="235"/>
        <v>360.18870110138334</v>
      </c>
      <c r="U41" s="103">
        <f t="shared" si="236"/>
        <v>374.59624914543872</v>
      </c>
      <c r="V41" s="103">
        <f t="shared" si="237"/>
        <v>389.58009911125629</v>
      </c>
      <c r="W41" s="103">
        <f t="shared" si="238"/>
        <v>405.16330307570655</v>
      </c>
      <c r="X41" s="103">
        <f t="shared" si="239"/>
        <v>421.36983519873485</v>
      </c>
      <c r="Y41" s="103">
        <f t="shared" si="240"/>
        <v>438.22462860668423</v>
      </c>
      <c r="Z41" s="103">
        <f t="shared" si="241"/>
        <v>455.75361375095162</v>
      </c>
      <c r="AA41" s="103">
        <f t="shared" si="242"/>
        <v>473.98375830098968</v>
      </c>
      <c r="AB41" s="103">
        <f t="shared" si="243"/>
        <v>492.94310863302928</v>
      </c>
      <c r="AC41" s="103">
        <f t="shared" si="244"/>
        <v>512.66083297835053</v>
      </c>
      <c r="AD41" s="103">
        <f t="shared" si="245"/>
        <v>533.16726629748462</v>
      </c>
      <c r="AE41" s="103">
        <f t="shared" si="246"/>
        <v>554.49395694938403</v>
      </c>
      <c r="AF41" s="103">
        <f t="shared" si="247"/>
        <v>576.67371522735937</v>
      </c>
      <c r="AG41" s="103">
        <f t="shared" si="248"/>
        <v>599.74066383645379</v>
      </c>
      <c r="AH41" s="103">
        <f t="shared" si="249"/>
        <v>623.73029038991194</v>
      </c>
      <c r="AI41" s="103">
        <f t="shared" si="250"/>
        <v>648.67950200550843</v>
      </c>
      <c r="AJ41" s="103">
        <f t="shared" si="251"/>
        <v>674.62668208572882</v>
      </c>
      <c r="AK41" s="103">
        <f t="shared" si="252"/>
        <v>701.61174936915802</v>
      </c>
      <c r="AL41" s="103">
        <f t="shared" si="253"/>
        <v>729.67621934392434</v>
      </c>
      <c r="AM41" s="103">
        <f t="shared" si="254"/>
        <v>758.8632681176814</v>
      </c>
      <c r="AN41" s="103">
        <f t="shared" si="255"/>
        <v>789.21779884238867</v>
      </c>
    </row>
    <row r="42" spans="2:40" s="36" customFormat="1" ht="21" customHeight="1" x14ac:dyDescent="0.2">
      <c r="B42" s="34" t="s">
        <v>150</v>
      </c>
      <c r="C42" s="34"/>
      <c r="D42" s="35"/>
      <c r="E42" s="106">
        <f t="shared" ref="E42" si="256">SUM(E41, E40, E39 + E38)</f>
        <v>600</v>
      </c>
      <c r="F42" s="106">
        <f t="shared" si="221"/>
        <v>600</v>
      </c>
      <c r="G42" s="106">
        <f t="shared" si="222"/>
        <v>600</v>
      </c>
      <c r="H42" s="106">
        <f t="shared" si="223"/>
        <v>600</v>
      </c>
      <c r="I42" s="106">
        <f t="shared" si="224"/>
        <v>600</v>
      </c>
      <c r="J42" s="106">
        <f t="shared" si="225"/>
        <v>600</v>
      </c>
      <c r="K42" s="106">
        <f t="shared" si="226"/>
        <v>600</v>
      </c>
      <c r="L42" s="106">
        <f t="shared" si="227"/>
        <v>600</v>
      </c>
      <c r="M42" s="106">
        <f t="shared" si="228"/>
        <v>600</v>
      </c>
      <c r="N42" s="106">
        <f t="shared" si="229"/>
        <v>600</v>
      </c>
      <c r="O42" s="106">
        <f t="shared" si="230"/>
        <v>600</v>
      </c>
      <c r="P42" s="106">
        <f t="shared" si="231"/>
        <v>600</v>
      </c>
      <c r="Q42" s="106">
        <f t="shared" si="232"/>
        <v>600</v>
      </c>
      <c r="R42" s="106">
        <f t="shared" si="233"/>
        <v>600</v>
      </c>
      <c r="S42" s="106">
        <f t="shared" si="234"/>
        <v>600</v>
      </c>
      <c r="T42" s="106">
        <f t="shared" si="235"/>
        <v>600</v>
      </c>
      <c r="U42" s="106">
        <f t="shared" si="236"/>
        <v>600</v>
      </c>
      <c r="V42" s="106">
        <f t="shared" si="237"/>
        <v>600</v>
      </c>
      <c r="W42" s="106">
        <f t="shared" si="238"/>
        <v>600</v>
      </c>
      <c r="X42" s="106">
        <f t="shared" si="239"/>
        <v>600</v>
      </c>
      <c r="Y42" s="106">
        <f t="shared" si="240"/>
        <v>600</v>
      </c>
      <c r="Z42" s="106">
        <f t="shared" si="241"/>
        <v>600</v>
      </c>
      <c r="AA42" s="106">
        <f t="shared" si="242"/>
        <v>600</v>
      </c>
      <c r="AB42" s="106">
        <f t="shared" si="243"/>
        <v>600</v>
      </c>
      <c r="AC42" s="106">
        <f t="shared" si="244"/>
        <v>600</v>
      </c>
      <c r="AD42" s="106">
        <f t="shared" si="245"/>
        <v>600</v>
      </c>
      <c r="AE42" s="106">
        <f t="shared" si="246"/>
        <v>600</v>
      </c>
      <c r="AF42" s="106">
        <f t="shared" si="247"/>
        <v>600</v>
      </c>
      <c r="AG42" s="106">
        <f t="shared" si="248"/>
        <v>600</v>
      </c>
      <c r="AH42" s="106">
        <f t="shared" si="249"/>
        <v>600</v>
      </c>
      <c r="AI42" s="106">
        <f t="shared" si="250"/>
        <v>600</v>
      </c>
      <c r="AJ42" s="106">
        <f t="shared" si="251"/>
        <v>600</v>
      </c>
      <c r="AK42" s="106">
        <f t="shared" si="252"/>
        <v>600</v>
      </c>
      <c r="AL42" s="106">
        <f t="shared" si="253"/>
        <v>600</v>
      </c>
      <c r="AM42" s="106">
        <f t="shared" si="254"/>
        <v>600</v>
      </c>
      <c r="AN42" s="106">
        <f t="shared" si="255"/>
        <v>600</v>
      </c>
    </row>
    <row r="43" spans="2:40" s="16" customFormat="1" ht="21" customHeight="1" x14ac:dyDescent="0.2">
      <c r="B43" s="6" t="s">
        <v>151</v>
      </c>
      <c r="C43" s="26"/>
      <c r="D43" s="14"/>
      <c r="E43" s="104">
        <f t="shared" ref="E43:AN43" si="257">SUM(E41, E40, E39, E38, E37, E35, E34, E33, E32, E31, E30, E28, E27, E26, E25, E24, E22, E21, E20, E19, E18, E17, E16, E15, E14 + E13)</f>
        <v>15207.375</v>
      </c>
      <c r="F43" s="104">
        <f t="shared" ref="F43:AM43" si="258">SUM(F41, F40, F39, F38, F37, F35, F34, F33, F32, F31, F30, F28, F27, F26, F25, F24, F22, F21, F20, F19, F18, F17, F16, F15, F14 + F13)</f>
        <v>15918.67</v>
      </c>
      <c r="G43" s="104">
        <f t="shared" si="258"/>
        <v>16671.006799999999</v>
      </c>
      <c r="H43" s="104">
        <f t="shared" si="258"/>
        <v>15968.855572000002</v>
      </c>
      <c r="I43" s="104">
        <f t="shared" si="258"/>
        <v>14061.835225880002</v>
      </c>
      <c r="J43" s="104">
        <f t="shared" si="258"/>
        <v>14732.971373165203</v>
      </c>
      <c r="K43" s="104">
        <f t="shared" si="258"/>
        <v>15216.867546799211</v>
      </c>
      <c r="L43" s="104">
        <f t="shared" si="258"/>
        <v>15961.35757533333</v>
      </c>
      <c r="M43" s="104">
        <f t="shared" si="258"/>
        <v>16749.629807424222</v>
      </c>
      <c r="N43" s="104">
        <f t="shared" si="258"/>
        <v>17584.528302585408</v>
      </c>
      <c r="O43" s="104">
        <f t="shared" si="258"/>
        <v>18469.091322749613</v>
      </c>
      <c r="P43" s="104">
        <f t="shared" si="258"/>
        <v>19406.564945888429</v>
      </c>
      <c r="Q43" s="104">
        <f t="shared" si="258"/>
        <v>20400.417648722298</v>
      </c>
      <c r="R43" s="104">
        <f t="shared" si="258"/>
        <v>21454.355928210909</v>
      </c>
      <c r="S43" s="104">
        <f t="shared" si="258"/>
        <v>21293.953307644213</v>
      </c>
      <c r="T43" s="104">
        <f t="shared" si="258"/>
        <v>22454.651426427328</v>
      </c>
      <c r="U43" s="104">
        <f t="shared" si="258"/>
        <v>23687.644783543979</v>
      </c>
      <c r="V43" s="104">
        <f t="shared" si="258"/>
        <v>20710.226438495767</v>
      </c>
      <c r="W43" s="104">
        <f t="shared" si="258"/>
        <v>21802.501361459621</v>
      </c>
      <c r="X43" s="104">
        <f t="shared" si="258"/>
        <v>22671.498643307281</v>
      </c>
      <c r="Y43" s="104">
        <f t="shared" si="258"/>
        <v>23893.098527619968</v>
      </c>
      <c r="Z43" s="104">
        <f t="shared" si="258"/>
        <v>25190.407837741823</v>
      </c>
      <c r="AA43" s="104">
        <f t="shared" si="258"/>
        <v>26568.48845310431</v>
      </c>
      <c r="AB43" s="104">
        <f t="shared" si="258"/>
        <v>28032.754766134214</v>
      </c>
      <c r="AC43" s="104">
        <f t="shared" si="258"/>
        <v>24015.440890287573</v>
      </c>
      <c r="AD43" s="104">
        <f t="shared" si="258"/>
        <v>22180.310332753674</v>
      </c>
      <c r="AE43" s="104">
        <f t="shared" si="258"/>
        <v>23359.65792249209</v>
      </c>
      <c r="AF43" s="104">
        <f t="shared" si="258"/>
        <v>24290.324370176295</v>
      </c>
      <c r="AG43" s="104">
        <f t="shared" si="258"/>
        <v>25609.686083081113</v>
      </c>
      <c r="AH43" s="104">
        <f t="shared" si="258"/>
        <v>27011.197602241984</v>
      </c>
      <c r="AI43" s="104">
        <f t="shared" si="258"/>
        <v>28500.407851008626</v>
      </c>
      <c r="AJ43" s="104">
        <f t="shared" si="258"/>
        <v>30083.258820951392</v>
      </c>
      <c r="AK43" s="104">
        <f t="shared" si="258"/>
        <v>30906.187549969523</v>
      </c>
      <c r="AL43" s="104">
        <f t="shared" si="258"/>
        <v>29134.687951439075</v>
      </c>
      <c r="AM43" s="104">
        <f t="shared" si="258"/>
        <v>30427.818051314542</v>
      </c>
      <c r="AN43" s="104">
        <f t="shared" si="257"/>
        <v>32159.873216258617</v>
      </c>
    </row>
    <row r="44" spans="2:40" s="18" customFormat="1" ht="21" customHeight="1" x14ac:dyDescent="0.2">
      <c r="B44" s="6" t="s">
        <v>138</v>
      </c>
      <c r="C44" s="26"/>
      <c r="D44" s="19"/>
      <c r="E44" s="105">
        <f t="shared" ref="E44:AN44" si="259">E12-E43</f>
        <v>-15207.375</v>
      </c>
      <c r="F44" s="105">
        <f t="shared" ref="F44:AM44" si="260">F12-F43</f>
        <v>-15918.67</v>
      </c>
      <c r="G44" s="105">
        <f t="shared" si="260"/>
        <v>-16671.006799999999</v>
      </c>
      <c r="H44" s="105">
        <f t="shared" si="260"/>
        <v>-15968.855572000002</v>
      </c>
      <c r="I44" s="105">
        <f t="shared" si="260"/>
        <v>-14061.835225880002</v>
      </c>
      <c r="J44" s="105">
        <f t="shared" si="260"/>
        <v>-14732.971373165203</v>
      </c>
      <c r="K44" s="105">
        <f t="shared" si="260"/>
        <v>-15216.867546799211</v>
      </c>
      <c r="L44" s="105">
        <f t="shared" si="260"/>
        <v>-15961.35757533333</v>
      </c>
      <c r="M44" s="105">
        <f t="shared" si="260"/>
        <v>-16749.629807424222</v>
      </c>
      <c r="N44" s="105">
        <f t="shared" si="260"/>
        <v>-17584.528302585408</v>
      </c>
      <c r="O44" s="105">
        <f t="shared" si="260"/>
        <v>-18469.091322749613</v>
      </c>
      <c r="P44" s="105">
        <f t="shared" si="260"/>
        <v>-19406.564945888429</v>
      </c>
      <c r="Q44" s="105">
        <f t="shared" si="260"/>
        <v>-20400.417648722298</v>
      </c>
      <c r="R44" s="105">
        <f t="shared" si="260"/>
        <v>-21454.355928210909</v>
      </c>
      <c r="S44" s="105">
        <f t="shared" si="260"/>
        <v>-21293.953307644213</v>
      </c>
      <c r="T44" s="105">
        <f t="shared" si="260"/>
        <v>-22454.651426427328</v>
      </c>
      <c r="U44" s="105">
        <f t="shared" si="260"/>
        <v>-23687.644783543979</v>
      </c>
      <c r="V44" s="105">
        <f t="shared" si="260"/>
        <v>-20710.226438495767</v>
      </c>
      <c r="W44" s="105">
        <f t="shared" si="260"/>
        <v>-21802.501361459621</v>
      </c>
      <c r="X44" s="105">
        <f t="shared" si="260"/>
        <v>-22671.498643307281</v>
      </c>
      <c r="Y44" s="105">
        <f t="shared" si="260"/>
        <v>-23893.098527619968</v>
      </c>
      <c r="Z44" s="105">
        <f t="shared" si="260"/>
        <v>-25190.407837741823</v>
      </c>
      <c r="AA44" s="105">
        <f t="shared" si="260"/>
        <v>-26568.48845310431</v>
      </c>
      <c r="AB44" s="105">
        <f t="shared" si="260"/>
        <v>-28032.754766134214</v>
      </c>
      <c r="AC44" s="105">
        <f t="shared" si="260"/>
        <v>-24015.440890287573</v>
      </c>
      <c r="AD44" s="105">
        <f t="shared" si="260"/>
        <v>-22180.310332753674</v>
      </c>
      <c r="AE44" s="105">
        <f t="shared" si="260"/>
        <v>-23359.65792249209</v>
      </c>
      <c r="AF44" s="105">
        <f t="shared" si="260"/>
        <v>-24290.324370176295</v>
      </c>
      <c r="AG44" s="105">
        <f t="shared" si="260"/>
        <v>-25609.686083081113</v>
      </c>
      <c r="AH44" s="105">
        <f t="shared" si="260"/>
        <v>-27011.197602241984</v>
      </c>
      <c r="AI44" s="105">
        <f t="shared" si="260"/>
        <v>-28500.407851008626</v>
      </c>
      <c r="AJ44" s="105">
        <f t="shared" si="260"/>
        <v>-30083.258820951392</v>
      </c>
      <c r="AK44" s="105">
        <f t="shared" si="260"/>
        <v>-30906.187549969523</v>
      </c>
      <c r="AL44" s="105">
        <f t="shared" si="260"/>
        <v>-29134.687951439075</v>
      </c>
      <c r="AM44" s="105">
        <f t="shared" si="260"/>
        <v>-30427.818051314542</v>
      </c>
      <c r="AN44" s="105">
        <f t="shared" si="259"/>
        <v>-32159.873216258617</v>
      </c>
    </row>
    <row r="45" spans="2:40" s="16" customFormat="1" ht="21" customHeight="1" x14ac:dyDescent="0.2">
      <c r="B45" s="6" t="s">
        <v>58</v>
      </c>
      <c r="C45" s="101">
        <v>0.1</v>
      </c>
      <c r="D45" s="14"/>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2:40" s="16" customFormat="1" ht="21" customHeight="1" x14ac:dyDescent="0.2">
      <c r="B46" s="5" t="s">
        <v>139</v>
      </c>
      <c r="C46" s="101">
        <v>0.1</v>
      </c>
      <c r="D46" s="14"/>
      <c r="E46" s="102">
        <v>0</v>
      </c>
      <c r="F46" s="103">
        <f t="shared" ref="F46" si="261">E46*(1+$C46)</f>
        <v>0</v>
      </c>
      <c r="G46" s="103">
        <f t="shared" ref="G46" si="262">F46*(1+$C46)</f>
        <v>0</v>
      </c>
      <c r="H46" s="103">
        <f t="shared" ref="H46" si="263">G46*(1+$C46)</f>
        <v>0</v>
      </c>
      <c r="I46" s="103">
        <f t="shared" ref="I46" si="264">H46*(1+$C46)</f>
        <v>0</v>
      </c>
      <c r="J46" s="103">
        <f t="shared" ref="J46" si="265">I46*(1+$C46)</f>
        <v>0</v>
      </c>
      <c r="K46" s="103">
        <f t="shared" ref="K46" si="266">J46*(1+$C46)</f>
        <v>0</v>
      </c>
      <c r="L46" s="103">
        <f t="shared" ref="L46" si="267">K46*(1+$C46)</f>
        <v>0</v>
      </c>
      <c r="M46" s="103">
        <f t="shared" ref="M46" si="268">L46*(1+$C46)</f>
        <v>0</v>
      </c>
      <c r="N46" s="103">
        <f t="shared" ref="N46" si="269">M46*(1+$C46)</f>
        <v>0</v>
      </c>
      <c r="O46" s="103">
        <f t="shared" ref="O46" si="270">N46*(1+$C46)</f>
        <v>0</v>
      </c>
      <c r="P46" s="103">
        <f t="shared" ref="P46" si="271">O46*(1+$C46)</f>
        <v>0</v>
      </c>
      <c r="Q46" s="103">
        <f t="shared" ref="Q46" si="272">P46*(1+$C46)</f>
        <v>0</v>
      </c>
      <c r="R46" s="103">
        <f t="shared" ref="R46" si="273">Q46*(1+$C46)</f>
        <v>0</v>
      </c>
      <c r="S46" s="103">
        <f t="shared" ref="S46" si="274">R46*(1+$C46)</f>
        <v>0</v>
      </c>
      <c r="T46" s="103">
        <f t="shared" ref="T46" si="275">S46*(1+$C46)</f>
        <v>0</v>
      </c>
      <c r="U46" s="103">
        <f t="shared" ref="U46" si="276">T46*(1+$C46)</f>
        <v>0</v>
      </c>
      <c r="V46" s="103">
        <f t="shared" ref="V46" si="277">U46*(1+$C46)</f>
        <v>0</v>
      </c>
      <c r="W46" s="103">
        <f t="shared" ref="W46" si="278">V46*(1+$C46)</f>
        <v>0</v>
      </c>
      <c r="X46" s="103">
        <f t="shared" ref="X46" si="279">W46*(1+$C46)</f>
        <v>0</v>
      </c>
      <c r="Y46" s="103">
        <f t="shared" ref="Y46" si="280">X46*(1+$C46)</f>
        <v>0</v>
      </c>
      <c r="Z46" s="103">
        <f t="shared" ref="Z46" si="281">Y46*(1+$C46)</f>
        <v>0</v>
      </c>
      <c r="AA46" s="103">
        <f t="shared" ref="AA46" si="282">Z46*(1+$C46)</f>
        <v>0</v>
      </c>
      <c r="AB46" s="103">
        <f t="shared" ref="AB46" si="283">AA46*(1+$C46)</f>
        <v>0</v>
      </c>
      <c r="AC46" s="103">
        <f t="shared" ref="AC46" si="284">AB46*(1+$C46)</f>
        <v>0</v>
      </c>
      <c r="AD46" s="103">
        <f t="shared" ref="AD46" si="285">AC46*(1+$C46)</f>
        <v>0</v>
      </c>
      <c r="AE46" s="103">
        <f t="shared" ref="AE46" si="286">AD46*(1+$C46)</f>
        <v>0</v>
      </c>
      <c r="AF46" s="103">
        <f t="shared" ref="AF46" si="287">AE46*(1+$C46)</f>
        <v>0</v>
      </c>
      <c r="AG46" s="103">
        <f t="shared" ref="AG46" si="288">AF46*(1+$C46)</f>
        <v>0</v>
      </c>
      <c r="AH46" s="103">
        <f t="shared" ref="AH46" si="289">AG46*(1+$C46)</f>
        <v>0</v>
      </c>
      <c r="AI46" s="103">
        <f t="shared" ref="AI46" si="290">AH46*(1+$C46)</f>
        <v>0</v>
      </c>
      <c r="AJ46" s="103">
        <f t="shared" ref="AJ46" si="291">AI46*(1+$C46)</f>
        <v>0</v>
      </c>
      <c r="AK46" s="103">
        <f t="shared" ref="AK46" si="292">AJ46*(1+$C46)</f>
        <v>0</v>
      </c>
      <c r="AL46" s="103">
        <f t="shared" ref="AL46" si="293">AK46*(1+$C46)</f>
        <v>0</v>
      </c>
      <c r="AM46" s="103">
        <f t="shared" ref="AM46" si="294">AL46*(1+$C46)</f>
        <v>0</v>
      </c>
      <c r="AN46" s="103">
        <f t="shared" ref="AN46" si="295">AM46*(1+$C46)</f>
        <v>0</v>
      </c>
    </row>
    <row r="47" spans="2:40" s="16" customFormat="1" ht="21" customHeight="1" x14ac:dyDescent="0.2">
      <c r="B47" s="6" t="s">
        <v>152</v>
      </c>
      <c r="C47" s="26"/>
      <c r="D47" s="14"/>
      <c r="E47" s="104">
        <f t="shared" ref="E47:AM47" si="296">SUM(E46 + E45)</f>
        <v>0</v>
      </c>
      <c r="F47" s="104">
        <f t="shared" si="296"/>
        <v>0</v>
      </c>
      <c r="G47" s="104">
        <f t="shared" si="296"/>
        <v>0</v>
      </c>
      <c r="H47" s="104">
        <f t="shared" si="296"/>
        <v>0</v>
      </c>
      <c r="I47" s="104">
        <f t="shared" si="296"/>
        <v>0</v>
      </c>
      <c r="J47" s="104">
        <f t="shared" si="296"/>
        <v>0</v>
      </c>
      <c r="K47" s="104">
        <f t="shared" si="296"/>
        <v>0</v>
      </c>
      <c r="L47" s="104">
        <f t="shared" si="296"/>
        <v>0</v>
      </c>
      <c r="M47" s="104">
        <f t="shared" si="296"/>
        <v>0</v>
      </c>
      <c r="N47" s="104">
        <f t="shared" si="296"/>
        <v>0</v>
      </c>
      <c r="O47" s="104">
        <f t="shared" si="296"/>
        <v>0</v>
      </c>
      <c r="P47" s="104">
        <f t="shared" si="296"/>
        <v>0</v>
      </c>
      <c r="Q47" s="104">
        <f t="shared" si="296"/>
        <v>0</v>
      </c>
      <c r="R47" s="104">
        <f t="shared" si="296"/>
        <v>0</v>
      </c>
      <c r="S47" s="104">
        <f t="shared" si="296"/>
        <v>0</v>
      </c>
      <c r="T47" s="104">
        <f t="shared" si="296"/>
        <v>0</v>
      </c>
      <c r="U47" s="104">
        <f t="shared" si="296"/>
        <v>0</v>
      </c>
      <c r="V47" s="104">
        <f t="shared" si="296"/>
        <v>0</v>
      </c>
      <c r="W47" s="104">
        <f t="shared" si="296"/>
        <v>0</v>
      </c>
      <c r="X47" s="104">
        <f t="shared" si="296"/>
        <v>0</v>
      </c>
      <c r="Y47" s="104">
        <f t="shared" si="296"/>
        <v>0</v>
      </c>
      <c r="Z47" s="104">
        <f t="shared" si="296"/>
        <v>0</v>
      </c>
      <c r="AA47" s="104">
        <f t="shared" si="296"/>
        <v>0</v>
      </c>
      <c r="AB47" s="104">
        <f t="shared" si="296"/>
        <v>0</v>
      </c>
      <c r="AC47" s="104">
        <f t="shared" si="296"/>
        <v>0</v>
      </c>
      <c r="AD47" s="104">
        <f t="shared" si="296"/>
        <v>0</v>
      </c>
      <c r="AE47" s="104">
        <f t="shared" si="296"/>
        <v>0</v>
      </c>
      <c r="AF47" s="104">
        <f t="shared" si="296"/>
        <v>0</v>
      </c>
      <c r="AG47" s="104">
        <f t="shared" si="296"/>
        <v>0</v>
      </c>
      <c r="AH47" s="104">
        <f t="shared" si="296"/>
        <v>0</v>
      </c>
      <c r="AI47" s="104">
        <f t="shared" si="296"/>
        <v>0</v>
      </c>
      <c r="AJ47" s="104">
        <f t="shared" si="296"/>
        <v>0</v>
      </c>
      <c r="AK47" s="104">
        <f t="shared" si="296"/>
        <v>0</v>
      </c>
      <c r="AL47" s="104">
        <f t="shared" si="296"/>
        <v>0</v>
      </c>
      <c r="AM47" s="104">
        <f t="shared" si="296"/>
        <v>0</v>
      </c>
      <c r="AN47" s="104">
        <f t="shared" ref="AN47" si="297">SUM(AN46 + AN45)</f>
        <v>0</v>
      </c>
    </row>
    <row r="48" spans="2:40" s="16" customFormat="1" ht="21" customHeight="1" x14ac:dyDescent="0.2">
      <c r="B48" s="6" t="s">
        <v>59</v>
      </c>
      <c r="C48" s="101">
        <v>0.1</v>
      </c>
      <c r="D48" s="14"/>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row>
    <row r="49" spans="2:40" s="16" customFormat="1" ht="21" customHeight="1" x14ac:dyDescent="0.2">
      <c r="B49" s="5" t="s">
        <v>140</v>
      </c>
      <c r="C49" s="101">
        <v>0.1</v>
      </c>
      <c r="D49" s="14"/>
      <c r="E49" s="102">
        <v>0</v>
      </c>
      <c r="F49" s="102">
        <v>0</v>
      </c>
      <c r="G49" s="102">
        <v>0</v>
      </c>
      <c r="H49" s="102">
        <v>0</v>
      </c>
      <c r="I49" s="102">
        <v>0</v>
      </c>
      <c r="J49" s="102">
        <v>0</v>
      </c>
      <c r="K49" s="102">
        <v>0</v>
      </c>
      <c r="L49" s="102">
        <v>0</v>
      </c>
      <c r="M49" s="102">
        <v>0</v>
      </c>
      <c r="N49" s="102">
        <v>0</v>
      </c>
      <c r="O49" s="102">
        <v>0</v>
      </c>
      <c r="P49" s="102">
        <v>0</v>
      </c>
      <c r="Q49" s="102">
        <v>0</v>
      </c>
      <c r="R49" s="102">
        <v>0</v>
      </c>
      <c r="S49" s="102">
        <v>0</v>
      </c>
      <c r="T49" s="102">
        <v>0</v>
      </c>
      <c r="U49" s="102">
        <v>0</v>
      </c>
      <c r="V49" s="102">
        <v>0</v>
      </c>
      <c r="W49" s="102">
        <v>0</v>
      </c>
      <c r="X49" s="102">
        <v>0</v>
      </c>
      <c r="Y49" s="102">
        <v>0</v>
      </c>
      <c r="Z49" s="102">
        <v>0</v>
      </c>
      <c r="AA49" s="102">
        <v>0</v>
      </c>
      <c r="AB49" s="102">
        <v>0</v>
      </c>
      <c r="AC49" s="102">
        <v>0</v>
      </c>
      <c r="AD49" s="102">
        <v>0</v>
      </c>
      <c r="AE49" s="102">
        <v>0</v>
      </c>
      <c r="AF49" s="102">
        <v>0</v>
      </c>
      <c r="AG49" s="102">
        <v>0</v>
      </c>
      <c r="AH49" s="102">
        <v>0</v>
      </c>
      <c r="AI49" s="102">
        <v>0</v>
      </c>
      <c r="AJ49" s="102">
        <v>0</v>
      </c>
      <c r="AK49" s="102">
        <v>0</v>
      </c>
      <c r="AL49" s="102">
        <v>0</v>
      </c>
      <c r="AM49" s="102">
        <v>0</v>
      </c>
      <c r="AN49" s="102">
        <v>0</v>
      </c>
    </row>
    <row r="50" spans="2:40" s="16" customFormat="1" ht="21" customHeight="1" x14ac:dyDescent="0.2">
      <c r="B50" s="5" t="s">
        <v>60</v>
      </c>
      <c r="C50" s="101">
        <v>0.1</v>
      </c>
      <c r="D50" s="14"/>
      <c r="E50" s="102">
        <v>0</v>
      </c>
      <c r="F50" s="102">
        <v>0</v>
      </c>
      <c r="G50" s="102">
        <v>0</v>
      </c>
      <c r="H50" s="102">
        <v>0</v>
      </c>
      <c r="I50" s="102">
        <v>0</v>
      </c>
      <c r="J50" s="102">
        <v>0</v>
      </c>
      <c r="K50" s="102">
        <v>0</v>
      </c>
      <c r="L50" s="102">
        <v>0</v>
      </c>
      <c r="M50" s="102">
        <v>0</v>
      </c>
      <c r="N50" s="102">
        <v>0</v>
      </c>
      <c r="O50" s="102">
        <v>0</v>
      </c>
      <c r="P50" s="102">
        <v>0</v>
      </c>
      <c r="Q50" s="102">
        <v>0</v>
      </c>
      <c r="R50" s="102">
        <v>0</v>
      </c>
      <c r="S50" s="102">
        <v>0</v>
      </c>
      <c r="T50" s="102">
        <v>0</v>
      </c>
      <c r="U50" s="102">
        <v>0</v>
      </c>
      <c r="V50" s="102">
        <v>0</v>
      </c>
      <c r="W50" s="102">
        <v>0</v>
      </c>
      <c r="X50" s="102">
        <v>0</v>
      </c>
      <c r="Y50" s="102">
        <v>0</v>
      </c>
      <c r="Z50" s="102">
        <v>0</v>
      </c>
      <c r="AA50" s="102">
        <v>0</v>
      </c>
      <c r="AB50" s="102">
        <v>0</v>
      </c>
      <c r="AC50" s="102">
        <v>0</v>
      </c>
      <c r="AD50" s="102">
        <v>0</v>
      </c>
      <c r="AE50" s="102">
        <v>0</v>
      </c>
      <c r="AF50" s="102">
        <v>0</v>
      </c>
      <c r="AG50" s="102">
        <v>0</v>
      </c>
      <c r="AH50" s="102">
        <v>0</v>
      </c>
      <c r="AI50" s="102">
        <v>0</v>
      </c>
      <c r="AJ50" s="102">
        <v>0</v>
      </c>
      <c r="AK50" s="102">
        <v>0</v>
      </c>
      <c r="AL50" s="102">
        <v>0</v>
      </c>
      <c r="AM50" s="102">
        <v>0</v>
      </c>
      <c r="AN50" s="102">
        <v>0</v>
      </c>
    </row>
    <row r="51" spans="2:40" s="16" customFormat="1" ht="21" customHeight="1" x14ac:dyDescent="0.2">
      <c r="B51" s="6" t="s">
        <v>153</v>
      </c>
      <c r="C51" s="6"/>
      <c r="D51" s="14"/>
      <c r="E51" s="104">
        <f t="shared" ref="E51:AN51" si="298">SUM(E50, E49 + E48)</f>
        <v>0</v>
      </c>
      <c r="F51" s="104">
        <f t="shared" ref="F51:AM51" si="299">SUM(F50, F49 + F48)</f>
        <v>0</v>
      </c>
      <c r="G51" s="104">
        <f t="shared" si="299"/>
        <v>0</v>
      </c>
      <c r="H51" s="104">
        <f t="shared" si="299"/>
        <v>0</v>
      </c>
      <c r="I51" s="104">
        <f t="shared" si="299"/>
        <v>0</v>
      </c>
      <c r="J51" s="104">
        <f t="shared" si="299"/>
        <v>0</v>
      </c>
      <c r="K51" s="104">
        <f t="shared" si="299"/>
        <v>0</v>
      </c>
      <c r="L51" s="104">
        <f t="shared" si="299"/>
        <v>0</v>
      </c>
      <c r="M51" s="104">
        <f t="shared" si="299"/>
        <v>0</v>
      </c>
      <c r="N51" s="104">
        <f t="shared" si="299"/>
        <v>0</v>
      </c>
      <c r="O51" s="104">
        <f t="shared" si="299"/>
        <v>0</v>
      </c>
      <c r="P51" s="104">
        <f t="shared" si="299"/>
        <v>0</v>
      </c>
      <c r="Q51" s="104">
        <f t="shared" si="299"/>
        <v>0</v>
      </c>
      <c r="R51" s="104">
        <f t="shared" si="299"/>
        <v>0</v>
      </c>
      <c r="S51" s="104">
        <f t="shared" si="299"/>
        <v>0</v>
      </c>
      <c r="T51" s="104">
        <f t="shared" si="299"/>
        <v>0</v>
      </c>
      <c r="U51" s="104">
        <f t="shared" si="299"/>
        <v>0</v>
      </c>
      <c r="V51" s="104">
        <f t="shared" si="299"/>
        <v>0</v>
      </c>
      <c r="W51" s="104">
        <f t="shared" si="299"/>
        <v>0</v>
      </c>
      <c r="X51" s="104">
        <f t="shared" si="299"/>
        <v>0</v>
      </c>
      <c r="Y51" s="104">
        <f t="shared" si="299"/>
        <v>0</v>
      </c>
      <c r="Z51" s="104">
        <f t="shared" si="299"/>
        <v>0</v>
      </c>
      <c r="AA51" s="104">
        <f t="shared" si="299"/>
        <v>0</v>
      </c>
      <c r="AB51" s="104">
        <f t="shared" si="299"/>
        <v>0</v>
      </c>
      <c r="AC51" s="104">
        <f t="shared" si="299"/>
        <v>0</v>
      </c>
      <c r="AD51" s="104">
        <f t="shared" si="299"/>
        <v>0</v>
      </c>
      <c r="AE51" s="104">
        <f t="shared" si="299"/>
        <v>0</v>
      </c>
      <c r="AF51" s="104">
        <f t="shared" si="299"/>
        <v>0</v>
      </c>
      <c r="AG51" s="104">
        <f t="shared" si="299"/>
        <v>0</v>
      </c>
      <c r="AH51" s="104">
        <f t="shared" si="299"/>
        <v>0</v>
      </c>
      <c r="AI51" s="104">
        <f t="shared" si="299"/>
        <v>0</v>
      </c>
      <c r="AJ51" s="104">
        <f t="shared" si="299"/>
        <v>0</v>
      </c>
      <c r="AK51" s="104">
        <f t="shared" si="299"/>
        <v>0</v>
      </c>
      <c r="AL51" s="104">
        <f t="shared" si="299"/>
        <v>0</v>
      </c>
      <c r="AM51" s="104">
        <f t="shared" si="299"/>
        <v>0</v>
      </c>
      <c r="AN51" s="104">
        <f t="shared" si="298"/>
        <v>0</v>
      </c>
    </row>
    <row r="52" spans="2:40" s="18" customFormat="1" ht="21" customHeight="1" x14ac:dyDescent="0.2">
      <c r="B52" s="6" t="s">
        <v>61</v>
      </c>
      <c r="C52" s="6"/>
      <c r="D52" s="19"/>
      <c r="E52" s="105">
        <f t="shared" ref="E52:AN52" si="300">E47-E51</f>
        <v>0</v>
      </c>
      <c r="F52" s="105">
        <f t="shared" ref="F52:AM52" si="301">F47-F51</f>
        <v>0</v>
      </c>
      <c r="G52" s="105">
        <f t="shared" si="301"/>
        <v>0</v>
      </c>
      <c r="H52" s="105">
        <f t="shared" si="301"/>
        <v>0</v>
      </c>
      <c r="I52" s="105">
        <f t="shared" si="301"/>
        <v>0</v>
      </c>
      <c r="J52" s="105">
        <f t="shared" si="301"/>
        <v>0</v>
      </c>
      <c r="K52" s="105">
        <f t="shared" si="301"/>
        <v>0</v>
      </c>
      <c r="L52" s="105">
        <f t="shared" si="301"/>
        <v>0</v>
      </c>
      <c r="M52" s="105">
        <f t="shared" si="301"/>
        <v>0</v>
      </c>
      <c r="N52" s="105">
        <f t="shared" si="301"/>
        <v>0</v>
      </c>
      <c r="O52" s="105">
        <f t="shared" si="301"/>
        <v>0</v>
      </c>
      <c r="P52" s="105">
        <f t="shared" si="301"/>
        <v>0</v>
      </c>
      <c r="Q52" s="105">
        <f t="shared" si="301"/>
        <v>0</v>
      </c>
      <c r="R52" s="105">
        <f t="shared" si="301"/>
        <v>0</v>
      </c>
      <c r="S52" s="105">
        <f t="shared" si="301"/>
        <v>0</v>
      </c>
      <c r="T52" s="105">
        <f t="shared" si="301"/>
        <v>0</v>
      </c>
      <c r="U52" s="105">
        <f t="shared" si="301"/>
        <v>0</v>
      </c>
      <c r="V52" s="105">
        <f t="shared" si="301"/>
        <v>0</v>
      </c>
      <c r="W52" s="105">
        <f t="shared" si="301"/>
        <v>0</v>
      </c>
      <c r="X52" s="105">
        <f t="shared" si="301"/>
        <v>0</v>
      </c>
      <c r="Y52" s="105">
        <f t="shared" si="301"/>
        <v>0</v>
      </c>
      <c r="Z52" s="105">
        <f t="shared" si="301"/>
        <v>0</v>
      </c>
      <c r="AA52" s="105">
        <f t="shared" si="301"/>
        <v>0</v>
      </c>
      <c r="AB52" s="105">
        <f t="shared" si="301"/>
        <v>0</v>
      </c>
      <c r="AC52" s="105">
        <f t="shared" si="301"/>
        <v>0</v>
      </c>
      <c r="AD52" s="105">
        <f t="shared" si="301"/>
        <v>0</v>
      </c>
      <c r="AE52" s="105">
        <f t="shared" si="301"/>
        <v>0</v>
      </c>
      <c r="AF52" s="105">
        <f t="shared" si="301"/>
        <v>0</v>
      </c>
      <c r="AG52" s="105">
        <f t="shared" si="301"/>
        <v>0</v>
      </c>
      <c r="AH52" s="105">
        <f t="shared" si="301"/>
        <v>0</v>
      </c>
      <c r="AI52" s="105">
        <f t="shared" si="301"/>
        <v>0</v>
      </c>
      <c r="AJ52" s="105">
        <f t="shared" si="301"/>
        <v>0</v>
      </c>
      <c r="AK52" s="105">
        <f t="shared" si="301"/>
        <v>0</v>
      </c>
      <c r="AL52" s="105">
        <f t="shared" si="301"/>
        <v>0</v>
      </c>
      <c r="AM52" s="105">
        <f t="shared" si="301"/>
        <v>0</v>
      </c>
      <c r="AN52" s="105">
        <f t="shared" si="300"/>
        <v>0</v>
      </c>
    </row>
    <row r="53" spans="2:40" s="18" customFormat="1" ht="21" customHeight="1" x14ac:dyDescent="0.2">
      <c r="B53" s="6" t="s">
        <v>62</v>
      </c>
      <c r="C53" s="6"/>
      <c r="D53" s="19"/>
      <c r="E53" s="105">
        <f t="shared" ref="E53:AN53" si="302">E44+E52</f>
        <v>-15207.375</v>
      </c>
      <c r="F53" s="105">
        <f t="shared" ref="F53:AM53" si="303">F44+F52</f>
        <v>-15918.67</v>
      </c>
      <c r="G53" s="105">
        <f t="shared" si="303"/>
        <v>-16671.006799999999</v>
      </c>
      <c r="H53" s="105">
        <f t="shared" si="303"/>
        <v>-15968.855572000002</v>
      </c>
      <c r="I53" s="105">
        <f t="shared" si="303"/>
        <v>-14061.835225880002</v>
      </c>
      <c r="J53" s="105">
        <f t="shared" si="303"/>
        <v>-14732.971373165203</v>
      </c>
      <c r="K53" s="105">
        <f t="shared" si="303"/>
        <v>-15216.867546799211</v>
      </c>
      <c r="L53" s="105">
        <f t="shared" si="303"/>
        <v>-15961.35757533333</v>
      </c>
      <c r="M53" s="105">
        <f t="shared" si="303"/>
        <v>-16749.629807424222</v>
      </c>
      <c r="N53" s="105">
        <f t="shared" si="303"/>
        <v>-17584.528302585408</v>
      </c>
      <c r="O53" s="105">
        <f t="shared" si="303"/>
        <v>-18469.091322749613</v>
      </c>
      <c r="P53" s="105">
        <f t="shared" si="303"/>
        <v>-19406.564945888429</v>
      </c>
      <c r="Q53" s="105">
        <f t="shared" si="303"/>
        <v>-20400.417648722298</v>
      </c>
      <c r="R53" s="105">
        <f t="shared" si="303"/>
        <v>-21454.355928210909</v>
      </c>
      <c r="S53" s="105">
        <f t="shared" si="303"/>
        <v>-21293.953307644213</v>
      </c>
      <c r="T53" s="105">
        <f t="shared" si="303"/>
        <v>-22454.651426427328</v>
      </c>
      <c r="U53" s="105">
        <f t="shared" si="303"/>
        <v>-23687.644783543979</v>
      </c>
      <c r="V53" s="105">
        <f t="shared" si="303"/>
        <v>-20710.226438495767</v>
      </c>
      <c r="W53" s="105">
        <f t="shared" si="303"/>
        <v>-21802.501361459621</v>
      </c>
      <c r="X53" s="105">
        <f t="shared" si="303"/>
        <v>-22671.498643307281</v>
      </c>
      <c r="Y53" s="105">
        <f t="shared" si="303"/>
        <v>-23893.098527619968</v>
      </c>
      <c r="Z53" s="105">
        <f t="shared" si="303"/>
        <v>-25190.407837741823</v>
      </c>
      <c r="AA53" s="105">
        <f t="shared" si="303"/>
        <v>-26568.48845310431</v>
      </c>
      <c r="AB53" s="105">
        <f t="shared" si="303"/>
        <v>-28032.754766134214</v>
      </c>
      <c r="AC53" s="105">
        <f t="shared" si="303"/>
        <v>-24015.440890287573</v>
      </c>
      <c r="AD53" s="105">
        <f t="shared" si="303"/>
        <v>-22180.310332753674</v>
      </c>
      <c r="AE53" s="105">
        <f t="shared" si="303"/>
        <v>-23359.65792249209</v>
      </c>
      <c r="AF53" s="105">
        <f t="shared" si="303"/>
        <v>-24290.324370176295</v>
      </c>
      <c r="AG53" s="105">
        <f t="shared" si="303"/>
        <v>-25609.686083081113</v>
      </c>
      <c r="AH53" s="105">
        <f t="shared" si="303"/>
        <v>-27011.197602241984</v>
      </c>
      <c r="AI53" s="105">
        <f t="shared" si="303"/>
        <v>-28500.407851008626</v>
      </c>
      <c r="AJ53" s="105">
        <f t="shared" si="303"/>
        <v>-30083.258820951392</v>
      </c>
      <c r="AK53" s="105">
        <f t="shared" si="303"/>
        <v>-30906.187549969523</v>
      </c>
      <c r="AL53" s="105">
        <f t="shared" si="303"/>
        <v>-29134.687951439075</v>
      </c>
      <c r="AM53" s="105">
        <f t="shared" si="303"/>
        <v>-30427.818051314542</v>
      </c>
      <c r="AN53" s="105">
        <f t="shared" si="302"/>
        <v>-32159.873216258617</v>
      </c>
    </row>
    <row r="267" spans="9946:10001" s="9" customFormat="1" ht="21" customHeight="1" x14ac:dyDescent="0.2">
      <c r="NSC267" s="107">
        <v>74</v>
      </c>
    </row>
    <row r="268" spans="9946:10001" s="9" customFormat="1" ht="21" customHeight="1" x14ac:dyDescent="0.2">
      <c r="NSC268" s="107">
        <v>75</v>
      </c>
    </row>
    <row r="269" spans="9946:10001" s="9" customFormat="1" ht="18" customHeight="1" x14ac:dyDescent="0.2">
      <c r="NSC269" s="107">
        <v>76</v>
      </c>
      <c r="NTO269" s="20"/>
    </row>
    <row r="270" spans="9946:10001" s="9" customFormat="1" ht="21" customHeight="1" x14ac:dyDescent="0.2">
      <c r="NSC270" s="107">
        <v>77</v>
      </c>
      <c r="NTO270" s="20"/>
    </row>
    <row r="271" spans="9946:10001" s="9" customFormat="1" ht="21" customHeight="1" x14ac:dyDescent="0.2">
      <c r="NSC271" s="107">
        <v>78</v>
      </c>
      <c r="NTO271" s="20"/>
    </row>
    <row r="272" spans="9946:10001" s="9" customFormat="1" ht="21" customHeight="1" x14ac:dyDescent="0.2">
      <c r="NRN272" s="9" t="s">
        <v>154</v>
      </c>
      <c r="NSC272" s="107">
        <v>79</v>
      </c>
      <c r="NSE272" s="9" t="s">
        <v>154</v>
      </c>
      <c r="NTO272" s="20"/>
      <c r="NTQ272" s="9" t="s">
        <v>154</v>
      </c>
    </row>
    <row r="273" spans="9946:10001" s="9" customFormat="1" ht="21" customHeight="1" x14ac:dyDescent="0.2">
      <c r="NRN273" s="9" t="s">
        <v>154</v>
      </c>
      <c r="NSC273" s="107">
        <v>80</v>
      </c>
      <c r="NSE273" s="9" t="s">
        <v>154</v>
      </c>
      <c r="NTO273" s="20"/>
      <c r="NTQ273" s="9" t="s">
        <v>154</v>
      </c>
    </row>
    <row r="274" spans="9946:10001" s="9" customFormat="1" ht="21" customHeight="1" x14ac:dyDescent="0.2">
      <c r="NRN274" s="9" t="s">
        <v>154</v>
      </c>
      <c r="NSC274" s="107">
        <v>81</v>
      </c>
      <c r="NSE274" s="9" t="s">
        <v>154</v>
      </c>
      <c r="NTO274" s="20"/>
      <c r="NTQ274" s="9" t="s">
        <v>154</v>
      </c>
    </row>
    <row r="275" spans="9946:10001" s="9" customFormat="1" ht="21" customHeight="1" x14ac:dyDescent="0.2">
      <c r="NRN275" s="9" t="s">
        <v>154</v>
      </c>
      <c r="NSC275" s="107">
        <v>82</v>
      </c>
      <c r="NSE275" s="9" t="s">
        <v>154</v>
      </c>
      <c r="NTO275" s="20"/>
      <c r="NTQ275" s="9" t="s">
        <v>154</v>
      </c>
    </row>
    <row r="276" spans="9946:10001" s="9" customFormat="1" ht="21" customHeight="1" x14ac:dyDescent="0.2">
      <c r="NRN276" s="9" t="s">
        <v>154</v>
      </c>
      <c r="NSC276" s="107">
        <v>83</v>
      </c>
      <c r="NSE276" s="9" t="s">
        <v>154</v>
      </c>
      <c r="NTO276" s="108">
        <v>74</v>
      </c>
      <c r="NTQ276" s="9" t="s">
        <v>154</v>
      </c>
    </row>
    <row r="277" spans="9946:10001" s="9" customFormat="1" ht="21" customHeight="1" x14ac:dyDescent="0.2">
      <c r="NRN277" s="9" t="s">
        <v>154</v>
      </c>
      <c r="NSC277" s="107">
        <v>84</v>
      </c>
      <c r="NSE277" s="9" t="s">
        <v>154</v>
      </c>
      <c r="NTO277" s="108">
        <v>75</v>
      </c>
      <c r="NTQ277" s="9" t="s">
        <v>154</v>
      </c>
    </row>
    <row r="278" spans="9946:10001" s="9" customFormat="1" ht="21" customHeight="1" x14ac:dyDescent="0.2">
      <c r="NSC278" s="107">
        <v>85</v>
      </c>
      <c r="NTO278" s="108">
        <v>76</v>
      </c>
    </row>
    <row r="279" spans="9946:10001" s="9" customFormat="1" ht="21" customHeight="1" x14ac:dyDescent="0.2">
      <c r="NRN279" s="9" t="s">
        <v>154</v>
      </c>
      <c r="NSC279" s="107">
        <v>86</v>
      </c>
      <c r="NSE279" s="9" t="s">
        <v>154</v>
      </c>
      <c r="NTO279" s="108">
        <v>77</v>
      </c>
      <c r="NTQ279" s="9" t="s">
        <v>154</v>
      </c>
    </row>
    <row r="280" spans="9946:10001" ht="21" customHeight="1" x14ac:dyDescent="0.2">
      <c r="NRN280" s="21" t="s">
        <v>154</v>
      </c>
      <c r="NSC280" s="109">
        <v>87</v>
      </c>
      <c r="NSE280" s="21" t="s">
        <v>154</v>
      </c>
      <c r="NTO280" s="108">
        <v>78</v>
      </c>
      <c r="NTQ280" s="21" t="s">
        <v>154</v>
      </c>
    </row>
    <row r="281" spans="9946:10001" ht="21" customHeight="1" x14ac:dyDescent="0.2">
      <c r="NRN281" s="21" t="s">
        <v>154</v>
      </c>
      <c r="NSC281" s="109">
        <v>88</v>
      </c>
      <c r="NSE281" s="21" t="s">
        <v>154</v>
      </c>
      <c r="NTO281" s="108">
        <v>79</v>
      </c>
      <c r="NTQ281" s="21" t="s">
        <v>154</v>
      </c>
    </row>
    <row r="282" spans="9946:10001" ht="21" customHeight="1" x14ac:dyDescent="0.2">
      <c r="NRN282" s="21" t="s">
        <v>154</v>
      </c>
      <c r="NSC282" s="109">
        <v>89</v>
      </c>
      <c r="NSE282" s="21" t="s">
        <v>154</v>
      </c>
      <c r="NTO282" s="108">
        <v>80</v>
      </c>
      <c r="NTQ282" s="21" t="s">
        <v>154</v>
      </c>
    </row>
    <row r="283" spans="9946:10001" ht="21" customHeight="1" x14ac:dyDescent="0.2">
      <c r="NRN283" s="21" t="s">
        <v>154</v>
      </c>
      <c r="NSC283" s="109">
        <v>90</v>
      </c>
      <c r="NSE283" s="21" t="s">
        <v>154</v>
      </c>
      <c r="NTO283" s="108">
        <v>81</v>
      </c>
      <c r="NTQ283" s="21" t="s">
        <v>154</v>
      </c>
    </row>
    <row r="284" spans="9946:10001" ht="21" customHeight="1" x14ac:dyDescent="0.2">
      <c r="NRN284" s="21" t="s">
        <v>155</v>
      </c>
      <c r="NSC284" s="109">
        <v>91</v>
      </c>
      <c r="NSE284" s="21" t="s">
        <v>155</v>
      </c>
      <c r="NTO284" s="108">
        <v>82</v>
      </c>
      <c r="NTQ284" s="21" t="s">
        <v>155</v>
      </c>
    </row>
    <row r="285" spans="9946:10001" ht="21" customHeight="1" x14ac:dyDescent="0.2">
      <c r="NSC285" s="109">
        <v>92</v>
      </c>
      <c r="NTO285" s="108">
        <v>83</v>
      </c>
    </row>
    <row r="286" spans="9946:10001" ht="21" customHeight="1" x14ac:dyDescent="0.2">
      <c r="NRN286" s="21" t="s">
        <v>154</v>
      </c>
      <c r="NSC286" s="109">
        <v>93</v>
      </c>
      <c r="NSE286" s="21" t="s">
        <v>154</v>
      </c>
      <c r="NTO286" s="108">
        <v>84</v>
      </c>
      <c r="NTQ286" s="21" t="s">
        <v>154</v>
      </c>
    </row>
    <row r="287" spans="9946:10001" ht="21" customHeight="1" x14ac:dyDescent="0.2">
      <c r="NRN287" s="21" t="s">
        <v>154</v>
      </c>
      <c r="NSC287" s="109">
        <v>94</v>
      </c>
      <c r="NSE287" s="21" t="s">
        <v>154</v>
      </c>
      <c r="NTO287" s="108">
        <v>85</v>
      </c>
      <c r="NTQ287" s="21" t="s">
        <v>154</v>
      </c>
    </row>
    <row r="288" spans="9946:10001" ht="21" customHeight="1" x14ac:dyDescent="0.2">
      <c r="NRN288" s="21" t="s">
        <v>154</v>
      </c>
      <c r="NSE288" s="21" t="s">
        <v>154</v>
      </c>
      <c r="NTO288" s="108">
        <v>86</v>
      </c>
      <c r="NTQ288" s="21" t="s">
        <v>154</v>
      </c>
    </row>
    <row r="289" spans="9946:10001" ht="21" customHeight="1" x14ac:dyDescent="0.2">
      <c r="NRN289" s="21" t="s">
        <v>154</v>
      </c>
      <c r="NSE289" s="21" t="s">
        <v>154</v>
      </c>
      <c r="NTO289" s="108">
        <v>87</v>
      </c>
      <c r="NTQ289" s="21" t="s">
        <v>154</v>
      </c>
    </row>
    <row r="290" spans="9946:10001" ht="21" customHeight="1" x14ac:dyDescent="0.2">
      <c r="NRN290" s="21" t="s">
        <v>155</v>
      </c>
      <c r="NSE290" s="21" t="s">
        <v>155</v>
      </c>
      <c r="NTO290" s="108">
        <v>88</v>
      </c>
      <c r="NTQ290" s="21" t="s">
        <v>155</v>
      </c>
    </row>
    <row r="291" spans="9946:10001" ht="21" customHeight="1" x14ac:dyDescent="0.2">
      <c r="NRN291" s="21" t="s">
        <v>154</v>
      </c>
      <c r="NSE291" s="21" t="s">
        <v>154</v>
      </c>
      <c r="NTO291" s="108">
        <v>89</v>
      </c>
      <c r="NTQ291" s="21" t="s">
        <v>154</v>
      </c>
    </row>
    <row r="292" spans="9946:10001" ht="21" customHeight="1" x14ac:dyDescent="0.2">
      <c r="NRN292" s="21" t="s">
        <v>154</v>
      </c>
      <c r="NSE292" s="21" t="s">
        <v>154</v>
      </c>
      <c r="NTO292" s="108">
        <v>90</v>
      </c>
      <c r="NTQ292" s="21" t="s">
        <v>154</v>
      </c>
    </row>
    <row r="293" spans="9946:10001" ht="21" customHeight="1" x14ac:dyDescent="0.2">
      <c r="NRN293" s="21" t="s">
        <v>154</v>
      </c>
      <c r="NSE293" s="21" t="s">
        <v>154</v>
      </c>
      <c r="NTO293" s="108">
        <v>91</v>
      </c>
      <c r="NTQ293" s="21" t="s">
        <v>154</v>
      </c>
    </row>
    <row r="294" spans="9946:10001" ht="21" customHeight="1" x14ac:dyDescent="0.2">
      <c r="NTO294" s="108">
        <v>92</v>
      </c>
    </row>
    <row r="295" spans="9946:10001" ht="21" customHeight="1" x14ac:dyDescent="0.2">
      <c r="NRN295" s="21" t="s">
        <v>154</v>
      </c>
      <c r="NSE295" s="21" t="s">
        <v>154</v>
      </c>
      <c r="NTO295" s="108">
        <v>93</v>
      </c>
      <c r="NTQ295" s="21" t="s">
        <v>154</v>
      </c>
    </row>
    <row r="296" spans="9946:10001" ht="21" customHeight="1" x14ac:dyDescent="0.2">
      <c r="NSE296" s="21" t="s">
        <v>154</v>
      </c>
      <c r="NTO296" s="108">
        <v>94</v>
      </c>
      <c r="NTQ296" s="21" t="s">
        <v>154</v>
      </c>
    </row>
    <row r="297" spans="9946:10001" ht="21" customHeight="1" x14ac:dyDescent="0.2">
      <c r="NSE297" s="21" t="s">
        <v>155</v>
      </c>
      <c r="NTO297" s="108">
        <v>95</v>
      </c>
      <c r="NTQ297" s="21" t="s">
        <v>155</v>
      </c>
    </row>
    <row r="298" spans="9946:10001" ht="21" customHeight="1" x14ac:dyDescent="0.2">
      <c r="NTO298" s="108">
        <v>96</v>
      </c>
    </row>
    <row r="299" spans="9946:10001" ht="21" customHeight="1" x14ac:dyDescent="0.2">
      <c r="NTO299" s="108">
        <v>97</v>
      </c>
    </row>
    <row r="300" spans="9946:10001" ht="21" customHeight="1" x14ac:dyDescent="0.2">
      <c r="NTO300" s="108">
        <v>98</v>
      </c>
    </row>
    <row r="301" spans="9946:10001" ht="21" customHeight="1" x14ac:dyDescent="0.2">
      <c r="NTO301" s="108">
        <v>99</v>
      </c>
    </row>
    <row r="302" spans="9946:10001" ht="21" customHeight="1" x14ac:dyDescent="0.2">
      <c r="NTO302" s="108">
        <v>100</v>
      </c>
    </row>
    <row r="303" spans="9946:10001" ht="21" customHeight="1" x14ac:dyDescent="0.2">
      <c r="NTO303" s="108">
        <v>101</v>
      </c>
    </row>
    <row r="304" spans="9946:10001" ht="21" customHeight="1" x14ac:dyDescent="0.2">
      <c r="NTO304" s="108">
        <v>102</v>
      </c>
    </row>
  </sheetData>
  <dataConsolidate/>
  <dataValidations count="1">
    <dataValidation type="list" allowBlank="1" showInputMessage="1" showErrorMessage="1" sqref="E4" xr:uid="{BF892178-8416-455A-94E4-B90B9C818C08}">
      <formula1>"1/31/2021,1/31/2022,1/31/2023,1/31/2024,1/31/2025,1/31/2026,1/31/2027"</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A497D-5FDD-4F37-8F6C-852D524532CC}">
  <sheetPr>
    <tabColor theme="6" tint="0.79998168889431442"/>
    <outlinePr summaryBelow="0" summaryRight="0"/>
  </sheetPr>
  <dimension ref="A1:NTQ304"/>
  <sheetViews>
    <sheetView showGridLines="0" zoomScaleNormal="100" workbookViewId="0">
      <pane xSplit="4" ySplit="4" topLeftCell="E5" activePane="bottomRight" state="frozen"/>
      <selection pane="topRight" activeCell="B5" sqref="B5"/>
      <selection pane="bottomLeft" activeCell="B5" sqref="B5"/>
      <selection pane="bottomRight" activeCell="E49" sqref="E49"/>
    </sheetView>
  </sheetViews>
  <sheetFormatPr baseColWidth="10" defaultColWidth="9.140625" defaultRowHeight="15" x14ac:dyDescent="0.2"/>
  <cols>
    <col min="1" max="1" width="2.42578125" customWidth="1"/>
    <col min="2" max="2" width="42.28515625" style="2" customWidth="1"/>
    <col min="3" max="3" width="7.7109375" style="2" bestFit="1" customWidth="1"/>
    <col min="4" max="4" width="2.7109375" customWidth="1"/>
    <col min="5" max="5" width="12.42578125" style="21" customWidth="1"/>
    <col min="6" max="40" width="13.28515625" style="21" customWidth="1"/>
    <col min="41" max="9998" width="9.140625" style="21"/>
    <col min="9999" max="9999" width="9.140625" style="20"/>
    <col min="10000" max="16384" width="9.140625" style="21"/>
  </cols>
  <sheetData>
    <row r="1" spans="1:40" customFormat="1" ht="21" customHeight="1" x14ac:dyDescent="0.2">
      <c r="A1" s="10" t="s">
        <v>141</v>
      </c>
      <c r="B1" s="2"/>
      <c r="C1" s="2"/>
    </row>
    <row r="2" spans="1:40" customFormat="1" ht="21" customHeight="1" x14ac:dyDescent="0.2">
      <c r="A2" s="11" t="s">
        <v>142</v>
      </c>
      <c r="B2" s="2"/>
      <c r="C2" s="2"/>
    </row>
    <row r="3" spans="1:40" customFormat="1" x14ac:dyDescent="0.2">
      <c r="A3" t="s">
        <v>15</v>
      </c>
      <c r="B3" s="2"/>
      <c r="C3" s="2"/>
    </row>
    <row r="4" spans="1:40" s="12" customFormat="1" ht="16" x14ac:dyDescent="0.2">
      <c r="B4" s="3"/>
      <c r="C4" s="98" t="s">
        <v>144</v>
      </c>
      <c r="E4" s="99">
        <v>44957</v>
      </c>
      <c r="F4" s="100">
        <f t="shared" ref="F4" si="0">EOMONTH(E4,1)</f>
        <v>44985</v>
      </c>
      <c r="G4" s="100">
        <f t="shared" ref="G4" si="1">EOMONTH(F4,1)</f>
        <v>45016</v>
      </c>
      <c r="H4" s="100">
        <f t="shared" ref="H4" si="2">EOMONTH(G4,1)</f>
        <v>45046</v>
      </c>
      <c r="I4" s="100">
        <f t="shared" ref="I4" si="3">EOMONTH(H4,1)</f>
        <v>45077</v>
      </c>
      <c r="J4" s="100">
        <f t="shared" ref="J4" si="4">EOMONTH(I4,1)</f>
        <v>45107</v>
      </c>
      <c r="K4" s="100">
        <f t="shared" ref="K4" si="5">EOMONTH(J4,1)</f>
        <v>45138</v>
      </c>
      <c r="L4" s="100">
        <f t="shared" ref="L4" si="6">EOMONTH(K4,1)</f>
        <v>45169</v>
      </c>
      <c r="M4" s="100">
        <f t="shared" ref="M4" si="7">EOMONTH(L4,1)</f>
        <v>45199</v>
      </c>
      <c r="N4" s="100">
        <f t="shared" ref="N4" si="8">EOMONTH(M4,1)</f>
        <v>45230</v>
      </c>
      <c r="O4" s="100">
        <f t="shared" ref="O4" si="9">EOMONTH(N4,1)</f>
        <v>45260</v>
      </c>
      <c r="P4" s="100">
        <f t="shared" ref="P4" si="10">EOMONTH(O4,1)</f>
        <v>45291</v>
      </c>
      <c r="Q4" s="100">
        <f t="shared" ref="Q4" si="11">EOMONTH(P4,1)</f>
        <v>45322</v>
      </c>
      <c r="R4" s="100">
        <f t="shared" ref="R4" si="12">EOMONTH(Q4,1)</f>
        <v>45351</v>
      </c>
      <c r="S4" s="100">
        <f t="shared" ref="S4" si="13">EOMONTH(R4,1)</f>
        <v>45382</v>
      </c>
      <c r="T4" s="100">
        <f t="shared" ref="T4" si="14">EOMONTH(S4,1)</f>
        <v>45412</v>
      </c>
      <c r="U4" s="100">
        <f t="shared" ref="U4" si="15">EOMONTH(T4,1)</f>
        <v>45443</v>
      </c>
      <c r="V4" s="100">
        <f t="shared" ref="V4" si="16">EOMONTH(U4,1)</f>
        <v>45473</v>
      </c>
      <c r="W4" s="100">
        <f t="shared" ref="W4" si="17">EOMONTH(V4,1)</f>
        <v>45504</v>
      </c>
      <c r="X4" s="100">
        <f t="shared" ref="X4" si="18">EOMONTH(W4,1)</f>
        <v>45535</v>
      </c>
      <c r="Y4" s="100">
        <f t="shared" ref="Y4" si="19">EOMONTH(X4,1)</f>
        <v>45565</v>
      </c>
      <c r="Z4" s="100">
        <f t="shared" ref="Z4" si="20">EOMONTH(Y4,1)</f>
        <v>45596</v>
      </c>
      <c r="AA4" s="100">
        <f t="shared" ref="AA4" si="21">EOMONTH(Z4,1)</f>
        <v>45626</v>
      </c>
      <c r="AB4" s="100">
        <f t="shared" ref="AB4" si="22">EOMONTH(AA4,1)</f>
        <v>45657</v>
      </c>
      <c r="AC4" s="100">
        <f t="shared" ref="AC4" si="23">EOMONTH(AB4,1)</f>
        <v>45688</v>
      </c>
      <c r="AD4" s="100">
        <f t="shared" ref="AD4" si="24">EOMONTH(AC4,1)</f>
        <v>45716</v>
      </c>
      <c r="AE4" s="100">
        <f t="shared" ref="AE4" si="25">EOMONTH(AD4,1)</f>
        <v>45747</v>
      </c>
      <c r="AF4" s="100">
        <f t="shared" ref="AF4" si="26">EOMONTH(AE4,1)</f>
        <v>45777</v>
      </c>
      <c r="AG4" s="100">
        <f t="shared" ref="AG4" si="27">EOMONTH(AF4,1)</f>
        <v>45808</v>
      </c>
      <c r="AH4" s="100">
        <f t="shared" ref="AH4" si="28">EOMONTH(AG4,1)</f>
        <v>45838</v>
      </c>
      <c r="AI4" s="100">
        <f t="shared" ref="AI4" si="29">EOMONTH(AH4,1)</f>
        <v>45869</v>
      </c>
      <c r="AJ4" s="100">
        <f t="shared" ref="AJ4" si="30">EOMONTH(AI4,1)</f>
        <v>45900</v>
      </c>
      <c r="AK4" s="100">
        <f t="shared" ref="AK4" si="31">EOMONTH(AJ4,1)</f>
        <v>45930</v>
      </c>
      <c r="AL4" s="100">
        <f t="shared" ref="AL4" si="32">EOMONTH(AK4,1)</f>
        <v>45961</v>
      </c>
      <c r="AM4" s="100">
        <f t="shared" ref="AM4" si="33">EOMONTH(AL4,1)</f>
        <v>45991</v>
      </c>
      <c r="AN4" s="100">
        <f t="shared" ref="AN4" si="34">EOMONTH(AM4,1)</f>
        <v>46022</v>
      </c>
    </row>
    <row r="5" spans="1:40" s="16" customFormat="1" ht="21" customHeight="1" x14ac:dyDescent="0.2">
      <c r="A5" s="13"/>
      <c r="B5" s="4" t="s">
        <v>30</v>
      </c>
      <c r="C5" s="4"/>
      <c r="D5" s="14"/>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row>
    <row r="6" spans="1:40" s="16" customFormat="1" ht="21" customHeight="1" x14ac:dyDescent="0.2">
      <c r="A6" s="13"/>
      <c r="B6" s="5" t="s">
        <v>92</v>
      </c>
      <c r="C6" s="101">
        <v>0.1</v>
      </c>
      <c r="D6" s="14"/>
      <c r="E6" s="102">
        <v>0</v>
      </c>
      <c r="F6" s="102">
        <v>0</v>
      </c>
      <c r="G6" s="102">
        <v>0</v>
      </c>
      <c r="H6" s="102">
        <v>0</v>
      </c>
      <c r="I6" s="102">
        <v>0</v>
      </c>
      <c r="J6" s="102">
        <v>0</v>
      </c>
      <c r="K6" s="102">
        <v>0</v>
      </c>
      <c r="L6" s="102">
        <v>0</v>
      </c>
      <c r="M6" s="102">
        <v>0</v>
      </c>
      <c r="N6" s="102">
        <v>0</v>
      </c>
      <c r="O6" s="102">
        <v>0</v>
      </c>
      <c r="P6" s="102">
        <v>0</v>
      </c>
      <c r="Q6" s="102">
        <v>0</v>
      </c>
      <c r="R6" s="102">
        <v>0</v>
      </c>
      <c r="S6" s="102">
        <v>0</v>
      </c>
      <c r="T6" s="102">
        <v>0</v>
      </c>
      <c r="U6" s="102">
        <v>0</v>
      </c>
      <c r="V6" s="102">
        <v>0</v>
      </c>
      <c r="W6" s="102">
        <v>0</v>
      </c>
      <c r="X6" s="102">
        <v>0</v>
      </c>
      <c r="Y6" s="102">
        <v>0</v>
      </c>
      <c r="Z6" s="102">
        <v>0</v>
      </c>
      <c r="AA6" s="102">
        <v>0</v>
      </c>
      <c r="AB6" s="102">
        <v>0</v>
      </c>
      <c r="AC6" s="102">
        <v>0</v>
      </c>
      <c r="AD6" s="102">
        <v>0</v>
      </c>
      <c r="AE6" s="102">
        <v>0</v>
      </c>
      <c r="AF6" s="102">
        <v>0</v>
      </c>
      <c r="AG6" s="102">
        <v>0</v>
      </c>
      <c r="AH6" s="102">
        <v>0</v>
      </c>
      <c r="AI6" s="102">
        <v>0</v>
      </c>
      <c r="AJ6" s="102">
        <v>0</v>
      </c>
      <c r="AK6" s="102">
        <v>0</v>
      </c>
      <c r="AL6" s="102">
        <v>0</v>
      </c>
      <c r="AM6" s="102">
        <v>0</v>
      </c>
      <c r="AN6" s="102">
        <v>0</v>
      </c>
    </row>
    <row r="7" spans="1:40" s="16" customFormat="1" ht="21" customHeight="1" x14ac:dyDescent="0.2">
      <c r="A7" s="13"/>
      <c r="B7" s="6" t="s">
        <v>145</v>
      </c>
      <c r="C7" s="26"/>
      <c r="D7" s="14"/>
      <c r="E7" s="104">
        <f t="shared" ref="E7:AN7" si="35">SUM(E6 + E5)</f>
        <v>0</v>
      </c>
      <c r="F7" s="104">
        <f t="shared" ref="F7:AM7" si="36">SUM(F6 + F5)</f>
        <v>0</v>
      </c>
      <c r="G7" s="104">
        <f t="shared" si="36"/>
        <v>0</v>
      </c>
      <c r="H7" s="104">
        <f t="shared" si="36"/>
        <v>0</v>
      </c>
      <c r="I7" s="104">
        <f t="shared" si="36"/>
        <v>0</v>
      </c>
      <c r="J7" s="104">
        <f t="shared" si="36"/>
        <v>0</v>
      </c>
      <c r="K7" s="104">
        <f t="shared" si="36"/>
        <v>0</v>
      </c>
      <c r="L7" s="104">
        <f t="shared" si="36"/>
        <v>0</v>
      </c>
      <c r="M7" s="104">
        <f t="shared" si="36"/>
        <v>0</v>
      </c>
      <c r="N7" s="104">
        <f t="shared" si="36"/>
        <v>0</v>
      </c>
      <c r="O7" s="104">
        <f t="shared" si="36"/>
        <v>0</v>
      </c>
      <c r="P7" s="104">
        <f t="shared" si="36"/>
        <v>0</v>
      </c>
      <c r="Q7" s="104">
        <f t="shared" si="36"/>
        <v>0</v>
      </c>
      <c r="R7" s="104">
        <f t="shared" si="36"/>
        <v>0</v>
      </c>
      <c r="S7" s="104">
        <f t="shared" si="36"/>
        <v>0</v>
      </c>
      <c r="T7" s="104">
        <f t="shared" si="36"/>
        <v>0</v>
      </c>
      <c r="U7" s="104">
        <f t="shared" si="36"/>
        <v>0</v>
      </c>
      <c r="V7" s="104">
        <f t="shared" si="36"/>
        <v>0</v>
      </c>
      <c r="W7" s="104">
        <f t="shared" si="36"/>
        <v>0</v>
      </c>
      <c r="X7" s="104">
        <f t="shared" si="36"/>
        <v>0</v>
      </c>
      <c r="Y7" s="104">
        <f t="shared" si="36"/>
        <v>0</v>
      </c>
      <c r="Z7" s="104">
        <f t="shared" si="36"/>
        <v>0</v>
      </c>
      <c r="AA7" s="104">
        <f t="shared" si="36"/>
        <v>0</v>
      </c>
      <c r="AB7" s="104">
        <f t="shared" si="36"/>
        <v>0</v>
      </c>
      <c r="AC7" s="104">
        <f t="shared" si="36"/>
        <v>0</v>
      </c>
      <c r="AD7" s="104">
        <f t="shared" si="36"/>
        <v>0</v>
      </c>
      <c r="AE7" s="104">
        <f t="shared" si="36"/>
        <v>0</v>
      </c>
      <c r="AF7" s="104">
        <f t="shared" si="36"/>
        <v>0</v>
      </c>
      <c r="AG7" s="104">
        <f t="shared" si="36"/>
        <v>0</v>
      </c>
      <c r="AH7" s="104">
        <f t="shared" si="36"/>
        <v>0</v>
      </c>
      <c r="AI7" s="104">
        <f t="shared" si="36"/>
        <v>0</v>
      </c>
      <c r="AJ7" s="104">
        <f t="shared" si="36"/>
        <v>0</v>
      </c>
      <c r="AK7" s="104">
        <f t="shared" si="36"/>
        <v>0</v>
      </c>
      <c r="AL7" s="104">
        <f t="shared" si="36"/>
        <v>0</v>
      </c>
      <c r="AM7" s="104">
        <f t="shared" si="36"/>
        <v>0</v>
      </c>
      <c r="AN7" s="104">
        <f t="shared" si="35"/>
        <v>0</v>
      </c>
    </row>
    <row r="8" spans="1:40" s="16" customFormat="1" ht="21" customHeight="1" x14ac:dyDescent="0.2">
      <c r="A8" s="13"/>
      <c r="B8" s="6" t="s">
        <v>41</v>
      </c>
      <c r="C8" s="26"/>
      <c r="D8" s="14"/>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row>
    <row r="9" spans="1:40" s="16" customFormat="1" ht="21" customHeight="1" x14ac:dyDescent="0.2">
      <c r="A9" s="13"/>
      <c r="B9" s="5" t="s">
        <v>96</v>
      </c>
      <c r="C9" s="101">
        <v>0.05</v>
      </c>
      <c r="D9" s="14"/>
      <c r="E9" s="102">
        <v>0</v>
      </c>
      <c r="F9" s="102">
        <v>0</v>
      </c>
      <c r="G9" s="102">
        <v>0</v>
      </c>
      <c r="H9" s="102">
        <v>0</v>
      </c>
      <c r="I9" s="102">
        <v>0</v>
      </c>
      <c r="J9" s="102">
        <v>0</v>
      </c>
      <c r="K9" s="102">
        <v>0</v>
      </c>
      <c r="L9" s="102">
        <v>0</v>
      </c>
      <c r="M9" s="102">
        <v>0</v>
      </c>
      <c r="N9" s="102">
        <v>0</v>
      </c>
      <c r="O9" s="102">
        <v>0</v>
      </c>
      <c r="P9" s="102">
        <v>0</v>
      </c>
      <c r="Q9" s="102">
        <v>0</v>
      </c>
      <c r="R9" s="102">
        <v>0</v>
      </c>
      <c r="S9" s="102">
        <v>0</v>
      </c>
      <c r="T9" s="102">
        <v>0</v>
      </c>
      <c r="U9" s="102">
        <v>0</v>
      </c>
      <c r="V9" s="102">
        <v>0</v>
      </c>
      <c r="W9" s="102">
        <v>0</v>
      </c>
      <c r="X9" s="102">
        <v>0</v>
      </c>
      <c r="Y9" s="102">
        <v>0</v>
      </c>
      <c r="Z9" s="102">
        <v>0</v>
      </c>
      <c r="AA9" s="102">
        <v>0</v>
      </c>
      <c r="AB9" s="102">
        <v>0</v>
      </c>
      <c r="AC9" s="102">
        <v>0</v>
      </c>
      <c r="AD9" s="102">
        <v>0</v>
      </c>
      <c r="AE9" s="102">
        <v>0</v>
      </c>
      <c r="AF9" s="102">
        <v>0</v>
      </c>
      <c r="AG9" s="102">
        <v>0</v>
      </c>
      <c r="AH9" s="102">
        <v>0</v>
      </c>
      <c r="AI9" s="102">
        <v>0</v>
      </c>
      <c r="AJ9" s="102">
        <v>0</v>
      </c>
      <c r="AK9" s="102">
        <v>0</v>
      </c>
      <c r="AL9" s="102">
        <v>0</v>
      </c>
      <c r="AM9" s="102">
        <v>0</v>
      </c>
      <c r="AN9" s="102">
        <v>0</v>
      </c>
    </row>
    <row r="10" spans="1:40" s="16" customFormat="1" ht="21" customHeight="1" x14ac:dyDescent="0.2">
      <c r="A10" s="13"/>
      <c r="B10" s="5" t="s">
        <v>98</v>
      </c>
      <c r="C10" s="101">
        <v>0.05</v>
      </c>
      <c r="D10" s="14"/>
      <c r="E10" s="102">
        <v>0</v>
      </c>
      <c r="F10" s="102">
        <v>0</v>
      </c>
      <c r="G10" s="102">
        <v>0</v>
      </c>
      <c r="H10" s="102">
        <v>0</v>
      </c>
      <c r="I10" s="102">
        <v>0</v>
      </c>
      <c r="J10" s="102">
        <v>0</v>
      </c>
      <c r="K10" s="102">
        <v>0</v>
      </c>
      <c r="L10" s="102">
        <v>0</v>
      </c>
      <c r="M10" s="102">
        <v>0</v>
      </c>
      <c r="N10" s="102">
        <v>0</v>
      </c>
      <c r="O10" s="102">
        <v>0</v>
      </c>
      <c r="P10" s="102">
        <v>0</v>
      </c>
      <c r="Q10" s="102">
        <v>0</v>
      </c>
      <c r="R10" s="102">
        <v>0</v>
      </c>
      <c r="S10" s="102">
        <v>0</v>
      </c>
      <c r="T10" s="102">
        <v>0</v>
      </c>
      <c r="U10" s="102">
        <v>0</v>
      </c>
      <c r="V10" s="102">
        <v>0</v>
      </c>
      <c r="W10" s="102">
        <v>0</v>
      </c>
      <c r="X10" s="102">
        <v>0</v>
      </c>
      <c r="Y10" s="102">
        <v>0</v>
      </c>
      <c r="Z10" s="102">
        <v>0</v>
      </c>
      <c r="AA10" s="102">
        <v>0</v>
      </c>
      <c r="AB10" s="102">
        <v>0</v>
      </c>
      <c r="AC10" s="102">
        <v>0</v>
      </c>
      <c r="AD10" s="102">
        <v>0</v>
      </c>
      <c r="AE10" s="102">
        <v>0</v>
      </c>
      <c r="AF10" s="102">
        <v>0</v>
      </c>
      <c r="AG10" s="102">
        <v>0</v>
      </c>
      <c r="AH10" s="102">
        <v>0</v>
      </c>
      <c r="AI10" s="102">
        <v>0</v>
      </c>
      <c r="AJ10" s="102">
        <v>0</v>
      </c>
      <c r="AK10" s="102">
        <v>0</v>
      </c>
      <c r="AL10" s="102">
        <v>0</v>
      </c>
      <c r="AM10" s="102">
        <v>0</v>
      </c>
      <c r="AN10" s="102">
        <v>0</v>
      </c>
    </row>
    <row r="11" spans="1:40" s="16" customFormat="1" ht="21" customHeight="1" x14ac:dyDescent="0.2">
      <c r="A11" s="13"/>
      <c r="B11" s="6" t="s">
        <v>146</v>
      </c>
      <c r="C11" s="26"/>
      <c r="D11" s="14"/>
      <c r="E11" s="104">
        <f t="shared" ref="E11:AN11" si="37">SUM(E10, E9 + E8)</f>
        <v>0</v>
      </c>
      <c r="F11" s="104">
        <f t="shared" ref="F11:AM11" si="38">SUM(F10, F9 + F8)</f>
        <v>0</v>
      </c>
      <c r="G11" s="104">
        <f t="shared" si="38"/>
        <v>0</v>
      </c>
      <c r="H11" s="104">
        <f t="shared" si="38"/>
        <v>0</v>
      </c>
      <c r="I11" s="104">
        <f t="shared" si="38"/>
        <v>0</v>
      </c>
      <c r="J11" s="104">
        <f t="shared" si="38"/>
        <v>0</v>
      </c>
      <c r="K11" s="104">
        <f t="shared" si="38"/>
        <v>0</v>
      </c>
      <c r="L11" s="104">
        <f t="shared" si="38"/>
        <v>0</v>
      </c>
      <c r="M11" s="104">
        <f t="shared" si="38"/>
        <v>0</v>
      </c>
      <c r="N11" s="104">
        <f t="shared" si="38"/>
        <v>0</v>
      </c>
      <c r="O11" s="104">
        <f t="shared" si="38"/>
        <v>0</v>
      </c>
      <c r="P11" s="104">
        <f t="shared" si="38"/>
        <v>0</v>
      </c>
      <c r="Q11" s="104">
        <f t="shared" si="38"/>
        <v>0</v>
      </c>
      <c r="R11" s="104">
        <f t="shared" si="38"/>
        <v>0</v>
      </c>
      <c r="S11" s="104">
        <f t="shared" si="38"/>
        <v>0</v>
      </c>
      <c r="T11" s="104">
        <f t="shared" si="38"/>
        <v>0</v>
      </c>
      <c r="U11" s="104">
        <f t="shared" si="38"/>
        <v>0</v>
      </c>
      <c r="V11" s="104">
        <f t="shared" si="38"/>
        <v>0</v>
      </c>
      <c r="W11" s="104">
        <f t="shared" si="38"/>
        <v>0</v>
      </c>
      <c r="X11" s="104">
        <f t="shared" si="38"/>
        <v>0</v>
      </c>
      <c r="Y11" s="104">
        <f t="shared" si="38"/>
        <v>0</v>
      </c>
      <c r="Z11" s="104">
        <f t="shared" si="38"/>
        <v>0</v>
      </c>
      <c r="AA11" s="104">
        <f t="shared" si="38"/>
        <v>0</v>
      </c>
      <c r="AB11" s="104">
        <f t="shared" si="38"/>
        <v>0</v>
      </c>
      <c r="AC11" s="104">
        <f t="shared" si="38"/>
        <v>0</v>
      </c>
      <c r="AD11" s="104">
        <f t="shared" si="38"/>
        <v>0</v>
      </c>
      <c r="AE11" s="104">
        <f t="shared" si="38"/>
        <v>0</v>
      </c>
      <c r="AF11" s="104">
        <f t="shared" si="38"/>
        <v>0</v>
      </c>
      <c r="AG11" s="104">
        <f t="shared" si="38"/>
        <v>0</v>
      </c>
      <c r="AH11" s="104">
        <f t="shared" si="38"/>
        <v>0</v>
      </c>
      <c r="AI11" s="104">
        <f t="shared" si="38"/>
        <v>0</v>
      </c>
      <c r="AJ11" s="104">
        <f t="shared" si="38"/>
        <v>0</v>
      </c>
      <c r="AK11" s="104">
        <f t="shared" si="38"/>
        <v>0</v>
      </c>
      <c r="AL11" s="104">
        <f t="shared" si="38"/>
        <v>0</v>
      </c>
      <c r="AM11" s="104">
        <f t="shared" si="38"/>
        <v>0</v>
      </c>
      <c r="AN11" s="104">
        <f t="shared" si="37"/>
        <v>0</v>
      </c>
    </row>
    <row r="12" spans="1:40" s="18" customFormat="1" ht="21" customHeight="1" x14ac:dyDescent="0.2">
      <c r="B12" s="6" t="s">
        <v>43</v>
      </c>
      <c r="C12" s="26"/>
      <c r="D12" s="19"/>
      <c r="E12" s="105">
        <f t="shared" ref="E12:AN12" si="39">E7-E11</f>
        <v>0</v>
      </c>
      <c r="F12" s="105">
        <f t="shared" ref="F12:AM12" si="40">F7-F11</f>
        <v>0</v>
      </c>
      <c r="G12" s="105">
        <f t="shared" si="40"/>
        <v>0</v>
      </c>
      <c r="H12" s="105">
        <f t="shared" si="40"/>
        <v>0</v>
      </c>
      <c r="I12" s="105">
        <f t="shared" si="40"/>
        <v>0</v>
      </c>
      <c r="J12" s="105">
        <f t="shared" si="40"/>
        <v>0</v>
      </c>
      <c r="K12" s="105">
        <f t="shared" si="40"/>
        <v>0</v>
      </c>
      <c r="L12" s="105">
        <f t="shared" si="40"/>
        <v>0</v>
      </c>
      <c r="M12" s="105">
        <f t="shared" si="40"/>
        <v>0</v>
      </c>
      <c r="N12" s="105">
        <f t="shared" si="40"/>
        <v>0</v>
      </c>
      <c r="O12" s="105">
        <f t="shared" si="40"/>
        <v>0</v>
      </c>
      <c r="P12" s="105">
        <f t="shared" si="40"/>
        <v>0</v>
      </c>
      <c r="Q12" s="105">
        <f t="shared" si="40"/>
        <v>0</v>
      </c>
      <c r="R12" s="105">
        <f t="shared" si="40"/>
        <v>0</v>
      </c>
      <c r="S12" s="105">
        <f t="shared" si="40"/>
        <v>0</v>
      </c>
      <c r="T12" s="105">
        <f t="shared" si="40"/>
        <v>0</v>
      </c>
      <c r="U12" s="105">
        <f t="shared" si="40"/>
        <v>0</v>
      </c>
      <c r="V12" s="105">
        <f t="shared" si="40"/>
        <v>0</v>
      </c>
      <c r="W12" s="105">
        <f t="shared" si="40"/>
        <v>0</v>
      </c>
      <c r="X12" s="105">
        <f t="shared" si="40"/>
        <v>0</v>
      </c>
      <c r="Y12" s="105">
        <f t="shared" si="40"/>
        <v>0</v>
      </c>
      <c r="Z12" s="105">
        <f t="shared" si="40"/>
        <v>0</v>
      </c>
      <c r="AA12" s="105">
        <f t="shared" si="40"/>
        <v>0</v>
      </c>
      <c r="AB12" s="105">
        <f t="shared" si="40"/>
        <v>0</v>
      </c>
      <c r="AC12" s="105">
        <f t="shared" si="40"/>
        <v>0</v>
      </c>
      <c r="AD12" s="105">
        <f t="shared" si="40"/>
        <v>0</v>
      </c>
      <c r="AE12" s="105">
        <f t="shared" si="40"/>
        <v>0</v>
      </c>
      <c r="AF12" s="105">
        <f t="shared" si="40"/>
        <v>0</v>
      </c>
      <c r="AG12" s="105">
        <f t="shared" si="40"/>
        <v>0</v>
      </c>
      <c r="AH12" s="105">
        <f t="shared" si="40"/>
        <v>0</v>
      </c>
      <c r="AI12" s="105">
        <f t="shared" si="40"/>
        <v>0</v>
      </c>
      <c r="AJ12" s="105">
        <f t="shared" si="40"/>
        <v>0</v>
      </c>
      <c r="AK12" s="105">
        <f t="shared" si="40"/>
        <v>0</v>
      </c>
      <c r="AL12" s="105">
        <f t="shared" si="40"/>
        <v>0</v>
      </c>
      <c r="AM12" s="105">
        <f t="shared" si="40"/>
        <v>0</v>
      </c>
      <c r="AN12" s="105">
        <f t="shared" si="39"/>
        <v>0</v>
      </c>
    </row>
    <row r="13" spans="1:40" s="16" customFormat="1" ht="21" customHeight="1" x14ac:dyDescent="0.2">
      <c r="A13" s="13"/>
      <c r="B13" s="6" t="s">
        <v>23</v>
      </c>
      <c r="C13" s="26"/>
      <c r="D13" s="14"/>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row>
    <row r="14" spans="1:40" s="16" customFormat="1" ht="21" customHeight="1" x14ac:dyDescent="0.2">
      <c r="B14" s="5" t="s">
        <v>49</v>
      </c>
      <c r="C14" s="101">
        <v>0.05</v>
      </c>
      <c r="D14" s="14"/>
      <c r="E14" s="102">
        <v>8000</v>
      </c>
      <c r="F14" s="103">
        <f t="shared" ref="F14" si="41">E14*(1+$C14)</f>
        <v>8400</v>
      </c>
      <c r="G14" s="103">
        <f t="shared" ref="G14" si="42">F14*(1+$C14)</f>
        <v>8820</v>
      </c>
      <c r="H14" s="103">
        <f>G14*(0.8)</f>
        <v>7056</v>
      </c>
      <c r="I14" s="103">
        <f t="shared" ref="I14" si="43">H14*(1+$C14)</f>
        <v>7408.8</v>
      </c>
      <c r="J14" s="103">
        <f t="shared" ref="J14" si="44">I14*(1+$C14)</f>
        <v>7779.2400000000007</v>
      </c>
      <c r="K14" s="103">
        <f t="shared" ref="K14" si="45">J14*(1+$C14)</f>
        <v>8168.2020000000011</v>
      </c>
      <c r="L14" s="103">
        <f t="shared" ref="L14" si="46">K14*(1+$C14)</f>
        <v>8576.6121000000021</v>
      </c>
      <c r="M14" s="103">
        <f t="shared" ref="M14" si="47">L14*(1+$C14)</f>
        <v>9005.4427050000031</v>
      </c>
      <c r="N14" s="103">
        <f t="shared" ref="N14" si="48">M14*(1+$C14)</f>
        <v>9455.7148402500043</v>
      </c>
      <c r="O14" s="103">
        <f>N14*(0.8)</f>
        <v>7564.5718722000038</v>
      </c>
      <c r="P14" s="103">
        <f t="shared" ref="P14" si="49">O14*(1+$C14)</f>
        <v>7942.8004658100044</v>
      </c>
      <c r="Q14" s="103">
        <f t="shared" ref="Q14" si="50">P14*(1+$C14)</f>
        <v>8339.9404891005051</v>
      </c>
      <c r="R14" s="103">
        <f t="shared" ref="R14" si="51">Q14*(1+$C14)</f>
        <v>8756.937513555531</v>
      </c>
      <c r="S14" s="103">
        <f t="shared" ref="S14" si="52">R14*(1+$C14)</f>
        <v>9194.7843892333076</v>
      </c>
      <c r="T14" s="103">
        <f t="shared" ref="T14" si="53">S14*(1+$C14)</f>
        <v>9654.5236086949735</v>
      </c>
      <c r="U14" s="103">
        <f t="shared" ref="U14" si="54">T14*(1+$C14)</f>
        <v>10137.249789129723</v>
      </c>
      <c r="V14" s="103">
        <f t="shared" ref="V14" si="55">U14*(1+$C14)</f>
        <v>10644.11227858621</v>
      </c>
      <c r="W14" s="103">
        <f t="shared" ref="W14" si="56">V14*(1+$C14)</f>
        <v>11176.317892515521</v>
      </c>
      <c r="X14" s="103">
        <f>W14*(0.8)</f>
        <v>8941.0543140124173</v>
      </c>
      <c r="Y14" s="103">
        <f t="shared" ref="Y14" si="57">X14*(1+$C14)</f>
        <v>9388.1070297130391</v>
      </c>
      <c r="Z14" s="103">
        <f t="shared" ref="Z14" si="58">Y14*(1+$C14)</f>
        <v>9857.5123811986923</v>
      </c>
      <c r="AA14" s="103">
        <f t="shared" ref="AA14" si="59">Z14*(1+$C14)</f>
        <v>10350.388000258627</v>
      </c>
      <c r="AB14" s="103">
        <f t="shared" ref="AB14" si="60">AA14*(1+$C14)</f>
        <v>10867.907400271559</v>
      </c>
      <c r="AC14" s="103">
        <f t="shared" ref="AC14" si="61">AB14*(1+$C14)</f>
        <v>11411.302770285138</v>
      </c>
      <c r="AD14" s="103">
        <f t="shared" ref="AD14" si="62">AC14*(1+$C14)</f>
        <v>11981.867908799395</v>
      </c>
      <c r="AE14" s="103">
        <f t="shared" ref="AE14" si="63">AD14*(1+$C14)</f>
        <v>12580.961304239365</v>
      </c>
      <c r="AF14" s="103">
        <f>AE14*(0.8)</f>
        <v>10064.769043391492</v>
      </c>
      <c r="AG14" s="103">
        <f t="shared" ref="AG14" si="64">AF14*(1+$C14)</f>
        <v>10568.007495561067</v>
      </c>
      <c r="AH14" s="103">
        <f t="shared" ref="AH14" si="65">AG14*(1+$C14)</f>
        <v>11096.407870339121</v>
      </c>
      <c r="AI14" s="103">
        <f t="shared" ref="AI14" si="66">AH14*(1+$C14)</f>
        <v>11651.228263856077</v>
      </c>
      <c r="AJ14" s="103">
        <f t="shared" ref="AJ14" si="67">AI14*(1+$C14)</f>
        <v>12233.789677048882</v>
      </c>
      <c r="AK14" s="103">
        <f t="shared" ref="AK14" si="68">AJ14*(1+$C14)</f>
        <v>12845.479160901326</v>
      </c>
      <c r="AL14" s="103">
        <f t="shared" ref="AL14" si="69">AK14*(1+$C14)</f>
        <v>13487.753118946393</v>
      </c>
      <c r="AM14" s="103">
        <f t="shared" ref="AM14" si="70">AL14*(1+$C14)</f>
        <v>14162.140774893714</v>
      </c>
      <c r="AN14" s="103">
        <f>AM14*(0.8)</f>
        <v>11329.712619914972</v>
      </c>
    </row>
    <row r="15" spans="1:40" s="16" customFormat="1" ht="21" customHeight="1" x14ac:dyDescent="0.2">
      <c r="B15" s="5" t="s">
        <v>106</v>
      </c>
      <c r="C15" s="101">
        <v>0.05</v>
      </c>
      <c r="D15" s="14"/>
      <c r="E15" s="102">
        <v>0</v>
      </c>
      <c r="F15" s="102">
        <v>0</v>
      </c>
      <c r="G15" s="102">
        <v>0</v>
      </c>
      <c r="H15" s="102">
        <v>0</v>
      </c>
      <c r="I15" s="102">
        <v>0</v>
      </c>
      <c r="J15" s="102">
        <v>0</v>
      </c>
      <c r="K15" s="102">
        <v>0</v>
      </c>
      <c r="L15" s="102">
        <v>0</v>
      </c>
      <c r="M15" s="102">
        <v>0</v>
      </c>
      <c r="N15" s="102">
        <v>0</v>
      </c>
      <c r="O15" s="102">
        <v>0</v>
      </c>
      <c r="P15" s="102">
        <v>0</v>
      </c>
      <c r="Q15" s="102">
        <v>0</v>
      </c>
      <c r="R15" s="102">
        <v>0</v>
      </c>
      <c r="S15" s="102">
        <v>0</v>
      </c>
      <c r="T15" s="102">
        <v>0</v>
      </c>
      <c r="U15" s="102">
        <v>0</v>
      </c>
      <c r="V15" s="102">
        <v>0</v>
      </c>
      <c r="W15" s="102">
        <v>0</v>
      </c>
      <c r="X15" s="102">
        <v>0</v>
      </c>
      <c r="Y15" s="102">
        <v>0</v>
      </c>
      <c r="Z15" s="102">
        <v>0</v>
      </c>
      <c r="AA15" s="102">
        <v>0</v>
      </c>
      <c r="AB15" s="102">
        <v>0</v>
      </c>
      <c r="AC15" s="102">
        <v>0</v>
      </c>
      <c r="AD15" s="102">
        <v>0</v>
      </c>
      <c r="AE15" s="102">
        <v>0</v>
      </c>
      <c r="AF15" s="102">
        <v>0</v>
      </c>
      <c r="AG15" s="102">
        <v>0</v>
      </c>
      <c r="AH15" s="102">
        <v>0</v>
      </c>
      <c r="AI15" s="102">
        <v>0</v>
      </c>
      <c r="AJ15" s="102">
        <v>0</v>
      </c>
      <c r="AK15" s="102">
        <v>0</v>
      </c>
      <c r="AL15" s="102">
        <v>0</v>
      </c>
      <c r="AM15" s="102">
        <v>0</v>
      </c>
      <c r="AN15" s="102">
        <v>0</v>
      </c>
    </row>
    <row r="16" spans="1:40" s="16" customFormat="1" ht="21" customHeight="1" x14ac:dyDescent="0.2">
      <c r="B16" s="5" t="s">
        <v>51</v>
      </c>
      <c r="C16" s="101">
        <v>0.05</v>
      </c>
      <c r="D16" s="14"/>
      <c r="E16" s="102">
        <v>10000</v>
      </c>
      <c r="F16" s="103">
        <f t="shared" ref="F16" si="71">E16*(1+$C16)</f>
        <v>10500</v>
      </c>
      <c r="G16" s="103">
        <f>F16*(0.75)</f>
        <v>7875</v>
      </c>
      <c r="H16" s="103">
        <f t="shared" ref="H16:H17" si="72">G16*(1+$C16)</f>
        <v>8268.75</v>
      </c>
      <c r="I16" s="103">
        <f t="shared" ref="I16:I17" si="73">H16*(1+$C16)</f>
        <v>8682.1875</v>
      </c>
      <c r="J16" s="103">
        <f t="shared" ref="J16:J17" si="74">I16*(1+$C16)</f>
        <v>9116.296875</v>
      </c>
      <c r="K16" s="103">
        <f t="shared" ref="K16:K17" si="75">J16*(1+$C16)</f>
        <v>9572.1117187500004</v>
      </c>
      <c r="L16" s="103">
        <f t="shared" ref="L16:L17" si="76">K16*(1+$C16)</f>
        <v>10050.717304687501</v>
      </c>
      <c r="M16" s="103">
        <f t="shared" ref="M16:M17" si="77">L16*(1+$C16)</f>
        <v>10553.253169921876</v>
      </c>
      <c r="N16" s="103">
        <f t="shared" ref="N16:N17" si="78">M16*(1+$C16)</f>
        <v>11080.91582841797</v>
      </c>
      <c r="O16" s="103">
        <f>N16*(0.75)</f>
        <v>8310.6868713134772</v>
      </c>
      <c r="P16" s="103">
        <f t="shared" ref="P16:P17" si="79">O16*(1+$C16)</f>
        <v>8726.2212148791514</v>
      </c>
      <c r="Q16" s="103">
        <f t="shared" ref="Q16:Q17" si="80">P16*(1+$C16)</f>
        <v>9162.5322756231089</v>
      </c>
      <c r="R16" s="103">
        <f t="shared" ref="R16:R17" si="81">Q16*(1+$C16)</f>
        <v>9620.6588894042652</v>
      </c>
      <c r="S16" s="103">
        <f t="shared" ref="S16:S17" si="82">R16*(1+$C16)</f>
        <v>10101.691833874478</v>
      </c>
      <c r="T16" s="103">
        <f t="shared" ref="T16" si="83">S16*(1+$C16)</f>
        <v>10606.776425568203</v>
      </c>
      <c r="U16" s="103">
        <f t="shared" ref="U16:U17" si="84">T16*(1+$C16)</f>
        <v>11137.115246846613</v>
      </c>
      <c r="V16" s="103">
        <f t="shared" ref="V16:V17" si="85">U16*(1+$C16)</f>
        <v>11693.971009188945</v>
      </c>
      <c r="W16" s="103">
        <f t="shared" ref="W16:W17" si="86">V16*(1+$C16)</f>
        <v>12278.669559648393</v>
      </c>
      <c r="X16" s="103">
        <f>W16*(0.75)</f>
        <v>9209.0021697362954</v>
      </c>
      <c r="Y16" s="103">
        <f t="shared" ref="Y16:Y17" si="87">X16*(1+$C16)</f>
        <v>9669.4522782231106</v>
      </c>
      <c r="Z16" s="103">
        <f t="shared" ref="Z16:Z17" si="88">Y16*(1+$C16)</f>
        <v>10152.924892134266</v>
      </c>
      <c r="AA16" s="103">
        <f t="shared" ref="AA16:AA17" si="89">Z16*(1+$C16)</f>
        <v>10660.57113674098</v>
      </c>
      <c r="AB16" s="103">
        <f t="shared" ref="AB16:AB17" si="90">AA16*(1+$C16)</f>
        <v>11193.599693578029</v>
      </c>
      <c r="AC16" s="103">
        <f t="shared" ref="AC16:AC17" si="91">AB16*(1+$C16)</f>
        <v>11753.279678256931</v>
      </c>
      <c r="AD16" s="103">
        <f>AC16*(0.75)</f>
        <v>8814.9597586926975</v>
      </c>
      <c r="AE16" s="103">
        <f t="shared" ref="AE16:AE17" si="92">AD16*(1+$C16)</f>
        <v>9255.7077466273331</v>
      </c>
      <c r="AF16" s="103">
        <f t="shared" ref="AF16:AF17" si="93">AE16*(1+$C16)</f>
        <v>9718.4931339587001</v>
      </c>
      <c r="AG16" s="103">
        <f t="shared" ref="AG16" si="94">AF16*(1+$C16)</f>
        <v>10204.417790656635</v>
      </c>
      <c r="AH16" s="103">
        <f t="shared" ref="AH16:AH17" si="95">AG16*(1+$C16)</f>
        <v>10714.638680189466</v>
      </c>
      <c r="AI16" s="103">
        <f>AH16*(0.75)</f>
        <v>8035.9790101420995</v>
      </c>
      <c r="AJ16" s="103">
        <f t="shared" ref="AJ16:AJ17" si="96">AI16*(1+$C16)</f>
        <v>8437.777960649204</v>
      </c>
      <c r="AK16" s="103">
        <f t="shared" ref="AK16:AK17" si="97">AJ16*(1+$C16)</f>
        <v>8859.666858681665</v>
      </c>
      <c r="AL16" s="103">
        <f t="shared" ref="AL16:AL17" si="98">AK16*(1+$C16)</f>
        <v>9302.6502016157483</v>
      </c>
      <c r="AM16" s="103">
        <f>AL16*(0.75)</f>
        <v>6976.9876512118117</v>
      </c>
      <c r="AN16" s="103">
        <f t="shared" ref="AN16:AN20" si="99">AM16*(1+$C16)</f>
        <v>7325.8370337724027</v>
      </c>
    </row>
    <row r="17" spans="2:40" s="16" customFormat="1" ht="21" customHeight="1" x14ac:dyDescent="0.2">
      <c r="B17" s="5" t="s">
        <v>110</v>
      </c>
      <c r="C17" s="101">
        <v>0.05</v>
      </c>
      <c r="D17" s="14"/>
      <c r="E17" s="102">
        <v>8500</v>
      </c>
      <c r="F17" s="103">
        <f>E17*(0.6)</f>
        <v>5100</v>
      </c>
      <c r="G17" s="103">
        <f t="shared" ref="G17" si="100">F17*(1+$C17)</f>
        <v>5355</v>
      </c>
      <c r="H17" s="103">
        <f t="shared" si="72"/>
        <v>5622.75</v>
      </c>
      <c r="I17" s="103">
        <f t="shared" si="73"/>
        <v>5903.8874999999998</v>
      </c>
      <c r="J17" s="103">
        <f t="shared" si="74"/>
        <v>6199.0818749999999</v>
      </c>
      <c r="K17" s="103">
        <f t="shared" si="75"/>
        <v>6509.0359687500004</v>
      </c>
      <c r="L17" s="103">
        <f t="shared" si="76"/>
        <v>6834.487767187501</v>
      </c>
      <c r="M17" s="103">
        <f t="shared" si="77"/>
        <v>7176.2121555468766</v>
      </c>
      <c r="N17" s="103">
        <f t="shared" si="78"/>
        <v>7535.0227633242212</v>
      </c>
      <c r="O17" s="103">
        <f t="shared" ref="O17" si="101">N17*(1+$C17)</f>
        <v>7911.7739014904328</v>
      </c>
      <c r="P17" s="103">
        <f t="shared" si="79"/>
        <v>8307.3625965649553</v>
      </c>
      <c r="Q17" s="103">
        <f t="shared" si="80"/>
        <v>8722.7307263932034</v>
      </c>
      <c r="R17" s="103">
        <f t="shared" si="81"/>
        <v>9158.8672627128635</v>
      </c>
      <c r="S17" s="103">
        <f t="shared" si="82"/>
        <v>9616.8106258485077</v>
      </c>
      <c r="T17" s="103">
        <f>S17*(0.6)</f>
        <v>5770.0863755091041</v>
      </c>
      <c r="U17" s="103">
        <f t="shared" si="84"/>
        <v>6058.5906942845595</v>
      </c>
      <c r="V17" s="103">
        <f t="shared" si="85"/>
        <v>6361.5202289987874</v>
      </c>
      <c r="W17" s="103">
        <f t="shared" si="86"/>
        <v>6679.5962404487273</v>
      </c>
      <c r="X17" s="103">
        <f t="shared" ref="X17" si="102">W17*(1+$C17)</f>
        <v>7013.5760524711641</v>
      </c>
      <c r="Y17" s="103">
        <f t="shared" si="87"/>
        <v>7364.2548550947222</v>
      </c>
      <c r="Z17" s="103">
        <f t="shared" si="88"/>
        <v>7732.4675978494588</v>
      </c>
      <c r="AA17" s="103">
        <f t="shared" si="89"/>
        <v>8119.090977741932</v>
      </c>
      <c r="AB17" s="103">
        <f t="shared" si="90"/>
        <v>8525.0455266290282</v>
      </c>
      <c r="AC17" s="103">
        <f t="shared" si="91"/>
        <v>8951.2978029604801</v>
      </c>
      <c r="AD17" s="103">
        <f t="shared" ref="AD17" si="103">AC17*(1+$C17)</f>
        <v>9398.8626931085037</v>
      </c>
      <c r="AE17" s="103">
        <f t="shared" si="92"/>
        <v>9868.8058277639284</v>
      </c>
      <c r="AF17" s="103">
        <f t="shared" si="93"/>
        <v>10362.246119152125</v>
      </c>
      <c r="AG17" s="103">
        <f>AF17*(0.6)</f>
        <v>6217.3476714912749</v>
      </c>
      <c r="AH17" s="103">
        <f t="shared" si="95"/>
        <v>6528.2150550658389</v>
      </c>
      <c r="AI17" s="103">
        <f t="shared" ref="AI17" si="104">AH17*(1+$C17)</f>
        <v>6854.6258078191313</v>
      </c>
      <c r="AJ17" s="103">
        <f t="shared" si="96"/>
        <v>7197.3570982100882</v>
      </c>
      <c r="AK17" s="103">
        <f t="shared" si="97"/>
        <v>7557.2249531205925</v>
      </c>
      <c r="AL17" s="103">
        <f t="shared" si="98"/>
        <v>7935.0862007766227</v>
      </c>
      <c r="AM17" s="103">
        <f t="shared" ref="AM17" si="105">AL17*(1+$C17)</f>
        <v>8331.8405108154548</v>
      </c>
      <c r="AN17" s="103">
        <f t="shared" si="99"/>
        <v>8748.4325363562275</v>
      </c>
    </row>
    <row r="18" spans="2:40" s="16" customFormat="1" ht="21" customHeight="1" x14ac:dyDescent="0.2">
      <c r="B18" s="5" t="s">
        <v>112</v>
      </c>
      <c r="C18" s="101">
        <v>0.05</v>
      </c>
      <c r="D18" s="14"/>
      <c r="E18" s="102">
        <v>0</v>
      </c>
      <c r="F18" s="102">
        <v>0</v>
      </c>
      <c r="G18" s="102">
        <v>0</v>
      </c>
      <c r="H18" s="102">
        <v>0</v>
      </c>
      <c r="I18" s="102">
        <v>0</v>
      </c>
      <c r="J18" s="102">
        <v>0</v>
      </c>
      <c r="K18" s="102">
        <v>0</v>
      </c>
      <c r="L18" s="102">
        <v>0</v>
      </c>
      <c r="M18" s="102">
        <v>0</v>
      </c>
      <c r="N18" s="102">
        <v>0</v>
      </c>
      <c r="O18" s="102">
        <v>0</v>
      </c>
      <c r="P18" s="102">
        <v>0</v>
      </c>
      <c r="Q18" s="102">
        <v>0</v>
      </c>
      <c r="R18" s="102">
        <v>0</v>
      </c>
      <c r="S18" s="102">
        <v>0</v>
      </c>
      <c r="T18" s="102">
        <v>0</v>
      </c>
      <c r="U18" s="102">
        <v>0</v>
      </c>
      <c r="V18" s="102">
        <v>0</v>
      </c>
      <c r="W18" s="102">
        <v>0</v>
      </c>
      <c r="X18" s="102">
        <v>0</v>
      </c>
      <c r="Y18" s="102">
        <v>0</v>
      </c>
      <c r="Z18" s="102">
        <v>0</v>
      </c>
      <c r="AA18" s="102">
        <v>0</v>
      </c>
      <c r="AB18" s="102">
        <v>0</v>
      </c>
      <c r="AC18" s="102">
        <v>0</v>
      </c>
      <c r="AD18" s="102">
        <v>0</v>
      </c>
      <c r="AE18" s="102">
        <v>0</v>
      </c>
      <c r="AF18" s="102">
        <v>0</v>
      </c>
      <c r="AG18" s="102">
        <v>0</v>
      </c>
      <c r="AH18" s="102">
        <v>0</v>
      </c>
      <c r="AI18" s="102">
        <v>0</v>
      </c>
      <c r="AJ18" s="102">
        <v>0</v>
      </c>
      <c r="AK18" s="102">
        <v>0</v>
      </c>
      <c r="AL18" s="102">
        <v>0</v>
      </c>
      <c r="AM18" s="102">
        <v>0</v>
      </c>
      <c r="AN18" s="102">
        <v>0</v>
      </c>
    </row>
    <row r="19" spans="2:40" s="18" customFormat="1" ht="21" customHeight="1" x14ac:dyDescent="0.2">
      <c r="B19" s="7" t="s">
        <v>114</v>
      </c>
      <c r="C19" s="101">
        <v>0.05</v>
      </c>
      <c r="D19" s="19"/>
      <c r="E19" s="102">
        <v>0</v>
      </c>
      <c r="F19" s="103">
        <f t="shared" ref="F19:F20" si="106">E19*(1+$C19)</f>
        <v>0</v>
      </c>
      <c r="G19" s="103">
        <f t="shared" ref="G19:G20" si="107">F19*(1+$C19)</f>
        <v>0</v>
      </c>
      <c r="H19" s="103">
        <f t="shared" ref="H19:H20" si="108">G19*(1+$C19)</f>
        <v>0</v>
      </c>
      <c r="I19" s="103">
        <f t="shared" ref="I19:I20" si="109">H19*(1+$C19)</f>
        <v>0</v>
      </c>
      <c r="J19" s="103">
        <f t="shared" ref="J19:J20" si="110">I19*(1+$C19)</f>
        <v>0</v>
      </c>
      <c r="K19" s="103">
        <f t="shared" ref="K19:K20" si="111">J19*(1+$C19)</f>
        <v>0</v>
      </c>
      <c r="L19" s="103">
        <f t="shared" ref="L19:L20" si="112">K19*(1+$C19)</f>
        <v>0</v>
      </c>
      <c r="M19" s="103">
        <f t="shared" ref="M19:M20" si="113">L19*(1+$C19)</f>
        <v>0</v>
      </c>
      <c r="N19" s="103">
        <f t="shared" ref="N19:N20" si="114">M19*(1+$C19)</f>
        <v>0</v>
      </c>
      <c r="O19" s="103">
        <f t="shared" ref="O19:O20" si="115">N19*(1+$C19)</f>
        <v>0</v>
      </c>
      <c r="P19" s="103">
        <f t="shared" ref="P19:P20" si="116">O19*(1+$C19)</f>
        <v>0</v>
      </c>
      <c r="Q19" s="103">
        <f t="shared" ref="Q19:Q20" si="117">P19*(1+$C19)</f>
        <v>0</v>
      </c>
      <c r="R19" s="103">
        <f t="shared" ref="R19:R20" si="118">Q19*(1+$C19)</f>
        <v>0</v>
      </c>
      <c r="S19" s="103">
        <f t="shared" ref="S19:S20" si="119">R19*(1+$C19)</f>
        <v>0</v>
      </c>
      <c r="T19" s="103">
        <f t="shared" ref="T19:T20" si="120">S19*(1+$C19)</f>
        <v>0</v>
      </c>
      <c r="U19" s="103">
        <f t="shared" ref="U19:U20" si="121">T19*(1+$C19)</f>
        <v>0</v>
      </c>
      <c r="V19" s="103">
        <f t="shared" ref="V19:V20" si="122">U19*(1+$C19)</f>
        <v>0</v>
      </c>
      <c r="W19" s="103">
        <f t="shared" ref="W19:W20" si="123">V19*(1+$C19)</f>
        <v>0</v>
      </c>
      <c r="X19" s="103">
        <f t="shared" ref="X19:X20" si="124">W19*(1+$C19)</f>
        <v>0</v>
      </c>
      <c r="Y19" s="103">
        <f t="shared" ref="Y19:Y20" si="125">X19*(1+$C19)</f>
        <v>0</v>
      </c>
      <c r="Z19" s="103">
        <f t="shared" ref="Z19:Z20" si="126">Y19*(1+$C19)</f>
        <v>0</v>
      </c>
      <c r="AA19" s="103">
        <f t="shared" ref="AA19:AA20" si="127">Z19*(1+$C19)</f>
        <v>0</v>
      </c>
      <c r="AB19" s="103">
        <f t="shared" ref="AB19:AB20" si="128">AA19*(1+$C19)</f>
        <v>0</v>
      </c>
      <c r="AC19" s="103">
        <f t="shared" ref="AC19:AC20" si="129">AB19*(1+$C19)</f>
        <v>0</v>
      </c>
      <c r="AD19" s="103">
        <f t="shared" ref="AD19:AD20" si="130">AC19*(1+$C19)</f>
        <v>0</v>
      </c>
      <c r="AE19" s="103">
        <f t="shared" ref="AE19:AE20" si="131">AD19*(1+$C19)</f>
        <v>0</v>
      </c>
      <c r="AF19" s="103">
        <f t="shared" ref="AF19:AF20" si="132">AE19*(1+$C19)</f>
        <v>0</v>
      </c>
      <c r="AG19" s="103">
        <f t="shared" ref="AG19:AG20" si="133">AF19*(1+$C19)</f>
        <v>0</v>
      </c>
      <c r="AH19" s="103">
        <f t="shared" ref="AH19:AH20" si="134">AG19*(1+$C19)</f>
        <v>0</v>
      </c>
      <c r="AI19" s="103">
        <f t="shared" ref="AI19:AI20" si="135">AH19*(1+$C19)</f>
        <v>0</v>
      </c>
      <c r="AJ19" s="103">
        <f t="shared" ref="AJ19:AJ20" si="136">AI19*(1+$C19)</f>
        <v>0</v>
      </c>
      <c r="AK19" s="103">
        <f t="shared" ref="AK19:AK20" si="137">AJ19*(1+$C19)</f>
        <v>0</v>
      </c>
      <c r="AL19" s="103">
        <f t="shared" ref="AL19:AL20" si="138">AK19*(1+$C19)</f>
        <v>0</v>
      </c>
      <c r="AM19" s="103">
        <f t="shared" ref="AM19:AM20" si="139">AL19*(1+$C19)</f>
        <v>0</v>
      </c>
      <c r="AN19" s="103">
        <f t="shared" si="99"/>
        <v>0</v>
      </c>
    </row>
    <row r="20" spans="2:40" s="16" customFormat="1" ht="21" customHeight="1" x14ac:dyDescent="0.2">
      <c r="B20" s="8" t="s">
        <v>116</v>
      </c>
      <c r="C20" s="101">
        <v>0.05</v>
      </c>
      <c r="D20" s="14"/>
      <c r="E20" s="102">
        <v>800</v>
      </c>
      <c r="F20" s="103">
        <f t="shared" si="106"/>
        <v>840</v>
      </c>
      <c r="G20" s="103">
        <f t="shared" si="107"/>
        <v>882</v>
      </c>
      <c r="H20" s="103">
        <f t="shared" si="108"/>
        <v>926.1</v>
      </c>
      <c r="I20" s="103">
        <f t="shared" si="109"/>
        <v>972.40500000000009</v>
      </c>
      <c r="J20" s="103">
        <f t="shared" si="110"/>
        <v>1021.0252500000001</v>
      </c>
      <c r="K20" s="103">
        <f t="shared" si="111"/>
        <v>1072.0765125000003</v>
      </c>
      <c r="L20" s="103">
        <f t="shared" si="112"/>
        <v>1125.6803381250004</v>
      </c>
      <c r="M20" s="103">
        <f t="shared" si="113"/>
        <v>1181.9643550312505</v>
      </c>
      <c r="N20" s="103">
        <f t="shared" si="114"/>
        <v>1241.062572782813</v>
      </c>
      <c r="O20" s="103">
        <f t="shared" si="115"/>
        <v>1303.1157014219536</v>
      </c>
      <c r="P20" s="103">
        <f t="shared" si="116"/>
        <v>1368.2714864930515</v>
      </c>
      <c r="Q20" s="103">
        <f t="shared" si="117"/>
        <v>1436.6850608177042</v>
      </c>
      <c r="R20" s="103">
        <f t="shared" si="118"/>
        <v>1508.5193138585894</v>
      </c>
      <c r="S20" s="103">
        <f t="shared" si="119"/>
        <v>1583.945279551519</v>
      </c>
      <c r="T20" s="103">
        <f t="shared" si="120"/>
        <v>1663.1425435290951</v>
      </c>
      <c r="U20" s="103">
        <f t="shared" si="121"/>
        <v>1746.2996707055499</v>
      </c>
      <c r="V20" s="103">
        <f t="shared" si="122"/>
        <v>1833.6146542408276</v>
      </c>
      <c r="W20" s="103">
        <f t="shared" si="123"/>
        <v>1925.295386952869</v>
      </c>
      <c r="X20" s="103">
        <f t="shared" si="124"/>
        <v>2021.5601563005125</v>
      </c>
      <c r="Y20" s="103">
        <f t="shared" si="125"/>
        <v>2122.6381641155381</v>
      </c>
      <c r="Z20" s="103">
        <f t="shared" si="126"/>
        <v>2228.7700723213152</v>
      </c>
      <c r="AA20" s="103">
        <f t="shared" si="127"/>
        <v>2340.2085759373808</v>
      </c>
      <c r="AB20" s="103">
        <f t="shared" si="128"/>
        <v>2457.2190047342501</v>
      </c>
      <c r="AC20" s="103">
        <f t="shared" si="129"/>
        <v>2580.0799549709627</v>
      </c>
      <c r="AD20" s="103">
        <f t="shared" si="130"/>
        <v>2709.0839527195108</v>
      </c>
      <c r="AE20" s="103">
        <f t="shared" si="131"/>
        <v>2844.5381503554863</v>
      </c>
      <c r="AF20" s="103">
        <f t="shared" si="132"/>
        <v>2986.765057873261</v>
      </c>
      <c r="AG20" s="103">
        <f t="shared" si="133"/>
        <v>3136.1033107669241</v>
      </c>
      <c r="AH20" s="103">
        <f t="shared" si="134"/>
        <v>3292.9084763052706</v>
      </c>
      <c r="AI20" s="103">
        <f t="shared" si="135"/>
        <v>3457.5539001205343</v>
      </c>
      <c r="AJ20" s="103">
        <f t="shared" si="136"/>
        <v>3630.4315951265612</v>
      </c>
      <c r="AK20" s="103">
        <f t="shared" si="137"/>
        <v>3811.9531748828895</v>
      </c>
      <c r="AL20" s="103">
        <f t="shared" si="138"/>
        <v>4002.5508336270341</v>
      </c>
      <c r="AM20" s="103">
        <f t="shared" si="139"/>
        <v>4202.6783753083855</v>
      </c>
      <c r="AN20" s="103">
        <f t="shared" si="99"/>
        <v>4412.8122940738049</v>
      </c>
    </row>
    <row r="21" spans="2:40" s="16" customFormat="1" ht="21" customHeight="1" x14ac:dyDescent="0.2">
      <c r="B21" s="8" t="s">
        <v>118</v>
      </c>
      <c r="C21" s="101">
        <v>0.05</v>
      </c>
      <c r="D21" s="14"/>
      <c r="E21" s="102">
        <v>0</v>
      </c>
      <c r="F21" s="102">
        <v>0</v>
      </c>
      <c r="G21" s="102">
        <v>0</v>
      </c>
      <c r="H21" s="102">
        <v>0</v>
      </c>
      <c r="I21" s="102">
        <v>0</v>
      </c>
      <c r="J21" s="102">
        <v>0</v>
      </c>
      <c r="K21" s="102">
        <v>0</v>
      </c>
      <c r="L21" s="102">
        <v>0</v>
      </c>
      <c r="M21" s="102">
        <v>0</v>
      </c>
      <c r="N21" s="102">
        <v>0</v>
      </c>
      <c r="O21" s="102">
        <v>0</v>
      </c>
      <c r="P21" s="102">
        <v>0</v>
      </c>
      <c r="Q21" s="102">
        <v>0</v>
      </c>
      <c r="R21" s="102">
        <v>0</v>
      </c>
      <c r="S21" s="102">
        <v>0</v>
      </c>
      <c r="T21" s="102">
        <v>0</v>
      </c>
      <c r="U21" s="102">
        <v>0</v>
      </c>
      <c r="V21" s="102">
        <v>0</v>
      </c>
      <c r="W21" s="102">
        <v>0</v>
      </c>
      <c r="X21" s="102">
        <v>0</v>
      </c>
      <c r="Y21" s="102">
        <v>0</v>
      </c>
      <c r="Z21" s="102">
        <v>0</v>
      </c>
      <c r="AA21" s="102">
        <v>0</v>
      </c>
      <c r="AB21" s="102">
        <v>0</v>
      </c>
      <c r="AC21" s="102">
        <v>0</v>
      </c>
      <c r="AD21" s="102">
        <v>0</v>
      </c>
      <c r="AE21" s="102">
        <v>0</v>
      </c>
      <c r="AF21" s="102">
        <v>0</v>
      </c>
      <c r="AG21" s="102">
        <v>0</v>
      </c>
      <c r="AH21" s="102">
        <v>0</v>
      </c>
      <c r="AI21" s="102">
        <v>0</v>
      </c>
      <c r="AJ21" s="102">
        <v>0</v>
      </c>
      <c r="AK21" s="102">
        <v>0</v>
      </c>
      <c r="AL21" s="102">
        <v>0</v>
      </c>
      <c r="AM21" s="102">
        <v>0</v>
      </c>
      <c r="AN21" s="102">
        <v>0</v>
      </c>
    </row>
    <row r="22" spans="2:40" s="16" customFormat="1" ht="21" customHeight="1" x14ac:dyDescent="0.2">
      <c r="B22" s="8" t="s">
        <v>120</v>
      </c>
      <c r="C22" s="101">
        <v>0.05</v>
      </c>
      <c r="D22" s="14"/>
      <c r="E22" s="102">
        <v>0</v>
      </c>
      <c r="F22" s="102">
        <v>0</v>
      </c>
      <c r="G22" s="102">
        <v>0</v>
      </c>
      <c r="H22" s="102">
        <v>0</v>
      </c>
      <c r="I22" s="102">
        <v>0</v>
      </c>
      <c r="J22" s="102">
        <v>0</v>
      </c>
      <c r="K22" s="102">
        <v>0</v>
      </c>
      <c r="L22" s="102">
        <v>0</v>
      </c>
      <c r="M22" s="102">
        <v>0</v>
      </c>
      <c r="N22" s="102">
        <v>0</v>
      </c>
      <c r="O22" s="102">
        <v>0</v>
      </c>
      <c r="P22" s="102">
        <v>0</v>
      </c>
      <c r="Q22" s="102">
        <v>0</v>
      </c>
      <c r="R22" s="102">
        <v>0</v>
      </c>
      <c r="S22" s="102">
        <v>0</v>
      </c>
      <c r="T22" s="102">
        <v>0</v>
      </c>
      <c r="U22" s="102">
        <v>0</v>
      </c>
      <c r="V22" s="102">
        <v>0</v>
      </c>
      <c r="W22" s="102">
        <v>0</v>
      </c>
      <c r="X22" s="102">
        <v>0</v>
      </c>
      <c r="Y22" s="102">
        <v>0</v>
      </c>
      <c r="Z22" s="102">
        <v>0</v>
      </c>
      <c r="AA22" s="102">
        <v>0</v>
      </c>
      <c r="AB22" s="102">
        <v>0</v>
      </c>
      <c r="AC22" s="102">
        <v>0</v>
      </c>
      <c r="AD22" s="102">
        <v>0</v>
      </c>
      <c r="AE22" s="102">
        <v>0</v>
      </c>
      <c r="AF22" s="102">
        <v>0</v>
      </c>
      <c r="AG22" s="102">
        <v>0</v>
      </c>
      <c r="AH22" s="102">
        <v>0</v>
      </c>
      <c r="AI22" s="102">
        <v>0</v>
      </c>
      <c r="AJ22" s="102">
        <v>0</v>
      </c>
      <c r="AK22" s="102">
        <v>0</v>
      </c>
      <c r="AL22" s="102">
        <v>0</v>
      </c>
      <c r="AM22" s="102">
        <v>0</v>
      </c>
      <c r="AN22" s="102">
        <v>0</v>
      </c>
    </row>
    <row r="23" spans="2:40" s="16" customFormat="1" ht="21" customHeight="1" x14ac:dyDescent="0.2">
      <c r="B23" s="7" t="s">
        <v>147</v>
      </c>
      <c r="C23" s="27"/>
      <c r="D23" s="14"/>
      <c r="E23" s="104">
        <f t="shared" ref="E23:AN23" si="140">SUM(E22, E21, E20 + E19)</f>
        <v>800</v>
      </c>
      <c r="F23" s="104">
        <f t="shared" ref="F23:AM23" si="141">SUM(F22, F21, F20 + F19)</f>
        <v>840</v>
      </c>
      <c r="G23" s="104">
        <f t="shared" si="141"/>
        <v>882</v>
      </c>
      <c r="H23" s="104">
        <f t="shared" si="141"/>
        <v>926.1</v>
      </c>
      <c r="I23" s="104">
        <f t="shared" si="141"/>
        <v>972.40500000000009</v>
      </c>
      <c r="J23" s="104">
        <f t="shared" si="141"/>
        <v>1021.0252500000001</v>
      </c>
      <c r="K23" s="104">
        <f t="shared" si="141"/>
        <v>1072.0765125000003</v>
      </c>
      <c r="L23" s="104">
        <f t="shared" si="141"/>
        <v>1125.6803381250004</v>
      </c>
      <c r="M23" s="104">
        <f t="shared" si="141"/>
        <v>1181.9643550312505</v>
      </c>
      <c r="N23" s="104">
        <f t="shared" si="141"/>
        <v>1241.062572782813</v>
      </c>
      <c r="O23" s="104">
        <f t="shared" si="141"/>
        <v>1303.1157014219536</v>
      </c>
      <c r="P23" s="104">
        <f t="shared" si="141"/>
        <v>1368.2714864930515</v>
      </c>
      <c r="Q23" s="104">
        <f t="shared" si="141"/>
        <v>1436.6850608177042</v>
      </c>
      <c r="R23" s="104">
        <f t="shared" si="141"/>
        <v>1508.5193138585894</v>
      </c>
      <c r="S23" s="104">
        <f t="shared" si="141"/>
        <v>1583.945279551519</v>
      </c>
      <c r="T23" s="104">
        <f t="shared" si="141"/>
        <v>1663.1425435290951</v>
      </c>
      <c r="U23" s="104">
        <f t="shared" si="141"/>
        <v>1746.2996707055499</v>
      </c>
      <c r="V23" s="104">
        <f t="shared" si="141"/>
        <v>1833.6146542408276</v>
      </c>
      <c r="W23" s="104">
        <f t="shared" si="141"/>
        <v>1925.295386952869</v>
      </c>
      <c r="X23" s="104">
        <f t="shared" si="141"/>
        <v>2021.5601563005125</v>
      </c>
      <c r="Y23" s="104">
        <f t="shared" si="141"/>
        <v>2122.6381641155381</v>
      </c>
      <c r="Z23" s="104">
        <f t="shared" si="141"/>
        <v>2228.7700723213152</v>
      </c>
      <c r="AA23" s="104">
        <f t="shared" si="141"/>
        <v>2340.2085759373808</v>
      </c>
      <c r="AB23" s="104">
        <f t="shared" si="141"/>
        <v>2457.2190047342501</v>
      </c>
      <c r="AC23" s="104">
        <f t="shared" si="141"/>
        <v>2580.0799549709627</v>
      </c>
      <c r="AD23" s="104">
        <f t="shared" si="141"/>
        <v>2709.0839527195108</v>
      </c>
      <c r="AE23" s="104">
        <f t="shared" si="141"/>
        <v>2844.5381503554863</v>
      </c>
      <c r="AF23" s="104">
        <f t="shared" si="141"/>
        <v>2986.765057873261</v>
      </c>
      <c r="AG23" s="104">
        <f t="shared" si="141"/>
        <v>3136.1033107669241</v>
      </c>
      <c r="AH23" s="104">
        <f t="shared" si="141"/>
        <v>3292.9084763052706</v>
      </c>
      <c r="AI23" s="104">
        <f t="shared" si="141"/>
        <v>3457.5539001205343</v>
      </c>
      <c r="AJ23" s="104">
        <f t="shared" si="141"/>
        <v>3630.4315951265612</v>
      </c>
      <c r="AK23" s="104">
        <f t="shared" si="141"/>
        <v>3811.9531748828895</v>
      </c>
      <c r="AL23" s="104">
        <f t="shared" si="141"/>
        <v>4002.5508336270341</v>
      </c>
      <c r="AM23" s="104">
        <f t="shared" si="141"/>
        <v>4202.6783753083855</v>
      </c>
      <c r="AN23" s="104">
        <f t="shared" si="140"/>
        <v>4412.8122940738049</v>
      </c>
    </row>
    <row r="24" spans="2:40" s="18" customFormat="1" ht="21" customHeight="1" x14ac:dyDescent="0.2">
      <c r="B24" s="7" t="s">
        <v>122</v>
      </c>
      <c r="C24" s="27"/>
      <c r="D24" s="19"/>
      <c r="E24" s="102">
        <v>0</v>
      </c>
      <c r="F24" s="103">
        <f t="shared" ref="F24" si="142">E24*(1+$C24)</f>
        <v>0</v>
      </c>
      <c r="G24" s="103">
        <f t="shared" ref="G24" si="143">F24*(1+$C24)</f>
        <v>0</v>
      </c>
      <c r="H24" s="103">
        <f t="shared" ref="H24" si="144">G24*(1+$C24)</f>
        <v>0</v>
      </c>
      <c r="I24" s="103">
        <f t="shared" ref="I24" si="145">H24*(1+$C24)</f>
        <v>0</v>
      </c>
      <c r="J24" s="103">
        <f t="shared" ref="J24" si="146">I24*(1+$C24)</f>
        <v>0</v>
      </c>
      <c r="K24" s="103">
        <f t="shared" ref="K24" si="147">J24*(1+$C24)</f>
        <v>0</v>
      </c>
      <c r="L24" s="103">
        <f t="shared" ref="L24" si="148">K24*(1+$C24)</f>
        <v>0</v>
      </c>
      <c r="M24" s="103">
        <f t="shared" ref="M24" si="149">L24*(1+$C24)</f>
        <v>0</v>
      </c>
      <c r="N24" s="103">
        <f t="shared" ref="N24" si="150">M24*(1+$C24)</f>
        <v>0</v>
      </c>
      <c r="O24" s="103">
        <f t="shared" ref="O24" si="151">N24*(1+$C24)</f>
        <v>0</v>
      </c>
      <c r="P24" s="103">
        <f t="shared" ref="P24" si="152">O24*(1+$C24)</f>
        <v>0</v>
      </c>
      <c r="Q24" s="103">
        <f t="shared" ref="Q24" si="153">P24*(1+$C24)</f>
        <v>0</v>
      </c>
      <c r="R24" s="103">
        <f t="shared" ref="R24" si="154">Q24*(1+$C24)</f>
        <v>0</v>
      </c>
      <c r="S24" s="103">
        <f t="shared" ref="S24" si="155">R24*(1+$C24)</f>
        <v>0</v>
      </c>
      <c r="T24" s="103">
        <f t="shared" ref="T24" si="156">S24*(1+$C24)</f>
        <v>0</v>
      </c>
      <c r="U24" s="103">
        <f t="shared" ref="U24" si="157">T24*(1+$C24)</f>
        <v>0</v>
      </c>
      <c r="V24" s="103">
        <f t="shared" ref="V24" si="158">U24*(1+$C24)</f>
        <v>0</v>
      </c>
      <c r="W24" s="103">
        <f t="shared" ref="W24" si="159">V24*(1+$C24)</f>
        <v>0</v>
      </c>
      <c r="X24" s="103">
        <f t="shared" ref="X24" si="160">W24*(1+$C24)</f>
        <v>0</v>
      </c>
      <c r="Y24" s="103">
        <f t="shared" ref="Y24" si="161">X24*(1+$C24)</f>
        <v>0</v>
      </c>
      <c r="Z24" s="103">
        <f t="shared" ref="Z24" si="162">Y24*(1+$C24)</f>
        <v>0</v>
      </c>
      <c r="AA24" s="103">
        <f t="shared" ref="AA24" si="163">Z24*(1+$C24)</f>
        <v>0</v>
      </c>
      <c r="AB24" s="103">
        <f t="shared" ref="AB24" si="164">AA24*(1+$C24)</f>
        <v>0</v>
      </c>
      <c r="AC24" s="103">
        <f t="shared" ref="AC24" si="165">AB24*(1+$C24)</f>
        <v>0</v>
      </c>
      <c r="AD24" s="103">
        <f t="shared" ref="AD24" si="166">AC24*(1+$C24)</f>
        <v>0</v>
      </c>
      <c r="AE24" s="103">
        <f t="shared" ref="AE24" si="167">AD24*(1+$C24)</f>
        <v>0</v>
      </c>
      <c r="AF24" s="103">
        <f t="shared" ref="AF24" si="168">AE24*(1+$C24)</f>
        <v>0</v>
      </c>
      <c r="AG24" s="103">
        <f t="shared" ref="AG24" si="169">AF24*(1+$C24)</f>
        <v>0</v>
      </c>
      <c r="AH24" s="103">
        <f t="shared" ref="AH24" si="170">AG24*(1+$C24)</f>
        <v>0</v>
      </c>
      <c r="AI24" s="103">
        <f t="shared" ref="AI24" si="171">AH24*(1+$C24)</f>
        <v>0</v>
      </c>
      <c r="AJ24" s="103">
        <f t="shared" ref="AJ24" si="172">AI24*(1+$C24)</f>
        <v>0</v>
      </c>
      <c r="AK24" s="103">
        <f t="shared" ref="AK24" si="173">AJ24*(1+$C24)</f>
        <v>0</v>
      </c>
      <c r="AL24" s="103">
        <f t="shared" ref="AL24" si="174">AK24*(1+$C24)</f>
        <v>0</v>
      </c>
      <c r="AM24" s="103">
        <f t="shared" ref="AM24" si="175">AL24*(1+$C24)</f>
        <v>0</v>
      </c>
      <c r="AN24" s="103">
        <f t="shared" ref="AN24:AN28" si="176">AM24*(1+$C24)</f>
        <v>0</v>
      </c>
    </row>
    <row r="25" spans="2:40" s="16" customFormat="1" ht="21" customHeight="1" x14ac:dyDescent="0.2">
      <c r="B25" s="8" t="s">
        <v>123</v>
      </c>
      <c r="C25" s="101">
        <v>0.05</v>
      </c>
      <c r="D25" s="14"/>
      <c r="E25" s="102">
        <v>0</v>
      </c>
      <c r="F25" s="102">
        <v>0</v>
      </c>
      <c r="G25" s="102">
        <v>0</v>
      </c>
      <c r="H25" s="102">
        <v>0</v>
      </c>
      <c r="I25" s="102">
        <v>0</v>
      </c>
      <c r="J25" s="102">
        <v>0</v>
      </c>
      <c r="K25" s="102">
        <v>0</v>
      </c>
      <c r="L25" s="102">
        <v>0</v>
      </c>
      <c r="M25" s="102">
        <v>0</v>
      </c>
      <c r="N25" s="102">
        <v>0</v>
      </c>
      <c r="O25" s="102">
        <v>0</v>
      </c>
      <c r="P25" s="102">
        <v>0</v>
      </c>
      <c r="Q25" s="102">
        <v>0</v>
      </c>
      <c r="R25" s="102">
        <v>0</v>
      </c>
      <c r="S25" s="102">
        <v>0</v>
      </c>
      <c r="T25" s="102">
        <v>0</v>
      </c>
      <c r="U25" s="102">
        <v>0</v>
      </c>
      <c r="V25" s="102">
        <v>0</v>
      </c>
      <c r="W25" s="102">
        <v>0</v>
      </c>
      <c r="X25" s="102">
        <v>0</v>
      </c>
      <c r="Y25" s="102">
        <v>0</v>
      </c>
      <c r="Z25" s="102">
        <v>0</v>
      </c>
      <c r="AA25" s="102">
        <v>0</v>
      </c>
      <c r="AB25" s="102">
        <v>0</v>
      </c>
      <c r="AC25" s="102">
        <v>0</v>
      </c>
      <c r="AD25" s="102">
        <v>0</v>
      </c>
      <c r="AE25" s="102">
        <v>0</v>
      </c>
      <c r="AF25" s="102">
        <v>0</v>
      </c>
      <c r="AG25" s="102">
        <v>0</v>
      </c>
      <c r="AH25" s="102">
        <v>0</v>
      </c>
      <c r="AI25" s="102">
        <v>0</v>
      </c>
      <c r="AJ25" s="102">
        <v>0</v>
      </c>
      <c r="AK25" s="102">
        <v>0</v>
      </c>
      <c r="AL25" s="102">
        <v>0</v>
      </c>
      <c r="AM25" s="102">
        <v>0</v>
      </c>
      <c r="AN25" s="102">
        <v>0</v>
      </c>
    </row>
    <row r="26" spans="2:40" s="16" customFormat="1" ht="21" customHeight="1" x14ac:dyDescent="0.2">
      <c r="B26" s="8" t="s">
        <v>124</v>
      </c>
      <c r="C26" s="101">
        <v>0.05</v>
      </c>
      <c r="D26" s="14"/>
      <c r="E26" s="102">
        <v>0</v>
      </c>
      <c r="F26" s="102">
        <v>0</v>
      </c>
      <c r="G26" s="102">
        <v>0</v>
      </c>
      <c r="H26" s="102">
        <v>0</v>
      </c>
      <c r="I26" s="102">
        <v>0</v>
      </c>
      <c r="J26" s="102">
        <v>0</v>
      </c>
      <c r="K26" s="102">
        <v>0</v>
      </c>
      <c r="L26" s="102">
        <v>0</v>
      </c>
      <c r="M26" s="102">
        <v>0</v>
      </c>
      <c r="N26" s="102">
        <v>0</v>
      </c>
      <c r="O26" s="102">
        <v>0</v>
      </c>
      <c r="P26" s="102">
        <v>0</v>
      </c>
      <c r="Q26" s="102">
        <v>0</v>
      </c>
      <c r="R26" s="102">
        <v>0</v>
      </c>
      <c r="S26" s="102">
        <v>0</v>
      </c>
      <c r="T26" s="102">
        <v>0</v>
      </c>
      <c r="U26" s="102">
        <v>0</v>
      </c>
      <c r="V26" s="102">
        <v>0</v>
      </c>
      <c r="W26" s="102">
        <v>0</v>
      </c>
      <c r="X26" s="102">
        <v>0</v>
      </c>
      <c r="Y26" s="102">
        <v>0</v>
      </c>
      <c r="Z26" s="102">
        <v>0</v>
      </c>
      <c r="AA26" s="102">
        <v>0</v>
      </c>
      <c r="AB26" s="102">
        <v>0</v>
      </c>
      <c r="AC26" s="102">
        <v>0</v>
      </c>
      <c r="AD26" s="102">
        <v>0</v>
      </c>
      <c r="AE26" s="102">
        <v>0</v>
      </c>
      <c r="AF26" s="102">
        <v>0</v>
      </c>
      <c r="AG26" s="102">
        <v>0</v>
      </c>
      <c r="AH26" s="102">
        <v>0</v>
      </c>
      <c r="AI26" s="102">
        <v>0</v>
      </c>
      <c r="AJ26" s="102">
        <v>0</v>
      </c>
      <c r="AK26" s="102">
        <v>0</v>
      </c>
      <c r="AL26" s="102">
        <v>0</v>
      </c>
      <c r="AM26" s="102">
        <v>0</v>
      </c>
      <c r="AN26" s="102">
        <v>0</v>
      </c>
    </row>
    <row r="27" spans="2:40" s="16" customFormat="1" ht="21" customHeight="1" x14ac:dyDescent="0.2">
      <c r="B27" s="8" t="s">
        <v>125</v>
      </c>
      <c r="C27" s="101">
        <v>0.05</v>
      </c>
      <c r="D27" s="14"/>
      <c r="E27" s="102">
        <v>0</v>
      </c>
      <c r="F27" s="102">
        <v>0</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row>
    <row r="28" spans="2:40" s="16" customFormat="1" ht="21" customHeight="1" x14ac:dyDescent="0.2">
      <c r="B28" s="8" t="s">
        <v>126</v>
      </c>
      <c r="C28" s="101">
        <v>0.05</v>
      </c>
      <c r="D28" s="14"/>
      <c r="E28" s="102">
        <v>2000</v>
      </c>
      <c r="F28" s="103">
        <f t="shared" ref="F28" si="177">E28*(1+$C28)</f>
        <v>2100</v>
      </c>
      <c r="G28" s="103">
        <f t="shared" ref="G28" si="178">F28*(1+$C28)</f>
        <v>2205</v>
      </c>
      <c r="H28" s="103">
        <f t="shared" ref="H28" si="179">G28*(1+$C28)</f>
        <v>2315.25</v>
      </c>
      <c r="I28" s="103">
        <f t="shared" ref="I28" si="180">H28*(1+$C28)</f>
        <v>2431.0125000000003</v>
      </c>
      <c r="J28" s="103">
        <f t="shared" ref="J28" si="181">I28*(1+$C28)</f>
        <v>2552.5631250000006</v>
      </c>
      <c r="K28" s="103">
        <f t="shared" ref="K28" si="182">J28*(1+$C28)</f>
        <v>2680.1912812500009</v>
      </c>
      <c r="L28" s="103">
        <f t="shared" ref="L28" si="183">K28*(1+$C28)</f>
        <v>2814.2008453125009</v>
      </c>
      <c r="M28" s="103">
        <f t="shared" ref="M28" si="184">L28*(1+$C28)</f>
        <v>2954.9108875781262</v>
      </c>
      <c r="N28" s="103">
        <f t="shared" ref="N28" si="185">M28*(1+$C28)</f>
        <v>3102.6564319570325</v>
      </c>
      <c r="O28" s="103">
        <f t="shared" ref="O28" si="186">N28*(1+$C28)</f>
        <v>3257.7892535548845</v>
      </c>
      <c r="P28" s="103">
        <f t="shared" ref="P28" si="187">O28*(1+$C28)</f>
        <v>3420.6787162326286</v>
      </c>
      <c r="Q28" s="103">
        <f t="shared" ref="Q28" si="188">P28*(1+$C28)</f>
        <v>3591.7126520442603</v>
      </c>
      <c r="R28" s="103">
        <f t="shared" ref="R28" si="189">Q28*(1+$C28)</f>
        <v>3771.2982846464733</v>
      </c>
      <c r="S28" s="103">
        <f t="shared" ref="S28" si="190">R28*(1+$C28)</f>
        <v>3959.863198878797</v>
      </c>
      <c r="T28" s="103">
        <f t="shared" ref="T28" si="191">S28*(1+$C28)</f>
        <v>4157.8563588227371</v>
      </c>
      <c r="U28" s="103">
        <f t="shared" ref="U28" si="192">T28*(1+$C28)</f>
        <v>4365.7491767638739</v>
      </c>
      <c r="V28" s="103">
        <f t="shared" ref="V28" si="193">U28*(1+$C28)</f>
        <v>4584.0366356020677</v>
      </c>
      <c r="W28" s="103">
        <f t="shared" ref="W28" si="194">V28*(1+$C28)</f>
        <v>4813.2384673821716</v>
      </c>
      <c r="X28" s="103">
        <f t="shared" ref="X28" si="195">W28*(1+$C28)</f>
        <v>5053.9003907512806</v>
      </c>
      <c r="Y28" s="103">
        <f t="shared" ref="Y28" si="196">X28*(1+$C28)</f>
        <v>5306.5954102888445</v>
      </c>
      <c r="Z28" s="103">
        <f t="shared" ref="Z28" si="197">Y28*(1+$C28)</f>
        <v>5571.9251808032868</v>
      </c>
      <c r="AA28" s="103">
        <f t="shared" ref="AA28" si="198">Z28*(1+$C28)</f>
        <v>5850.5214398434518</v>
      </c>
      <c r="AB28" s="103">
        <f t="shared" ref="AB28" si="199">AA28*(1+$C28)</f>
        <v>6143.0475118356244</v>
      </c>
      <c r="AC28" s="103">
        <f t="shared" ref="AC28" si="200">AB28*(1+$C28)</f>
        <v>6450.1998874274059</v>
      </c>
      <c r="AD28" s="103">
        <f t="shared" ref="AD28" si="201">AC28*(1+$C28)</f>
        <v>6772.7098817987762</v>
      </c>
      <c r="AE28" s="103">
        <f t="shared" ref="AE28" si="202">AD28*(1+$C28)</f>
        <v>7111.3453758887154</v>
      </c>
      <c r="AF28" s="103">
        <f t="shared" ref="AF28" si="203">AE28*(1+$C28)</f>
        <v>7466.9126446831515</v>
      </c>
      <c r="AG28" s="103">
        <f t="shared" ref="AG28" si="204">AF28*(1+$C28)</f>
        <v>7840.2582769173096</v>
      </c>
      <c r="AH28" s="103">
        <f t="shared" ref="AH28" si="205">AG28*(1+$C28)</f>
        <v>8232.2711907631747</v>
      </c>
      <c r="AI28" s="103">
        <f t="shared" ref="AI28" si="206">AH28*(1+$C28)</f>
        <v>8643.884750301333</v>
      </c>
      <c r="AJ28" s="103">
        <f t="shared" ref="AJ28" si="207">AI28*(1+$C28)</f>
        <v>9076.0789878163996</v>
      </c>
      <c r="AK28" s="103">
        <f t="shared" ref="AK28" si="208">AJ28*(1+$C28)</f>
        <v>9529.8829372072196</v>
      </c>
      <c r="AL28" s="103">
        <f t="shared" ref="AL28" si="209">AK28*(1+$C28)</f>
        <v>10006.377084067581</v>
      </c>
      <c r="AM28" s="103">
        <f t="shared" ref="AM28" si="210">AL28*(1+$C28)</f>
        <v>10506.695938270959</v>
      </c>
      <c r="AN28" s="103">
        <f t="shared" si="176"/>
        <v>11032.030735184508</v>
      </c>
    </row>
    <row r="29" spans="2:40" s="16" customFormat="1" ht="21" customHeight="1" x14ac:dyDescent="0.2">
      <c r="B29" s="7" t="s">
        <v>148</v>
      </c>
      <c r="C29" s="27"/>
      <c r="D29" s="14"/>
      <c r="E29" s="104">
        <f t="shared" ref="E29:AN29" si="211">SUM(E28, E27, E26, E25 + E24)</f>
        <v>2000</v>
      </c>
      <c r="F29" s="104">
        <f t="shared" ref="F29:AM29" si="212">SUM(F28, F27, F26, F25 + F24)</f>
        <v>2100</v>
      </c>
      <c r="G29" s="104">
        <f t="shared" si="212"/>
        <v>2205</v>
      </c>
      <c r="H29" s="104">
        <f t="shared" si="212"/>
        <v>2315.25</v>
      </c>
      <c r="I29" s="104">
        <f t="shared" si="212"/>
        <v>2431.0125000000003</v>
      </c>
      <c r="J29" s="104">
        <f t="shared" si="212"/>
        <v>2552.5631250000006</v>
      </c>
      <c r="K29" s="104">
        <f t="shared" si="212"/>
        <v>2680.1912812500009</v>
      </c>
      <c r="L29" s="104">
        <f t="shared" si="212"/>
        <v>2814.2008453125009</v>
      </c>
      <c r="M29" s="104">
        <f t="shared" si="212"/>
        <v>2954.9108875781262</v>
      </c>
      <c r="N29" s="104">
        <f t="shared" si="212"/>
        <v>3102.6564319570325</v>
      </c>
      <c r="O29" s="104">
        <f t="shared" si="212"/>
        <v>3257.7892535548845</v>
      </c>
      <c r="P29" s="104">
        <f t="shared" si="212"/>
        <v>3420.6787162326286</v>
      </c>
      <c r="Q29" s="104">
        <f t="shared" si="212"/>
        <v>3591.7126520442603</v>
      </c>
      <c r="R29" s="104">
        <f t="shared" si="212"/>
        <v>3771.2982846464733</v>
      </c>
      <c r="S29" s="104">
        <f t="shared" si="212"/>
        <v>3959.863198878797</v>
      </c>
      <c r="T29" s="104">
        <f t="shared" si="212"/>
        <v>4157.8563588227371</v>
      </c>
      <c r="U29" s="104">
        <f t="shared" si="212"/>
        <v>4365.7491767638739</v>
      </c>
      <c r="V29" s="104">
        <f t="shared" si="212"/>
        <v>4584.0366356020677</v>
      </c>
      <c r="W29" s="104">
        <f t="shared" si="212"/>
        <v>4813.2384673821716</v>
      </c>
      <c r="X29" s="104">
        <f t="shared" si="212"/>
        <v>5053.9003907512806</v>
      </c>
      <c r="Y29" s="104">
        <f t="shared" si="212"/>
        <v>5306.5954102888445</v>
      </c>
      <c r="Z29" s="104">
        <f t="shared" si="212"/>
        <v>5571.9251808032868</v>
      </c>
      <c r="AA29" s="104">
        <f t="shared" si="212"/>
        <v>5850.5214398434518</v>
      </c>
      <c r="AB29" s="104">
        <f t="shared" si="212"/>
        <v>6143.0475118356244</v>
      </c>
      <c r="AC29" s="104">
        <f t="shared" si="212"/>
        <v>6450.1998874274059</v>
      </c>
      <c r="AD29" s="104">
        <f t="shared" si="212"/>
        <v>6772.7098817987762</v>
      </c>
      <c r="AE29" s="104">
        <f t="shared" si="212"/>
        <v>7111.3453758887154</v>
      </c>
      <c r="AF29" s="104">
        <f t="shared" si="212"/>
        <v>7466.9126446831515</v>
      </c>
      <c r="AG29" s="104">
        <f t="shared" si="212"/>
        <v>7840.2582769173096</v>
      </c>
      <c r="AH29" s="104">
        <f t="shared" si="212"/>
        <v>8232.2711907631747</v>
      </c>
      <c r="AI29" s="104">
        <f t="shared" si="212"/>
        <v>8643.884750301333</v>
      </c>
      <c r="AJ29" s="104">
        <f t="shared" si="212"/>
        <v>9076.0789878163996</v>
      </c>
      <c r="AK29" s="104">
        <f t="shared" si="212"/>
        <v>9529.8829372072196</v>
      </c>
      <c r="AL29" s="104">
        <f t="shared" si="212"/>
        <v>10006.377084067581</v>
      </c>
      <c r="AM29" s="104">
        <f t="shared" si="212"/>
        <v>10506.695938270959</v>
      </c>
      <c r="AN29" s="104">
        <f t="shared" si="211"/>
        <v>11032.030735184508</v>
      </c>
    </row>
    <row r="30" spans="2:40" s="18" customFormat="1" ht="21" customHeight="1" x14ac:dyDescent="0.2">
      <c r="B30" s="7" t="s">
        <v>127</v>
      </c>
      <c r="C30" s="101">
        <v>0.05</v>
      </c>
      <c r="D30" s="19"/>
      <c r="E30" s="102">
        <v>0</v>
      </c>
      <c r="F30" s="103">
        <f t="shared" ref="F30:F35" si="213">E30*(1+$C30)</f>
        <v>0</v>
      </c>
      <c r="G30" s="103">
        <f t="shared" ref="G30:G35" si="214">F30*(1+$C30)</f>
        <v>0</v>
      </c>
      <c r="H30" s="103">
        <f t="shared" ref="H30:H35" si="215">G30*(1+$C30)</f>
        <v>0</v>
      </c>
      <c r="I30" s="103">
        <f t="shared" ref="I30:I35" si="216">H30*(1+$C30)</f>
        <v>0</v>
      </c>
      <c r="J30" s="103">
        <f t="shared" ref="J30:J35" si="217">I30*(1+$C30)</f>
        <v>0</v>
      </c>
      <c r="K30" s="103">
        <f t="shared" ref="K30:K35" si="218">J30*(1+$C30)</f>
        <v>0</v>
      </c>
      <c r="L30" s="103">
        <f t="shared" ref="L30:L35" si="219">K30*(1+$C30)</f>
        <v>0</v>
      </c>
      <c r="M30" s="103">
        <f t="shared" ref="M30:M35" si="220">L30*(1+$C30)</f>
        <v>0</v>
      </c>
      <c r="N30" s="103">
        <f t="shared" ref="N30:N35" si="221">M30*(1+$C30)</f>
        <v>0</v>
      </c>
      <c r="O30" s="103">
        <f t="shared" ref="O30:O35" si="222">N30*(1+$C30)</f>
        <v>0</v>
      </c>
      <c r="P30" s="103">
        <f t="shared" ref="P30:P35" si="223">O30*(1+$C30)</f>
        <v>0</v>
      </c>
      <c r="Q30" s="103">
        <f t="shared" ref="Q30:Q35" si="224">P30*(1+$C30)</f>
        <v>0</v>
      </c>
      <c r="R30" s="103">
        <f t="shared" ref="R30:R35" si="225">Q30*(1+$C30)</f>
        <v>0</v>
      </c>
      <c r="S30" s="103">
        <f t="shared" ref="S30:S35" si="226">R30*(1+$C30)</f>
        <v>0</v>
      </c>
      <c r="T30" s="103">
        <f t="shared" ref="T30:T35" si="227">S30*(1+$C30)</f>
        <v>0</v>
      </c>
      <c r="U30" s="103">
        <f t="shared" ref="U30:U35" si="228">T30*(1+$C30)</f>
        <v>0</v>
      </c>
      <c r="V30" s="103">
        <f t="shared" ref="V30:V35" si="229">U30*(1+$C30)</f>
        <v>0</v>
      </c>
      <c r="W30" s="103">
        <f t="shared" ref="W30:W35" si="230">V30*(1+$C30)</f>
        <v>0</v>
      </c>
      <c r="X30" s="103">
        <f t="shared" ref="X30:X35" si="231">W30*(1+$C30)</f>
        <v>0</v>
      </c>
      <c r="Y30" s="103">
        <f t="shared" ref="Y30:Y35" si="232">X30*(1+$C30)</f>
        <v>0</v>
      </c>
      <c r="Z30" s="103">
        <f t="shared" ref="Z30:Z35" si="233">Y30*(1+$C30)</f>
        <v>0</v>
      </c>
      <c r="AA30" s="103">
        <f t="shared" ref="AA30:AA35" si="234">Z30*(1+$C30)</f>
        <v>0</v>
      </c>
      <c r="AB30" s="103">
        <f t="shared" ref="AB30:AB35" si="235">AA30*(1+$C30)</f>
        <v>0</v>
      </c>
      <c r="AC30" s="103">
        <f t="shared" ref="AC30:AC35" si="236">AB30*(1+$C30)</f>
        <v>0</v>
      </c>
      <c r="AD30" s="103">
        <f t="shared" ref="AD30:AD35" si="237">AC30*(1+$C30)</f>
        <v>0</v>
      </c>
      <c r="AE30" s="103">
        <f t="shared" ref="AE30:AE35" si="238">AD30*(1+$C30)</f>
        <v>0</v>
      </c>
      <c r="AF30" s="103">
        <f t="shared" ref="AF30:AF35" si="239">AE30*(1+$C30)</f>
        <v>0</v>
      </c>
      <c r="AG30" s="103">
        <f t="shared" ref="AG30:AG35" si="240">AF30*(1+$C30)</f>
        <v>0</v>
      </c>
      <c r="AH30" s="103">
        <f t="shared" ref="AH30:AH35" si="241">AG30*(1+$C30)</f>
        <v>0</v>
      </c>
      <c r="AI30" s="103">
        <f t="shared" ref="AI30:AI35" si="242">AH30*(1+$C30)</f>
        <v>0</v>
      </c>
      <c r="AJ30" s="103">
        <f t="shared" ref="AJ30:AJ35" si="243">AI30*(1+$C30)</f>
        <v>0</v>
      </c>
      <c r="AK30" s="103">
        <f t="shared" ref="AK30:AK35" si="244">AJ30*(1+$C30)</f>
        <v>0</v>
      </c>
      <c r="AL30" s="103">
        <f t="shared" ref="AL30:AL35" si="245">AK30*(1+$C30)</f>
        <v>0</v>
      </c>
      <c r="AM30" s="103">
        <f t="shared" ref="AM30:AM35" si="246">AL30*(1+$C30)</f>
        <v>0</v>
      </c>
      <c r="AN30" s="103">
        <f t="shared" ref="AN30:AN35" si="247">AM30*(1+$C30)</f>
        <v>0</v>
      </c>
    </row>
    <row r="31" spans="2:40" s="16" customFormat="1" ht="21" customHeight="1" x14ac:dyDescent="0.2">
      <c r="B31" s="8" t="s">
        <v>128</v>
      </c>
      <c r="C31" s="101">
        <v>0.05</v>
      </c>
      <c r="D31" s="14"/>
      <c r="E31" s="102">
        <v>11475</v>
      </c>
      <c r="F31" s="103">
        <f t="shared" si="213"/>
        <v>12048.75</v>
      </c>
      <c r="G31" s="103">
        <f t="shared" si="214"/>
        <v>12651.1875</v>
      </c>
      <c r="H31" s="103">
        <f>G31*(0.8)</f>
        <v>10120.950000000001</v>
      </c>
      <c r="I31" s="103">
        <f t="shared" si="216"/>
        <v>10626.997500000001</v>
      </c>
      <c r="J31" s="103">
        <f t="shared" si="217"/>
        <v>11158.347375000001</v>
      </c>
      <c r="K31" s="103">
        <f t="shared" si="218"/>
        <v>11716.264743750002</v>
      </c>
      <c r="L31" s="103">
        <f t="shared" si="219"/>
        <v>12302.077980937502</v>
      </c>
      <c r="M31" s="103">
        <f t="shared" si="220"/>
        <v>12917.181879984377</v>
      </c>
      <c r="N31" s="103">
        <f>M31*(0.8)</f>
        <v>10333.745503987502</v>
      </c>
      <c r="O31" s="103">
        <f t="shared" si="222"/>
        <v>10850.432779186878</v>
      </c>
      <c r="P31" s="103">
        <f t="shared" si="223"/>
        <v>11392.954418146222</v>
      </c>
      <c r="Q31" s="103">
        <f t="shared" si="224"/>
        <v>11962.602139053533</v>
      </c>
      <c r="R31" s="103">
        <f t="shared" si="225"/>
        <v>12560.732246006211</v>
      </c>
      <c r="S31" s="103">
        <f t="shared" si="226"/>
        <v>13188.768858306523</v>
      </c>
      <c r="T31" s="103">
        <f t="shared" si="227"/>
        <v>13848.20730122185</v>
      </c>
      <c r="U31" s="103">
        <f t="shared" si="228"/>
        <v>14540.617666282942</v>
      </c>
      <c r="V31" s="103">
        <f t="shared" ref="V31:W31" si="248">U31*(0.8)</f>
        <v>11632.494133026354</v>
      </c>
      <c r="W31" s="103">
        <f t="shared" si="248"/>
        <v>9305.995306421084</v>
      </c>
      <c r="X31" s="103">
        <f t="shared" si="231"/>
        <v>9771.295071742139</v>
      </c>
      <c r="Y31" s="103">
        <f t="shared" si="232"/>
        <v>10259.859825329246</v>
      </c>
      <c r="Z31" s="103">
        <f t="shared" si="233"/>
        <v>10772.852816595709</v>
      </c>
      <c r="AA31" s="103">
        <f t="shared" si="234"/>
        <v>11311.495457425495</v>
      </c>
      <c r="AB31" s="103">
        <f t="shared" si="235"/>
        <v>11877.070230296771</v>
      </c>
      <c r="AC31" s="103">
        <f>AB31*(0.8)</f>
        <v>9501.6561842374176</v>
      </c>
      <c r="AD31" s="103">
        <f t="shared" si="237"/>
        <v>9976.7389934492894</v>
      </c>
      <c r="AE31" s="103">
        <f t="shared" si="238"/>
        <v>10475.575943121754</v>
      </c>
      <c r="AF31" s="103">
        <f t="shared" si="239"/>
        <v>10999.354740277842</v>
      </c>
      <c r="AG31" s="103">
        <f t="shared" si="240"/>
        <v>11549.322477291735</v>
      </c>
      <c r="AH31" s="103">
        <f t="shared" si="241"/>
        <v>12126.788601156322</v>
      </c>
      <c r="AI31" s="103">
        <f>AH31*(0.8)</f>
        <v>9701.4308809250579</v>
      </c>
      <c r="AJ31" s="103">
        <f t="shared" si="243"/>
        <v>10186.502424971311</v>
      </c>
      <c r="AK31" s="103">
        <f t="shared" si="244"/>
        <v>10695.827546219878</v>
      </c>
      <c r="AL31" s="103">
        <f t="shared" si="245"/>
        <v>11230.618923530872</v>
      </c>
      <c r="AM31" s="103">
        <f t="shared" si="246"/>
        <v>11792.149869707417</v>
      </c>
      <c r="AN31" s="103">
        <f t="shared" si="247"/>
        <v>12381.757363192788</v>
      </c>
    </row>
    <row r="32" spans="2:40" s="16" customFormat="1" ht="21" customHeight="1" x14ac:dyDescent="0.2">
      <c r="B32" s="8" t="s">
        <v>129</v>
      </c>
      <c r="C32" s="101">
        <v>0.05</v>
      </c>
      <c r="D32" s="14"/>
      <c r="E32" s="102">
        <v>918</v>
      </c>
      <c r="F32" s="103">
        <f t="shared" si="213"/>
        <v>963.90000000000009</v>
      </c>
      <c r="G32" s="103">
        <f t="shared" si="214"/>
        <v>1012.0950000000001</v>
      </c>
      <c r="H32" s="103">
        <f t="shared" si="215"/>
        <v>1062.6997500000002</v>
      </c>
      <c r="I32" s="103">
        <f t="shared" si="216"/>
        <v>1115.8347375000003</v>
      </c>
      <c r="J32" s="103">
        <f t="shared" si="217"/>
        <v>1171.6264743750003</v>
      </c>
      <c r="K32" s="103">
        <f>J32*(0.75)</f>
        <v>878.7198557812502</v>
      </c>
      <c r="L32" s="103">
        <f t="shared" si="219"/>
        <v>922.65584857031274</v>
      </c>
      <c r="M32" s="103">
        <f t="shared" si="220"/>
        <v>968.78864099882844</v>
      </c>
      <c r="N32" s="103">
        <f t="shared" si="221"/>
        <v>1017.2280730487699</v>
      </c>
      <c r="O32" s="103">
        <f t="shared" si="222"/>
        <v>1068.0894767012085</v>
      </c>
      <c r="P32" s="103">
        <f t="shared" si="223"/>
        <v>1121.493950536269</v>
      </c>
      <c r="Q32" s="103">
        <f t="shared" si="224"/>
        <v>1177.5686480630825</v>
      </c>
      <c r="R32" s="103">
        <f t="shared" si="225"/>
        <v>1236.4470804662367</v>
      </c>
      <c r="S32" s="103">
        <f t="shared" si="226"/>
        <v>1298.2694344895485</v>
      </c>
      <c r="T32" s="103">
        <f>S32*(0.75)</f>
        <v>973.7020758671614</v>
      </c>
      <c r="U32" s="103">
        <f t="shared" si="228"/>
        <v>1022.3871796605196</v>
      </c>
      <c r="V32" s="103">
        <f t="shared" si="229"/>
        <v>1073.5065386435456</v>
      </c>
      <c r="W32" s="103">
        <f t="shared" si="230"/>
        <v>1127.1818655757229</v>
      </c>
      <c r="X32" s="103">
        <f t="shared" si="231"/>
        <v>1183.5409588545092</v>
      </c>
      <c r="Y32" s="103">
        <f t="shared" si="232"/>
        <v>1242.7180067972347</v>
      </c>
      <c r="Z32" s="103">
        <f>Y32*(0.75)</f>
        <v>932.03850509792596</v>
      </c>
      <c r="AA32" s="103">
        <f t="shared" si="234"/>
        <v>978.64043035282225</v>
      </c>
      <c r="AB32" s="103">
        <f t="shared" si="235"/>
        <v>1027.5724518704635</v>
      </c>
      <c r="AC32" s="103">
        <f t="shared" si="236"/>
        <v>1078.9510744639867</v>
      </c>
      <c r="AD32" s="103">
        <f t="shared" si="237"/>
        <v>1132.8986281871862</v>
      </c>
      <c r="AE32" s="103">
        <f t="shared" si="238"/>
        <v>1189.5435595965455</v>
      </c>
      <c r="AF32" s="103">
        <f t="shared" si="239"/>
        <v>1249.0207375763728</v>
      </c>
      <c r="AG32" s="103">
        <f t="shared" si="240"/>
        <v>1311.4717744551915</v>
      </c>
      <c r="AH32" s="103">
        <f t="shared" si="241"/>
        <v>1377.0453631779512</v>
      </c>
      <c r="AI32" s="103">
        <f t="shared" si="242"/>
        <v>1445.8976313368489</v>
      </c>
      <c r="AJ32" s="103">
        <f t="shared" si="243"/>
        <v>1518.1925129036915</v>
      </c>
      <c r="AK32" s="103">
        <f t="shared" si="244"/>
        <v>1594.1021385488762</v>
      </c>
      <c r="AL32" s="103">
        <f t="shared" si="245"/>
        <v>1673.8072454763201</v>
      </c>
      <c r="AM32" s="103">
        <f t="shared" si="246"/>
        <v>1757.4976077501362</v>
      </c>
      <c r="AN32" s="103">
        <f t="shared" si="247"/>
        <v>1845.3724881376431</v>
      </c>
    </row>
    <row r="33" spans="2:40" s="16" customFormat="1" ht="21" customHeight="1" x14ac:dyDescent="0.2">
      <c r="B33" s="8" t="s">
        <v>130</v>
      </c>
      <c r="C33" s="101">
        <v>0.05</v>
      </c>
      <c r="D33" s="14"/>
      <c r="E33" s="102">
        <v>1147.5</v>
      </c>
      <c r="F33" s="103">
        <f>E33*(0.75)</f>
        <v>860.625</v>
      </c>
      <c r="G33" s="103">
        <f t="shared" si="214"/>
        <v>903.65625</v>
      </c>
      <c r="H33" s="103">
        <f t="shared" si="215"/>
        <v>948.83906250000007</v>
      </c>
      <c r="I33" s="103">
        <f t="shared" si="216"/>
        <v>996.28101562500012</v>
      </c>
      <c r="J33" s="103">
        <f t="shared" si="217"/>
        <v>1046.0950664062502</v>
      </c>
      <c r="K33" s="103">
        <f t="shared" si="218"/>
        <v>1098.3998197265628</v>
      </c>
      <c r="L33" s="103">
        <f t="shared" si="219"/>
        <v>1153.319810712891</v>
      </c>
      <c r="M33" s="103">
        <f>L33*(0.75)</f>
        <v>864.98985803466826</v>
      </c>
      <c r="N33" s="103">
        <f t="shared" si="221"/>
        <v>908.23935093640171</v>
      </c>
      <c r="O33" s="103">
        <f t="shared" si="222"/>
        <v>953.65131848322187</v>
      </c>
      <c r="P33" s="103">
        <f t="shared" si="223"/>
        <v>1001.333884407383</v>
      </c>
      <c r="Q33" s="103">
        <f t="shared" si="224"/>
        <v>1051.4005786277523</v>
      </c>
      <c r="R33" s="103">
        <f t="shared" si="225"/>
        <v>1103.97060755914</v>
      </c>
      <c r="S33" s="103">
        <f t="shared" si="226"/>
        <v>1159.169137937097</v>
      </c>
      <c r="T33" s="103">
        <f t="shared" si="227"/>
        <v>1217.1275948339519</v>
      </c>
      <c r="U33" s="103">
        <f>T33*(0.75)</f>
        <v>912.84569612546397</v>
      </c>
      <c r="V33" s="103">
        <f t="shared" si="229"/>
        <v>958.48798093173718</v>
      </c>
      <c r="W33" s="103">
        <f t="shared" si="230"/>
        <v>1006.4123799783241</v>
      </c>
      <c r="X33" s="103">
        <f t="shared" si="231"/>
        <v>1056.7329989772404</v>
      </c>
      <c r="Y33" s="103">
        <f t="shared" si="232"/>
        <v>1109.5696489261024</v>
      </c>
      <c r="Z33" s="103">
        <f>Y33*(0.75)</f>
        <v>832.17723669457678</v>
      </c>
      <c r="AA33" s="103">
        <f t="shared" si="234"/>
        <v>873.7860985293056</v>
      </c>
      <c r="AB33" s="103">
        <f t="shared" si="235"/>
        <v>917.4754034557709</v>
      </c>
      <c r="AC33" s="103">
        <f t="shared" si="236"/>
        <v>963.34917362855947</v>
      </c>
      <c r="AD33" s="103">
        <f t="shared" si="237"/>
        <v>1011.5166323099875</v>
      </c>
      <c r="AE33" s="103">
        <f t="shared" si="238"/>
        <v>1062.092463925487</v>
      </c>
      <c r="AF33" s="103">
        <f t="shared" si="239"/>
        <v>1115.1970871217613</v>
      </c>
      <c r="AG33" s="103">
        <f t="shared" si="240"/>
        <v>1170.9569414778496</v>
      </c>
      <c r="AH33" s="103">
        <f t="shared" si="241"/>
        <v>1229.5047885517422</v>
      </c>
      <c r="AI33" s="103">
        <f t="shared" si="242"/>
        <v>1290.9800279793294</v>
      </c>
      <c r="AJ33" s="103">
        <f t="shared" si="243"/>
        <v>1355.5290293782959</v>
      </c>
      <c r="AK33" s="103">
        <f t="shared" si="244"/>
        <v>1423.3054808472109</v>
      </c>
      <c r="AL33" s="103">
        <f t="shared" si="245"/>
        <v>1494.4707548895715</v>
      </c>
      <c r="AM33" s="103">
        <f t="shared" si="246"/>
        <v>1569.19429263405</v>
      </c>
      <c r="AN33" s="103">
        <f t="shared" si="247"/>
        <v>1647.6540072657526</v>
      </c>
    </row>
    <row r="34" spans="2:40" s="16" customFormat="1" ht="21" customHeight="1" x14ac:dyDescent="0.2">
      <c r="B34" s="8" t="s">
        <v>131</v>
      </c>
      <c r="C34" s="101">
        <v>0.05</v>
      </c>
      <c r="D34" s="14"/>
      <c r="E34" s="102">
        <v>57.375</v>
      </c>
      <c r="F34" s="103">
        <f t="shared" si="213"/>
        <v>60.243750000000006</v>
      </c>
      <c r="G34" s="103">
        <f t="shared" si="214"/>
        <v>63.255937500000009</v>
      </c>
      <c r="H34" s="103">
        <f t="shared" si="215"/>
        <v>66.418734375000014</v>
      </c>
      <c r="I34" s="103">
        <f t="shared" si="216"/>
        <v>69.739671093750019</v>
      </c>
      <c r="J34" s="103">
        <f t="shared" si="217"/>
        <v>73.226654648437517</v>
      </c>
      <c r="K34" s="103">
        <f t="shared" si="218"/>
        <v>76.8879873808594</v>
      </c>
      <c r="L34" s="103">
        <f t="shared" si="219"/>
        <v>80.732386749902375</v>
      </c>
      <c r="M34" s="103">
        <f t="shared" si="220"/>
        <v>84.7690060873975</v>
      </c>
      <c r="N34" s="103">
        <f t="shared" si="221"/>
        <v>89.007456391767377</v>
      </c>
      <c r="O34" s="103">
        <f t="shared" si="222"/>
        <v>93.457829211355744</v>
      </c>
      <c r="P34" s="103">
        <f t="shared" si="223"/>
        <v>98.130720671923541</v>
      </c>
      <c r="Q34" s="103">
        <f t="shared" si="224"/>
        <v>103.03725670551972</v>
      </c>
      <c r="R34" s="103">
        <f t="shared" si="225"/>
        <v>108.18911954079572</v>
      </c>
      <c r="S34" s="103">
        <f t="shared" si="226"/>
        <v>113.5985755178355</v>
      </c>
      <c r="T34" s="103">
        <f t="shared" si="227"/>
        <v>119.27850429372728</v>
      </c>
      <c r="U34" s="103">
        <f t="shared" si="228"/>
        <v>125.24242950841365</v>
      </c>
      <c r="V34" s="103">
        <f t="shared" si="229"/>
        <v>131.50455098383435</v>
      </c>
      <c r="W34" s="103">
        <f t="shared" si="230"/>
        <v>138.07977853302609</v>
      </c>
      <c r="X34" s="103">
        <f t="shared" si="231"/>
        <v>144.98376745967741</v>
      </c>
      <c r="Y34" s="103">
        <f t="shared" si="232"/>
        <v>152.23295583266128</v>
      </c>
      <c r="Z34" s="103">
        <f t="shared" si="233"/>
        <v>159.84460362429434</v>
      </c>
      <c r="AA34" s="103">
        <f t="shared" si="234"/>
        <v>167.83683380550906</v>
      </c>
      <c r="AB34" s="103">
        <f t="shared" si="235"/>
        <v>176.22867549578453</v>
      </c>
      <c r="AC34" s="103">
        <f t="shared" si="236"/>
        <v>185.04010927057377</v>
      </c>
      <c r="AD34" s="103">
        <f t="shared" si="237"/>
        <v>194.29211473410246</v>
      </c>
      <c r="AE34" s="103">
        <f t="shared" si="238"/>
        <v>204.00672047080758</v>
      </c>
      <c r="AF34" s="103">
        <f t="shared" si="239"/>
        <v>214.20705649434797</v>
      </c>
      <c r="AG34" s="103">
        <f t="shared" si="240"/>
        <v>224.91740931906537</v>
      </c>
      <c r="AH34" s="103">
        <f t="shared" si="241"/>
        <v>236.16327978501866</v>
      </c>
      <c r="AI34" s="103">
        <f t="shared" si="242"/>
        <v>247.9714437742696</v>
      </c>
      <c r="AJ34" s="103">
        <f t="shared" si="243"/>
        <v>260.37001596298308</v>
      </c>
      <c r="AK34" s="103">
        <f t="shared" si="244"/>
        <v>273.38851676113222</v>
      </c>
      <c r="AL34" s="103">
        <f t="shared" si="245"/>
        <v>287.05794259918883</v>
      </c>
      <c r="AM34" s="103">
        <f t="shared" si="246"/>
        <v>301.41083972914828</v>
      </c>
      <c r="AN34" s="103">
        <f t="shared" si="247"/>
        <v>316.48138171560572</v>
      </c>
    </row>
    <row r="35" spans="2:40" s="16" customFormat="1" ht="21" customHeight="1" x14ac:dyDescent="0.2">
      <c r="B35" s="8" t="s">
        <v>132</v>
      </c>
      <c r="C35" s="101">
        <v>0.05</v>
      </c>
      <c r="D35" s="14"/>
      <c r="E35" s="102">
        <v>0</v>
      </c>
      <c r="F35" s="103">
        <f t="shared" si="213"/>
        <v>0</v>
      </c>
      <c r="G35" s="103">
        <f t="shared" si="214"/>
        <v>0</v>
      </c>
      <c r="H35" s="103">
        <f t="shared" si="215"/>
        <v>0</v>
      </c>
      <c r="I35" s="103">
        <f t="shared" si="216"/>
        <v>0</v>
      </c>
      <c r="J35" s="103">
        <f t="shared" si="217"/>
        <v>0</v>
      </c>
      <c r="K35" s="103">
        <f t="shared" si="218"/>
        <v>0</v>
      </c>
      <c r="L35" s="103">
        <f t="shared" si="219"/>
        <v>0</v>
      </c>
      <c r="M35" s="103">
        <f t="shared" si="220"/>
        <v>0</v>
      </c>
      <c r="N35" s="103">
        <f t="shared" si="221"/>
        <v>0</v>
      </c>
      <c r="O35" s="103">
        <f t="shared" si="222"/>
        <v>0</v>
      </c>
      <c r="P35" s="103">
        <f t="shared" si="223"/>
        <v>0</v>
      </c>
      <c r="Q35" s="103">
        <f t="shared" si="224"/>
        <v>0</v>
      </c>
      <c r="R35" s="103">
        <f t="shared" si="225"/>
        <v>0</v>
      </c>
      <c r="S35" s="103">
        <f t="shared" si="226"/>
        <v>0</v>
      </c>
      <c r="T35" s="103">
        <f t="shared" si="227"/>
        <v>0</v>
      </c>
      <c r="U35" s="103">
        <f t="shared" si="228"/>
        <v>0</v>
      </c>
      <c r="V35" s="103">
        <f t="shared" si="229"/>
        <v>0</v>
      </c>
      <c r="W35" s="103">
        <f t="shared" si="230"/>
        <v>0</v>
      </c>
      <c r="X35" s="103">
        <f t="shared" si="231"/>
        <v>0</v>
      </c>
      <c r="Y35" s="103">
        <f t="shared" si="232"/>
        <v>0</v>
      </c>
      <c r="Z35" s="103">
        <f t="shared" si="233"/>
        <v>0</v>
      </c>
      <c r="AA35" s="103">
        <f t="shared" si="234"/>
        <v>0</v>
      </c>
      <c r="AB35" s="103">
        <f t="shared" si="235"/>
        <v>0</v>
      </c>
      <c r="AC35" s="103">
        <f t="shared" si="236"/>
        <v>0</v>
      </c>
      <c r="AD35" s="103">
        <f t="shared" si="237"/>
        <v>0</v>
      </c>
      <c r="AE35" s="103">
        <f t="shared" si="238"/>
        <v>0</v>
      </c>
      <c r="AF35" s="103">
        <f t="shared" si="239"/>
        <v>0</v>
      </c>
      <c r="AG35" s="103">
        <f t="shared" si="240"/>
        <v>0</v>
      </c>
      <c r="AH35" s="103">
        <f t="shared" si="241"/>
        <v>0</v>
      </c>
      <c r="AI35" s="103">
        <f t="shared" si="242"/>
        <v>0</v>
      </c>
      <c r="AJ35" s="103">
        <f t="shared" si="243"/>
        <v>0</v>
      </c>
      <c r="AK35" s="103">
        <f t="shared" si="244"/>
        <v>0</v>
      </c>
      <c r="AL35" s="103">
        <f t="shared" si="245"/>
        <v>0</v>
      </c>
      <c r="AM35" s="103">
        <f t="shared" si="246"/>
        <v>0</v>
      </c>
      <c r="AN35" s="103">
        <f t="shared" si="247"/>
        <v>0</v>
      </c>
    </row>
    <row r="36" spans="2:40" s="16" customFormat="1" ht="21" customHeight="1" x14ac:dyDescent="0.2">
      <c r="B36" s="7" t="s">
        <v>149</v>
      </c>
      <c r="C36" s="27"/>
      <c r="D36" s="14"/>
      <c r="E36" s="104">
        <f t="shared" ref="E36:AN36" si="249">SUM(E35, E34, E33, E32, E31 + E30)</f>
        <v>13597.875</v>
      </c>
      <c r="F36" s="104">
        <f t="shared" ref="F36:AM36" si="250">SUM(F35, F34, F33, F32, F31 + F30)</f>
        <v>13933.518749999999</v>
      </c>
      <c r="G36" s="104">
        <f t="shared" si="250"/>
        <v>14630.194687499999</v>
      </c>
      <c r="H36" s="104">
        <f t="shared" si="250"/>
        <v>12198.907546875002</v>
      </c>
      <c r="I36" s="104">
        <f t="shared" si="250"/>
        <v>12808.852924218751</v>
      </c>
      <c r="J36" s="104">
        <f t="shared" si="250"/>
        <v>13449.295570429689</v>
      </c>
      <c r="K36" s="104">
        <f t="shared" si="250"/>
        <v>13770.272406638675</v>
      </c>
      <c r="L36" s="104">
        <f t="shared" si="250"/>
        <v>14458.786026970607</v>
      </c>
      <c r="M36" s="104">
        <f t="shared" si="250"/>
        <v>14835.729385105271</v>
      </c>
      <c r="N36" s="104">
        <f t="shared" si="250"/>
        <v>12348.220384364442</v>
      </c>
      <c r="O36" s="104">
        <f t="shared" si="250"/>
        <v>12965.631403582665</v>
      </c>
      <c r="P36" s="104">
        <f t="shared" si="250"/>
        <v>13613.912973761799</v>
      </c>
      <c r="Q36" s="104">
        <f t="shared" si="250"/>
        <v>14294.608622449887</v>
      </c>
      <c r="R36" s="104">
        <f t="shared" si="250"/>
        <v>15009.339053572385</v>
      </c>
      <c r="S36" s="104">
        <f t="shared" si="250"/>
        <v>15759.806006251005</v>
      </c>
      <c r="T36" s="104">
        <f t="shared" si="250"/>
        <v>16158.315476216691</v>
      </c>
      <c r="U36" s="104">
        <f t="shared" si="250"/>
        <v>16601.092971577338</v>
      </c>
      <c r="V36" s="104">
        <f t="shared" si="250"/>
        <v>13795.993203585471</v>
      </c>
      <c r="W36" s="104">
        <f t="shared" si="250"/>
        <v>11577.669330508157</v>
      </c>
      <c r="X36" s="104">
        <f t="shared" si="250"/>
        <v>12156.552797033566</v>
      </c>
      <c r="Y36" s="104">
        <f t="shared" si="250"/>
        <v>12764.380436885243</v>
      </c>
      <c r="Z36" s="104">
        <f t="shared" si="250"/>
        <v>12696.913162012506</v>
      </c>
      <c r="AA36" s="104">
        <f t="shared" si="250"/>
        <v>13331.758820113133</v>
      </c>
      <c r="AB36" s="104">
        <f t="shared" si="250"/>
        <v>13998.34676111879</v>
      </c>
      <c r="AC36" s="104">
        <f t="shared" si="250"/>
        <v>11728.996541600538</v>
      </c>
      <c r="AD36" s="104">
        <f t="shared" si="250"/>
        <v>12315.446368680565</v>
      </c>
      <c r="AE36" s="104">
        <f t="shared" si="250"/>
        <v>12931.218687114593</v>
      </c>
      <c r="AF36" s="104">
        <f t="shared" si="250"/>
        <v>13577.779621470323</v>
      </c>
      <c r="AG36" s="104">
        <f t="shared" si="250"/>
        <v>14256.668602543841</v>
      </c>
      <c r="AH36" s="104">
        <f t="shared" si="250"/>
        <v>14969.502032671035</v>
      </c>
      <c r="AI36" s="104">
        <f t="shared" si="250"/>
        <v>12686.279984015506</v>
      </c>
      <c r="AJ36" s="104">
        <f t="shared" si="250"/>
        <v>13320.593983216282</v>
      </c>
      <c r="AK36" s="104">
        <f t="shared" si="250"/>
        <v>13986.623682377098</v>
      </c>
      <c r="AL36" s="104">
        <f t="shared" si="250"/>
        <v>14685.954866495953</v>
      </c>
      <c r="AM36" s="104">
        <f t="shared" si="250"/>
        <v>15420.252609820751</v>
      </c>
      <c r="AN36" s="104">
        <f t="shared" si="249"/>
        <v>16191.26524031179</v>
      </c>
    </row>
    <row r="37" spans="2:40" s="16" customFormat="1" ht="21" customHeight="1" x14ac:dyDescent="0.2">
      <c r="B37" s="8" t="s">
        <v>133</v>
      </c>
      <c r="C37" s="101">
        <v>0.05</v>
      </c>
      <c r="D37" s="14"/>
      <c r="E37" s="102">
        <v>0</v>
      </c>
      <c r="F37" s="102">
        <v>0</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row>
    <row r="38" spans="2:40" s="18" customFormat="1" ht="21" customHeight="1" x14ac:dyDescent="0.2">
      <c r="B38" s="7" t="s">
        <v>134</v>
      </c>
      <c r="C38" s="101">
        <v>0.05</v>
      </c>
      <c r="D38" s="19"/>
      <c r="E38" s="102">
        <v>0</v>
      </c>
      <c r="F38" s="103">
        <f t="shared" ref="F38:F42" si="251">E38*(1+$C38)</f>
        <v>0</v>
      </c>
      <c r="G38" s="103">
        <f t="shared" ref="G38:G42" si="252">F38*(1+$C38)</f>
        <v>0</v>
      </c>
      <c r="H38" s="103">
        <f t="shared" ref="H38:H42" si="253">G38*(1+$C38)</f>
        <v>0</v>
      </c>
      <c r="I38" s="103">
        <f t="shared" ref="I38:I42" si="254">H38*(1+$C38)</f>
        <v>0</v>
      </c>
      <c r="J38" s="103">
        <f t="shared" ref="J38:J42" si="255">I38*(1+$C38)</f>
        <v>0</v>
      </c>
      <c r="K38" s="103">
        <f t="shared" ref="K38:K42" si="256">J38*(1+$C38)</f>
        <v>0</v>
      </c>
      <c r="L38" s="103">
        <f t="shared" ref="L38:L42" si="257">K38*(1+$C38)</f>
        <v>0</v>
      </c>
      <c r="M38" s="103">
        <f t="shared" ref="M38:M42" si="258">L38*(1+$C38)</f>
        <v>0</v>
      </c>
      <c r="N38" s="103">
        <f t="shared" ref="N38:N42" si="259">M38*(1+$C38)</f>
        <v>0</v>
      </c>
      <c r="O38" s="103">
        <f t="shared" ref="O38:O42" si="260">N38*(1+$C38)</f>
        <v>0</v>
      </c>
      <c r="P38" s="103">
        <f t="shared" ref="P38:P42" si="261">O38*(1+$C38)</f>
        <v>0</v>
      </c>
      <c r="Q38" s="103">
        <f t="shared" ref="Q38:Q42" si="262">P38*(1+$C38)</f>
        <v>0</v>
      </c>
      <c r="R38" s="103">
        <f t="shared" ref="R38:R42" si="263">Q38*(1+$C38)</f>
        <v>0</v>
      </c>
      <c r="S38" s="103">
        <f t="shared" ref="S38:S42" si="264">R38*(1+$C38)</f>
        <v>0</v>
      </c>
      <c r="T38" s="103">
        <f t="shared" ref="T38:T42" si="265">S38*(1+$C38)</f>
        <v>0</v>
      </c>
      <c r="U38" s="103">
        <f t="shared" ref="U38:U42" si="266">T38*(1+$C38)</f>
        <v>0</v>
      </c>
      <c r="V38" s="103">
        <f t="shared" ref="V38:V42" si="267">U38*(1+$C38)</f>
        <v>0</v>
      </c>
      <c r="W38" s="103">
        <f t="shared" ref="W38:W42" si="268">V38*(1+$C38)</f>
        <v>0</v>
      </c>
      <c r="X38" s="103">
        <f t="shared" ref="X38:X42" si="269">W38*(1+$C38)</f>
        <v>0</v>
      </c>
      <c r="Y38" s="103">
        <f t="shared" ref="Y38:Y42" si="270">X38*(1+$C38)</f>
        <v>0</v>
      </c>
      <c r="Z38" s="103">
        <f t="shared" ref="Z38:Z42" si="271">Y38*(1+$C38)</f>
        <v>0</v>
      </c>
      <c r="AA38" s="103">
        <f t="shared" ref="AA38:AA42" si="272">Z38*(1+$C38)</f>
        <v>0</v>
      </c>
      <c r="AB38" s="103">
        <f t="shared" ref="AB38:AB42" si="273">AA38*(1+$C38)</f>
        <v>0</v>
      </c>
      <c r="AC38" s="103">
        <f t="shared" ref="AC38:AC42" si="274">AB38*(1+$C38)</f>
        <v>0</v>
      </c>
      <c r="AD38" s="103">
        <f t="shared" ref="AD38:AD42" si="275">AC38*(1+$C38)</f>
        <v>0</v>
      </c>
      <c r="AE38" s="103">
        <f t="shared" ref="AE38:AE42" si="276">AD38*(1+$C38)</f>
        <v>0</v>
      </c>
      <c r="AF38" s="103">
        <f t="shared" ref="AF38:AF42" si="277">AE38*(1+$C38)</f>
        <v>0</v>
      </c>
      <c r="AG38" s="103">
        <f t="shared" ref="AG38:AG42" si="278">AF38*(1+$C38)</f>
        <v>0</v>
      </c>
      <c r="AH38" s="103">
        <f t="shared" ref="AH38:AH42" si="279">AG38*(1+$C38)</f>
        <v>0</v>
      </c>
      <c r="AI38" s="103">
        <f t="shared" ref="AI38:AI42" si="280">AH38*(1+$C38)</f>
        <v>0</v>
      </c>
      <c r="AJ38" s="103">
        <f t="shared" ref="AJ38:AJ42" si="281">AI38*(1+$C38)</f>
        <v>0</v>
      </c>
      <c r="AK38" s="103">
        <f t="shared" ref="AK38:AK42" si="282">AJ38*(1+$C38)</f>
        <v>0</v>
      </c>
      <c r="AL38" s="103">
        <f t="shared" ref="AL38:AL42" si="283">AK38*(1+$C38)</f>
        <v>0</v>
      </c>
      <c r="AM38" s="103">
        <f t="shared" ref="AM38:AM42" si="284">AL38*(1+$C38)</f>
        <v>0</v>
      </c>
      <c r="AN38" s="103">
        <f t="shared" ref="AN38:AN42" si="285">AM38*(1+$C38)</f>
        <v>0</v>
      </c>
    </row>
    <row r="39" spans="2:40" s="16" customFormat="1" ht="21" customHeight="1" x14ac:dyDescent="0.2">
      <c r="B39" s="8" t="s">
        <v>135</v>
      </c>
      <c r="C39" s="101">
        <v>0.05</v>
      </c>
      <c r="D39" s="14"/>
      <c r="E39" s="102">
        <v>850</v>
      </c>
      <c r="F39" s="103">
        <f t="shared" si="251"/>
        <v>892.5</v>
      </c>
      <c r="G39" s="103">
        <f t="shared" si="252"/>
        <v>937.125</v>
      </c>
      <c r="H39" s="103">
        <f t="shared" si="253"/>
        <v>983.98125000000005</v>
      </c>
      <c r="I39" s="103">
        <f t="shared" si="254"/>
        <v>1033.1803125000001</v>
      </c>
      <c r="J39" s="103">
        <f t="shared" si="255"/>
        <v>1084.8393281250003</v>
      </c>
      <c r="K39" s="103">
        <f t="shared" si="256"/>
        <v>1139.0812945312503</v>
      </c>
      <c r="L39" s="103">
        <f t="shared" si="257"/>
        <v>1196.0353592578128</v>
      </c>
      <c r="M39" s="103">
        <f t="shared" si="258"/>
        <v>1255.8371272207035</v>
      </c>
      <c r="N39" s="103">
        <f>M39*(0.75)</f>
        <v>941.87784541552764</v>
      </c>
      <c r="O39" s="103">
        <f t="shared" si="260"/>
        <v>988.9717376863041</v>
      </c>
      <c r="P39" s="103">
        <f t="shared" si="261"/>
        <v>1038.4203245706194</v>
      </c>
      <c r="Q39" s="103">
        <f>P39*(0.75)</f>
        <v>778.81524342796456</v>
      </c>
      <c r="R39" s="103">
        <f t="shared" si="263"/>
        <v>817.75600559936288</v>
      </c>
      <c r="S39" s="103">
        <f t="shared" si="264"/>
        <v>858.64380587933101</v>
      </c>
      <c r="T39" s="103">
        <f t="shared" si="265"/>
        <v>901.57599617329765</v>
      </c>
      <c r="U39" s="103">
        <f t="shared" si="266"/>
        <v>946.65479598196259</v>
      </c>
      <c r="V39" s="103">
        <f t="shared" si="267"/>
        <v>993.98753578106073</v>
      </c>
      <c r="W39" s="103">
        <f t="shared" si="268"/>
        <v>1043.6869125701139</v>
      </c>
      <c r="X39" s="103">
        <f t="shared" si="269"/>
        <v>1095.8712581986197</v>
      </c>
      <c r="Y39" s="103">
        <f t="shared" si="270"/>
        <v>1150.6648211085508</v>
      </c>
      <c r="Z39" s="103">
        <f t="shared" si="271"/>
        <v>1208.1980621639784</v>
      </c>
      <c r="AA39" s="103">
        <f t="shared" si="272"/>
        <v>1268.6079652721774</v>
      </c>
      <c r="AB39" s="103">
        <f t="shared" si="273"/>
        <v>1332.0383635357862</v>
      </c>
      <c r="AC39" s="103">
        <f t="shared" si="274"/>
        <v>1398.6402817125756</v>
      </c>
      <c r="AD39" s="103">
        <f t="shared" si="275"/>
        <v>1468.5722957982046</v>
      </c>
      <c r="AE39" s="103">
        <f t="shared" si="276"/>
        <v>1542.0009105881149</v>
      </c>
      <c r="AF39" s="103">
        <f t="shared" si="277"/>
        <v>1619.1009561175208</v>
      </c>
      <c r="AG39" s="103">
        <f t="shared" si="278"/>
        <v>1700.0560039233969</v>
      </c>
      <c r="AH39" s="103">
        <f t="shared" si="279"/>
        <v>1785.058804119567</v>
      </c>
      <c r="AI39" s="103">
        <f t="shared" si="280"/>
        <v>1874.3117443255453</v>
      </c>
      <c r="AJ39" s="103">
        <f t="shared" si="281"/>
        <v>1968.0273315418226</v>
      </c>
      <c r="AK39" s="103">
        <f t="shared" si="282"/>
        <v>2066.4286981189139</v>
      </c>
      <c r="AL39" s="103">
        <f t="shared" si="283"/>
        <v>2169.7501330248597</v>
      </c>
      <c r="AM39" s="103">
        <f t="shared" si="284"/>
        <v>2278.2376396761028</v>
      </c>
      <c r="AN39" s="103">
        <f t="shared" si="285"/>
        <v>2392.1495216599083</v>
      </c>
    </row>
    <row r="40" spans="2:40" s="16" customFormat="1" ht="21" customHeight="1" x14ac:dyDescent="0.2">
      <c r="B40" s="8" t="s">
        <v>136</v>
      </c>
      <c r="C40" s="101">
        <v>0.05</v>
      </c>
      <c r="D40" s="14"/>
      <c r="E40" s="102">
        <v>600</v>
      </c>
      <c r="F40" s="103">
        <f t="shared" si="251"/>
        <v>630</v>
      </c>
      <c r="G40" s="103">
        <f t="shared" si="252"/>
        <v>661.5</v>
      </c>
      <c r="H40" s="103">
        <f t="shared" si="253"/>
        <v>694.57500000000005</v>
      </c>
      <c r="I40" s="103">
        <f t="shared" si="254"/>
        <v>729.30375000000004</v>
      </c>
      <c r="J40" s="103">
        <f t="shared" si="255"/>
        <v>765.76893750000011</v>
      </c>
      <c r="K40" s="103">
        <f t="shared" si="256"/>
        <v>804.0573843750002</v>
      </c>
      <c r="L40" s="103">
        <f t="shared" si="257"/>
        <v>844.26025359375024</v>
      </c>
      <c r="M40" s="103">
        <f t="shared" si="258"/>
        <v>886.47326627343773</v>
      </c>
      <c r="N40" s="103">
        <f t="shared" si="259"/>
        <v>930.79692958710962</v>
      </c>
      <c r="O40" s="103">
        <f t="shared" si="260"/>
        <v>977.33677606646518</v>
      </c>
      <c r="P40" s="103">
        <f t="shared" si="261"/>
        <v>1026.2036148697885</v>
      </c>
      <c r="Q40" s="103">
        <f t="shared" si="262"/>
        <v>1077.513795613278</v>
      </c>
      <c r="R40" s="103">
        <f t="shared" si="263"/>
        <v>1131.3894853939421</v>
      </c>
      <c r="S40" s="103">
        <f t="shared" si="264"/>
        <v>1187.9589596636392</v>
      </c>
      <c r="T40" s="103">
        <f t="shared" si="265"/>
        <v>1247.3569076468214</v>
      </c>
      <c r="U40" s="103">
        <f t="shared" si="266"/>
        <v>1309.7247530291625</v>
      </c>
      <c r="V40" s="103">
        <f t="shared" si="267"/>
        <v>1375.2109906806206</v>
      </c>
      <c r="W40" s="103">
        <f t="shared" si="268"/>
        <v>1443.9715402146517</v>
      </c>
      <c r="X40" s="103">
        <f t="shared" si="269"/>
        <v>1516.1701172253843</v>
      </c>
      <c r="Y40" s="103">
        <f t="shared" si="270"/>
        <v>1591.9786230866534</v>
      </c>
      <c r="Z40" s="103">
        <f t="shared" si="271"/>
        <v>1671.5775542409863</v>
      </c>
      <c r="AA40" s="103">
        <f t="shared" si="272"/>
        <v>1755.1564319530357</v>
      </c>
      <c r="AB40" s="103">
        <f t="shared" si="273"/>
        <v>1842.9142535506876</v>
      </c>
      <c r="AC40" s="103">
        <f t="shared" si="274"/>
        <v>1935.059966228222</v>
      </c>
      <c r="AD40" s="103">
        <f t="shared" si="275"/>
        <v>2031.8129645396332</v>
      </c>
      <c r="AE40" s="103">
        <f t="shared" si="276"/>
        <v>2133.403612766615</v>
      </c>
      <c r="AF40" s="103">
        <f t="shared" si="277"/>
        <v>2240.0737934049457</v>
      </c>
      <c r="AG40" s="103">
        <f>AF40*(0.75)</f>
        <v>1680.0553450537093</v>
      </c>
      <c r="AH40" s="103">
        <f t="shared" si="279"/>
        <v>1764.0581123063948</v>
      </c>
      <c r="AI40" s="103">
        <f t="shared" si="280"/>
        <v>1852.2610179217147</v>
      </c>
      <c r="AJ40" s="103">
        <f t="shared" si="281"/>
        <v>1944.8740688178004</v>
      </c>
      <c r="AK40" s="103">
        <f t="shared" si="282"/>
        <v>2042.1177722586906</v>
      </c>
      <c r="AL40" s="103">
        <f>AK40*(0.75)</f>
        <v>1531.5883291940179</v>
      </c>
      <c r="AM40" s="103">
        <f t="shared" si="284"/>
        <v>1608.1677456537188</v>
      </c>
      <c r="AN40" s="103">
        <f t="shared" si="285"/>
        <v>1688.5761329364047</v>
      </c>
    </row>
    <row r="41" spans="2:40" s="16" customFormat="1" ht="21" customHeight="1" x14ac:dyDescent="0.2">
      <c r="B41" s="8" t="s">
        <v>137</v>
      </c>
      <c r="C41" s="101">
        <v>0.05</v>
      </c>
      <c r="D41" s="14"/>
      <c r="E41" s="102">
        <v>250</v>
      </c>
      <c r="F41" s="103">
        <f t="shared" si="251"/>
        <v>262.5</v>
      </c>
      <c r="G41" s="103">
        <f t="shared" si="252"/>
        <v>275.625</v>
      </c>
      <c r="H41" s="103">
        <f t="shared" si="253"/>
        <v>289.40625</v>
      </c>
      <c r="I41" s="103">
        <f t="shared" si="254"/>
        <v>303.87656250000003</v>
      </c>
      <c r="J41" s="103">
        <f t="shared" si="255"/>
        <v>319.07039062500007</v>
      </c>
      <c r="K41" s="103">
        <f t="shared" si="256"/>
        <v>335.02391015625011</v>
      </c>
      <c r="L41" s="103">
        <f t="shared" si="257"/>
        <v>351.77510566406261</v>
      </c>
      <c r="M41" s="103">
        <f t="shared" si="258"/>
        <v>369.36386094726578</v>
      </c>
      <c r="N41" s="103">
        <f t="shared" si="259"/>
        <v>387.83205399462906</v>
      </c>
      <c r="O41" s="103">
        <f t="shared" si="260"/>
        <v>407.22365669436056</v>
      </c>
      <c r="P41" s="103">
        <f t="shared" si="261"/>
        <v>427.58483952907858</v>
      </c>
      <c r="Q41" s="103">
        <f t="shared" si="262"/>
        <v>448.96408150553253</v>
      </c>
      <c r="R41" s="103">
        <f t="shared" si="263"/>
        <v>471.41228558080917</v>
      </c>
      <c r="S41" s="103">
        <f t="shared" si="264"/>
        <v>494.98289985984962</v>
      </c>
      <c r="T41" s="103">
        <f t="shared" si="265"/>
        <v>519.73204485284214</v>
      </c>
      <c r="U41" s="103">
        <f t="shared" si="266"/>
        <v>545.71864709548424</v>
      </c>
      <c r="V41" s="103">
        <f t="shared" si="267"/>
        <v>573.00457945025846</v>
      </c>
      <c r="W41" s="103">
        <f t="shared" si="268"/>
        <v>601.65480842277145</v>
      </c>
      <c r="X41" s="103">
        <f t="shared" si="269"/>
        <v>631.73754884391008</v>
      </c>
      <c r="Y41" s="103">
        <f t="shared" si="270"/>
        <v>663.32442628610556</v>
      </c>
      <c r="Z41" s="103">
        <f t="shared" si="271"/>
        <v>696.49064760041085</v>
      </c>
      <c r="AA41" s="103">
        <f t="shared" si="272"/>
        <v>731.31517998043148</v>
      </c>
      <c r="AB41" s="103">
        <f t="shared" si="273"/>
        <v>767.88093897945305</v>
      </c>
      <c r="AC41" s="103">
        <f t="shared" si="274"/>
        <v>806.27498592842574</v>
      </c>
      <c r="AD41" s="103">
        <f t="shared" si="275"/>
        <v>846.58873522484703</v>
      </c>
      <c r="AE41" s="103">
        <f t="shared" si="276"/>
        <v>888.91817198608942</v>
      </c>
      <c r="AF41" s="103">
        <f t="shared" si="277"/>
        <v>933.36408058539394</v>
      </c>
      <c r="AG41" s="103">
        <f t="shared" si="278"/>
        <v>980.03228461466369</v>
      </c>
      <c r="AH41" s="103">
        <f t="shared" si="279"/>
        <v>1029.0338988453968</v>
      </c>
      <c r="AI41" s="103">
        <f t="shared" si="280"/>
        <v>1080.4855937876666</v>
      </c>
      <c r="AJ41" s="103">
        <f t="shared" si="281"/>
        <v>1134.50987347705</v>
      </c>
      <c r="AK41" s="103">
        <f t="shared" si="282"/>
        <v>1191.2353671509024</v>
      </c>
      <c r="AL41" s="103">
        <f t="shared" si="283"/>
        <v>1250.7971355084476</v>
      </c>
      <c r="AM41" s="103">
        <f t="shared" si="284"/>
        <v>1313.3369922838699</v>
      </c>
      <c r="AN41" s="103">
        <f t="shared" si="285"/>
        <v>1379.0038418980635</v>
      </c>
    </row>
    <row r="42" spans="2:40" s="50" customFormat="1" ht="21" customHeight="1" x14ac:dyDescent="0.2">
      <c r="B42" s="34" t="s">
        <v>150</v>
      </c>
      <c r="C42" s="34"/>
      <c r="D42" s="35"/>
      <c r="E42" s="110">
        <f t="shared" ref="E42" si="286">SUM(E41, E40, E39 + E38)</f>
        <v>1700</v>
      </c>
      <c r="F42" s="110">
        <f t="shared" si="251"/>
        <v>1700</v>
      </c>
      <c r="G42" s="110">
        <f t="shared" si="252"/>
        <v>1700</v>
      </c>
      <c r="H42" s="110">
        <f t="shared" si="253"/>
        <v>1700</v>
      </c>
      <c r="I42" s="110">
        <f t="shared" si="254"/>
        <v>1700</v>
      </c>
      <c r="J42" s="110">
        <f t="shared" si="255"/>
        <v>1700</v>
      </c>
      <c r="K42" s="110">
        <f t="shared" si="256"/>
        <v>1700</v>
      </c>
      <c r="L42" s="110">
        <f t="shared" si="257"/>
        <v>1700</v>
      </c>
      <c r="M42" s="110">
        <f t="shared" si="258"/>
        <v>1700</v>
      </c>
      <c r="N42" s="110">
        <f t="shared" si="259"/>
        <v>1700</v>
      </c>
      <c r="O42" s="110">
        <f t="shared" si="260"/>
        <v>1700</v>
      </c>
      <c r="P42" s="110">
        <f t="shared" si="261"/>
        <v>1700</v>
      </c>
      <c r="Q42" s="110">
        <f t="shared" si="262"/>
        <v>1700</v>
      </c>
      <c r="R42" s="110">
        <f t="shared" si="263"/>
        <v>1700</v>
      </c>
      <c r="S42" s="110">
        <f t="shared" si="264"/>
        <v>1700</v>
      </c>
      <c r="T42" s="110">
        <f t="shared" si="265"/>
        <v>1700</v>
      </c>
      <c r="U42" s="110">
        <f t="shared" si="266"/>
        <v>1700</v>
      </c>
      <c r="V42" s="110">
        <f t="shared" si="267"/>
        <v>1700</v>
      </c>
      <c r="W42" s="110">
        <f t="shared" si="268"/>
        <v>1700</v>
      </c>
      <c r="X42" s="110">
        <f t="shared" si="269"/>
        <v>1700</v>
      </c>
      <c r="Y42" s="110">
        <f t="shared" si="270"/>
        <v>1700</v>
      </c>
      <c r="Z42" s="110">
        <f t="shared" si="271"/>
        <v>1700</v>
      </c>
      <c r="AA42" s="110">
        <f t="shared" si="272"/>
        <v>1700</v>
      </c>
      <c r="AB42" s="110">
        <f t="shared" si="273"/>
        <v>1700</v>
      </c>
      <c r="AC42" s="110">
        <f t="shared" si="274"/>
        <v>1700</v>
      </c>
      <c r="AD42" s="110">
        <f t="shared" si="275"/>
        <v>1700</v>
      </c>
      <c r="AE42" s="110">
        <f t="shared" si="276"/>
        <v>1700</v>
      </c>
      <c r="AF42" s="110">
        <f t="shared" si="277"/>
        <v>1700</v>
      </c>
      <c r="AG42" s="110">
        <f t="shared" si="278"/>
        <v>1700</v>
      </c>
      <c r="AH42" s="110">
        <f t="shared" si="279"/>
        <v>1700</v>
      </c>
      <c r="AI42" s="110">
        <f t="shared" si="280"/>
        <v>1700</v>
      </c>
      <c r="AJ42" s="110">
        <f t="shared" si="281"/>
        <v>1700</v>
      </c>
      <c r="AK42" s="110">
        <f t="shared" si="282"/>
        <v>1700</v>
      </c>
      <c r="AL42" s="110">
        <f t="shared" si="283"/>
        <v>1700</v>
      </c>
      <c r="AM42" s="110">
        <f t="shared" si="284"/>
        <v>1700</v>
      </c>
      <c r="AN42" s="110">
        <f t="shared" si="285"/>
        <v>1700</v>
      </c>
    </row>
    <row r="43" spans="2:40" s="16" customFormat="1" ht="21" customHeight="1" x14ac:dyDescent="0.2">
      <c r="B43" s="6" t="s">
        <v>151</v>
      </c>
      <c r="C43" s="26"/>
      <c r="D43" s="14"/>
      <c r="E43" s="104">
        <f t="shared" ref="E43:AN43" si="287">SUM(E41, E40, E39, E38, E37, E35, E34, E33, E32, E31, E30, E28, E27, E26, E25, E24, E22, E21, E20, E19, E18, E17, E16, E15, E14 + E13)</f>
        <v>44597.875</v>
      </c>
      <c r="F43" s="104">
        <f t="shared" ref="F43:AM43" si="288">SUM(F41, F40, F39, F38, F37, F35, F34, F33, F32, F31, F30, F28, F27, F26, F25, F24, F22, F21, F20, F19, F18, F17, F16, F15, F14 + F13)</f>
        <v>42658.518750000003</v>
      </c>
      <c r="G43" s="104">
        <f t="shared" si="288"/>
        <v>41641.444687499999</v>
      </c>
      <c r="H43" s="104">
        <f t="shared" si="288"/>
        <v>38355.720046875002</v>
      </c>
      <c r="I43" s="104">
        <f t="shared" si="288"/>
        <v>40273.506049218755</v>
      </c>
      <c r="J43" s="104">
        <f t="shared" si="288"/>
        <v>42287.18135167969</v>
      </c>
      <c r="K43" s="104">
        <f t="shared" si="288"/>
        <v>44050.052476951169</v>
      </c>
      <c r="L43" s="104">
        <f t="shared" si="288"/>
        <v>46252.555100798738</v>
      </c>
      <c r="M43" s="104">
        <f t="shared" si="288"/>
        <v>48219.186912624813</v>
      </c>
      <c r="N43" s="104">
        <f t="shared" si="288"/>
        <v>47024.099650093747</v>
      </c>
      <c r="O43" s="104">
        <f t="shared" si="288"/>
        <v>43687.101174010546</v>
      </c>
      <c r="P43" s="104">
        <f t="shared" si="288"/>
        <v>45871.456232711076</v>
      </c>
      <c r="Q43" s="104">
        <f t="shared" si="288"/>
        <v>47853.502946975445</v>
      </c>
      <c r="R43" s="104">
        <f t="shared" si="288"/>
        <v>50246.178094324219</v>
      </c>
      <c r="S43" s="104">
        <f t="shared" si="288"/>
        <v>52758.486999040426</v>
      </c>
      <c r="T43" s="104">
        <f t="shared" si="288"/>
        <v>50679.365737013766</v>
      </c>
      <c r="U43" s="104">
        <f t="shared" si="288"/>
        <v>52848.195745414268</v>
      </c>
      <c r="V43" s="104">
        <f t="shared" si="288"/>
        <v>51855.451116114251</v>
      </c>
      <c r="W43" s="104">
        <f t="shared" si="288"/>
        <v>51540.100138663372</v>
      </c>
      <c r="X43" s="104">
        <f t="shared" si="288"/>
        <v>47639.424804573151</v>
      </c>
      <c r="Y43" s="104">
        <f t="shared" si="288"/>
        <v>50021.396044801804</v>
      </c>
      <c r="Z43" s="104">
        <f t="shared" si="288"/>
        <v>51816.7795503249</v>
      </c>
      <c r="AA43" s="104">
        <f t="shared" si="288"/>
        <v>54407.618527841143</v>
      </c>
      <c r="AB43" s="104">
        <f t="shared" si="288"/>
        <v>57127.999454233206</v>
      </c>
      <c r="AC43" s="104">
        <f t="shared" si="288"/>
        <v>57015.131869370685</v>
      </c>
      <c r="AD43" s="104">
        <f t="shared" si="288"/>
        <v>56339.904559362127</v>
      </c>
      <c r="AE43" s="104">
        <f t="shared" si="288"/>
        <v>59156.899787330243</v>
      </c>
      <c r="AF43" s="104">
        <f t="shared" si="288"/>
        <v>58969.504450636909</v>
      </c>
      <c r="AG43" s="104">
        <f t="shared" si="288"/>
        <v>56582.946781528823</v>
      </c>
      <c r="AH43" s="104">
        <f t="shared" si="288"/>
        <v>59412.094120605259</v>
      </c>
      <c r="AI43" s="104">
        <f t="shared" si="288"/>
        <v>56136.610072289608</v>
      </c>
      <c r="AJ43" s="104">
        <f t="shared" si="288"/>
        <v>58943.440575904089</v>
      </c>
      <c r="AK43" s="104">
        <f t="shared" si="288"/>
        <v>61890.612604699294</v>
      </c>
      <c r="AL43" s="104">
        <f t="shared" si="288"/>
        <v>64372.507903256657</v>
      </c>
      <c r="AM43" s="104">
        <f t="shared" si="288"/>
        <v>64800.338237934768</v>
      </c>
      <c r="AN43" s="104">
        <f t="shared" si="287"/>
        <v>64499.819956108076</v>
      </c>
    </row>
    <row r="44" spans="2:40" s="18" customFormat="1" ht="21" customHeight="1" x14ac:dyDescent="0.2">
      <c r="B44" s="6" t="s">
        <v>138</v>
      </c>
      <c r="C44" s="26"/>
      <c r="D44" s="19"/>
      <c r="E44" s="105">
        <f t="shared" ref="E44:AN44" si="289">E12-E43</f>
        <v>-44597.875</v>
      </c>
      <c r="F44" s="105">
        <f t="shared" ref="F44:AM44" si="290">F12-F43</f>
        <v>-42658.518750000003</v>
      </c>
      <c r="G44" s="105">
        <f t="shared" si="290"/>
        <v>-41641.444687499999</v>
      </c>
      <c r="H44" s="105">
        <f t="shared" si="290"/>
        <v>-38355.720046875002</v>
      </c>
      <c r="I44" s="105">
        <f t="shared" si="290"/>
        <v>-40273.506049218755</v>
      </c>
      <c r="J44" s="105">
        <f t="shared" si="290"/>
        <v>-42287.18135167969</v>
      </c>
      <c r="K44" s="105">
        <f t="shared" si="290"/>
        <v>-44050.052476951169</v>
      </c>
      <c r="L44" s="105">
        <f t="shared" si="290"/>
        <v>-46252.555100798738</v>
      </c>
      <c r="M44" s="105">
        <f t="shared" si="290"/>
        <v>-48219.186912624813</v>
      </c>
      <c r="N44" s="105">
        <f t="shared" si="290"/>
        <v>-47024.099650093747</v>
      </c>
      <c r="O44" s="105">
        <f t="shared" si="290"/>
        <v>-43687.101174010546</v>
      </c>
      <c r="P44" s="105">
        <f t="shared" si="290"/>
        <v>-45871.456232711076</v>
      </c>
      <c r="Q44" s="105">
        <f t="shared" si="290"/>
        <v>-47853.502946975445</v>
      </c>
      <c r="R44" s="105">
        <f t="shared" si="290"/>
        <v>-50246.178094324219</v>
      </c>
      <c r="S44" s="105">
        <f t="shared" si="290"/>
        <v>-52758.486999040426</v>
      </c>
      <c r="T44" s="105">
        <f t="shared" si="290"/>
        <v>-50679.365737013766</v>
      </c>
      <c r="U44" s="105">
        <f t="shared" si="290"/>
        <v>-52848.195745414268</v>
      </c>
      <c r="V44" s="105">
        <f t="shared" si="290"/>
        <v>-51855.451116114251</v>
      </c>
      <c r="W44" s="105">
        <f t="shared" si="290"/>
        <v>-51540.100138663372</v>
      </c>
      <c r="X44" s="105">
        <f t="shared" si="290"/>
        <v>-47639.424804573151</v>
      </c>
      <c r="Y44" s="105">
        <f t="shared" si="290"/>
        <v>-50021.396044801804</v>
      </c>
      <c r="Z44" s="105">
        <f t="shared" si="290"/>
        <v>-51816.7795503249</v>
      </c>
      <c r="AA44" s="105">
        <f t="shared" si="290"/>
        <v>-54407.618527841143</v>
      </c>
      <c r="AB44" s="105">
        <f t="shared" si="290"/>
        <v>-57127.999454233206</v>
      </c>
      <c r="AC44" s="105">
        <f t="shared" si="290"/>
        <v>-57015.131869370685</v>
      </c>
      <c r="AD44" s="105">
        <f t="shared" si="290"/>
        <v>-56339.904559362127</v>
      </c>
      <c r="AE44" s="105">
        <f t="shared" si="290"/>
        <v>-59156.899787330243</v>
      </c>
      <c r="AF44" s="105">
        <f t="shared" si="290"/>
        <v>-58969.504450636909</v>
      </c>
      <c r="AG44" s="105">
        <f t="shared" si="290"/>
        <v>-56582.946781528823</v>
      </c>
      <c r="AH44" s="105">
        <f t="shared" si="290"/>
        <v>-59412.094120605259</v>
      </c>
      <c r="AI44" s="105">
        <f t="shared" si="290"/>
        <v>-56136.610072289608</v>
      </c>
      <c r="AJ44" s="105">
        <f t="shared" si="290"/>
        <v>-58943.440575904089</v>
      </c>
      <c r="AK44" s="105">
        <f t="shared" si="290"/>
        <v>-61890.612604699294</v>
      </c>
      <c r="AL44" s="105">
        <f t="shared" si="290"/>
        <v>-64372.507903256657</v>
      </c>
      <c r="AM44" s="105">
        <f t="shared" si="290"/>
        <v>-64800.338237934768</v>
      </c>
      <c r="AN44" s="105">
        <f t="shared" si="289"/>
        <v>-64499.819956108076</v>
      </c>
    </row>
    <row r="45" spans="2:40" s="16" customFormat="1" ht="21" customHeight="1" x14ac:dyDescent="0.2">
      <c r="B45" s="6" t="s">
        <v>58</v>
      </c>
      <c r="C45" s="101">
        <v>0.1</v>
      </c>
      <c r="D45" s="14"/>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2:40" s="16" customFormat="1" ht="21" customHeight="1" x14ac:dyDescent="0.2">
      <c r="B46" s="5" t="s">
        <v>139</v>
      </c>
      <c r="C46" s="101">
        <v>0.1</v>
      </c>
      <c r="D46" s="14"/>
      <c r="E46" s="102">
        <v>0</v>
      </c>
      <c r="F46" s="103">
        <f t="shared" ref="F46" si="291">E46*(1+$C46)</f>
        <v>0</v>
      </c>
      <c r="G46" s="103">
        <f t="shared" ref="G46" si="292">F46*(1+$C46)</f>
        <v>0</v>
      </c>
      <c r="H46" s="103">
        <f t="shared" ref="H46" si="293">G46*(1+$C46)</f>
        <v>0</v>
      </c>
      <c r="I46" s="103">
        <f t="shared" ref="I46" si="294">H46*(1+$C46)</f>
        <v>0</v>
      </c>
      <c r="J46" s="103">
        <f t="shared" ref="J46" si="295">I46*(1+$C46)</f>
        <v>0</v>
      </c>
      <c r="K46" s="103">
        <f t="shared" ref="K46" si="296">J46*(1+$C46)</f>
        <v>0</v>
      </c>
      <c r="L46" s="103">
        <f t="shared" ref="L46" si="297">K46*(1+$C46)</f>
        <v>0</v>
      </c>
      <c r="M46" s="103">
        <f t="shared" ref="M46" si="298">L46*(1+$C46)</f>
        <v>0</v>
      </c>
      <c r="N46" s="103">
        <f t="shared" ref="N46" si="299">M46*(1+$C46)</f>
        <v>0</v>
      </c>
      <c r="O46" s="103">
        <f t="shared" ref="O46" si="300">N46*(1+$C46)</f>
        <v>0</v>
      </c>
      <c r="P46" s="103">
        <f t="shared" ref="P46" si="301">O46*(1+$C46)</f>
        <v>0</v>
      </c>
      <c r="Q46" s="103">
        <f t="shared" ref="Q46" si="302">P46*(1+$C46)</f>
        <v>0</v>
      </c>
      <c r="R46" s="103">
        <f t="shared" ref="R46" si="303">Q46*(1+$C46)</f>
        <v>0</v>
      </c>
      <c r="S46" s="103">
        <f t="shared" ref="S46" si="304">R46*(1+$C46)</f>
        <v>0</v>
      </c>
      <c r="T46" s="103">
        <f t="shared" ref="T46" si="305">S46*(1+$C46)</f>
        <v>0</v>
      </c>
      <c r="U46" s="103">
        <f t="shared" ref="U46" si="306">T46*(1+$C46)</f>
        <v>0</v>
      </c>
      <c r="V46" s="103">
        <f t="shared" ref="V46" si="307">U46*(1+$C46)</f>
        <v>0</v>
      </c>
      <c r="W46" s="103">
        <f t="shared" ref="W46" si="308">V46*(1+$C46)</f>
        <v>0</v>
      </c>
      <c r="X46" s="103">
        <f t="shared" ref="X46" si="309">W46*(1+$C46)</f>
        <v>0</v>
      </c>
      <c r="Y46" s="103">
        <f t="shared" ref="Y46" si="310">X46*(1+$C46)</f>
        <v>0</v>
      </c>
      <c r="Z46" s="103">
        <f t="shared" ref="Z46" si="311">Y46*(1+$C46)</f>
        <v>0</v>
      </c>
      <c r="AA46" s="103">
        <f t="shared" ref="AA46" si="312">Z46*(1+$C46)</f>
        <v>0</v>
      </c>
      <c r="AB46" s="103">
        <f t="shared" ref="AB46" si="313">AA46*(1+$C46)</f>
        <v>0</v>
      </c>
      <c r="AC46" s="103">
        <f t="shared" ref="AC46" si="314">AB46*(1+$C46)</f>
        <v>0</v>
      </c>
      <c r="AD46" s="103">
        <f t="shared" ref="AD46" si="315">AC46*(1+$C46)</f>
        <v>0</v>
      </c>
      <c r="AE46" s="103">
        <f t="shared" ref="AE46" si="316">AD46*(1+$C46)</f>
        <v>0</v>
      </c>
      <c r="AF46" s="103">
        <f t="shared" ref="AF46" si="317">AE46*(1+$C46)</f>
        <v>0</v>
      </c>
      <c r="AG46" s="103">
        <f t="shared" ref="AG46" si="318">AF46*(1+$C46)</f>
        <v>0</v>
      </c>
      <c r="AH46" s="103">
        <f t="shared" ref="AH46" si="319">AG46*(1+$C46)</f>
        <v>0</v>
      </c>
      <c r="AI46" s="103">
        <f t="shared" ref="AI46" si="320">AH46*(1+$C46)</f>
        <v>0</v>
      </c>
      <c r="AJ46" s="103">
        <f t="shared" ref="AJ46" si="321">AI46*(1+$C46)</f>
        <v>0</v>
      </c>
      <c r="AK46" s="103">
        <f t="shared" ref="AK46" si="322">AJ46*(1+$C46)</f>
        <v>0</v>
      </c>
      <c r="AL46" s="103">
        <f t="shared" ref="AL46" si="323">AK46*(1+$C46)</f>
        <v>0</v>
      </c>
      <c r="AM46" s="103">
        <f t="shared" ref="AM46" si="324">AL46*(1+$C46)</f>
        <v>0</v>
      </c>
      <c r="AN46" s="103">
        <f t="shared" ref="AN46" si="325">AM46*(1+$C46)</f>
        <v>0</v>
      </c>
    </row>
    <row r="47" spans="2:40" s="16" customFormat="1" ht="21" customHeight="1" x14ac:dyDescent="0.2">
      <c r="B47" s="6" t="s">
        <v>152</v>
      </c>
      <c r="C47" s="26"/>
      <c r="D47" s="14"/>
      <c r="E47" s="104">
        <f t="shared" ref="E47:AM47" si="326">SUM(E46 + E45)</f>
        <v>0</v>
      </c>
      <c r="F47" s="104">
        <f t="shared" si="326"/>
        <v>0</v>
      </c>
      <c r="G47" s="104">
        <f t="shared" si="326"/>
        <v>0</v>
      </c>
      <c r="H47" s="104">
        <f t="shared" si="326"/>
        <v>0</v>
      </c>
      <c r="I47" s="104">
        <f t="shared" si="326"/>
        <v>0</v>
      </c>
      <c r="J47" s="104">
        <f t="shared" si="326"/>
        <v>0</v>
      </c>
      <c r="K47" s="104">
        <f t="shared" si="326"/>
        <v>0</v>
      </c>
      <c r="L47" s="104">
        <f t="shared" si="326"/>
        <v>0</v>
      </c>
      <c r="M47" s="104">
        <f t="shared" si="326"/>
        <v>0</v>
      </c>
      <c r="N47" s="104">
        <f t="shared" si="326"/>
        <v>0</v>
      </c>
      <c r="O47" s="104">
        <f t="shared" si="326"/>
        <v>0</v>
      </c>
      <c r="P47" s="104">
        <f t="shared" si="326"/>
        <v>0</v>
      </c>
      <c r="Q47" s="104">
        <f t="shared" si="326"/>
        <v>0</v>
      </c>
      <c r="R47" s="104">
        <f t="shared" si="326"/>
        <v>0</v>
      </c>
      <c r="S47" s="104">
        <f t="shared" si="326"/>
        <v>0</v>
      </c>
      <c r="T47" s="104">
        <f t="shared" si="326"/>
        <v>0</v>
      </c>
      <c r="U47" s="104">
        <f t="shared" si="326"/>
        <v>0</v>
      </c>
      <c r="V47" s="104">
        <f t="shared" si="326"/>
        <v>0</v>
      </c>
      <c r="W47" s="104">
        <f t="shared" si="326"/>
        <v>0</v>
      </c>
      <c r="X47" s="104">
        <f t="shared" si="326"/>
        <v>0</v>
      </c>
      <c r="Y47" s="104">
        <f t="shared" si="326"/>
        <v>0</v>
      </c>
      <c r="Z47" s="104">
        <f t="shared" si="326"/>
        <v>0</v>
      </c>
      <c r="AA47" s="104">
        <f t="shared" si="326"/>
        <v>0</v>
      </c>
      <c r="AB47" s="104">
        <f t="shared" si="326"/>
        <v>0</v>
      </c>
      <c r="AC47" s="104">
        <f t="shared" si="326"/>
        <v>0</v>
      </c>
      <c r="AD47" s="104">
        <f t="shared" si="326"/>
        <v>0</v>
      </c>
      <c r="AE47" s="104">
        <f t="shared" si="326"/>
        <v>0</v>
      </c>
      <c r="AF47" s="104">
        <f t="shared" si="326"/>
        <v>0</v>
      </c>
      <c r="AG47" s="104">
        <f t="shared" si="326"/>
        <v>0</v>
      </c>
      <c r="AH47" s="104">
        <f t="shared" si="326"/>
        <v>0</v>
      </c>
      <c r="AI47" s="104">
        <f t="shared" si="326"/>
        <v>0</v>
      </c>
      <c r="AJ47" s="104">
        <f t="shared" si="326"/>
        <v>0</v>
      </c>
      <c r="AK47" s="104">
        <f t="shared" si="326"/>
        <v>0</v>
      </c>
      <c r="AL47" s="104">
        <f t="shared" si="326"/>
        <v>0</v>
      </c>
      <c r="AM47" s="104">
        <f t="shared" si="326"/>
        <v>0</v>
      </c>
      <c r="AN47" s="104">
        <f t="shared" ref="AN47" si="327">SUM(AN46 + AN45)</f>
        <v>0</v>
      </c>
    </row>
    <row r="48" spans="2:40" s="16" customFormat="1" ht="21" customHeight="1" x14ac:dyDescent="0.2">
      <c r="B48" s="6" t="s">
        <v>59</v>
      </c>
      <c r="C48" s="101">
        <v>0.1</v>
      </c>
      <c r="D48" s="14"/>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row>
    <row r="49" spans="2:40" s="16" customFormat="1" ht="21" customHeight="1" x14ac:dyDescent="0.2">
      <c r="B49" s="5" t="s">
        <v>140</v>
      </c>
      <c r="C49" s="101">
        <v>0.1</v>
      </c>
      <c r="D49" s="14"/>
      <c r="E49" s="102">
        <v>0</v>
      </c>
      <c r="F49" s="102">
        <v>0</v>
      </c>
      <c r="G49" s="102">
        <v>0</v>
      </c>
      <c r="H49" s="102">
        <v>0</v>
      </c>
      <c r="I49" s="102">
        <v>0</v>
      </c>
      <c r="J49" s="102">
        <v>0</v>
      </c>
      <c r="K49" s="102">
        <v>0</v>
      </c>
      <c r="L49" s="102">
        <v>0</v>
      </c>
      <c r="M49" s="102">
        <v>0</v>
      </c>
      <c r="N49" s="102">
        <v>0</v>
      </c>
      <c r="O49" s="102">
        <v>0</v>
      </c>
      <c r="P49" s="102">
        <v>0</v>
      </c>
      <c r="Q49" s="102">
        <v>0</v>
      </c>
      <c r="R49" s="102">
        <v>0</v>
      </c>
      <c r="S49" s="102">
        <v>0</v>
      </c>
      <c r="T49" s="102">
        <v>0</v>
      </c>
      <c r="U49" s="102">
        <v>0</v>
      </c>
      <c r="V49" s="102">
        <v>0</v>
      </c>
      <c r="W49" s="102">
        <v>0</v>
      </c>
      <c r="X49" s="102">
        <v>0</v>
      </c>
      <c r="Y49" s="102">
        <v>0</v>
      </c>
      <c r="Z49" s="102">
        <v>0</v>
      </c>
      <c r="AA49" s="102">
        <v>0</v>
      </c>
      <c r="AB49" s="102">
        <v>0</v>
      </c>
      <c r="AC49" s="102">
        <v>0</v>
      </c>
      <c r="AD49" s="102">
        <v>0</v>
      </c>
      <c r="AE49" s="102">
        <v>0</v>
      </c>
      <c r="AF49" s="102">
        <v>0</v>
      </c>
      <c r="AG49" s="102">
        <v>0</v>
      </c>
      <c r="AH49" s="102">
        <v>0</v>
      </c>
      <c r="AI49" s="102">
        <v>0</v>
      </c>
      <c r="AJ49" s="102">
        <v>0</v>
      </c>
      <c r="AK49" s="102">
        <v>0</v>
      </c>
      <c r="AL49" s="102">
        <v>0</v>
      </c>
      <c r="AM49" s="102">
        <v>0</v>
      </c>
      <c r="AN49" s="102">
        <v>0</v>
      </c>
    </row>
    <row r="50" spans="2:40" s="16" customFormat="1" ht="21" customHeight="1" x14ac:dyDescent="0.2">
      <c r="B50" s="5" t="s">
        <v>60</v>
      </c>
      <c r="C50" s="101">
        <v>0.1</v>
      </c>
      <c r="D50" s="14"/>
      <c r="E50" s="102">
        <v>0</v>
      </c>
      <c r="F50" s="102">
        <v>0</v>
      </c>
      <c r="G50" s="102">
        <v>0</v>
      </c>
      <c r="H50" s="102">
        <v>0</v>
      </c>
      <c r="I50" s="102">
        <v>0</v>
      </c>
      <c r="J50" s="102">
        <v>0</v>
      </c>
      <c r="K50" s="102">
        <v>0</v>
      </c>
      <c r="L50" s="102">
        <v>0</v>
      </c>
      <c r="M50" s="102">
        <v>0</v>
      </c>
      <c r="N50" s="102">
        <v>0</v>
      </c>
      <c r="O50" s="102">
        <v>0</v>
      </c>
      <c r="P50" s="102">
        <v>0</v>
      </c>
      <c r="Q50" s="102">
        <v>0</v>
      </c>
      <c r="R50" s="102">
        <v>0</v>
      </c>
      <c r="S50" s="102">
        <v>0</v>
      </c>
      <c r="T50" s="102">
        <v>0</v>
      </c>
      <c r="U50" s="102">
        <v>0</v>
      </c>
      <c r="V50" s="102">
        <v>0</v>
      </c>
      <c r="W50" s="102">
        <v>0</v>
      </c>
      <c r="X50" s="102">
        <v>0</v>
      </c>
      <c r="Y50" s="102">
        <v>0</v>
      </c>
      <c r="Z50" s="102">
        <v>0</v>
      </c>
      <c r="AA50" s="102">
        <v>0</v>
      </c>
      <c r="AB50" s="102">
        <v>0</v>
      </c>
      <c r="AC50" s="102">
        <v>0</v>
      </c>
      <c r="AD50" s="102">
        <v>0</v>
      </c>
      <c r="AE50" s="102">
        <v>0</v>
      </c>
      <c r="AF50" s="102">
        <v>0</v>
      </c>
      <c r="AG50" s="102">
        <v>0</v>
      </c>
      <c r="AH50" s="102">
        <v>0</v>
      </c>
      <c r="AI50" s="102">
        <v>0</v>
      </c>
      <c r="AJ50" s="102">
        <v>0</v>
      </c>
      <c r="AK50" s="102">
        <v>0</v>
      </c>
      <c r="AL50" s="102">
        <v>0</v>
      </c>
      <c r="AM50" s="102">
        <v>0</v>
      </c>
      <c r="AN50" s="102">
        <v>0</v>
      </c>
    </row>
    <row r="51" spans="2:40" s="16" customFormat="1" ht="21" customHeight="1" x14ac:dyDescent="0.2">
      <c r="B51" s="6" t="s">
        <v>153</v>
      </c>
      <c r="C51" s="6"/>
      <c r="D51" s="14"/>
      <c r="E51" s="104">
        <f t="shared" ref="E51:AN51" si="328">SUM(E50, E49 + E48)</f>
        <v>0</v>
      </c>
      <c r="F51" s="104">
        <f t="shared" ref="F51:AM51" si="329">SUM(F50, F49 + F48)</f>
        <v>0</v>
      </c>
      <c r="G51" s="104">
        <f t="shared" si="329"/>
        <v>0</v>
      </c>
      <c r="H51" s="104">
        <f t="shared" si="329"/>
        <v>0</v>
      </c>
      <c r="I51" s="104">
        <f t="shared" si="329"/>
        <v>0</v>
      </c>
      <c r="J51" s="104">
        <f t="shared" si="329"/>
        <v>0</v>
      </c>
      <c r="K51" s="104">
        <f t="shared" si="329"/>
        <v>0</v>
      </c>
      <c r="L51" s="104">
        <f t="shared" si="329"/>
        <v>0</v>
      </c>
      <c r="M51" s="104">
        <f t="shared" si="329"/>
        <v>0</v>
      </c>
      <c r="N51" s="104">
        <f t="shared" si="329"/>
        <v>0</v>
      </c>
      <c r="O51" s="104">
        <f t="shared" si="329"/>
        <v>0</v>
      </c>
      <c r="P51" s="104">
        <f t="shared" si="329"/>
        <v>0</v>
      </c>
      <c r="Q51" s="104">
        <f t="shared" si="329"/>
        <v>0</v>
      </c>
      <c r="R51" s="104">
        <f t="shared" si="329"/>
        <v>0</v>
      </c>
      <c r="S51" s="104">
        <f t="shared" si="329"/>
        <v>0</v>
      </c>
      <c r="T51" s="104">
        <f t="shared" si="329"/>
        <v>0</v>
      </c>
      <c r="U51" s="104">
        <f t="shared" si="329"/>
        <v>0</v>
      </c>
      <c r="V51" s="104">
        <f t="shared" si="329"/>
        <v>0</v>
      </c>
      <c r="W51" s="104">
        <f t="shared" si="329"/>
        <v>0</v>
      </c>
      <c r="X51" s="104">
        <f t="shared" si="329"/>
        <v>0</v>
      </c>
      <c r="Y51" s="104">
        <f t="shared" si="329"/>
        <v>0</v>
      </c>
      <c r="Z51" s="104">
        <f t="shared" si="329"/>
        <v>0</v>
      </c>
      <c r="AA51" s="104">
        <f t="shared" si="329"/>
        <v>0</v>
      </c>
      <c r="AB51" s="104">
        <f t="shared" si="329"/>
        <v>0</v>
      </c>
      <c r="AC51" s="104">
        <f t="shared" si="329"/>
        <v>0</v>
      </c>
      <c r="AD51" s="104">
        <f t="shared" si="329"/>
        <v>0</v>
      </c>
      <c r="AE51" s="104">
        <f t="shared" si="329"/>
        <v>0</v>
      </c>
      <c r="AF51" s="104">
        <f t="shared" si="329"/>
        <v>0</v>
      </c>
      <c r="AG51" s="104">
        <f t="shared" si="329"/>
        <v>0</v>
      </c>
      <c r="AH51" s="104">
        <f t="shared" si="329"/>
        <v>0</v>
      </c>
      <c r="AI51" s="104">
        <f t="shared" si="329"/>
        <v>0</v>
      </c>
      <c r="AJ51" s="104">
        <f t="shared" si="329"/>
        <v>0</v>
      </c>
      <c r="AK51" s="104">
        <f t="shared" si="329"/>
        <v>0</v>
      </c>
      <c r="AL51" s="104">
        <f t="shared" si="329"/>
        <v>0</v>
      </c>
      <c r="AM51" s="104">
        <f t="shared" si="329"/>
        <v>0</v>
      </c>
      <c r="AN51" s="104">
        <f t="shared" si="328"/>
        <v>0</v>
      </c>
    </row>
    <row r="52" spans="2:40" s="18" customFormat="1" ht="21" customHeight="1" x14ac:dyDescent="0.2">
      <c r="B52" s="6" t="s">
        <v>61</v>
      </c>
      <c r="C52" s="6"/>
      <c r="D52" s="19"/>
      <c r="E52" s="105">
        <f t="shared" ref="E52:AN52" si="330">E47-E51</f>
        <v>0</v>
      </c>
      <c r="F52" s="105">
        <f t="shared" ref="F52:AM52" si="331">F47-F51</f>
        <v>0</v>
      </c>
      <c r="G52" s="105">
        <f t="shared" si="331"/>
        <v>0</v>
      </c>
      <c r="H52" s="105">
        <f t="shared" si="331"/>
        <v>0</v>
      </c>
      <c r="I52" s="105">
        <f t="shared" si="331"/>
        <v>0</v>
      </c>
      <c r="J52" s="105">
        <f t="shared" si="331"/>
        <v>0</v>
      </c>
      <c r="K52" s="105">
        <f t="shared" si="331"/>
        <v>0</v>
      </c>
      <c r="L52" s="105">
        <f t="shared" si="331"/>
        <v>0</v>
      </c>
      <c r="M52" s="105">
        <f t="shared" si="331"/>
        <v>0</v>
      </c>
      <c r="N52" s="105">
        <f t="shared" si="331"/>
        <v>0</v>
      </c>
      <c r="O52" s="105">
        <f t="shared" si="331"/>
        <v>0</v>
      </c>
      <c r="P52" s="105">
        <f t="shared" si="331"/>
        <v>0</v>
      </c>
      <c r="Q52" s="105">
        <f t="shared" si="331"/>
        <v>0</v>
      </c>
      <c r="R52" s="105">
        <f t="shared" si="331"/>
        <v>0</v>
      </c>
      <c r="S52" s="105">
        <f t="shared" si="331"/>
        <v>0</v>
      </c>
      <c r="T52" s="105">
        <f t="shared" si="331"/>
        <v>0</v>
      </c>
      <c r="U52" s="105">
        <f t="shared" si="331"/>
        <v>0</v>
      </c>
      <c r="V52" s="105">
        <f t="shared" si="331"/>
        <v>0</v>
      </c>
      <c r="W52" s="105">
        <f t="shared" si="331"/>
        <v>0</v>
      </c>
      <c r="X52" s="105">
        <f t="shared" si="331"/>
        <v>0</v>
      </c>
      <c r="Y52" s="105">
        <f t="shared" si="331"/>
        <v>0</v>
      </c>
      <c r="Z52" s="105">
        <f t="shared" si="331"/>
        <v>0</v>
      </c>
      <c r="AA52" s="105">
        <f t="shared" si="331"/>
        <v>0</v>
      </c>
      <c r="AB52" s="105">
        <f t="shared" si="331"/>
        <v>0</v>
      </c>
      <c r="AC52" s="105">
        <f t="shared" si="331"/>
        <v>0</v>
      </c>
      <c r="AD52" s="105">
        <f t="shared" si="331"/>
        <v>0</v>
      </c>
      <c r="AE52" s="105">
        <f t="shared" si="331"/>
        <v>0</v>
      </c>
      <c r="AF52" s="105">
        <f t="shared" si="331"/>
        <v>0</v>
      </c>
      <c r="AG52" s="105">
        <f t="shared" si="331"/>
        <v>0</v>
      </c>
      <c r="AH52" s="105">
        <f t="shared" si="331"/>
        <v>0</v>
      </c>
      <c r="AI52" s="105">
        <f t="shared" si="331"/>
        <v>0</v>
      </c>
      <c r="AJ52" s="105">
        <f t="shared" si="331"/>
        <v>0</v>
      </c>
      <c r="AK52" s="105">
        <f t="shared" si="331"/>
        <v>0</v>
      </c>
      <c r="AL52" s="105">
        <f t="shared" si="331"/>
        <v>0</v>
      </c>
      <c r="AM52" s="105">
        <f t="shared" si="331"/>
        <v>0</v>
      </c>
      <c r="AN52" s="105">
        <f t="shared" si="330"/>
        <v>0</v>
      </c>
    </row>
    <row r="53" spans="2:40" s="18" customFormat="1" ht="21" customHeight="1" x14ac:dyDescent="0.2">
      <c r="B53" s="6" t="s">
        <v>62</v>
      </c>
      <c r="C53" s="6"/>
      <c r="D53" s="19"/>
      <c r="E53" s="105">
        <f t="shared" ref="E53:AN53" si="332">E44+E52</f>
        <v>-44597.875</v>
      </c>
      <c r="F53" s="105">
        <f t="shared" ref="F53:AM53" si="333">F44+F52</f>
        <v>-42658.518750000003</v>
      </c>
      <c r="G53" s="105">
        <f t="shared" si="333"/>
        <v>-41641.444687499999</v>
      </c>
      <c r="H53" s="105">
        <f t="shared" si="333"/>
        <v>-38355.720046875002</v>
      </c>
      <c r="I53" s="105">
        <f t="shared" si="333"/>
        <v>-40273.506049218755</v>
      </c>
      <c r="J53" s="105">
        <f t="shared" si="333"/>
        <v>-42287.18135167969</v>
      </c>
      <c r="K53" s="105">
        <f t="shared" si="333"/>
        <v>-44050.052476951169</v>
      </c>
      <c r="L53" s="105">
        <f t="shared" si="333"/>
        <v>-46252.555100798738</v>
      </c>
      <c r="M53" s="105">
        <f t="shared" si="333"/>
        <v>-48219.186912624813</v>
      </c>
      <c r="N53" s="105">
        <f t="shared" si="333"/>
        <v>-47024.099650093747</v>
      </c>
      <c r="O53" s="105">
        <f t="shared" si="333"/>
        <v>-43687.101174010546</v>
      </c>
      <c r="P53" s="105">
        <f t="shared" si="333"/>
        <v>-45871.456232711076</v>
      </c>
      <c r="Q53" s="105">
        <f t="shared" si="333"/>
        <v>-47853.502946975445</v>
      </c>
      <c r="R53" s="105">
        <f t="shared" si="333"/>
        <v>-50246.178094324219</v>
      </c>
      <c r="S53" s="105">
        <f t="shared" si="333"/>
        <v>-52758.486999040426</v>
      </c>
      <c r="T53" s="105">
        <f t="shared" si="333"/>
        <v>-50679.365737013766</v>
      </c>
      <c r="U53" s="105">
        <f t="shared" si="333"/>
        <v>-52848.195745414268</v>
      </c>
      <c r="V53" s="105">
        <f t="shared" si="333"/>
        <v>-51855.451116114251</v>
      </c>
      <c r="W53" s="105">
        <f t="shared" si="333"/>
        <v>-51540.100138663372</v>
      </c>
      <c r="X53" s="105">
        <f t="shared" si="333"/>
        <v>-47639.424804573151</v>
      </c>
      <c r="Y53" s="105">
        <f t="shared" si="333"/>
        <v>-50021.396044801804</v>
      </c>
      <c r="Z53" s="105">
        <f t="shared" si="333"/>
        <v>-51816.7795503249</v>
      </c>
      <c r="AA53" s="105">
        <f t="shared" si="333"/>
        <v>-54407.618527841143</v>
      </c>
      <c r="AB53" s="105">
        <f t="shared" si="333"/>
        <v>-57127.999454233206</v>
      </c>
      <c r="AC53" s="105">
        <f t="shared" si="333"/>
        <v>-57015.131869370685</v>
      </c>
      <c r="AD53" s="105">
        <f t="shared" si="333"/>
        <v>-56339.904559362127</v>
      </c>
      <c r="AE53" s="105">
        <f t="shared" si="333"/>
        <v>-59156.899787330243</v>
      </c>
      <c r="AF53" s="105">
        <f t="shared" si="333"/>
        <v>-58969.504450636909</v>
      </c>
      <c r="AG53" s="105">
        <f t="shared" si="333"/>
        <v>-56582.946781528823</v>
      </c>
      <c r="AH53" s="105">
        <f t="shared" si="333"/>
        <v>-59412.094120605259</v>
      </c>
      <c r="AI53" s="105">
        <f t="shared" si="333"/>
        <v>-56136.610072289608</v>
      </c>
      <c r="AJ53" s="105">
        <f t="shared" si="333"/>
        <v>-58943.440575904089</v>
      </c>
      <c r="AK53" s="105">
        <f t="shared" si="333"/>
        <v>-61890.612604699294</v>
      </c>
      <c r="AL53" s="105">
        <f t="shared" si="333"/>
        <v>-64372.507903256657</v>
      </c>
      <c r="AM53" s="105">
        <f t="shared" si="333"/>
        <v>-64800.338237934768</v>
      </c>
      <c r="AN53" s="105">
        <f t="shared" si="332"/>
        <v>-64499.819956108076</v>
      </c>
    </row>
    <row r="267" spans="9946:10001" s="9" customFormat="1" ht="21" customHeight="1" x14ac:dyDescent="0.2">
      <c r="NSC267" s="107">
        <v>74</v>
      </c>
    </row>
    <row r="268" spans="9946:10001" s="9" customFormat="1" ht="21" customHeight="1" x14ac:dyDescent="0.2">
      <c r="NSC268" s="107">
        <v>75</v>
      </c>
    </row>
    <row r="269" spans="9946:10001" s="9" customFormat="1" ht="18" customHeight="1" x14ac:dyDescent="0.2">
      <c r="NSC269" s="107">
        <v>76</v>
      </c>
      <c r="NTO269" s="20"/>
    </row>
    <row r="270" spans="9946:10001" s="9" customFormat="1" ht="21" customHeight="1" x14ac:dyDescent="0.2">
      <c r="NSC270" s="107">
        <v>77</v>
      </c>
      <c r="NTO270" s="20"/>
    </row>
    <row r="271" spans="9946:10001" s="9" customFormat="1" ht="21" customHeight="1" x14ac:dyDescent="0.2">
      <c r="NSC271" s="107">
        <v>78</v>
      </c>
      <c r="NTO271" s="20"/>
    </row>
    <row r="272" spans="9946:10001" s="9" customFormat="1" ht="21" customHeight="1" x14ac:dyDescent="0.2">
      <c r="NRN272" s="9" t="s">
        <v>154</v>
      </c>
      <c r="NSC272" s="107">
        <v>79</v>
      </c>
      <c r="NSE272" s="9" t="s">
        <v>154</v>
      </c>
      <c r="NTO272" s="20"/>
      <c r="NTQ272" s="9" t="s">
        <v>154</v>
      </c>
    </row>
    <row r="273" spans="9946:10001" s="9" customFormat="1" ht="21" customHeight="1" x14ac:dyDescent="0.2">
      <c r="NRN273" s="9" t="s">
        <v>154</v>
      </c>
      <c r="NSC273" s="107">
        <v>80</v>
      </c>
      <c r="NSE273" s="9" t="s">
        <v>154</v>
      </c>
      <c r="NTO273" s="20"/>
      <c r="NTQ273" s="9" t="s">
        <v>154</v>
      </c>
    </row>
    <row r="274" spans="9946:10001" s="9" customFormat="1" ht="21" customHeight="1" x14ac:dyDescent="0.2">
      <c r="NRN274" s="9" t="s">
        <v>154</v>
      </c>
      <c r="NSC274" s="107">
        <v>81</v>
      </c>
      <c r="NSE274" s="9" t="s">
        <v>154</v>
      </c>
      <c r="NTO274" s="20"/>
      <c r="NTQ274" s="9" t="s">
        <v>154</v>
      </c>
    </row>
    <row r="275" spans="9946:10001" s="9" customFormat="1" ht="21" customHeight="1" x14ac:dyDescent="0.2">
      <c r="NRN275" s="9" t="s">
        <v>154</v>
      </c>
      <c r="NSC275" s="107">
        <v>82</v>
      </c>
      <c r="NSE275" s="9" t="s">
        <v>154</v>
      </c>
      <c r="NTO275" s="20"/>
      <c r="NTQ275" s="9" t="s">
        <v>154</v>
      </c>
    </row>
    <row r="276" spans="9946:10001" s="9" customFormat="1" ht="21" customHeight="1" x14ac:dyDescent="0.2">
      <c r="NRN276" s="9" t="s">
        <v>154</v>
      </c>
      <c r="NSC276" s="107">
        <v>83</v>
      </c>
      <c r="NSE276" s="9" t="s">
        <v>154</v>
      </c>
      <c r="NTO276" s="108">
        <v>74</v>
      </c>
      <c r="NTQ276" s="9" t="s">
        <v>154</v>
      </c>
    </row>
    <row r="277" spans="9946:10001" s="9" customFormat="1" ht="21" customHeight="1" x14ac:dyDescent="0.2">
      <c r="NRN277" s="9" t="s">
        <v>154</v>
      </c>
      <c r="NSC277" s="107">
        <v>84</v>
      </c>
      <c r="NSE277" s="9" t="s">
        <v>154</v>
      </c>
      <c r="NTO277" s="108">
        <v>75</v>
      </c>
      <c r="NTQ277" s="9" t="s">
        <v>154</v>
      </c>
    </row>
    <row r="278" spans="9946:10001" s="9" customFormat="1" ht="21" customHeight="1" x14ac:dyDescent="0.2">
      <c r="NSC278" s="107">
        <v>85</v>
      </c>
      <c r="NTO278" s="108">
        <v>76</v>
      </c>
    </row>
    <row r="279" spans="9946:10001" s="9" customFormat="1" ht="21" customHeight="1" x14ac:dyDescent="0.2">
      <c r="NRN279" s="9" t="s">
        <v>154</v>
      </c>
      <c r="NSC279" s="107">
        <v>86</v>
      </c>
      <c r="NSE279" s="9" t="s">
        <v>154</v>
      </c>
      <c r="NTO279" s="108">
        <v>77</v>
      </c>
      <c r="NTQ279" s="9" t="s">
        <v>154</v>
      </c>
    </row>
    <row r="280" spans="9946:10001" ht="21" customHeight="1" x14ac:dyDescent="0.2">
      <c r="NRN280" s="21" t="s">
        <v>154</v>
      </c>
      <c r="NSC280" s="109">
        <v>87</v>
      </c>
      <c r="NSE280" s="21" t="s">
        <v>154</v>
      </c>
      <c r="NTO280" s="108">
        <v>78</v>
      </c>
      <c r="NTQ280" s="21" t="s">
        <v>154</v>
      </c>
    </row>
    <row r="281" spans="9946:10001" ht="21" customHeight="1" x14ac:dyDescent="0.2">
      <c r="NRN281" s="21" t="s">
        <v>154</v>
      </c>
      <c r="NSC281" s="109">
        <v>88</v>
      </c>
      <c r="NSE281" s="21" t="s">
        <v>154</v>
      </c>
      <c r="NTO281" s="108">
        <v>79</v>
      </c>
      <c r="NTQ281" s="21" t="s">
        <v>154</v>
      </c>
    </row>
    <row r="282" spans="9946:10001" ht="21" customHeight="1" x14ac:dyDescent="0.2">
      <c r="NRN282" s="21" t="s">
        <v>154</v>
      </c>
      <c r="NSC282" s="109">
        <v>89</v>
      </c>
      <c r="NSE282" s="21" t="s">
        <v>154</v>
      </c>
      <c r="NTO282" s="108">
        <v>80</v>
      </c>
      <c r="NTQ282" s="21" t="s">
        <v>154</v>
      </c>
    </row>
    <row r="283" spans="9946:10001" ht="21" customHeight="1" x14ac:dyDescent="0.2">
      <c r="NRN283" s="21" t="s">
        <v>154</v>
      </c>
      <c r="NSC283" s="109">
        <v>90</v>
      </c>
      <c r="NSE283" s="21" t="s">
        <v>154</v>
      </c>
      <c r="NTO283" s="108">
        <v>81</v>
      </c>
      <c r="NTQ283" s="21" t="s">
        <v>154</v>
      </c>
    </row>
    <row r="284" spans="9946:10001" ht="21" customHeight="1" x14ac:dyDescent="0.2">
      <c r="NRN284" s="21" t="s">
        <v>155</v>
      </c>
      <c r="NSC284" s="109">
        <v>91</v>
      </c>
      <c r="NSE284" s="21" t="s">
        <v>155</v>
      </c>
      <c r="NTO284" s="108">
        <v>82</v>
      </c>
      <c r="NTQ284" s="21" t="s">
        <v>155</v>
      </c>
    </row>
    <row r="285" spans="9946:10001" ht="21" customHeight="1" x14ac:dyDescent="0.2">
      <c r="NSC285" s="109">
        <v>92</v>
      </c>
      <c r="NTO285" s="108">
        <v>83</v>
      </c>
    </row>
    <row r="286" spans="9946:10001" ht="21" customHeight="1" x14ac:dyDescent="0.2">
      <c r="NRN286" s="21" t="s">
        <v>154</v>
      </c>
      <c r="NSC286" s="109">
        <v>93</v>
      </c>
      <c r="NSE286" s="21" t="s">
        <v>154</v>
      </c>
      <c r="NTO286" s="108">
        <v>84</v>
      </c>
      <c r="NTQ286" s="21" t="s">
        <v>154</v>
      </c>
    </row>
    <row r="287" spans="9946:10001" ht="21" customHeight="1" x14ac:dyDescent="0.2">
      <c r="NRN287" s="21" t="s">
        <v>154</v>
      </c>
      <c r="NSC287" s="109">
        <v>94</v>
      </c>
      <c r="NSE287" s="21" t="s">
        <v>154</v>
      </c>
      <c r="NTO287" s="108">
        <v>85</v>
      </c>
      <c r="NTQ287" s="21" t="s">
        <v>154</v>
      </c>
    </row>
    <row r="288" spans="9946:10001" ht="21" customHeight="1" x14ac:dyDescent="0.2">
      <c r="NRN288" s="21" t="s">
        <v>154</v>
      </c>
      <c r="NSE288" s="21" t="s">
        <v>154</v>
      </c>
      <c r="NTO288" s="108">
        <v>86</v>
      </c>
      <c r="NTQ288" s="21" t="s">
        <v>154</v>
      </c>
    </row>
    <row r="289" spans="9946:10001" ht="21" customHeight="1" x14ac:dyDescent="0.2">
      <c r="NRN289" s="21" t="s">
        <v>154</v>
      </c>
      <c r="NSE289" s="21" t="s">
        <v>154</v>
      </c>
      <c r="NTO289" s="108">
        <v>87</v>
      </c>
      <c r="NTQ289" s="21" t="s">
        <v>154</v>
      </c>
    </row>
    <row r="290" spans="9946:10001" ht="21" customHeight="1" x14ac:dyDescent="0.2">
      <c r="NRN290" s="21" t="s">
        <v>155</v>
      </c>
      <c r="NSE290" s="21" t="s">
        <v>155</v>
      </c>
      <c r="NTO290" s="108">
        <v>88</v>
      </c>
      <c r="NTQ290" s="21" t="s">
        <v>155</v>
      </c>
    </row>
    <row r="291" spans="9946:10001" ht="21" customHeight="1" x14ac:dyDescent="0.2">
      <c r="NRN291" s="21" t="s">
        <v>154</v>
      </c>
      <c r="NSE291" s="21" t="s">
        <v>154</v>
      </c>
      <c r="NTO291" s="108">
        <v>89</v>
      </c>
      <c r="NTQ291" s="21" t="s">
        <v>154</v>
      </c>
    </row>
    <row r="292" spans="9946:10001" ht="21" customHeight="1" x14ac:dyDescent="0.2">
      <c r="NRN292" s="21" t="s">
        <v>154</v>
      </c>
      <c r="NSE292" s="21" t="s">
        <v>154</v>
      </c>
      <c r="NTO292" s="108">
        <v>90</v>
      </c>
      <c r="NTQ292" s="21" t="s">
        <v>154</v>
      </c>
    </row>
    <row r="293" spans="9946:10001" ht="21" customHeight="1" x14ac:dyDescent="0.2">
      <c r="NRN293" s="21" t="s">
        <v>154</v>
      </c>
      <c r="NSE293" s="21" t="s">
        <v>154</v>
      </c>
      <c r="NTO293" s="108">
        <v>91</v>
      </c>
      <c r="NTQ293" s="21" t="s">
        <v>154</v>
      </c>
    </row>
    <row r="294" spans="9946:10001" ht="21" customHeight="1" x14ac:dyDescent="0.2">
      <c r="NTO294" s="108">
        <v>92</v>
      </c>
    </row>
    <row r="295" spans="9946:10001" ht="21" customHeight="1" x14ac:dyDescent="0.2">
      <c r="NRN295" s="21" t="s">
        <v>154</v>
      </c>
      <c r="NSE295" s="21" t="s">
        <v>154</v>
      </c>
      <c r="NTO295" s="108">
        <v>93</v>
      </c>
      <c r="NTQ295" s="21" t="s">
        <v>154</v>
      </c>
    </row>
    <row r="296" spans="9946:10001" ht="21" customHeight="1" x14ac:dyDescent="0.2">
      <c r="NSE296" s="21" t="s">
        <v>154</v>
      </c>
      <c r="NTO296" s="108">
        <v>94</v>
      </c>
      <c r="NTQ296" s="21" t="s">
        <v>154</v>
      </c>
    </row>
    <row r="297" spans="9946:10001" ht="21" customHeight="1" x14ac:dyDescent="0.2">
      <c r="NSE297" s="21" t="s">
        <v>155</v>
      </c>
      <c r="NTO297" s="108">
        <v>95</v>
      </c>
      <c r="NTQ297" s="21" t="s">
        <v>155</v>
      </c>
    </row>
    <row r="298" spans="9946:10001" ht="21" customHeight="1" x14ac:dyDescent="0.2">
      <c r="NTO298" s="108">
        <v>96</v>
      </c>
    </row>
    <row r="299" spans="9946:10001" ht="21" customHeight="1" x14ac:dyDescent="0.2">
      <c r="NTO299" s="108">
        <v>97</v>
      </c>
    </row>
    <row r="300" spans="9946:10001" ht="21" customHeight="1" x14ac:dyDescent="0.2">
      <c r="NTO300" s="108">
        <v>98</v>
      </c>
    </row>
    <row r="301" spans="9946:10001" ht="21" customHeight="1" x14ac:dyDescent="0.2">
      <c r="NTO301" s="108">
        <v>99</v>
      </c>
    </row>
    <row r="302" spans="9946:10001" ht="21" customHeight="1" x14ac:dyDescent="0.2">
      <c r="NTO302" s="108">
        <v>100</v>
      </c>
    </row>
    <row r="303" spans="9946:10001" ht="21" customHeight="1" x14ac:dyDescent="0.2">
      <c r="NTO303" s="108">
        <v>101</v>
      </c>
    </row>
    <row r="304" spans="9946:10001" ht="21" customHeight="1" x14ac:dyDescent="0.2">
      <c r="NTO304" s="108">
        <v>102</v>
      </c>
    </row>
  </sheetData>
  <dataConsolidate/>
  <dataValidations count="1">
    <dataValidation type="list" allowBlank="1" showInputMessage="1" showErrorMessage="1" sqref="E4" xr:uid="{A1A07EA2-0070-4024-97E9-A5A460CBE710}">
      <formula1>"1/31/2021,1/31/2022,1/31/2023,1/31/2024,1/31/2025,1/31/2026,1/31/2027"</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F74E5-F32A-4EB2-94C0-55ACF5DB210F}">
  <sheetPr>
    <tabColor theme="3" tint="0.89999084444715716"/>
  </sheetPr>
  <dimension ref="B6:APZ64"/>
  <sheetViews>
    <sheetView showGridLines="0" topLeftCell="E4" zoomScale="130" zoomScaleNormal="130" workbookViewId="0">
      <selection activeCell="E49" sqref="E49"/>
    </sheetView>
  </sheetViews>
  <sheetFormatPr baseColWidth="10" defaultColWidth="8.85546875" defaultRowHeight="15" x14ac:dyDescent="0.2"/>
  <cols>
    <col min="1" max="1" width="3.42578125" customWidth="1"/>
    <col min="2" max="2" width="25.28515625" bestFit="1" customWidth="1"/>
    <col min="3" max="3" width="8" bestFit="1" customWidth="1"/>
    <col min="4" max="4" width="7.140625" bestFit="1" customWidth="1"/>
    <col min="5" max="5" width="4.140625" customWidth="1"/>
    <col min="6" max="6" width="7" bestFit="1" customWidth="1"/>
    <col min="7" max="7" width="10.7109375" bestFit="1" customWidth="1"/>
    <col min="8" max="8" width="9.28515625" bestFit="1" customWidth="1"/>
    <col min="9" max="9" width="6.7109375" bestFit="1" customWidth="1"/>
    <col min="10" max="10" width="15.7109375" bestFit="1" customWidth="1"/>
    <col min="11" max="11" width="4.140625" customWidth="1"/>
    <col min="12" max="12" width="21.7109375" bestFit="1" customWidth="1"/>
    <col min="13" max="13" width="10.7109375" bestFit="1" customWidth="1"/>
    <col min="14" max="14" width="3.42578125" customWidth="1"/>
    <col min="15" max="15" width="23.7109375" bestFit="1" customWidth="1"/>
    <col min="16" max="16" width="15.42578125" bestFit="1" customWidth="1"/>
    <col min="17" max="17" width="9.140625" bestFit="1" customWidth="1"/>
    <col min="18" max="18" width="7.42578125" bestFit="1" customWidth="1"/>
    <col min="19" max="19" width="7.140625" bestFit="1" customWidth="1"/>
    <col min="20" max="20" width="3.85546875" customWidth="1"/>
    <col min="21" max="21" width="21.7109375" bestFit="1" customWidth="1"/>
    <col min="22" max="22" width="10.7109375" bestFit="1" customWidth="1"/>
    <col min="23" max="23" width="7.42578125" bestFit="1" customWidth="1"/>
    <col min="24" max="24" width="7.28515625" bestFit="1" customWidth="1"/>
    <col min="25" max="25" width="7.140625" bestFit="1" customWidth="1"/>
    <col min="26" max="26" width="4.28515625" customWidth="1"/>
    <col min="27" max="27" width="24.7109375" bestFit="1" customWidth="1"/>
    <col min="28" max="28" width="10.7109375" bestFit="1" customWidth="1"/>
    <col min="29" max="30" width="7.42578125" bestFit="1" customWidth="1"/>
    <col min="31" max="31" width="7.7109375" bestFit="1" customWidth="1"/>
    <col min="32" max="32" width="4.140625" customWidth="1"/>
    <col min="33" max="33" width="7" bestFit="1" customWidth="1"/>
    <col min="34" max="34" width="10.7109375" bestFit="1" customWidth="1"/>
    <col min="35" max="35" width="9.7109375" bestFit="1" customWidth="1"/>
    <col min="36" max="36" width="6.7109375" bestFit="1" customWidth="1"/>
    <col min="37" max="37" width="15.85546875" bestFit="1" customWidth="1"/>
    <col min="38" max="38" width="9.42578125" bestFit="1" customWidth="1"/>
    <col min="39" max="39" width="15.42578125" bestFit="1" customWidth="1"/>
    <col min="40" max="40" width="10.7109375" bestFit="1" customWidth="1"/>
    <col min="41" max="41" width="9.42578125" bestFit="1" customWidth="1"/>
    <col min="42" max="42" width="25.28515625" bestFit="1" customWidth="1"/>
    <col min="43" max="43" width="9.140625" bestFit="1" customWidth="1"/>
    <col min="44" max="52" width="9.42578125" bestFit="1" customWidth="1"/>
    <col min="53" max="61" width="8.42578125" bestFit="1" customWidth="1"/>
    <col min="62" max="80" width="9.42578125" bestFit="1" customWidth="1"/>
    <col min="81" max="89" width="8.42578125" bestFit="1" customWidth="1"/>
    <col min="90" max="111" width="9.42578125" bestFit="1" customWidth="1"/>
    <col min="112" max="120" width="8.42578125" bestFit="1" customWidth="1"/>
    <col min="121" max="141" width="9.42578125" bestFit="1" customWidth="1"/>
    <col min="142" max="150" width="8.42578125" bestFit="1" customWidth="1"/>
    <col min="151" max="172" width="9.42578125" bestFit="1" customWidth="1"/>
    <col min="173" max="181" width="8.42578125" bestFit="1" customWidth="1"/>
    <col min="182" max="202" width="9.42578125" bestFit="1" customWidth="1"/>
    <col min="203" max="211" width="8.42578125" bestFit="1" customWidth="1"/>
    <col min="212" max="233" width="9.42578125" bestFit="1" customWidth="1"/>
    <col min="234" max="242" width="8.42578125" bestFit="1" customWidth="1"/>
    <col min="243" max="264" width="9.42578125" bestFit="1" customWidth="1"/>
    <col min="265" max="273" width="8.42578125" bestFit="1" customWidth="1"/>
    <col min="274" max="303" width="9.42578125" bestFit="1" customWidth="1"/>
    <col min="304" max="325" width="10.42578125" bestFit="1" customWidth="1"/>
    <col min="326" max="334" width="9.42578125" bestFit="1" customWidth="1"/>
    <col min="335" max="355" width="10.42578125" bestFit="1" customWidth="1"/>
    <col min="356" max="364" width="9.42578125" bestFit="1" customWidth="1"/>
    <col min="365" max="386" width="10.42578125" bestFit="1" customWidth="1"/>
    <col min="387" max="395" width="8.42578125" bestFit="1" customWidth="1"/>
    <col min="396" max="417" width="9.42578125" bestFit="1" customWidth="1"/>
    <col min="418" max="426" width="8.42578125" bestFit="1" customWidth="1"/>
    <col min="427" max="446" width="9.42578125" bestFit="1" customWidth="1"/>
    <col min="447" max="455" width="8.42578125" bestFit="1" customWidth="1"/>
    <col min="456" max="477" width="9.42578125" bestFit="1" customWidth="1"/>
    <col min="478" max="486" width="8.42578125" bestFit="1" customWidth="1"/>
    <col min="487" max="507" width="9.42578125" bestFit="1" customWidth="1"/>
    <col min="508" max="516" width="8.42578125" bestFit="1" customWidth="1"/>
    <col min="517" max="538" width="9.42578125" bestFit="1" customWidth="1"/>
    <col min="539" max="547" width="8.42578125" bestFit="1" customWidth="1"/>
    <col min="548" max="568" width="9.42578125" bestFit="1" customWidth="1"/>
    <col min="569" max="577" width="8.42578125" bestFit="1" customWidth="1"/>
    <col min="578" max="599" width="9.42578125" bestFit="1" customWidth="1"/>
    <col min="600" max="608" width="8.42578125" bestFit="1" customWidth="1"/>
    <col min="609" max="630" width="9.42578125" bestFit="1" customWidth="1"/>
    <col min="631" max="639" width="8.42578125" bestFit="1" customWidth="1"/>
    <col min="640" max="669" width="9.42578125" bestFit="1" customWidth="1"/>
    <col min="670" max="691" width="10.42578125" bestFit="1" customWidth="1"/>
    <col min="692" max="700" width="9.42578125" bestFit="1" customWidth="1"/>
    <col min="701" max="721" width="10.42578125" bestFit="1" customWidth="1"/>
    <col min="722" max="730" width="9.42578125" bestFit="1" customWidth="1"/>
    <col min="731" max="752" width="10.42578125" bestFit="1" customWidth="1"/>
    <col min="753" max="761" width="8.42578125" bestFit="1" customWidth="1"/>
    <col min="762" max="783" width="9.42578125" bestFit="1" customWidth="1"/>
    <col min="784" max="792" width="8.42578125" bestFit="1" customWidth="1"/>
    <col min="793" max="811" width="9.42578125" bestFit="1" customWidth="1"/>
    <col min="812" max="820" width="8.42578125" bestFit="1" customWidth="1"/>
    <col min="821" max="842" width="9.42578125" bestFit="1" customWidth="1"/>
    <col min="843" max="851" width="8.42578125" bestFit="1" customWidth="1"/>
    <col min="852" max="872" width="9.42578125" bestFit="1" customWidth="1"/>
    <col min="873" max="881" width="8.42578125" bestFit="1" customWidth="1"/>
    <col min="882" max="903" width="9.42578125" bestFit="1" customWidth="1"/>
    <col min="904" max="912" width="8.42578125" bestFit="1" customWidth="1"/>
    <col min="913" max="933" width="9.42578125" bestFit="1" customWidth="1"/>
    <col min="934" max="942" width="8.42578125" bestFit="1" customWidth="1"/>
    <col min="943" max="964" width="9.42578125" bestFit="1" customWidth="1"/>
    <col min="965" max="973" width="8.42578125" bestFit="1" customWidth="1"/>
    <col min="974" max="995" width="9.42578125" bestFit="1" customWidth="1"/>
    <col min="996" max="1004" width="8.42578125" bestFit="1" customWidth="1"/>
    <col min="1005" max="1034" width="9.42578125" bestFit="1" customWidth="1"/>
    <col min="1035" max="1056" width="10.42578125" bestFit="1" customWidth="1"/>
    <col min="1057" max="1065" width="9.42578125" bestFit="1" customWidth="1"/>
    <col min="1066" max="1086" width="10.42578125" bestFit="1" customWidth="1"/>
    <col min="1087" max="1095" width="9.42578125" bestFit="1" customWidth="1"/>
    <col min="1096" max="1117" width="10.42578125" bestFit="1" customWidth="1"/>
    <col min="1118" max="1118" width="11.28515625" bestFit="1" customWidth="1"/>
  </cols>
  <sheetData>
    <row r="6" spans="2:1118" ht="16" x14ac:dyDescent="0.2">
      <c r="F6" s="28" t="s">
        <v>22</v>
      </c>
      <c r="G6" t="s" vm="1">
        <v>23</v>
      </c>
      <c r="AG6" s="28" t="s">
        <v>22</v>
      </c>
      <c r="AH6" t="s" vm="1">
        <v>23</v>
      </c>
      <c r="AP6" s="51" t="s">
        <v>24</v>
      </c>
      <c r="AQ6" t="s" vm="3">
        <v>25</v>
      </c>
    </row>
    <row r="7" spans="2:1118" x14ac:dyDescent="0.2">
      <c r="O7" s="28" t="s">
        <v>22</v>
      </c>
      <c r="P7" t="s" vm="2">
        <v>26</v>
      </c>
      <c r="U7" s="28" t="s">
        <v>22</v>
      </c>
      <c r="V7" t="s" vm="1">
        <v>23</v>
      </c>
      <c r="AA7" s="28" t="s">
        <v>22</v>
      </c>
      <c r="AB7" t="s" vm="1">
        <v>23</v>
      </c>
    </row>
    <row r="8" spans="2:1118" x14ac:dyDescent="0.2">
      <c r="F8" s="28" t="s">
        <v>27</v>
      </c>
      <c r="G8" s="28" t="s">
        <v>27</v>
      </c>
      <c r="AG8" s="28" t="s">
        <v>27</v>
      </c>
      <c r="AH8" s="28" t="s">
        <v>27</v>
      </c>
      <c r="AP8" s="28" t="s">
        <v>28</v>
      </c>
      <c r="AQ8" t="s">
        <v>5</v>
      </c>
    </row>
    <row r="9" spans="2:1118" s="52" customFormat="1" ht="64" x14ac:dyDescent="0.2">
      <c r="B9" s="51" t="s">
        <v>29</v>
      </c>
      <c r="C9" s="52" t="s">
        <v>30</v>
      </c>
      <c r="D9" s="52" t="s">
        <v>31</v>
      </c>
      <c r="F9" s="28" t="s">
        <v>27</v>
      </c>
      <c r="G9" s="52" t="s">
        <v>8</v>
      </c>
      <c r="H9" s="52" t="s">
        <v>10</v>
      </c>
      <c r="I9" s="52" t="s">
        <v>13</v>
      </c>
      <c r="J9" s="52" t="s">
        <v>15</v>
      </c>
      <c r="L9" s="28" t="s">
        <v>22</v>
      </c>
      <c r="M9" t="s" vm="1">
        <v>23</v>
      </c>
      <c r="O9" s="51" t="s">
        <v>32</v>
      </c>
      <c r="P9" s="52" t="s">
        <v>4</v>
      </c>
      <c r="Q9" s="52" t="s">
        <v>5</v>
      </c>
      <c r="R9" s="52" t="s">
        <v>33</v>
      </c>
      <c r="S9" s="52" t="s">
        <v>34</v>
      </c>
      <c r="U9" s="51" t="s">
        <v>35</v>
      </c>
      <c r="V9" s="52" t="s">
        <v>4</v>
      </c>
      <c r="W9" s="52" t="s">
        <v>5</v>
      </c>
      <c r="X9" s="52" t="s">
        <v>36</v>
      </c>
      <c r="Y9" s="52" t="s">
        <v>37</v>
      </c>
      <c r="AA9" s="51" t="s">
        <v>38</v>
      </c>
      <c r="AB9" s="52" t="s">
        <v>4</v>
      </c>
      <c r="AC9" s="52" t="s">
        <v>5</v>
      </c>
      <c r="AD9" s="52" t="s">
        <v>36</v>
      </c>
      <c r="AE9" s="52" t="s">
        <v>37</v>
      </c>
      <c r="AG9" s="28" t="s">
        <v>27</v>
      </c>
      <c r="AH9" s="52" t="s">
        <v>8</v>
      </c>
      <c r="AI9" s="52" t="s">
        <v>10</v>
      </c>
      <c r="AJ9" s="52" t="s">
        <v>13</v>
      </c>
      <c r="AK9" s="52" t="s">
        <v>15</v>
      </c>
      <c r="AL9"/>
      <c r="AM9" s="28" t="s">
        <v>22</v>
      </c>
      <c r="AN9" t="s" vm="1">
        <v>23</v>
      </c>
      <c r="AO9"/>
      <c r="AP9" s="2" t="s">
        <v>39</v>
      </c>
      <c r="AQ9" s="86">
        <v>801118.03027266311</v>
      </c>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row>
    <row r="10" spans="2:1118" x14ac:dyDescent="0.2">
      <c r="B10" s="2" t="s">
        <v>40</v>
      </c>
      <c r="C10" s="86">
        <v>112146.24449755717</v>
      </c>
      <c r="D10" s="87">
        <v>0.87300371527048859</v>
      </c>
      <c r="F10" s="2" t="s">
        <v>40</v>
      </c>
      <c r="G10" s="86">
        <v>11405.289845734786</v>
      </c>
      <c r="H10" s="86">
        <v>30761.504775093545</v>
      </c>
      <c r="I10" s="86">
        <v>21048.484420049408</v>
      </c>
      <c r="J10" s="86">
        <v>36671.752603906629</v>
      </c>
      <c r="O10" s="2" t="s">
        <v>30</v>
      </c>
      <c r="P10" s="86">
        <v>806240.19221630658</v>
      </c>
      <c r="Q10" s="86">
        <v>801118.03027266311</v>
      </c>
      <c r="R10" s="86">
        <v>-5122.1619436434703</v>
      </c>
      <c r="S10" s="88">
        <v>-6.3937668983684286E-3</v>
      </c>
      <c r="U10" s="2" t="s">
        <v>8</v>
      </c>
      <c r="V10" s="86">
        <v>151803.7508945041</v>
      </c>
      <c r="W10" s="86">
        <v>82873.121814022306</v>
      </c>
      <c r="X10" s="86">
        <v>68930.629080481798</v>
      </c>
      <c r="Y10" s="87">
        <v>0.83176098078181226</v>
      </c>
      <c r="AA10" s="2" t="s">
        <v>9</v>
      </c>
      <c r="AB10" s="86">
        <v>245241.10737736861</v>
      </c>
      <c r="AC10" s="86">
        <v>130260.7153159333</v>
      </c>
      <c r="AD10" s="86">
        <v>114980.39206143531</v>
      </c>
      <c r="AE10" s="87">
        <v>0.88269430873738708</v>
      </c>
      <c r="AG10" s="2" t="s">
        <v>40</v>
      </c>
      <c r="AH10" s="86">
        <v>11405.289845734786</v>
      </c>
      <c r="AI10" s="86">
        <v>30761.504775093545</v>
      </c>
      <c r="AJ10" s="86">
        <v>21048.484420049408</v>
      </c>
      <c r="AK10" s="86">
        <v>36671.752603906629</v>
      </c>
      <c r="AP10" s="2" t="s">
        <v>41</v>
      </c>
      <c r="AQ10" s="86">
        <v>141454.24908955747</v>
      </c>
    </row>
    <row r="11" spans="2:1118" x14ac:dyDescent="0.2">
      <c r="B11" s="2" t="s">
        <v>42</v>
      </c>
      <c r="C11" s="86">
        <v>115510.63183248389</v>
      </c>
      <c r="D11" s="87">
        <v>0.81252823927161577</v>
      </c>
      <c r="F11" s="2" t="s">
        <v>42</v>
      </c>
      <c r="G11" s="86">
        <v>11747.448541106831</v>
      </c>
      <c r="H11" s="86">
        <v>30146.274679591683</v>
      </c>
      <c r="I11" s="86">
        <v>21358.440230608991</v>
      </c>
      <c r="J11" s="86">
        <v>37609.949819149071</v>
      </c>
      <c r="L11" s="28" t="s">
        <v>27</v>
      </c>
      <c r="M11" t="s">
        <v>27</v>
      </c>
      <c r="O11" s="2" t="s">
        <v>43</v>
      </c>
      <c r="P11" s="86">
        <v>782846.15790000011</v>
      </c>
      <c r="Q11" s="86">
        <v>659663.78130000003</v>
      </c>
      <c r="R11" s="86">
        <v>-123182.37660000008</v>
      </c>
      <c r="S11" s="88">
        <v>-0.18673509156019519</v>
      </c>
      <c r="U11" s="2" t="s">
        <v>10</v>
      </c>
      <c r="V11" s="86">
        <v>248464.66047175819</v>
      </c>
      <c r="W11" s="86">
        <v>219330.19666314375</v>
      </c>
      <c r="X11" s="86">
        <v>29134.46380861444</v>
      </c>
      <c r="Y11" s="87">
        <v>0.13283380150960397</v>
      </c>
      <c r="AA11" s="2" t="s">
        <v>11</v>
      </c>
      <c r="AB11" s="86">
        <v>292884.35423249949</v>
      </c>
      <c r="AC11" s="86">
        <v>212909.18779829898</v>
      </c>
      <c r="AD11" s="86">
        <v>79975.16643420051</v>
      </c>
      <c r="AE11" s="87">
        <v>0.37563041436222822</v>
      </c>
      <c r="AG11" s="2" t="s">
        <v>42</v>
      </c>
      <c r="AH11" s="86">
        <v>11747.448541106831</v>
      </c>
      <c r="AI11" s="86">
        <v>30146.274679591683</v>
      </c>
      <c r="AJ11" s="86">
        <v>21358.440230608991</v>
      </c>
      <c r="AK11" s="86">
        <v>37609.949819149071</v>
      </c>
      <c r="AM11" s="28" t="s">
        <v>27</v>
      </c>
      <c r="AN11" t="s">
        <v>27</v>
      </c>
      <c r="AP11" s="2" t="s">
        <v>43</v>
      </c>
      <c r="AQ11" s="86">
        <v>659663.78130000003</v>
      </c>
    </row>
    <row r="12" spans="2:1118" x14ac:dyDescent="0.2">
      <c r="B12" s="2" t="s">
        <v>44</v>
      </c>
      <c r="C12" s="86">
        <v>112045.31287750938</v>
      </c>
      <c r="D12" s="87">
        <v>0.85152686935065336</v>
      </c>
      <c r="F12" s="2" t="s">
        <v>44</v>
      </c>
      <c r="G12" s="86">
        <v>11777.677721590215</v>
      </c>
      <c r="H12" s="86">
        <v>30578.688960530817</v>
      </c>
      <c r="I12" s="86">
        <v>21709.844587689557</v>
      </c>
      <c r="J12" s="86">
        <v>37645.049614318901</v>
      </c>
      <c r="L12" s="58" t="s">
        <v>8</v>
      </c>
      <c r="M12" s="86">
        <v>82873.121814022306</v>
      </c>
      <c r="O12" s="2" t="s">
        <v>45</v>
      </c>
      <c r="P12" s="86">
        <v>-159365.6745000002</v>
      </c>
      <c r="Q12" s="86">
        <v>-54486.452700000053</v>
      </c>
      <c r="R12" s="86">
        <v>104879.22180000014</v>
      </c>
      <c r="S12" s="88">
        <v>1.9248678635304155</v>
      </c>
      <c r="U12" s="2" t="s">
        <v>13</v>
      </c>
      <c r="V12" s="86">
        <v>184162.14064593866</v>
      </c>
      <c r="W12" s="86">
        <v>154098.35574897536</v>
      </c>
      <c r="X12" s="86">
        <v>30063.784896963305</v>
      </c>
      <c r="Y12" s="87">
        <v>0.19509478054351795</v>
      </c>
      <c r="AA12" s="2" t="s">
        <v>14</v>
      </c>
      <c r="AB12" s="86">
        <v>327740.24684747623</v>
      </c>
      <c r="AC12" s="86">
        <v>264464.01721142652</v>
      </c>
      <c r="AD12" s="86">
        <v>63276.229636049713</v>
      </c>
      <c r="AE12" s="87">
        <v>0.23926215106028337</v>
      </c>
      <c r="AG12" s="2" t="s">
        <v>44</v>
      </c>
      <c r="AH12" s="86">
        <v>11777.677721590215</v>
      </c>
      <c r="AI12" s="86">
        <v>30578.688960530817</v>
      </c>
      <c r="AJ12" s="86">
        <v>21709.844587689557</v>
      </c>
      <c r="AK12" s="86">
        <v>37645.049614318901</v>
      </c>
      <c r="AM12" s="58" t="s">
        <v>8</v>
      </c>
      <c r="AN12" s="86">
        <v>82873.121814022306</v>
      </c>
      <c r="AP12" s="2" t="s">
        <v>23</v>
      </c>
      <c r="AQ12" s="86">
        <v>714150.23403595516</v>
      </c>
    </row>
    <row r="13" spans="2:1118" x14ac:dyDescent="0.2">
      <c r="B13" s="2" t="s">
        <v>46</v>
      </c>
      <c r="C13" s="86">
        <v>115406.67226383467</v>
      </c>
      <c r="D13" s="87">
        <v>0.75095102562071181</v>
      </c>
      <c r="F13" s="2" t="s">
        <v>46</v>
      </c>
      <c r="G13" s="86">
        <v>11834.58931954808</v>
      </c>
      <c r="H13" s="86">
        <v>31094.818706838301</v>
      </c>
      <c r="I13" s="86">
        <v>22361.139925320243</v>
      </c>
      <c r="J13" s="86">
        <v>38118.481883105698</v>
      </c>
      <c r="L13" s="58" t="s">
        <v>10</v>
      </c>
      <c r="M13" s="86">
        <v>219330.19666314375</v>
      </c>
      <c r="O13" s="2" t="s">
        <v>47</v>
      </c>
      <c r="P13" s="86">
        <v>1429720.6756163067</v>
      </c>
      <c r="Q13" s="86">
        <v>1406295.3588726632</v>
      </c>
      <c r="R13" s="86">
        <v>-23425.316743643489</v>
      </c>
      <c r="S13" s="88">
        <v>-1.6657465727841173E-2</v>
      </c>
      <c r="U13" s="2" t="s">
        <v>15</v>
      </c>
      <c r="V13" s="86">
        <v>357781.2807775457</v>
      </c>
      <c r="W13" s="86">
        <v>257848.55980981363</v>
      </c>
      <c r="X13" s="86">
        <v>99932.720967732079</v>
      </c>
      <c r="Y13" s="87">
        <v>0.38756361889878849</v>
      </c>
      <c r="AA13" s="2" t="s">
        <v>16</v>
      </c>
      <c r="AB13" s="86">
        <v>76346.124332402338</v>
      </c>
      <c r="AC13" s="86">
        <v>106516.31371029619</v>
      </c>
      <c r="AD13" s="86">
        <v>-30170.189377893854</v>
      </c>
      <c r="AE13" s="87">
        <v>-0.28324477563081035</v>
      </c>
      <c r="AG13" s="2" t="s">
        <v>46</v>
      </c>
      <c r="AH13" s="86">
        <v>11834.58931954808</v>
      </c>
      <c r="AI13" s="86">
        <v>31094.818706838301</v>
      </c>
      <c r="AJ13" s="86">
        <v>22361.139925320243</v>
      </c>
      <c r="AK13" s="86">
        <v>38118.481883105698</v>
      </c>
      <c r="AM13" s="58" t="s">
        <v>10</v>
      </c>
      <c r="AN13" s="86">
        <v>219330.19666314375</v>
      </c>
      <c r="AP13" s="23" t="s">
        <v>9</v>
      </c>
      <c r="AQ13" s="86">
        <v>130260.7153159333</v>
      </c>
    </row>
    <row r="14" spans="2:1118" x14ac:dyDescent="0.2">
      <c r="B14" s="2" t="s">
        <v>48</v>
      </c>
      <c r="C14" s="86">
        <v>111944.47209591963</v>
      </c>
      <c r="D14" s="87">
        <v>0.81973827632481056</v>
      </c>
      <c r="F14" s="2" t="s">
        <v>48</v>
      </c>
      <c r="G14" s="86">
        <v>12189.626999134529</v>
      </c>
      <c r="H14" s="86">
        <v>32277.813474329087</v>
      </c>
      <c r="I14" s="86">
        <v>22722.700923026958</v>
      </c>
      <c r="J14" s="86">
        <v>36197.416137763859</v>
      </c>
      <c r="L14" s="58" t="s">
        <v>13</v>
      </c>
      <c r="M14" s="86">
        <v>154098.35574897536</v>
      </c>
      <c r="U14" s="2" t="s">
        <v>47</v>
      </c>
      <c r="V14" s="86">
        <v>942211.83278974704</v>
      </c>
      <c r="W14" s="86">
        <v>714150.23403595516</v>
      </c>
      <c r="X14" s="86">
        <v>228061.59875379188</v>
      </c>
      <c r="Y14" s="87">
        <v>0.31934680951502664</v>
      </c>
      <c r="AA14" s="2" t="s">
        <v>47</v>
      </c>
      <c r="AB14" s="86">
        <v>942211.83278974704</v>
      </c>
      <c r="AC14" s="86">
        <v>714150.23403595516</v>
      </c>
      <c r="AD14" s="86">
        <v>228061.59875379188</v>
      </c>
      <c r="AE14" s="87">
        <v>0.31934680951502664</v>
      </c>
      <c r="AG14" s="2" t="s">
        <v>48</v>
      </c>
      <c r="AH14" s="86">
        <v>12189.626999134529</v>
      </c>
      <c r="AI14" s="86">
        <v>32277.813474329087</v>
      </c>
      <c r="AJ14" s="86">
        <v>22722.700923026958</v>
      </c>
      <c r="AK14" s="86">
        <v>36197.416137763859</v>
      </c>
      <c r="AM14" s="58" t="s">
        <v>13</v>
      </c>
      <c r="AN14" s="86">
        <v>154098.35574897536</v>
      </c>
      <c r="AP14" s="24" t="s">
        <v>49</v>
      </c>
      <c r="AQ14" s="86">
        <v>80711.767387624888</v>
      </c>
    </row>
    <row r="15" spans="2:1118" x14ac:dyDescent="0.2">
      <c r="B15" s="2" t="s">
        <v>50</v>
      </c>
      <c r="C15" s="86">
        <v>115302.80625879722</v>
      </c>
      <c r="D15" s="87">
        <v>0.79904087757595799</v>
      </c>
      <c r="F15" s="2" t="s">
        <v>50</v>
      </c>
      <c r="G15" s="86">
        <v>12023.518620775505</v>
      </c>
      <c r="H15" s="86">
        <v>31632.257204842495</v>
      </c>
      <c r="I15" s="86">
        <v>23128.108775404224</v>
      </c>
      <c r="J15" s="86">
        <v>35273.847168260814</v>
      </c>
      <c r="L15" s="58" t="s">
        <v>15</v>
      </c>
      <c r="M15" s="86">
        <v>257848.55980981363</v>
      </c>
      <c r="AG15" s="2" t="s">
        <v>50</v>
      </c>
      <c r="AH15" s="86">
        <v>12023.518620775505</v>
      </c>
      <c r="AI15" s="86">
        <v>31632.257204842495</v>
      </c>
      <c r="AJ15" s="86">
        <v>23128.108775404224</v>
      </c>
      <c r="AK15" s="86">
        <v>35273.847168260814</v>
      </c>
      <c r="AM15" s="58" t="s">
        <v>15</v>
      </c>
      <c r="AN15" s="86">
        <v>257848.55980981363</v>
      </c>
      <c r="AP15" s="24" t="s">
        <v>51</v>
      </c>
      <c r="AQ15" s="86">
        <v>49548.947928308378</v>
      </c>
    </row>
    <row r="16" spans="2:1118" x14ac:dyDescent="0.2">
      <c r="B16" s="2" t="s">
        <v>52</v>
      </c>
      <c r="C16" s="86">
        <v>118761.89044656114</v>
      </c>
      <c r="D16" s="87">
        <v>0.85829608316875317</v>
      </c>
      <c r="F16" s="2" t="s">
        <v>52</v>
      </c>
      <c r="G16" s="86">
        <v>11894.970766132357</v>
      </c>
      <c r="H16" s="86">
        <v>32838.838861917866</v>
      </c>
      <c r="I16" s="86">
        <v>21769.636886875916</v>
      </c>
      <c r="J16" s="86">
        <v>36332.062583308631</v>
      </c>
      <c r="L16" s="2" t="s">
        <v>47</v>
      </c>
      <c r="M16" s="86">
        <v>714150.23403595516</v>
      </c>
      <c r="AG16" s="2" t="s">
        <v>52</v>
      </c>
      <c r="AH16" s="86">
        <v>11894.970766132357</v>
      </c>
      <c r="AI16" s="86">
        <v>32838.838861917866</v>
      </c>
      <c r="AJ16" s="86">
        <v>21769.636886875916</v>
      </c>
      <c r="AK16" s="86">
        <v>36332.062583308631</v>
      </c>
      <c r="AM16" s="2" t="s">
        <v>47</v>
      </c>
      <c r="AN16" s="86">
        <v>714150.23403595516</v>
      </c>
      <c r="AP16" s="23" t="s">
        <v>11</v>
      </c>
      <c r="AQ16" s="86">
        <v>212909.18779829898</v>
      </c>
    </row>
    <row r="17" spans="2:43" x14ac:dyDescent="0.2">
      <c r="O17" s="28" t="s">
        <v>22</v>
      </c>
      <c r="P17" t="s" vm="2">
        <v>26</v>
      </c>
      <c r="U17" s="28" t="s">
        <v>22</v>
      </c>
      <c r="V17" t="s" vm="1">
        <v>23</v>
      </c>
      <c r="AA17" s="28" t="s">
        <v>22</v>
      </c>
      <c r="AB17" t="s" vm="1">
        <v>23</v>
      </c>
      <c r="AP17" s="23" t="s">
        <v>14</v>
      </c>
      <c r="AQ17" s="86">
        <v>264464.01721142652</v>
      </c>
    </row>
    <row r="18" spans="2:43" x14ac:dyDescent="0.2">
      <c r="AP18" s="23" t="s">
        <v>16</v>
      </c>
      <c r="AQ18" s="86">
        <v>106516.31371029619</v>
      </c>
    </row>
    <row r="19" spans="2:43" s="52" customFormat="1" ht="64" x14ac:dyDescent="0.2">
      <c r="B19"/>
      <c r="C19"/>
      <c r="D19"/>
      <c r="F19"/>
      <c r="G19"/>
      <c r="H19"/>
      <c r="I19"/>
      <c r="J19"/>
      <c r="L19"/>
      <c r="M19"/>
      <c r="O19" s="51" t="s">
        <v>53</v>
      </c>
      <c r="P19" s="52" t="s">
        <v>19</v>
      </c>
      <c r="Q19" s="52" t="s">
        <v>5</v>
      </c>
      <c r="R19" s="52" t="s">
        <v>54</v>
      </c>
      <c r="S19" s="52" t="s">
        <v>55</v>
      </c>
      <c r="U19" s="51" t="s">
        <v>56</v>
      </c>
      <c r="V19" s="52" t="s">
        <v>19</v>
      </c>
      <c r="W19" s="52" t="s">
        <v>5</v>
      </c>
      <c r="X19" s="52" t="s">
        <v>54</v>
      </c>
      <c r="Y19" s="52" t="s">
        <v>55</v>
      </c>
      <c r="AA19" s="51" t="s">
        <v>57</v>
      </c>
      <c r="AB19" s="52" t="s">
        <v>19</v>
      </c>
      <c r="AC19" s="52" t="s">
        <v>5</v>
      </c>
      <c r="AD19" s="52" t="s">
        <v>54</v>
      </c>
      <c r="AE19" s="52" t="s">
        <v>55</v>
      </c>
      <c r="AG19"/>
      <c r="AH19"/>
      <c r="AI19"/>
      <c r="AJ19"/>
      <c r="AK19"/>
      <c r="AL19"/>
      <c r="AM19"/>
      <c r="AN19"/>
      <c r="AO19"/>
      <c r="AP19" s="2" t="s">
        <v>45</v>
      </c>
      <c r="AQ19" s="86">
        <v>-54486.452700000053</v>
      </c>
    </row>
    <row r="20" spans="2:43" x14ac:dyDescent="0.2">
      <c r="O20" s="2" t="s">
        <v>30</v>
      </c>
      <c r="P20" s="86">
        <v>747344.81752682046</v>
      </c>
      <c r="Q20" s="86">
        <v>801118.03027266311</v>
      </c>
      <c r="R20" s="86">
        <v>53773.21274584264</v>
      </c>
      <c r="S20" s="87">
        <v>7.1952345804435644E-2</v>
      </c>
      <c r="U20" s="2" t="s">
        <v>8</v>
      </c>
      <c r="V20" s="86">
        <v>74262.566967268998</v>
      </c>
      <c r="W20" s="86">
        <v>82873.121814022306</v>
      </c>
      <c r="X20" s="86">
        <v>8610.5548467533081</v>
      </c>
      <c r="Y20" s="87">
        <v>0.11594744429651058</v>
      </c>
      <c r="AA20" s="2" t="s">
        <v>9</v>
      </c>
      <c r="AB20" s="86">
        <v>146366.51232549825</v>
      </c>
      <c r="AC20" s="86">
        <v>130260.7153159333</v>
      </c>
      <c r="AD20" s="86">
        <v>-16105.797009564951</v>
      </c>
      <c r="AE20" s="87">
        <v>-0.11003744472470557</v>
      </c>
      <c r="AP20" s="2" t="s">
        <v>58</v>
      </c>
      <c r="AQ20" s="86">
        <v>0</v>
      </c>
    </row>
    <row r="21" spans="2:43" x14ac:dyDescent="0.2">
      <c r="O21" s="2" t="s">
        <v>43</v>
      </c>
      <c r="P21" s="86">
        <v>623631.09380000003</v>
      </c>
      <c r="Q21" s="86">
        <v>659663.78130000003</v>
      </c>
      <c r="R21" s="86">
        <v>36032.6875</v>
      </c>
      <c r="S21" s="87">
        <v>5.7778850121857087E-2</v>
      </c>
      <c r="U21" s="2" t="s">
        <v>10</v>
      </c>
      <c r="V21" s="86">
        <v>191874.76060625652</v>
      </c>
      <c r="W21" s="86">
        <v>219330.19666314375</v>
      </c>
      <c r="X21" s="86">
        <v>27455.436056887236</v>
      </c>
      <c r="Y21" s="87">
        <v>0.14309039901932777</v>
      </c>
      <c r="AA21" s="2" t="s">
        <v>11</v>
      </c>
      <c r="AB21" s="86">
        <v>184365.16956747416</v>
      </c>
      <c r="AC21" s="86">
        <v>212909.18779829898</v>
      </c>
      <c r="AD21" s="86">
        <v>28544.018230824819</v>
      </c>
      <c r="AE21" s="87">
        <v>0.15482326893843279</v>
      </c>
      <c r="AP21" s="2" t="s">
        <v>59</v>
      </c>
      <c r="AQ21" s="86">
        <v>2067.6949084169851</v>
      </c>
    </row>
    <row r="22" spans="2:43" x14ac:dyDescent="0.2">
      <c r="O22" s="2" t="s">
        <v>45</v>
      </c>
      <c r="P22" s="86">
        <v>-60244.813600000038</v>
      </c>
      <c r="Q22" s="86">
        <v>-54486.452700000053</v>
      </c>
      <c r="R22" s="86">
        <v>5758.3608999999851</v>
      </c>
      <c r="S22" s="87">
        <v>9.5582682656021725E-2</v>
      </c>
      <c r="U22" s="2" t="s">
        <v>13</v>
      </c>
      <c r="V22" s="86">
        <v>144059.52276565303</v>
      </c>
      <c r="W22" s="86">
        <v>154098.35574897536</v>
      </c>
      <c r="X22" s="86">
        <v>10038.832983322325</v>
      </c>
      <c r="Y22" s="87">
        <v>6.968531333852096E-2</v>
      </c>
      <c r="AA22" s="2" t="s">
        <v>14</v>
      </c>
      <c r="AB22" s="86">
        <v>255693.73230041485</v>
      </c>
      <c r="AC22" s="86">
        <v>264464.01721142652</v>
      </c>
      <c r="AD22" s="86">
        <v>8770.2849110116658</v>
      </c>
      <c r="AE22" s="87">
        <v>3.4299960472662067E-2</v>
      </c>
      <c r="AP22" s="2" t="s">
        <v>60</v>
      </c>
      <c r="AQ22" s="86">
        <v>74437.016703011468</v>
      </c>
    </row>
    <row r="23" spans="2:43" x14ac:dyDescent="0.2">
      <c r="O23" s="2" t="s">
        <v>47</v>
      </c>
      <c r="P23" s="86">
        <v>1310731.0977268205</v>
      </c>
      <c r="Q23" s="86">
        <v>1406295.3588726632</v>
      </c>
      <c r="R23" s="86">
        <v>95564.261145842727</v>
      </c>
      <c r="S23" s="87">
        <v>7.2909127823073905E-2</v>
      </c>
      <c r="U23" s="2" t="s">
        <v>15</v>
      </c>
      <c r="V23" s="86">
        <v>273679.05693780229</v>
      </c>
      <c r="W23" s="86">
        <v>257848.55980981363</v>
      </c>
      <c r="X23" s="86">
        <v>-15830.497127988667</v>
      </c>
      <c r="Y23" s="87">
        <v>-5.784329025799876E-2</v>
      </c>
      <c r="AA23" s="2" t="s">
        <v>16</v>
      </c>
      <c r="AB23" s="86">
        <v>97450.493083593668</v>
      </c>
      <c r="AC23" s="86">
        <v>106516.31371029619</v>
      </c>
      <c r="AD23" s="86">
        <v>9065.8206267025234</v>
      </c>
      <c r="AE23" s="87">
        <v>9.3030012879727592E-2</v>
      </c>
      <c r="AP23" s="2" t="s">
        <v>61</v>
      </c>
      <c r="AQ23" s="86">
        <v>-76504.7117</v>
      </c>
    </row>
    <row r="24" spans="2:43" x14ac:dyDescent="0.2">
      <c r="F24" s="28" t="s">
        <v>22</v>
      </c>
      <c r="G24" t="s" vm="1">
        <v>23</v>
      </c>
      <c r="L24" s="28" t="s">
        <v>22</v>
      </c>
      <c r="M24" t="s" vm="1">
        <v>23</v>
      </c>
      <c r="U24" s="2" t="s">
        <v>47</v>
      </c>
      <c r="V24" s="86">
        <v>683875.90727698081</v>
      </c>
      <c r="W24" s="86">
        <v>714150.23403595516</v>
      </c>
      <c r="X24" s="86">
        <v>30274.326758974348</v>
      </c>
      <c r="Y24" s="87">
        <v>4.4268742964668817E-2</v>
      </c>
      <c r="AA24" s="2" t="s">
        <v>47</v>
      </c>
      <c r="AB24" s="86">
        <v>683875.90727698081</v>
      </c>
      <c r="AC24" s="86">
        <v>714150.23403595516</v>
      </c>
      <c r="AD24" s="86">
        <v>30274.326758974348</v>
      </c>
      <c r="AE24" s="87">
        <v>4.4268742964668817E-2</v>
      </c>
      <c r="AG24" s="28" t="s">
        <v>22</v>
      </c>
      <c r="AH24" t="s" vm="1">
        <v>23</v>
      </c>
      <c r="AM24" s="28" t="s">
        <v>22</v>
      </c>
      <c r="AN24" t="s" vm="1">
        <v>23</v>
      </c>
      <c r="AP24" s="2" t="s">
        <v>62</v>
      </c>
      <c r="AQ24" s="86">
        <v>-130991.16439999999</v>
      </c>
    </row>
    <row r="25" spans="2:43" x14ac:dyDescent="0.2">
      <c r="U25" s="2"/>
      <c r="V25" s="31"/>
      <c r="W25" s="31"/>
      <c r="X25" s="31"/>
      <c r="Y25" s="49"/>
      <c r="AA25" s="2"/>
      <c r="AB25" s="31"/>
      <c r="AC25" s="31"/>
      <c r="AD25" s="31"/>
      <c r="AE25" s="49"/>
      <c r="AP25" s="2" t="s">
        <v>47</v>
      </c>
      <c r="AQ25" s="86">
        <v>2130908.6775096036</v>
      </c>
    </row>
    <row r="26" spans="2:43" x14ac:dyDescent="0.2">
      <c r="F26" s="28" t="s">
        <v>27</v>
      </c>
      <c r="G26" s="28" t="s">
        <v>27</v>
      </c>
      <c r="L26" s="28" t="s">
        <v>27</v>
      </c>
      <c r="M26" t="s">
        <v>27</v>
      </c>
      <c r="AG26" s="28" t="s">
        <v>27</v>
      </c>
      <c r="AH26" s="28" t="s">
        <v>27</v>
      </c>
      <c r="AM26" s="28" t="s">
        <v>27</v>
      </c>
      <c r="AN26" t="s">
        <v>27</v>
      </c>
    </row>
    <row r="27" spans="2:43" x14ac:dyDescent="0.2">
      <c r="F27" s="28" t="s">
        <v>27</v>
      </c>
      <c r="G27" t="s">
        <v>9</v>
      </c>
      <c r="H27" t="s">
        <v>11</v>
      </c>
      <c r="I27" t="s">
        <v>14</v>
      </c>
      <c r="J27" t="s">
        <v>16</v>
      </c>
      <c r="L27" s="2" t="s">
        <v>9</v>
      </c>
      <c r="M27" s="86">
        <v>130260.7153159333</v>
      </c>
      <c r="O27" s="28" t="s">
        <v>22</v>
      </c>
      <c r="P27" t="s" vm="2">
        <v>26</v>
      </c>
      <c r="U27" s="28" t="s">
        <v>22</v>
      </c>
      <c r="V27" t="s" vm="1">
        <v>23</v>
      </c>
      <c r="AA27" s="28" t="s">
        <v>22</v>
      </c>
      <c r="AB27" t="s" vm="1">
        <v>23</v>
      </c>
      <c r="AG27" s="28" t="s">
        <v>27</v>
      </c>
      <c r="AH27" t="s">
        <v>9</v>
      </c>
      <c r="AI27" t="s">
        <v>11</v>
      </c>
      <c r="AJ27" t="s">
        <v>14</v>
      </c>
      <c r="AK27" t="s">
        <v>16</v>
      </c>
      <c r="AM27" s="2" t="s">
        <v>9</v>
      </c>
      <c r="AN27" s="86">
        <v>130260.7153159333</v>
      </c>
    </row>
    <row r="28" spans="2:43" s="52" customFormat="1" x14ac:dyDescent="0.2">
      <c r="B28" s="53"/>
      <c r="C28" s="54"/>
      <c r="D28" s="55"/>
      <c r="F28" s="2" t="s">
        <v>40</v>
      </c>
      <c r="G28" s="86">
        <v>19431.89164257532</v>
      </c>
      <c r="H28" s="86">
        <v>29529.336285449597</v>
      </c>
      <c r="I28" s="86">
        <v>36264.881753753172</v>
      </c>
      <c r="J28" s="86">
        <v>14660.921963006282</v>
      </c>
      <c r="L28" s="2" t="s">
        <v>11</v>
      </c>
      <c r="M28" s="86">
        <v>212909.18779829898</v>
      </c>
      <c r="O28"/>
      <c r="P28"/>
      <c r="Q28"/>
      <c r="R28"/>
      <c r="S28"/>
      <c r="AG28" s="2" t="s">
        <v>40</v>
      </c>
      <c r="AH28" s="86">
        <v>19431.89164257532</v>
      </c>
      <c r="AI28" s="86">
        <v>29529.336285449597</v>
      </c>
      <c r="AJ28" s="86">
        <v>36264.881753753172</v>
      </c>
      <c r="AK28" s="86">
        <v>14660.921963006282</v>
      </c>
      <c r="AL28"/>
      <c r="AM28" s="2" t="s">
        <v>11</v>
      </c>
      <c r="AN28" s="86">
        <v>212909.18779829898</v>
      </c>
      <c r="AO28"/>
    </row>
    <row r="29" spans="2:43" s="56" customFormat="1" ht="64" x14ac:dyDescent="0.2">
      <c r="F29" s="2" t="s">
        <v>42</v>
      </c>
      <c r="G29" s="86">
        <v>19953.33570194335</v>
      </c>
      <c r="H29" s="86">
        <v>29350.079416848508</v>
      </c>
      <c r="I29" s="86">
        <v>37044.557095615732</v>
      </c>
      <c r="J29" s="86">
        <v>14514.141056048988</v>
      </c>
      <c r="L29" s="2" t="s">
        <v>14</v>
      </c>
      <c r="M29" s="86">
        <v>264464.01721142652</v>
      </c>
      <c r="O29" s="51" t="s">
        <v>63</v>
      </c>
      <c r="P29" s="52" t="s">
        <v>21</v>
      </c>
      <c r="Q29" s="52" t="s">
        <v>5</v>
      </c>
      <c r="R29" s="52" t="s">
        <v>64</v>
      </c>
      <c r="S29" s="52" t="s">
        <v>65</v>
      </c>
      <c r="U29" s="51" t="s">
        <v>66</v>
      </c>
      <c r="V29" s="52" t="s">
        <v>21</v>
      </c>
      <c r="W29" s="52" t="s">
        <v>5</v>
      </c>
      <c r="X29" s="52" t="s">
        <v>64</v>
      </c>
      <c r="Y29" s="52" t="s">
        <v>65</v>
      </c>
      <c r="Z29" s="52"/>
      <c r="AA29" s="51" t="s">
        <v>67</v>
      </c>
      <c r="AB29" s="52" t="s">
        <v>21</v>
      </c>
      <c r="AC29" s="52" t="s">
        <v>5</v>
      </c>
      <c r="AD29" s="52" t="s">
        <v>64</v>
      </c>
      <c r="AE29" s="52" t="s">
        <v>65</v>
      </c>
      <c r="AG29" s="2" t="s">
        <v>42</v>
      </c>
      <c r="AH29" s="86">
        <v>19953.33570194335</v>
      </c>
      <c r="AI29" s="86">
        <v>29350.079416848508</v>
      </c>
      <c r="AJ29" s="86">
        <v>37044.557095615732</v>
      </c>
      <c r="AK29" s="86">
        <v>14514.141056048988</v>
      </c>
      <c r="AL29"/>
      <c r="AM29" s="2" t="s">
        <v>14</v>
      </c>
      <c r="AN29" s="86">
        <v>264464.01721142652</v>
      </c>
      <c r="AO29"/>
    </row>
    <row r="30" spans="2:43" ht="16" x14ac:dyDescent="0.2">
      <c r="F30" s="2" t="s">
        <v>44</v>
      </c>
      <c r="G30" s="86">
        <v>19835.193127287439</v>
      </c>
      <c r="H30" s="86">
        <v>29407.744952775938</v>
      </c>
      <c r="I30" s="86">
        <v>37529.780669671163</v>
      </c>
      <c r="J30" s="86">
        <v>14938.542134394958</v>
      </c>
      <c r="L30" s="2" t="s">
        <v>16</v>
      </c>
      <c r="M30" s="86">
        <v>106516.31371029619</v>
      </c>
      <c r="O30" s="57" t="s">
        <v>30</v>
      </c>
      <c r="P30" s="89">
        <v>714351.18836290005</v>
      </c>
      <c r="Q30" s="89">
        <v>801118.03027266311</v>
      </c>
      <c r="R30" s="89">
        <v>86766.841909763054</v>
      </c>
      <c r="S30" s="90">
        <v>0.12146244497557178</v>
      </c>
      <c r="U30" s="2" t="s">
        <v>8</v>
      </c>
      <c r="V30" s="86">
        <v>73148.432798432113</v>
      </c>
      <c r="W30" s="86">
        <v>82873.121814022306</v>
      </c>
      <c r="X30" s="86">
        <v>9724.6890155901929</v>
      </c>
      <c r="Y30" s="87">
        <v>0.13294459831268776</v>
      </c>
      <c r="AA30" s="2" t="s">
        <v>9</v>
      </c>
      <c r="AB30" s="86">
        <v>144548.58751290641</v>
      </c>
      <c r="AC30" s="86">
        <v>130260.7153159333</v>
      </c>
      <c r="AD30" s="86">
        <v>-14287.872196973112</v>
      </c>
      <c r="AE30" s="87">
        <v>-9.8844772147617013E-2</v>
      </c>
      <c r="AG30" s="2" t="s">
        <v>44</v>
      </c>
      <c r="AH30" s="86">
        <v>19835.193127287439</v>
      </c>
      <c r="AI30" s="86">
        <v>29407.744952775938</v>
      </c>
      <c r="AJ30" s="86">
        <v>37529.780669671163</v>
      </c>
      <c r="AK30" s="86">
        <v>14938.542134394958</v>
      </c>
      <c r="AM30" s="2" t="s">
        <v>16</v>
      </c>
      <c r="AN30" s="86">
        <v>106516.31371029619</v>
      </c>
    </row>
    <row r="31" spans="2:43" x14ac:dyDescent="0.2">
      <c r="F31" s="2" t="s">
        <v>46</v>
      </c>
      <c r="G31" s="86">
        <v>19786.86844817438</v>
      </c>
      <c r="H31" s="86">
        <v>30154.319705420978</v>
      </c>
      <c r="I31" s="86">
        <v>38092.386899192374</v>
      </c>
      <c r="J31" s="86">
        <v>15375.454782024601</v>
      </c>
      <c r="L31" s="2" t="s">
        <v>47</v>
      </c>
      <c r="M31" s="86">
        <v>714150.23403595516</v>
      </c>
      <c r="O31" s="2" t="s">
        <v>43</v>
      </c>
      <c r="P31" s="86">
        <v>558738.28360000008</v>
      </c>
      <c r="Q31" s="86">
        <v>659663.78130000003</v>
      </c>
      <c r="R31" s="86">
        <v>100925.49769999995</v>
      </c>
      <c r="S31" s="87">
        <v>0.1806310765922966</v>
      </c>
      <c r="U31" s="2" t="s">
        <v>10</v>
      </c>
      <c r="V31" s="86">
        <v>179360.62713651889</v>
      </c>
      <c r="W31" s="86">
        <v>219330.19666314375</v>
      </c>
      <c r="X31" s="86">
        <v>39969.569526624866</v>
      </c>
      <c r="Y31" s="87">
        <v>0.22284472442328357</v>
      </c>
      <c r="AA31" s="2" t="s">
        <v>11</v>
      </c>
      <c r="AB31" s="86">
        <v>170315.5104661439</v>
      </c>
      <c r="AC31" s="86">
        <v>212909.18779829898</v>
      </c>
      <c r="AD31" s="86">
        <v>42593.677332155086</v>
      </c>
      <c r="AE31" s="87">
        <v>0.25008689587682653</v>
      </c>
      <c r="AG31" s="2" t="s">
        <v>46</v>
      </c>
      <c r="AH31" s="86">
        <v>19786.86844817438</v>
      </c>
      <c r="AI31" s="86">
        <v>30154.319705420978</v>
      </c>
      <c r="AJ31" s="86">
        <v>38092.386899192374</v>
      </c>
      <c r="AK31" s="86">
        <v>15375.454782024601</v>
      </c>
      <c r="AM31" s="2" t="s">
        <v>47</v>
      </c>
      <c r="AN31" s="86">
        <v>714150.23403595516</v>
      </c>
    </row>
    <row r="32" spans="2:43" x14ac:dyDescent="0.2">
      <c r="F32" s="2" t="s">
        <v>48</v>
      </c>
      <c r="G32" s="86">
        <v>18029.407205686242</v>
      </c>
      <c r="H32" s="86">
        <v>31227.748491222792</v>
      </c>
      <c r="I32" s="86">
        <v>38614.425100643202</v>
      </c>
      <c r="J32" s="86">
        <v>15515.976736702187</v>
      </c>
      <c r="O32" s="2" t="s">
        <v>45</v>
      </c>
      <c r="P32" s="86">
        <v>-111344.11679999992</v>
      </c>
      <c r="Q32" s="86">
        <v>-54486.452700000053</v>
      </c>
      <c r="R32" s="86">
        <v>56857.664099999864</v>
      </c>
      <c r="S32" s="87">
        <v>0.51064812164372841</v>
      </c>
      <c r="U32" s="2" t="s">
        <v>13</v>
      </c>
      <c r="V32" s="86">
        <v>134084.39928095025</v>
      </c>
      <c r="W32" s="86">
        <v>154098.35574897536</v>
      </c>
      <c r="X32" s="86">
        <v>20013.956468025106</v>
      </c>
      <c r="Y32" s="87">
        <v>0.1492638709301996</v>
      </c>
      <c r="AA32" s="2" t="s">
        <v>14</v>
      </c>
      <c r="AB32" s="86">
        <v>263571.97253655945</v>
      </c>
      <c r="AC32" s="86">
        <v>264464.01721142652</v>
      </c>
      <c r="AD32" s="86">
        <v>892.04467486706562</v>
      </c>
      <c r="AE32" s="87">
        <v>3.3844443560604011E-3</v>
      </c>
      <c r="AG32" s="2" t="s">
        <v>48</v>
      </c>
      <c r="AH32" s="86">
        <v>18029.407205686242</v>
      </c>
      <c r="AI32" s="86">
        <v>31227.748491222792</v>
      </c>
      <c r="AJ32" s="86">
        <v>38614.425100643202</v>
      </c>
      <c r="AK32" s="86">
        <v>15515.976736702187</v>
      </c>
    </row>
    <row r="33" spans="6:37" x14ac:dyDescent="0.2">
      <c r="F33" s="2" t="s">
        <v>50</v>
      </c>
      <c r="G33" s="86">
        <v>16401.450126074356</v>
      </c>
      <c r="H33" s="86">
        <v>31067.125406550505</v>
      </c>
      <c r="I33" s="86">
        <v>39060.712424119301</v>
      </c>
      <c r="J33" s="86">
        <v>15528.443812538881</v>
      </c>
      <c r="O33" s="2" t="s">
        <v>47</v>
      </c>
      <c r="P33" s="86">
        <v>1161745.3551629002</v>
      </c>
      <c r="Q33" s="86">
        <v>1406295.3588726632</v>
      </c>
      <c r="R33" s="86">
        <v>244550.00370976306</v>
      </c>
      <c r="S33" s="87">
        <v>0.21050224356220662</v>
      </c>
      <c r="U33" s="2" t="s">
        <v>15</v>
      </c>
      <c r="V33" s="86">
        <v>283488.94108059909</v>
      </c>
      <c r="W33" s="86">
        <v>257848.55980981363</v>
      </c>
      <c r="X33" s="86">
        <v>-25640.381270785467</v>
      </c>
      <c r="Y33" s="87">
        <v>-9.0445790135762719E-2</v>
      </c>
      <c r="AA33" s="2" t="s">
        <v>16</v>
      </c>
      <c r="AB33" s="86">
        <v>91646.329780890504</v>
      </c>
      <c r="AC33" s="86">
        <v>106516.31371029619</v>
      </c>
      <c r="AD33" s="86">
        <v>14869.983929405687</v>
      </c>
      <c r="AE33" s="87">
        <v>0.16225400367867518</v>
      </c>
      <c r="AG33" s="2" t="s">
        <v>50</v>
      </c>
      <c r="AH33" s="86">
        <v>16401.450126074356</v>
      </c>
      <c r="AI33" s="86">
        <v>31067.125406550505</v>
      </c>
      <c r="AJ33" s="86">
        <v>39060.712424119301</v>
      </c>
      <c r="AK33" s="86">
        <v>15528.443812538881</v>
      </c>
    </row>
    <row r="34" spans="6:37" x14ac:dyDescent="0.2">
      <c r="F34" s="2" t="s">
        <v>52</v>
      </c>
      <c r="G34" s="86">
        <v>16822.569064192194</v>
      </c>
      <c r="H34" s="86">
        <v>32172.833540030737</v>
      </c>
      <c r="I34" s="86">
        <v>37857.273268431563</v>
      </c>
      <c r="J34" s="86">
        <v>15982.833225580287</v>
      </c>
      <c r="U34" s="2" t="s">
        <v>47</v>
      </c>
      <c r="V34" s="86">
        <v>670082.40029649995</v>
      </c>
      <c r="W34" s="86">
        <v>714150.23403595516</v>
      </c>
      <c r="X34" s="86">
        <v>44067.833739455207</v>
      </c>
      <c r="Y34" s="87">
        <v>6.5764798060590685E-2</v>
      </c>
      <c r="AA34" s="2" t="s">
        <v>47</v>
      </c>
      <c r="AB34" s="86">
        <v>670082.40029649995</v>
      </c>
      <c r="AC34" s="86">
        <v>714150.23403595516</v>
      </c>
      <c r="AD34" s="86">
        <v>44067.833739455207</v>
      </c>
      <c r="AE34" s="87">
        <v>6.5764798060590685E-2</v>
      </c>
      <c r="AG34" s="2" t="s">
        <v>52</v>
      </c>
      <c r="AH34" s="86">
        <v>16822.569064192194</v>
      </c>
      <c r="AI34" s="86">
        <v>32172.833540030737</v>
      </c>
      <c r="AJ34" s="86">
        <v>37857.273268431563</v>
      </c>
      <c r="AK34" s="86">
        <v>15982.833225580287</v>
      </c>
    </row>
    <row r="35" spans="6:37" x14ac:dyDescent="0.2">
      <c r="O35" s="79" t="s">
        <v>4</v>
      </c>
      <c r="P35" s="79" t="s">
        <v>12</v>
      </c>
      <c r="Q35" s="79" t="s">
        <v>68</v>
      </c>
      <c r="R35" s="79" t="s">
        <v>45</v>
      </c>
    </row>
    <row r="36" spans="6:37" x14ac:dyDescent="0.2">
      <c r="O36" s="78" t="s">
        <v>69</v>
      </c>
      <c r="P36" s="91">
        <f>MIN(IF(S10&gt;0,S10,0),1)</f>
        <v>0</v>
      </c>
      <c r="Q36" s="91">
        <f>MIN(IF(S11&gt;0,S11,0),1)</f>
        <v>0</v>
      </c>
      <c r="R36" s="91">
        <f>MIN(IF(S12&gt;0,S12,0),1)</f>
        <v>1</v>
      </c>
    </row>
    <row r="37" spans="6:37" x14ac:dyDescent="0.2">
      <c r="O37" s="78" t="s">
        <v>70</v>
      </c>
      <c r="P37" s="91">
        <f>MAX(IF(S10&gt;0,1-P36,0),0)</f>
        <v>0</v>
      </c>
      <c r="Q37" s="91">
        <f>MAX(IF(S11&gt;0,1-Q36,0),0)</f>
        <v>0</v>
      </c>
      <c r="R37" s="91">
        <f>MAX(IF(S12&gt;0,1-R36,0),0)</f>
        <v>0</v>
      </c>
    </row>
    <row r="38" spans="6:37" x14ac:dyDescent="0.2">
      <c r="O38" s="78" t="s">
        <v>71</v>
      </c>
      <c r="P38" s="91">
        <f>ABS(MIN(IF(S10&lt;0,S10,0),1))</f>
        <v>6.3937668983684286E-3</v>
      </c>
      <c r="Q38" s="91">
        <f>ABS(MIN(IF(S11&lt;0,S11,0),1))</f>
        <v>0.18673509156019519</v>
      </c>
      <c r="R38" s="91">
        <f>ABS(MIN(IF(S12&lt;0,S12,0),1))</f>
        <v>0</v>
      </c>
    </row>
    <row r="39" spans="6:37" x14ac:dyDescent="0.2">
      <c r="O39" s="78" t="s">
        <v>72</v>
      </c>
      <c r="P39" s="91">
        <f>IF(S10&lt;0,MIN(1-P38,1),0)</f>
        <v>0.99360623310163154</v>
      </c>
      <c r="Q39" s="91">
        <f>IF(S11&lt;0,MIN(1-Q38,1),0)</f>
        <v>0.81326490843980481</v>
      </c>
      <c r="R39" s="91">
        <f>IF(S12&lt;0,MIN(1-R38,1),0)</f>
        <v>0</v>
      </c>
    </row>
    <row r="40" spans="6:37" x14ac:dyDescent="0.2">
      <c r="O40" s="78" t="s">
        <v>73</v>
      </c>
      <c r="P40" s="78" t="str">
        <f t="shared" ref="P40" si="0">IF(P36&gt;0,TEXT(P36,"0%")&amp; " hit",IF(P38&gt;0,TEXT(P38,"0%")&amp;" miss",""))</f>
        <v>1% miss</v>
      </c>
      <c r="Q40" s="78" t="str">
        <f>IF(Q36&gt;0,TEXT(Q36,"0%")&amp; " hit",IF(Q38&gt;0,TEXT(Q38,"0%")&amp;" miss",""))</f>
        <v>19% miss</v>
      </c>
      <c r="R40" s="78" t="str">
        <f t="shared" ref="R40" si="1">IF(R36&gt;0,TEXT(R36,"0%")&amp; " hit",IF(R38&gt;0,TEXT(R38,"0%")&amp;" miss",""))</f>
        <v>100% hit</v>
      </c>
      <c r="S40" s="2"/>
    </row>
    <row r="42" spans="6:37" x14ac:dyDescent="0.2">
      <c r="O42" s="79" t="s">
        <v>19</v>
      </c>
      <c r="P42" s="79" t="s">
        <v>12</v>
      </c>
      <c r="Q42" s="79" t="s">
        <v>68</v>
      </c>
      <c r="R42" s="79" t="s">
        <v>45</v>
      </c>
    </row>
    <row r="43" spans="6:37" x14ac:dyDescent="0.2">
      <c r="O43" s="78" t="s">
        <v>69</v>
      </c>
      <c r="P43" s="91">
        <f>MIN(IF(S20&gt;0,S20,0),1)</f>
        <v>7.1952345804435644E-2</v>
      </c>
      <c r="Q43" s="91">
        <f>MIN(IF(S21&gt;0,S21,0),1)</f>
        <v>5.7778850121857087E-2</v>
      </c>
      <c r="R43" s="91">
        <f>MIN(IF(S22&gt;0,S22,0),1)</f>
        <v>9.5582682656021725E-2</v>
      </c>
    </row>
    <row r="44" spans="6:37" x14ac:dyDescent="0.2">
      <c r="O44" s="78" t="s">
        <v>70</v>
      </c>
      <c r="P44" s="91">
        <f>MAX(IF(S20&gt;0,1-P43,0),0)</f>
        <v>0.92804765419556434</v>
      </c>
      <c r="Q44" s="91">
        <f>MAX(IF(S21&gt;0,1-Q43,0),0)</f>
        <v>0.94222114987814287</v>
      </c>
      <c r="R44" s="91">
        <f>MAX(IF(S22&gt;0,1-R43,0),0)</f>
        <v>0.90441731734397823</v>
      </c>
    </row>
    <row r="45" spans="6:37" x14ac:dyDescent="0.2">
      <c r="O45" s="78" t="s">
        <v>71</v>
      </c>
      <c r="P45" s="91">
        <f>ABS(MIN(IF(S20&lt;0,S20,0),1))</f>
        <v>0</v>
      </c>
      <c r="Q45" s="91">
        <f>ABS(MIN(IF(S21&lt;0,S21,0),1))</f>
        <v>0</v>
      </c>
      <c r="R45" s="91">
        <f>ABS(MIN(IF(S22&lt;0,S22,0),1))</f>
        <v>0</v>
      </c>
    </row>
    <row r="46" spans="6:37" x14ac:dyDescent="0.2">
      <c r="O46" s="78" t="s">
        <v>72</v>
      </c>
      <c r="P46" s="91">
        <f>IF(S20&lt;0,MIN(1-P45,1),0)</f>
        <v>0</v>
      </c>
      <c r="Q46" s="91">
        <f>IF(S21&lt;0,MIN(1-Q45,1),0)</f>
        <v>0</v>
      </c>
      <c r="R46" s="91">
        <f>IF(S22&lt;0,MIN(1-R45,1),0)</f>
        <v>0</v>
      </c>
    </row>
    <row r="47" spans="6:37" x14ac:dyDescent="0.2">
      <c r="O47" s="78" t="s">
        <v>73</v>
      </c>
      <c r="P47" s="78" t="str">
        <f t="shared" ref="P47" si="2">IF(P43&gt;0,TEXT(P43,"0%")&amp; " hit",IF(P45&gt;0,TEXT(P45,"0%")&amp;" miss",""))</f>
        <v>7% hit</v>
      </c>
      <c r="Q47" s="78" t="str">
        <f>IF(Q43&gt;0,TEXT(Q43,"0%")&amp; " hit",IF(Q45&gt;0,TEXT(Q45,"0%")&amp;" miss",""))</f>
        <v>6% hit</v>
      </c>
      <c r="R47" s="78" t="str">
        <f t="shared" ref="R47" si="3">IF(R43&gt;0,TEXT(R43,"0%")&amp; " hit",IF(R45&gt;0,TEXT(R45,"0%")&amp;" miss",""))</f>
        <v>10% hit</v>
      </c>
    </row>
    <row r="49" spans="15:18" x14ac:dyDescent="0.2">
      <c r="O49" s="79" t="s">
        <v>21</v>
      </c>
      <c r="P49" s="79" t="s">
        <v>12</v>
      </c>
      <c r="Q49" s="79" t="s">
        <v>68</v>
      </c>
      <c r="R49" s="79" t="s">
        <v>45</v>
      </c>
    </row>
    <row r="50" spans="15:18" x14ac:dyDescent="0.2">
      <c r="O50" s="78" t="s">
        <v>69</v>
      </c>
      <c r="P50" s="91">
        <f>MIN(IF(S30&gt;0,S30,0),1)</f>
        <v>0.12146244497557178</v>
      </c>
      <c r="Q50" s="91">
        <f>MIN(IF(S31&gt;0,S31,0),1)</f>
        <v>0.1806310765922966</v>
      </c>
      <c r="R50" s="91">
        <f>MIN(IF(S32&gt;0,S32,0),1)</f>
        <v>0.51064812164372841</v>
      </c>
    </row>
    <row r="51" spans="15:18" x14ac:dyDescent="0.2">
      <c r="O51" s="78" t="s">
        <v>70</v>
      </c>
      <c r="P51" s="91">
        <f>MAX(IF(S30&gt;0,1-P50,0),0)</f>
        <v>0.87853755502442821</v>
      </c>
      <c r="Q51" s="91">
        <f>MAX(IF(S31&gt;0,1-Q50,0),0)</f>
        <v>0.8193689234077034</v>
      </c>
      <c r="R51" s="91">
        <f>MAX(IF(S32&gt;0,1-R50,0),0)</f>
        <v>0.48935187835627159</v>
      </c>
    </row>
    <row r="52" spans="15:18" x14ac:dyDescent="0.2">
      <c r="O52" s="78" t="s">
        <v>71</v>
      </c>
      <c r="P52" s="91">
        <f>ABS(MIN(IF(S30&lt;0,S30,0),1))</f>
        <v>0</v>
      </c>
      <c r="Q52" s="91">
        <f>ABS(MIN(IF(S31&lt;0,S31,0),1))</f>
        <v>0</v>
      </c>
      <c r="R52" s="91">
        <f>ABS(MIN(IF(S32&lt;0,S32,0),1))</f>
        <v>0</v>
      </c>
    </row>
    <row r="53" spans="15:18" x14ac:dyDescent="0.2">
      <c r="O53" s="78" t="s">
        <v>72</v>
      </c>
      <c r="P53" s="91">
        <f>IF(S30&lt;0,MIN(1-P52,1),0)</f>
        <v>0</v>
      </c>
      <c r="Q53" s="91">
        <f>IF(S31&lt;0,MIN(1-Q52,1),0)</f>
        <v>0</v>
      </c>
      <c r="R53" s="91">
        <f>IF(S32&lt;0,MIN(1-R52,1),0)</f>
        <v>0</v>
      </c>
    </row>
    <row r="54" spans="15:18" x14ac:dyDescent="0.2">
      <c r="O54" s="78" t="s">
        <v>73</v>
      </c>
      <c r="P54" s="78" t="str">
        <f t="shared" ref="P54" si="4">IF(P50&gt;0,TEXT(P50,"0%")&amp; " hit",IF(P52&gt;0,TEXT(P52,"0%")&amp;" miss",""))</f>
        <v>12% hit</v>
      </c>
      <c r="Q54" s="78" t="str">
        <f>IF(Q50&gt;0,TEXT(Q50,"0%")&amp; " hit",IF(Q52&gt;0,TEXT(Q52,"0%")&amp;" miss",""))</f>
        <v>18% hit</v>
      </c>
      <c r="R54" s="78" t="str">
        <f t="shared" ref="R54" si="5">IF(R50&gt;0,TEXT(R50,"0%")&amp; " hit",IF(R52&gt;0,TEXT(R52,"0%")&amp;" miss",""))</f>
        <v>51% hit</v>
      </c>
    </row>
    <row r="56" spans="15:18" x14ac:dyDescent="0.2">
      <c r="O56" s="79" t="s">
        <v>74</v>
      </c>
      <c r="P56" s="79" t="s">
        <v>12</v>
      </c>
      <c r="Q56" s="79" t="s">
        <v>68</v>
      </c>
      <c r="R56" s="79" t="s">
        <v>45</v>
      </c>
    </row>
    <row r="57" spans="15:18" x14ac:dyDescent="0.2">
      <c r="O57" s="78" t="s">
        <v>75</v>
      </c>
      <c r="P57" s="92">
        <f>R10</f>
        <v>-5122.1619436434703</v>
      </c>
      <c r="Q57" s="92">
        <f>R11</f>
        <v>-123182.37660000008</v>
      </c>
      <c r="R57" s="92">
        <f>R12</f>
        <v>104879.22180000014</v>
      </c>
    </row>
    <row r="58" spans="15:18" x14ac:dyDescent="0.2">
      <c r="O58" s="78" t="s">
        <v>76</v>
      </c>
      <c r="P58" s="92">
        <f>R20</f>
        <v>53773.21274584264</v>
      </c>
      <c r="Q58" s="92">
        <f>R21</f>
        <v>36032.6875</v>
      </c>
      <c r="R58" s="92">
        <f>R22</f>
        <v>5758.3608999999851</v>
      </c>
    </row>
    <row r="59" spans="15:18" x14ac:dyDescent="0.2">
      <c r="O59" s="78" t="s">
        <v>77</v>
      </c>
      <c r="P59" s="92">
        <f>R30</f>
        <v>86766.841909763054</v>
      </c>
      <c r="Q59" s="92">
        <f>R31</f>
        <v>100925.49769999995</v>
      </c>
      <c r="R59" s="92">
        <f>R32</f>
        <v>56857.664099999864</v>
      </c>
    </row>
    <row r="61" spans="15:18" x14ac:dyDescent="0.2">
      <c r="O61" s="79" t="s">
        <v>78</v>
      </c>
      <c r="P61" s="79" t="s">
        <v>12</v>
      </c>
      <c r="Q61" s="79" t="s">
        <v>68</v>
      </c>
      <c r="R61" s="79" t="s">
        <v>45</v>
      </c>
    </row>
    <row r="62" spans="15:18" x14ac:dyDescent="0.2">
      <c r="O62" s="78" t="s">
        <v>75</v>
      </c>
      <c r="P62" s="78" t="str">
        <f t="shared" ref="P62:R64" si="6">IF(P57&gt;0,"Exceeded Budget","Missed Budget")</f>
        <v>Missed Budget</v>
      </c>
      <c r="Q62" s="78" t="str">
        <f t="shared" si="6"/>
        <v>Missed Budget</v>
      </c>
      <c r="R62" s="78" t="str">
        <f t="shared" si="6"/>
        <v>Exceeded Budget</v>
      </c>
    </row>
    <row r="63" spans="15:18" x14ac:dyDescent="0.2">
      <c r="O63" s="78" t="s">
        <v>76</v>
      </c>
      <c r="P63" s="78" t="str">
        <f t="shared" si="6"/>
        <v>Exceeded Budget</v>
      </c>
      <c r="Q63" s="78" t="str">
        <f t="shared" si="6"/>
        <v>Exceeded Budget</v>
      </c>
      <c r="R63" s="78" t="str">
        <f t="shared" si="6"/>
        <v>Exceeded Budget</v>
      </c>
    </row>
    <row r="64" spans="15:18" x14ac:dyDescent="0.2">
      <c r="O64" s="78" t="s">
        <v>77</v>
      </c>
      <c r="P64" s="78" t="str">
        <f t="shared" si="6"/>
        <v>Exceeded Budget</v>
      </c>
      <c r="Q64" s="78" t="str">
        <f t="shared" si="6"/>
        <v>Exceeded Budget</v>
      </c>
      <c r="R64" s="78" t="str">
        <f t="shared" si="6"/>
        <v>Exceeded Budget</v>
      </c>
    </row>
  </sheetData>
  <pageMargins left="0.7" right="0.7" top="0.75" bottom="0.75" header="0.3" footer="0.3"/>
  <pageSetup orientation="portrait" r:id="rId20"/>
  <drawing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F87F8-5564-4F11-81FC-D018795AC007}">
  <sheetPr>
    <tabColor theme="3" tint="0.89999084444715716"/>
  </sheetPr>
  <dimension ref="B2:Z279"/>
  <sheetViews>
    <sheetView showGridLines="0" workbookViewId="0">
      <selection activeCell="E49" sqref="E49"/>
    </sheetView>
  </sheetViews>
  <sheetFormatPr baseColWidth="10" defaultColWidth="8.85546875" defaultRowHeight="15" x14ac:dyDescent="0.2"/>
  <cols>
    <col min="1" max="1" width="2.28515625" customWidth="1"/>
    <col min="2" max="2" width="23.140625" bestFit="1" customWidth="1"/>
    <col min="3" max="3" width="2.28515625" customWidth="1"/>
    <col min="4" max="4" width="19.140625" bestFit="1" customWidth="1"/>
    <col min="5" max="5" width="2.28515625" customWidth="1"/>
    <col min="6" max="6" width="23.140625" bestFit="1" customWidth="1"/>
    <col min="7" max="7" width="2.28515625" customWidth="1"/>
    <col min="9" max="9" width="2.28515625" customWidth="1"/>
    <col min="10" max="10" width="5.140625" bestFit="1" customWidth="1"/>
    <col min="11" max="11" width="2.28515625" customWidth="1"/>
    <col min="12" max="12" width="20" style="2" bestFit="1" customWidth="1"/>
    <col min="13" max="13" width="2.28515625" customWidth="1"/>
    <col min="14" max="15" width="42.28515625" style="2" customWidth="1"/>
    <col min="16" max="17" width="20.28515625" customWidth="1"/>
    <col min="19" max="19" width="29.28515625" bestFit="1" customWidth="1"/>
    <col min="20" max="20" width="10.42578125" bestFit="1" customWidth="1"/>
    <col min="21" max="21" width="4.140625" customWidth="1"/>
    <col min="22" max="22" width="13.42578125" bestFit="1" customWidth="1"/>
    <col min="23" max="23" width="9.42578125" bestFit="1" customWidth="1"/>
    <col min="25" max="25" width="22" bestFit="1" customWidth="1"/>
  </cols>
  <sheetData>
    <row r="2" spans="2:26" s="1" customFormat="1" x14ac:dyDescent="0.2">
      <c r="B2" s="1" t="s">
        <v>24</v>
      </c>
      <c r="D2" s="1" t="s">
        <v>79</v>
      </c>
      <c r="F2" s="1" t="s">
        <v>80</v>
      </c>
      <c r="H2" s="1" t="s">
        <v>81</v>
      </c>
      <c r="J2" s="1" t="s">
        <v>82</v>
      </c>
      <c r="L2" s="1" t="s">
        <v>83</v>
      </c>
      <c r="N2" s="22" t="s">
        <v>84</v>
      </c>
      <c r="O2" s="22" t="s">
        <v>22</v>
      </c>
      <c r="P2" s="1" t="s">
        <v>85</v>
      </c>
      <c r="Q2" s="1" t="s">
        <v>86</v>
      </c>
      <c r="S2" s="1" t="s">
        <v>83</v>
      </c>
      <c r="T2" s="1" t="s">
        <v>87</v>
      </c>
      <c r="V2" s="1" t="s">
        <v>74</v>
      </c>
      <c r="W2" s="1" t="s">
        <v>88</v>
      </c>
      <c r="Y2" s="22" t="s">
        <v>22</v>
      </c>
      <c r="Z2" s="1" t="s">
        <v>86</v>
      </c>
    </row>
    <row r="3" spans="2:26" x14ac:dyDescent="0.2">
      <c r="B3" s="29" t="s">
        <v>8</v>
      </c>
      <c r="D3" t="s">
        <v>30</v>
      </c>
      <c r="F3" t="s">
        <v>30</v>
      </c>
      <c r="H3" t="s">
        <v>5</v>
      </c>
      <c r="J3" s="93">
        <f>2*4</f>
        <v>8</v>
      </c>
      <c r="L3" s="94">
        <v>2023</v>
      </c>
      <c r="N3" s="2" t="s">
        <v>30</v>
      </c>
      <c r="O3" s="2" t="s">
        <v>39</v>
      </c>
      <c r="P3" t="s">
        <v>30</v>
      </c>
      <c r="Q3" s="93">
        <v>1</v>
      </c>
      <c r="S3" t="s">
        <v>89</v>
      </c>
      <c r="T3" s="95">
        <v>44927</v>
      </c>
      <c r="V3" t="s">
        <v>90</v>
      </c>
      <c r="W3" s="96">
        <v>45504</v>
      </c>
      <c r="Y3" s="2" t="s">
        <v>39</v>
      </c>
      <c r="Z3" s="93">
        <v>1</v>
      </c>
    </row>
    <row r="4" spans="2:26" x14ac:dyDescent="0.2">
      <c r="B4" s="29" t="s">
        <v>10</v>
      </c>
      <c r="D4" t="s">
        <v>91</v>
      </c>
      <c r="F4" t="s">
        <v>91</v>
      </c>
      <c r="H4" t="s">
        <v>4</v>
      </c>
      <c r="L4" s="94">
        <v>2024</v>
      </c>
      <c r="N4" s="23" t="s">
        <v>92</v>
      </c>
      <c r="O4" s="2" t="s">
        <v>39</v>
      </c>
      <c r="P4" t="s">
        <v>30</v>
      </c>
      <c r="Q4" s="93">
        <v>1</v>
      </c>
      <c r="S4" t="s">
        <v>93</v>
      </c>
      <c r="T4" s="95">
        <v>45291</v>
      </c>
      <c r="Y4" s="2" t="s">
        <v>41</v>
      </c>
      <c r="Z4" s="93">
        <v>-1</v>
      </c>
    </row>
    <row r="5" spans="2:26" x14ac:dyDescent="0.2">
      <c r="B5" s="29" t="s">
        <v>13</v>
      </c>
      <c r="D5" t="s">
        <v>43</v>
      </c>
      <c r="F5" t="s">
        <v>43</v>
      </c>
      <c r="L5" s="94">
        <v>2025</v>
      </c>
      <c r="N5" s="2" t="s">
        <v>41</v>
      </c>
      <c r="O5" s="2" t="s">
        <v>41</v>
      </c>
      <c r="P5" t="s">
        <v>91</v>
      </c>
      <c r="Q5" s="93">
        <v>-1</v>
      </c>
      <c r="S5" t="s">
        <v>94</v>
      </c>
      <c r="T5" s="95">
        <f>EDATE(T3,12)</f>
        <v>45292</v>
      </c>
      <c r="Y5" s="2" t="s">
        <v>43</v>
      </c>
      <c r="Z5" s="93">
        <v>1</v>
      </c>
    </row>
    <row r="6" spans="2:26" x14ac:dyDescent="0.2">
      <c r="B6" s="30" t="s">
        <v>15</v>
      </c>
      <c r="D6" t="s">
        <v>14</v>
      </c>
      <c r="F6" t="s">
        <v>10</v>
      </c>
      <c r="L6" s="2" t="s">
        <v>95</v>
      </c>
      <c r="N6" s="23" t="s">
        <v>96</v>
      </c>
      <c r="O6" s="2" t="s">
        <v>41</v>
      </c>
      <c r="P6" t="s">
        <v>91</v>
      </c>
      <c r="Q6" s="93">
        <v>-1</v>
      </c>
      <c r="S6" t="s">
        <v>97</v>
      </c>
      <c r="T6" s="95">
        <f t="shared" ref="T6:T8" si="0">EDATE(T4,12)</f>
        <v>45657</v>
      </c>
      <c r="Y6" s="2" t="s">
        <v>23</v>
      </c>
      <c r="Z6" s="93">
        <v>-1</v>
      </c>
    </row>
    <row r="7" spans="2:26" x14ac:dyDescent="0.2">
      <c r="D7" t="s">
        <v>9</v>
      </c>
      <c r="F7" t="s">
        <v>13</v>
      </c>
      <c r="L7" s="2" t="s">
        <v>90</v>
      </c>
      <c r="N7" s="23" t="s">
        <v>98</v>
      </c>
      <c r="O7" s="2" t="s">
        <v>41</v>
      </c>
      <c r="P7" t="s">
        <v>91</v>
      </c>
      <c r="Q7" s="93">
        <v>-1</v>
      </c>
      <c r="S7" t="s">
        <v>99</v>
      </c>
      <c r="T7" s="95">
        <f t="shared" si="0"/>
        <v>45658</v>
      </c>
      <c r="Y7" s="2" t="s">
        <v>45</v>
      </c>
      <c r="Z7" s="93">
        <v>1</v>
      </c>
    </row>
    <row r="8" spans="2:26" x14ac:dyDescent="0.2">
      <c r="D8" t="s">
        <v>16</v>
      </c>
      <c r="F8" t="s">
        <v>15</v>
      </c>
      <c r="L8" s="2" t="s">
        <v>100</v>
      </c>
      <c r="N8" s="2" t="s">
        <v>43</v>
      </c>
      <c r="O8" s="2" t="s">
        <v>43</v>
      </c>
      <c r="P8" t="s">
        <v>43</v>
      </c>
      <c r="Q8" s="93">
        <v>1</v>
      </c>
      <c r="S8" t="s">
        <v>101</v>
      </c>
      <c r="T8" s="95">
        <f t="shared" si="0"/>
        <v>46022</v>
      </c>
      <c r="Y8" s="2" t="s">
        <v>58</v>
      </c>
      <c r="Z8" s="93">
        <v>1</v>
      </c>
    </row>
    <row r="9" spans="2:26" x14ac:dyDescent="0.2">
      <c r="D9" t="s">
        <v>11</v>
      </c>
      <c r="F9" t="s">
        <v>8</v>
      </c>
      <c r="L9" s="2" t="s">
        <v>102</v>
      </c>
      <c r="N9" s="2" t="s">
        <v>23</v>
      </c>
      <c r="O9" s="2" t="s">
        <v>23</v>
      </c>
      <c r="P9" t="s">
        <v>11</v>
      </c>
      <c r="Q9" s="93">
        <v>-1</v>
      </c>
      <c r="S9" t="s">
        <v>103</v>
      </c>
      <c r="T9" s="95">
        <f>EOMONTH(CurrentMonth,-1)+1</f>
        <v>45474</v>
      </c>
      <c r="Y9" s="2" t="s">
        <v>59</v>
      </c>
      <c r="Z9" s="93">
        <v>-1</v>
      </c>
    </row>
    <row r="10" spans="2:26" x14ac:dyDescent="0.2">
      <c r="D10" t="s">
        <v>45</v>
      </c>
      <c r="F10" t="s">
        <v>45</v>
      </c>
      <c r="L10" s="2" t="s">
        <v>104</v>
      </c>
      <c r="N10" s="23" t="s">
        <v>49</v>
      </c>
      <c r="O10" s="2" t="s">
        <v>23</v>
      </c>
      <c r="P10" t="s">
        <v>9</v>
      </c>
      <c r="Q10" s="93">
        <v>-1</v>
      </c>
      <c r="S10" t="s">
        <v>105</v>
      </c>
      <c r="T10" s="97">
        <f>CurrentMonth</f>
        <v>45504</v>
      </c>
      <c r="Y10" s="2" t="s">
        <v>61</v>
      </c>
      <c r="Z10" s="93">
        <v>1</v>
      </c>
    </row>
    <row r="11" spans="2:26" x14ac:dyDescent="0.2">
      <c r="D11" t="s">
        <v>61</v>
      </c>
      <c r="F11" t="s">
        <v>61</v>
      </c>
      <c r="N11" s="23" t="s">
        <v>106</v>
      </c>
      <c r="O11" s="2" t="s">
        <v>23</v>
      </c>
      <c r="P11" t="s">
        <v>11</v>
      </c>
      <c r="Q11" s="93">
        <v>-1</v>
      </c>
      <c r="S11" t="s">
        <v>107</v>
      </c>
      <c r="T11" s="95">
        <f>EOMONTH(CurrentMonth,-3)+1</f>
        <v>45413</v>
      </c>
      <c r="Y11" s="2" t="s">
        <v>62</v>
      </c>
      <c r="Z11" s="93">
        <v>1</v>
      </c>
    </row>
    <row r="12" spans="2:26" x14ac:dyDescent="0.2">
      <c r="D12" t="s">
        <v>62</v>
      </c>
      <c r="F12" t="s">
        <v>62</v>
      </c>
      <c r="N12" s="23" t="s">
        <v>51</v>
      </c>
      <c r="O12" s="2" t="s">
        <v>23</v>
      </c>
      <c r="P12" t="s">
        <v>9</v>
      </c>
      <c r="Q12" s="93">
        <v>-1</v>
      </c>
      <c r="S12" t="s">
        <v>108</v>
      </c>
      <c r="T12" s="95">
        <f>EOMONTH(T11,2)</f>
        <v>45504</v>
      </c>
      <c r="Y12" s="2"/>
    </row>
    <row r="13" spans="2:26" x14ac:dyDescent="0.2">
      <c r="D13" t="s">
        <v>109</v>
      </c>
      <c r="N13" s="23" t="s">
        <v>110</v>
      </c>
      <c r="O13" s="2" t="s">
        <v>23</v>
      </c>
      <c r="P13" t="s">
        <v>11</v>
      </c>
      <c r="Q13" s="93">
        <v>-1</v>
      </c>
      <c r="S13" t="s">
        <v>111</v>
      </c>
      <c r="T13" s="95">
        <f>EOMONTH(T11,-4)+1</f>
        <v>45323</v>
      </c>
    </row>
    <row r="14" spans="2:26" x14ac:dyDescent="0.2">
      <c r="N14" s="23" t="s">
        <v>112</v>
      </c>
      <c r="O14" s="2" t="s">
        <v>23</v>
      </c>
      <c r="P14" t="s">
        <v>11</v>
      </c>
      <c r="Q14" s="93">
        <v>-1</v>
      </c>
      <c r="S14" t="s">
        <v>113</v>
      </c>
      <c r="T14" s="95">
        <f>EOMONTH(T13,5)</f>
        <v>45504</v>
      </c>
    </row>
    <row r="15" spans="2:26" x14ac:dyDescent="0.2">
      <c r="N15" s="23" t="s">
        <v>114</v>
      </c>
      <c r="O15" s="2" t="s">
        <v>23</v>
      </c>
      <c r="P15" t="s">
        <v>11</v>
      </c>
      <c r="Q15" s="93">
        <v>-1</v>
      </c>
      <c r="S15" t="s">
        <v>115</v>
      </c>
      <c r="T15" s="95">
        <f>EDATE(T9,-11)</f>
        <v>45139</v>
      </c>
    </row>
    <row r="16" spans="2:26" x14ac:dyDescent="0.2">
      <c r="N16" s="24" t="s">
        <v>116</v>
      </c>
      <c r="O16" s="2" t="s">
        <v>23</v>
      </c>
      <c r="P16" t="s">
        <v>11</v>
      </c>
      <c r="Q16" s="93">
        <v>-1</v>
      </c>
      <c r="S16" t="s">
        <v>117</v>
      </c>
      <c r="T16" s="95">
        <f>EOMONTH(T15,11)</f>
        <v>45504</v>
      </c>
    </row>
    <row r="17" spans="14:20" x14ac:dyDescent="0.2">
      <c r="N17" s="24" t="s">
        <v>118</v>
      </c>
      <c r="O17" s="2" t="s">
        <v>23</v>
      </c>
      <c r="P17" t="s">
        <v>11</v>
      </c>
      <c r="Q17" s="93">
        <v>-1</v>
      </c>
      <c r="S17" t="s">
        <v>119</v>
      </c>
      <c r="T17" s="95">
        <f>DATE(YEAR(CurrentMonth),1,1)</f>
        <v>45292</v>
      </c>
    </row>
    <row r="18" spans="14:20" x14ac:dyDescent="0.2">
      <c r="N18" s="24" t="s">
        <v>120</v>
      </c>
      <c r="O18" s="2" t="s">
        <v>23</v>
      </c>
      <c r="P18" t="s">
        <v>11</v>
      </c>
      <c r="Q18" s="93">
        <v>-1</v>
      </c>
      <c r="S18" t="s">
        <v>121</v>
      </c>
      <c r="T18" s="95">
        <f>CurrentMonth</f>
        <v>45504</v>
      </c>
    </row>
    <row r="19" spans="14:20" x14ac:dyDescent="0.2">
      <c r="N19" s="23" t="s">
        <v>122</v>
      </c>
      <c r="O19" s="2" t="s">
        <v>23</v>
      </c>
      <c r="P19" t="s">
        <v>16</v>
      </c>
      <c r="Q19" s="93">
        <v>-1</v>
      </c>
      <c r="S19" t="str">
        <f t="shared" ref="S19:S28" si="1">"Prior Period "&amp;S9</f>
        <v>Prior Period Current Month Start</v>
      </c>
      <c r="T19" s="95">
        <f>EDATE(T9,-1)</f>
        <v>45444</v>
      </c>
    </row>
    <row r="20" spans="14:20" x14ac:dyDescent="0.2">
      <c r="N20" s="24" t="s">
        <v>123</v>
      </c>
      <c r="O20" s="2" t="s">
        <v>23</v>
      </c>
      <c r="P20" t="s">
        <v>16</v>
      </c>
      <c r="Q20" s="93">
        <v>-1</v>
      </c>
      <c r="S20" t="str">
        <f t="shared" si="1"/>
        <v>Prior Period Current Month End</v>
      </c>
      <c r="T20" s="95">
        <f>EDATE(CurrentMonth,-1)</f>
        <v>45473</v>
      </c>
    </row>
    <row r="21" spans="14:20" x14ac:dyDescent="0.2">
      <c r="N21" s="24" t="s">
        <v>124</v>
      </c>
      <c r="O21" s="2" t="s">
        <v>23</v>
      </c>
      <c r="P21" t="s">
        <v>16</v>
      </c>
      <c r="Q21" s="93">
        <v>-1</v>
      </c>
      <c r="S21" t="str">
        <f t="shared" si="1"/>
        <v>Prior Period Trailing 3 Mo Start</v>
      </c>
      <c r="T21" s="95">
        <f>EDATE(T11,-3)</f>
        <v>45323</v>
      </c>
    </row>
    <row r="22" spans="14:20" x14ac:dyDescent="0.2">
      <c r="N22" s="24" t="s">
        <v>125</v>
      </c>
      <c r="O22" s="2" t="s">
        <v>23</v>
      </c>
      <c r="P22" t="s">
        <v>16</v>
      </c>
      <c r="Q22" s="93">
        <v>-1</v>
      </c>
      <c r="S22" t="str">
        <f t="shared" si="1"/>
        <v>Prior Period Trailing 3 mo End</v>
      </c>
      <c r="T22" s="95">
        <f>EDATE(T12,-3)</f>
        <v>45412</v>
      </c>
    </row>
    <row r="23" spans="14:20" x14ac:dyDescent="0.2">
      <c r="N23" s="24" t="s">
        <v>126</v>
      </c>
      <c r="O23" s="2" t="s">
        <v>23</v>
      </c>
      <c r="P23" t="s">
        <v>16</v>
      </c>
      <c r="Q23" s="93">
        <v>-1</v>
      </c>
      <c r="S23" t="str">
        <f t="shared" si="1"/>
        <v>Prior Period Trailing 6 Mo Start</v>
      </c>
      <c r="T23" s="95">
        <f>EDATE(T13,-6)</f>
        <v>45139</v>
      </c>
    </row>
    <row r="24" spans="14:20" x14ac:dyDescent="0.2">
      <c r="N24" s="23" t="s">
        <v>127</v>
      </c>
      <c r="O24" s="2" t="s">
        <v>23</v>
      </c>
      <c r="P24" t="s">
        <v>14</v>
      </c>
      <c r="Q24" s="93">
        <v>-1</v>
      </c>
      <c r="S24" t="str">
        <f t="shared" si="1"/>
        <v>Prior Period Trailing 6 Mo End</v>
      </c>
      <c r="T24" s="95">
        <f>EDATE(T14,-6)</f>
        <v>45322</v>
      </c>
    </row>
    <row r="25" spans="14:20" x14ac:dyDescent="0.2">
      <c r="N25" s="24" t="s">
        <v>128</v>
      </c>
      <c r="O25" s="2" t="s">
        <v>23</v>
      </c>
      <c r="P25" t="s">
        <v>14</v>
      </c>
      <c r="Q25" s="93">
        <v>-1</v>
      </c>
      <c r="S25" t="str">
        <f t="shared" si="1"/>
        <v>Prior Period Trailing 12 Mo Start</v>
      </c>
      <c r="T25" s="95">
        <f>EDATE(T15,-12)</f>
        <v>44774</v>
      </c>
    </row>
    <row r="26" spans="14:20" x14ac:dyDescent="0.2">
      <c r="N26" s="24" t="s">
        <v>129</v>
      </c>
      <c r="O26" s="2" t="s">
        <v>23</v>
      </c>
      <c r="P26" t="s">
        <v>14</v>
      </c>
      <c r="Q26" s="93">
        <v>-1</v>
      </c>
      <c r="S26" t="str">
        <f t="shared" si="1"/>
        <v>Prior Period Trailing 12 Mo End</v>
      </c>
      <c r="T26" s="95">
        <f>EDATE(T16,-12)</f>
        <v>45138</v>
      </c>
    </row>
    <row r="27" spans="14:20" x14ac:dyDescent="0.2">
      <c r="N27" s="24" t="s">
        <v>130</v>
      </c>
      <c r="O27" s="2" t="s">
        <v>23</v>
      </c>
      <c r="P27" t="s">
        <v>14</v>
      </c>
      <c r="Q27" s="93">
        <v>-1</v>
      </c>
      <c r="S27" t="str">
        <f t="shared" si="1"/>
        <v>Prior Period YTD Start</v>
      </c>
      <c r="T27" s="95">
        <f>EOMONTH(T28,-(MONTH(T18)-MONTH(T17)+1))+1</f>
        <v>45078</v>
      </c>
    </row>
    <row r="28" spans="14:20" x14ac:dyDescent="0.2">
      <c r="N28" s="24" t="s">
        <v>131</v>
      </c>
      <c r="O28" s="2" t="s">
        <v>23</v>
      </c>
      <c r="P28" t="s">
        <v>14</v>
      </c>
      <c r="Q28" s="93">
        <v>-1</v>
      </c>
      <c r="S28" t="str">
        <f t="shared" si="1"/>
        <v>Prior Period YTD End</v>
      </c>
      <c r="T28" s="95">
        <f>EOMONTH(T17,-1)</f>
        <v>45291</v>
      </c>
    </row>
    <row r="29" spans="14:20" x14ac:dyDescent="0.2">
      <c r="N29" s="24" t="s">
        <v>132</v>
      </c>
      <c r="O29" s="2" t="s">
        <v>23</v>
      </c>
      <c r="P29" t="s">
        <v>14</v>
      </c>
      <c r="Q29" s="93">
        <v>-1</v>
      </c>
      <c r="S29" t="str">
        <f>"Prior Year "&amp;S9</f>
        <v>Prior Year Current Month Start</v>
      </c>
      <c r="T29" s="95">
        <f>EDATE(T9,-12)</f>
        <v>45108</v>
      </c>
    </row>
    <row r="30" spans="14:20" x14ac:dyDescent="0.2">
      <c r="N30" s="24" t="s">
        <v>133</v>
      </c>
      <c r="O30" s="2" t="s">
        <v>23</v>
      </c>
      <c r="P30" t="s">
        <v>11</v>
      </c>
      <c r="Q30" s="93">
        <v>-1</v>
      </c>
      <c r="S30" t="str">
        <f t="shared" ref="S30:S38" si="2">"Prior Year "&amp;S10</f>
        <v>Prior Year Current Month End</v>
      </c>
      <c r="T30" s="95">
        <f>EDATE(CurrentMonth,-12)</f>
        <v>45138</v>
      </c>
    </row>
    <row r="31" spans="14:20" x14ac:dyDescent="0.2">
      <c r="N31" s="23" t="s">
        <v>134</v>
      </c>
      <c r="O31" s="2" t="s">
        <v>23</v>
      </c>
      <c r="P31" t="s">
        <v>11</v>
      </c>
      <c r="Q31" s="93">
        <v>-1</v>
      </c>
      <c r="S31" t="str">
        <f t="shared" si="2"/>
        <v>Prior Year Trailing 3 Mo Start</v>
      </c>
      <c r="T31" s="95">
        <f t="shared" ref="T31:T38" si="3">EDATE(T11,-12)</f>
        <v>45047</v>
      </c>
    </row>
    <row r="32" spans="14:20" x14ac:dyDescent="0.2">
      <c r="N32" s="24" t="s">
        <v>135</v>
      </c>
      <c r="O32" s="2" t="s">
        <v>23</v>
      </c>
      <c r="P32" t="s">
        <v>11</v>
      </c>
      <c r="Q32" s="93">
        <v>-1</v>
      </c>
      <c r="S32" t="str">
        <f t="shared" si="2"/>
        <v>Prior Year Trailing 3 mo End</v>
      </c>
      <c r="T32" s="95">
        <f t="shared" si="3"/>
        <v>45138</v>
      </c>
    </row>
    <row r="33" spans="14:20" x14ac:dyDescent="0.2">
      <c r="N33" s="24" t="s">
        <v>136</v>
      </c>
      <c r="O33" s="2" t="s">
        <v>23</v>
      </c>
      <c r="P33" t="s">
        <v>11</v>
      </c>
      <c r="Q33" s="93">
        <v>-1</v>
      </c>
      <c r="S33" t="str">
        <f t="shared" si="2"/>
        <v>Prior Year Trailing 6 Mo Start</v>
      </c>
      <c r="T33" s="95">
        <f t="shared" si="3"/>
        <v>44958</v>
      </c>
    </row>
    <row r="34" spans="14:20" x14ac:dyDescent="0.2">
      <c r="N34" s="24" t="s">
        <v>137</v>
      </c>
      <c r="O34" s="2" t="s">
        <v>23</v>
      </c>
      <c r="P34" t="s">
        <v>11</v>
      </c>
      <c r="Q34" s="93">
        <v>-1</v>
      </c>
      <c r="S34" t="str">
        <f t="shared" si="2"/>
        <v>Prior Year Trailing 6 Mo End</v>
      </c>
      <c r="T34" s="95">
        <f t="shared" si="3"/>
        <v>45138</v>
      </c>
    </row>
    <row r="35" spans="14:20" x14ac:dyDescent="0.2">
      <c r="N35" s="2" t="s">
        <v>138</v>
      </c>
      <c r="O35" s="2" t="s">
        <v>45</v>
      </c>
      <c r="P35" s="2" t="s">
        <v>45</v>
      </c>
      <c r="Q35" s="93">
        <v>1</v>
      </c>
      <c r="S35" t="str">
        <f t="shared" si="2"/>
        <v>Prior Year Trailing 12 Mo Start</v>
      </c>
      <c r="T35" s="95">
        <f t="shared" si="3"/>
        <v>44774</v>
      </c>
    </row>
    <row r="36" spans="14:20" x14ac:dyDescent="0.2">
      <c r="N36" s="2" t="s">
        <v>58</v>
      </c>
      <c r="O36" s="2" t="s">
        <v>58</v>
      </c>
      <c r="P36" t="s">
        <v>58</v>
      </c>
      <c r="Q36" s="93">
        <v>1</v>
      </c>
      <c r="S36" t="str">
        <f t="shared" si="2"/>
        <v>Prior Year Trailing 12 Mo End</v>
      </c>
      <c r="T36" s="95">
        <f t="shared" si="3"/>
        <v>45138</v>
      </c>
    </row>
    <row r="37" spans="14:20" x14ac:dyDescent="0.2">
      <c r="N37" s="2" t="s">
        <v>139</v>
      </c>
      <c r="O37" s="2" t="s">
        <v>58</v>
      </c>
      <c r="P37" t="s">
        <v>58</v>
      </c>
      <c r="Q37" s="93">
        <v>1</v>
      </c>
      <c r="S37" t="str">
        <f t="shared" si="2"/>
        <v>Prior Year YTD Start</v>
      </c>
      <c r="T37" s="95">
        <f t="shared" si="3"/>
        <v>44927</v>
      </c>
    </row>
    <row r="38" spans="14:20" x14ac:dyDescent="0.2">
      <c r="N38" s="2" t="s">
        <v>59</v>
      </c>
      <c r="O38" s="2" t="s">
        <v>59</v>
      </c>
      <c r="P38" t="s">
        <v>59</v>
      </c>
      <c r="Q38" s="93">
        <v>-1</v>
      </c>
      <c r="S38" t="str">
        <f t="shared" si="2"/>
        <v>Prior Year YTD End</v>
      </c>
      <c r="T38" s="95">
        <f t="shared" si="3"/>
        <v>45138</v>
      </c>
    </row>
    <row r="39" spans="14:20" x14ac:dyDescent="0.2">
      <c r="N39" s="2" t="s">
        <v>140</v>
      </c>
      <c r="O39" s="2" t="s">
        <v>59</v>
      </c>
      <c r="P39" t="s">
        <v>59</v>
      </c>
      <c r="Q39" s="93">
        <v>-1</v>
      </c>
    </row>
    <row r="40" spans="14:20" x14ac:dyDescent="0.2">
      <c r="N40" s="2" t="s">
        <v>60</v>
      </c>
      <c r="O40" s="2" t="s">
        <v>59</v>
      </c>
      <c r="P40" t="s">
        <v>59</v>
      </c>
      <c r="Q40" s="93">
        <v>-1</v>
      </c>
    </row>
    <row r="41" spans="14:20" x14ac:dyDescent="0.2">
      <c r="N41" s="2" t="s">
        <v>61</v>
      </c>
      <c r="O41" s="2" t="str">
        <f>Mappings[[#This Row],[Account]]</f>
        <v>Net Other Income</v>
      </c>
      <c r="P41" t="s">
        <v>61</v>
      </c>
      <c r="Q41" s="93">
        <v>1</v>
      </c>
    </row>
    <row r="42" spans="14:20" x14ac:dyDescent="0.2">
      <c r="N42" s="2" t="s">
        <v>62</v>
      </c>
      <c r="O42" s="2" t="str">
        <f>Mappings[[#This Row],[Account]]</f>
        <v>Net Income</v>
      </c>
      <c r="P42" t="s">
        <v>62</v>
      </c>
      <c r="Q42" s="93">
        <v>1</v>
      </c>
    </row>
    <row r="267" spans="14:15" x14ac:dyDescent="0.2">
      <c r="N267" s="9"/>
      <c r="O267" s="9"/>
    </row>
    <row r="268" spans="14:15" x14ac:dyDescent="0.2">
      <c r="N268" s="9"/>
      <c r="O268" s="9"/>
    </row>
    <row r="269" spans="14:15" x14ac:dyDescent="0.2">
      <c r="N269" s="9"/>
      <c r="O269" s="9"/>
    </row>
    <row r="270" spans="14:15" x14ac:dyDescent="0.2">
      <c r="N270" s="9"/>
      <c r="O270" s="9"/>
    </row>
    <row r="271" spans="14:15" x14ac:dyDescent="0.2">
      <c r="N271" s="9"/>
      <c r="O271" s="9"/>
    </row>
    <row r="272" spans="14:15" x14ac:dyDescent="0.2">
      <c r="N272" s="9"/>
      <c r="O272" s="9"/>
    </row>
    <row r="273" spans="14:15" x14ac:dyDescent="0.2">
      <c r="N273" s="9"/>
      <c r="O273" s="9"/>
    </row>
    <row r="274" spans="14:15" x14ac:dyDescent="0.2">
      <c r="N274" s="9"/>
      <c r="O274" s="9"/>
    </row>
    <row r="275" spans="14:15" x14ac:dyDescent="0.2">
      <c r="N275" s="9"/>
      <c r="O275" s="9"/>
    </row>
    <row r="276" spans="14:15" x14ac:dyDescent="0.2">
      <c r="N276" s="9"/>
      <c r="O276" s="9"/>
    </row>
    <row r="277" spans="14:15" x14ac:dyDescent="0.2">
      <c r="N277" s="9"/>
      <c r="O277" s="9"/>
    </row>
    <row r="278" spans="14:15" x14ac:dyDescent="0.2">
      <c r="N278" s="9"/>
      <c r="O278" s="9"/>
    </row>
    <row r="279" spans="14:15" x14ac:dyDescent="0.2">
      <c r="N279" s="9"/>
      <c r="O279" s="9"/>
    </row>
  </sheetData>
  <pageMargins left="0.7" right="0.7" top="0.75" bottom="0.75" header="0.3" footer="0.3"/>
  <tableParts count="5">
    <tablePart r:id="rId1"/>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485E0-496D-48BD-A2D9-0BF1D369E12E}">
  <sheetPr>
    <tabColor theme="4" tint="0.79998168889431442"/>
    <outlinePr summaryBelow="0" summaryRight="0"/>
  </sheetPr>
  <dimension ref="A1:NTQ304"/>
  <sheetViews>
    <sheetView showGridLines="0" zoomScaleNormal="100" workbookViewId="0">
      <pane xSplit="4" ySplit="4" topLeftCell="E5" activePane="bottomRight" state="frozen"/>
      <selection activeCell="E49" sqref="E49"/>
      <selection pane="topRight" activeCell="E49" sqref="E49"/>
      <selection pane="bottomLeft" activeCell="E49" sqref="E49"/>
      <selection pane="bottomRight" activeCell="E49" sqref="E49"/>
    </sheetView>
  </sheetViews>
  <sheetFormatPr baseColWidth="10" defaultColWidth="9.140625" defaultRowHeight="15" x14ac:dyDescent="0.2"/>
  <cols>
    <col min="1" max="1" width="2.42578125" customWidth="1"/>
    <col min="2" max="2" width="42.28515625" style="2" customWidth="1"/>
    <col min="3" max="3" width="7.7109375" style="2" bestFit="1" customWidth="1"/>
    <col min="4" max="4" width="2.7109375" customWidth="1"/>
    <col min="5" max="5" width="12.42578125" style="21" customWidth="1"/>
    <col min="6" max="40" width="13.28515625" style="21" customWidth="1"/>
    <col min="41" max="9998" width="9.140625" style="21"/>
    <col min="9999" max="9999" width="9.140625" style="20"/>
    <col min="10000" max="16384" width="9.140625" style="21"/>
  </cols>
  <sheetData>
    <row r="1" spans="1:40" customFormat="1" ht="21" customHeight="1" x14ac:dyDescent="0.2">
      <c r="A1" s="10" t="s">
        <v>141</v>
      </c>
      <c r="B1" s="2"/>
      <c r="C1" s="2"/>
    </row>
    <row r="2" spans="1:40" customFormat="1" ht="21" customHeight="1" x14ac:dyDescent="0.2">
      <c r="A2" s="11" t="s">
        <v>142</v>
      </c>
      <c r="B2" s="2"/>
      <c r="C2" s="2"/>
    </row>
    <row r="3" spans="1:40" customFormat="1" x14ac:dyDescent="0.2">
      <c r="A3" t="s">
        <v>143</v>
      </c>
      <c r="B3" s="2"/>
      <c r="C3" s="2"/>
    </row>
    <row r="4" spans="1:40" s="12" customFormat="1" ht="16" x14ac:dyDescent="0.2">
      <c r="B4" s="3"/>
      <c r="C4" s="98" t="s">
        <v>144</v>
      </c>
      <c r="E4" s="99">
        <v>44957</v>
      </c>
      <c r="F4" s="100">
        <f t="shared" ref="F4" si="0">EOMONTH(E4,1)</f>
        <v>44985</v>
      </c>
      <c r="G4" s="100">
        <f t="shared" ref="G4" si="1">EOMONTH(F4,1)</f>
        <v>45016</v>
      </c>
      <c r="H4" s="100">
        <f t="shared" ref="H4" si="2">EOMONTH(G4,1)</f>
        <v>45046</v>
      </c>
      <c r="I4" s="100">
        <f t="shared" ref="I4" si="3">EOMONTH(H4,1)</f>
        <v>45077</v>
      </c>
      <c r="J4" s="100">
        <f t="shared" ref="J4" si="4">EOMONTH(I4,1)</f>
        <v>45107</v>
      </c>
      <c r="K4" s="100">
        <f t="shared" ref="K4" si="5">EOMONTH(J4,1)</f>
        <v>45138</v>
      </c>
      <c r="L4" s="100">
        <f t="shared" ref="L4" si="6">EOMONTH(K4,1)</f>
        <v>45169</v>
      </c>
      <c r="M4" s="100">
        <f t="shared" ref="M4" si="7">EOMONTH(L4,1)</f>
        <v>45199</v>
      </c>
      <c r="N4" s="100">
        <f t="shared" ref="N4" si="8">EOMONTH(M4,1)</f>
        <v>45230</v>
      </c>
      <c r="O4" s="100">
        <f t="shared" ref="O4" si="9">EOMONTH(N4,1)</f>
        <v>45260</v>
      </c>
      <c r="P4" s="100">
        <f t="shared" ref="P4" si="10">EOMONTH(O4,1)</f>
        <v>45291</v>
      </c>
      <c r="Q4" s="100">
        <f t="shared" ref="Q4" si="11">EOMONTH(P4,1)</f>
        <v>45322</v>
      </c>
      <c r="R4" s="100">
        <f t="shared" ref="R4" si="12">EOMONTH(Q4,1)</f>
        <v>45351</v>
      </c>
      <c r="S4" s="100">
        <f t="shared" ref="S4" si="13">EOMONTH(R4,1)</f>
        <v>45382</v>
      </c>
      <c r="T4" s="100">
        <f t="shared" ref="T4" si="14">EOMONTH(S4,1)</f>
        <v>45412</v>
      </c>
      <c r="U4" s="100">
        <f t="shared" ref="U4" si="15">EOMONTH(T4,1)</f>
        <v>45443</v>
      </c>
      <c r="V4" s="100">
        <f t="shared" ref="V4" si="16">EOMONTH(U4,1)</f>
        <v>45473</v>
      </c>
      <c r="W4" s="100">
        <f t="shared" ref="W4" si="17">EOMONTH(V4,1)</f>
        <v>45504</v>
      </c>
      <c r="X4" s="100">
        <f t="shared" ref="X4" si="18">EOMONTH(W4,1)</f>
        <v>45535</v>
      </c>
      <c r="Y4" s="100">
        <f t="shared" ref="Y4" si="19">EOMONTH(X4,1)</f>
        <v>45565</v>
      </c>
      <c r="Z4" s="100">
        <f t="shared" ref="Z4" si="20">EOMONTH(Y4,1)</f>
        <v>45596</v>
      </c>
      <c r="AA4" s="100">
        <f t="shared" ref="AA4" si="21">EOMONTH(Z4,1)</f>
        <v>45626</v>
      </c>
      <c r="AB4" s="100">
        <f t="shared" ref="AB4" si="22">EOMONTH(AA4,1)</f>
        <v>45657</v>
      </c>
      <c r="AC4" s="100">
        <f t="shared" ref="AC4" si="23">EOMONTH(AB4,1)</f>
        <v>45688</v>
      </c>
      <c r="AD4" s="100">
        <f t="shared" ref="AD4" si="24">EOMONTH(AC4,1)</f>
        <v>45716</v>
      </c>
      <c r="AE4" s="100">
        <f t="shared" ref="AE4" si="25">EOMONTH(AD4,1)</f>
        <v>45747</v>
      </c>
      <c r="AF4" s="100">
        <f t="shared" ref="AF4" si="26">EOMONTH(AE4,1)</f>
        <v>45777</v>
      </c>
      <c r="AG4" s="100">
        <f t="shared" ref="AG4" si="27">EOMONTH(AF4,1)</f>
        <v>45808</v>
      </c>
      <c r="AH4" s="100">
        <f t="shared" ref="AH4" si="28">EOMONTH(AG4,1)</f>
        <v>45838</v>
      </c>
      <c r="AI4" s="100">
        <f t="shared" ref="AI4" si="29">EOMONTH(AH4,1)</f>
        <v>45869</v>
      </c>
      <c r="AJ4" s="100">
        <f t="shared" ref="AJ4" si="30">EOMONTH(AI4,1)</f>
        <v>45900</v>
      </c>
      <c r="AK4" s="100">
        <f t="shared" ref="AK4" si="31">EOMONTH(AJ4,1)</f>
        <v>45930</v>
      </c>
      <c r="AL4" s="100">
        <f t="shared" ref="AL4" si="32">EOMONTH(AK4,1)</f>
        <v>45961</v>
      </c>
      <c r="AM4" s="100">
        <f t="shared" ref="AM4" si="33">EOMONTH(AL4,1)</f>
        <v>45991</v>
      </c>
      <c r="AN4" s="100">
        <f t="shared" ref="AN4" si="34">EOMONTH(AM4,1)</f>
        <v>46022</v>
      </c>
    </row>
    <row r="5" spans="1:40" s="16" customFormat="1" ht="21" customHeight="1" x14ac:dyDescent="0.2">
      <c r="A5" s="13"/>
      <c r="B5" s="4" t="s">
        <v>30</v>
      </c>
      <c r="C5" s="4"/>
      <c r="D5" s="14"/>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row>
    <row r="6" spans="1:40" s="16" customFormat="1" ht="21" customHeight="1" x14ac:dyDescent="0.2">
      <c r="A6" s="13"/>
      <c r="B6" s="5" t="s">
        <v>92</v>
      </c>
      <c r="C6" s="101">
        <v>0.03</v>
      </c>
      <c r="D6" s="14"/>
      <c r="E6" s="102">
        <v>100000</v>
      </c>
      <c r="F6" s="103">
        <f t="shared" ref="F6" si="35">E6*(1+$C6)</f>
        <v>103000</v>
      </c>
      <c r="G6" s="103">
        <f>F6*(0.97)</f>
        <v>99910</v>
      </c>
      <c r="H6" s="103">
        <f t="shared" ref="H6" si="36">G6*(1+$C6)</f>
        <v>102907.3</v>
      </c>
      <c r="I6" s="103">
        <f>H6*(0.97)</f>
        <v>99820.081000000006</v>
      </c>
      <c r="J6" s="103">
        <f t="shared" ref="J6" si="37">I6*(1+$C6)</f>
        <v>102814.68343</v>
      </c>
      <c r="K6" s="103">
        <f t="shared" ref="K6" si="38">J6*(1+$C6)</f>
        <v>105899.12393290001</v>
      </c>
      <c r="L6" s="103">
        <f>K6*(0.97)</f>
        <v>102722.15021491301</v>
      </c>
      <c r="M6" s="103">
        <f t="shared" ref="M6" si="39">L6*(1+$C6)</f>
        <v>105803.81472136041</v>
      </c>
      <c r="N6" s="103">
        <f t="shared" ref="N6" si="40">M6*(1+$C6)</f>
        <v>108977.92916300123</v>
      </c>
      <c r="O6" s="103">
        <f t="shared" ref="O6" si="41">N6*(1+$C6)</f>
        <v>112247.26703789127</v>
      </c>
      <c r="P6" s="103">
        <f>O6*(0.97)</f>
        <v>108879.84902675453</v>
      </c>
      <c r="Q6" s="103">
        <f t="shared" ref="Q6" si="42">P6*(1+$C6)</f>
        <v>112146.24449755717</v>
      </c>
      <c r="R6" s="103">
        <f t="shared" ref="R6" si="43">Q6*(1+$C6)</f>
        <v>115510.63183248389</v>
      </c>
      <c r="S6" s="103">
        <f>R6*(0.97)</f>
        <v>112045.31287750938</v>
      </c>
      <c r="T6" s="103">
        <f t="shared" ref="T6" si="44">S6*(1+$C6)</f>
        <v>115406.67226383467</v>
      </c>
      <c r="U6" s="103">
        <f>T6*(0.97)</f>
        <v>111944.47209591963</v>
      </c>
      <c r="V6" s="103">
        <f t="shared" ref="V6" si="45">U6*(1+$C6)</f>
        <v>115302.80625879722</v>
      </c>
      <c r="W6" s="103">
        <f t="shared" ref="W6" si="46">V6*(1+$C6)</f>
        <v>118761.89044656114</v>
      </c>
      <c r="X6" s="103">
        <f t="shared" ref="X6:Y6" si="47">W6*(0.97)</f>
        <v>115199.03373316431</v>
      </c>
      <c r="Y6" s="103">
        <f t="shared" si="47"/>
        <v>111743.06272116938</v>
      </c>
      <c r="Z6" s="103">
        <f t="shared" ref="Z6" si="48">Y6*(1+$C6)</f>
        <v>115095.35460280447</v>
      </c>
      <c r="AA6" s="103">
        <f t="shared" ref="AA6" si="49">Z6*(1+$C6)</f>
        <v>118548.2152408886</v>
      </c>
      <c r="AB6" s="103">
        <f t="shared" ref="AB6" si="50">AA6*(1+$C6)</f>
        <v>122104.66169811526</v>
      </c>
      <c r="AC6" s="103">
        <f>AB6*(0.97)</f>
        <v>118441.5218471718</v>
      </c>
      <c r="AD6" s="103">
        <f t="shared" ref="AD6" si="51">AC6*(1+$C6)</f>
        <v>121994.76750258695</v>
      </c>
      <c r="AE6" s="103">
        <f t="shared" ref="AE6" si="52">AD6*(1+$C6)</f>
        <v>125654.61052766457</v>
      </c>
      <c r="AF6" s="103">
        <f t="shared" ref="AF6" si="53">AE6*(1+$C6)</f>
        <v>129424.24884349451</v>
      </c>
      <c r="AG6" s="103">
        <f>AF6*(0.97)</f>
        <v>125541.52137818967</v>
      </c>
      <c r="AH6" s="103">
        <f t="shared" ref="AH6" si="54">AG6*(1+$C6)</f>
        <v>129307.76701953537</v>
      </c>
      <c r="AI6" s="103">
        <f t="shared" ref="AI6" si="55">AH6*(1+$C6)</f>
        <v>133187.00003012145</v>
      </c>
      <c r="AJ6" s="103">
        <f>AI6*(0.97)</f>
        <v>129191.3900292178</v>
      </c>
      <c r="AK6" s="103">
        <f t="shared" ref="AK6" si="56">AJ6*(1+$C6)</f>
        <v>133067.13173009435</v>
      </c>
      <c r="AL6" s="103">
        <f t="shared" ref="AL6" si="57">AK6*(1+$C6)</f>
        <v>137059.14568199718</v>
      </c>
      <c r="AM6" s="103">
        <f t="shared" ref="AM6" si="58">AL6*(1+$C6)</f>
        <v>141170.92005245711</v>
      </c>
      <c r="AN6" s="103">
        <f>AM6*(0.97)</f>
        <v>136935.7924508834</v>
      </c>
    </row>
    <row r="7" spans="1:40" s="16" customFormat="1" ht="21" customHeight="1" x14ac:dyDescent="0.2">
      <c r="A7" s="13"/>
      <c r="B7" s="6" t="s">
        <v>145</v>
      </c>
      <c r="C7" s="26"/>
      <c r="D7" s="14"/>
      <c r="E7" s="104">
        <f t="shared" ref="E7" si="59">SUM(E6 + E5)</f>
        <v>100000</v>
      </c>
      <c r="F7" s="104">
        <f t="shared" ref="F7:AM7" si="60">SUM(F6 + F5)</f>
        <v>103000</v>
      </c>
      <c r="G7" s="104">
        <f t="shared" si="60"/>
        <v>99910</v>
      </c>
      <c r="H7" s="104">
        <f t="shared" si="60"/>
        <v>102907.3</v>
      </c>
      <c r="I7" s="104">
        <f t="shared" si="60"/>
        <v>99820.081000000006</v>
      </c>
      <c r="J7" s="104">
        <f t="shared" si="60"/>
        <v>102814.68343</v>
      </c>
      <c r="K7" s="104">
        <f t="shared" si="60"/>
        <v>105899.12393290001</v>
      </c>
      <c r="L7" s="104">
        <f t="shared" si="60"/>
        <v>102722.15021491301</v>
      </c>
      <c r="M7" s="104">
        <f t="shared" si="60"/>
        <v>105803.81472136041</v>
      </c>
      <c r="N7" s="104">
        <f t="shared" si="60"/>
        <v>108977.92916300123</v>
      </c>
      <c r="O7" s="104">
        <f t="shared" si="60"/>
        <v>112247.26703789127</v>
      </c>
      <c r="P7" s="104">
        <f t="shared" si="60"/>
        <v>108879.84902675453</v>
      </c>
      <c r="Q7" s="104">
        <f t="shared" si="60"/>
        <v>112146.24449755717</v>
      </c>
      <c r="R7" s="104">
        <f t="shared" si="60"/>
        <v>115510.63183248389</v>
      </c>
      <c r="S7" s="104">
        <f t="shared" si="60"/>
        <v>112045.31287750938</v>
      </c>
      <c r="T7" s="104">
        <f t="shared" si="60"/>
        <v>115406.67226383467</v>
      </c>
      <c r="U7" s="104">
        <f t="shared" si="60"/>
        <v>111944.47209591963</v>
      </c>
      <c r="V7" s="104">
        <f t="shared" si="60"/>
        <v>115302.80625879722</v>
      </c>
      <c r="W7" s="104">
        <f t="shared" si="60"/>
        <v>118761.89044656114</v>
      </c>
      <c r="X7" s="104">
        <f t="shared" si="60"/>
        <v>115199.03373316431</v>
      </c>
      <c r="Y7" s="104">
        <f t="shared" si="60"/>
        <v>111743.06272116938</v>
      </c>
      <c r="Z7" s="104">
        <f t="shared" si="60"/>
        <v>115095.35460280447</v>
      </c>
      <c r="AA7" s="104">
        <f t="shared" si="60"/>
        <v>118548.2152408886</v>
      </c>
      <c r="AB7" s="104">
        <f t="shared" si="60"/>
        <v>122104.66169811526</v>
      </c>
      <c r="AC7" s="104">
        <f t="shared" si="60"/>
        <v>118441.5218471718</v>
      </c>
      <c r="AD7" s="104">
        <f t="shared" si="60"/>
        <v>121994.76750258695</v>
      </c>
      <c r="AE7" s="104">
        <f t="shared" si="60"/>
        <v>125654.61052766457</v>
      </c>
      <c r="AF7" s="104">
        <f t="shared" si="60"/>
        <v>129424.24884349451</v>
      </c>
      <c r="AG7" s="104">
        <f t="shared" si="60"/>
        <v>125541.52137818967</v>
      </c>
      <c r="AH7" s="104">
        <f t="shared" si="60"/>
        <v>129307.76701953537</v>
      </c>
      <c r="AI7" s="104">
        <f t="shared" si="60"/>
        <v>133187.00003012145</v>
      </c>
      <c r="AJ7" s="104">
        <f t="shared" si="60"/>
        <v>129191.3900292178</v>
      </c>
      <c r="AK7" s="104">
        <f t="shared" si="60"/>
        <v>133067.13173009435</v>
      </c>
      <c r="AL7" s="104">
        <f t="shared" si="60"/>
        <v>137059.14568199718</v>
      </c>
      <c r="AM7" s="104">
        <f t="shared" si="60"/>
        <v>141170.92005245711</v>
      </c>
      <c r="AN7" s="104">
        <f t="shared" ref="AN7" si="61">SUM(AN6 + AN5)</f>
        <v>136935.7924508834</v>
      </c>
    </row>
    <row r="8" spans="1:40" s="16" customFormat="1" ht="21" customHeight="1" x14ac:dyDescent="0.2">
      <c r="A8" s="13"/>
      <c r="B8" s="6" t="s">
        <v>41</v>
      </c>
      <c r="C8" s="26"/>
      <c r="D8" s="14"/>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row>
    <row r="9" spans="1:40" s="16" customFormat="1" ht="21" customHeight="1" x14ac:dyDescent="0.2">
      <c r="A9" s="13"/>
      <c r="B9" s="5" t="s">
        <v>96</v>
      </c>
      <c r="C9" s="25"/>
      <c r="D9" s="14"/>
      <c r="E9" s="102">
        <v>25000</v>
      </c>
      <c r="F9" s="102">
        <v>30900</v>
      </c>
      <c r="G9" s="102">
        <v>13987.4</v>
      </c>
      <c r="H9" s="102">
        <v>27784.971000000001</v>
      </c>
      <c r="I9" s="102">
        <v>19964.016200000002</v>
      </c>
      <c r="J9" s="102">
        <v>13365.908845900001</v>
      </c>
      <c r="K9" s="102">
        <v>22238.816025909004</v>
      </c>
      <c r="L9" s="102">
        <v>12326.658025789562</v>
      </c>
      <c r="M9" s="102">
        <v>17986.648502631269</v>
      </c>
      <c r="N9" s="102">
        <v>20705.806540970236</v>
      </c>
      <c r="O9" s="102">
        <v>20204.508066820432</v>
      </c>
      <c r="P9" s="102">
        <v>13065.581883210545</v>
      </c>
      <c r="Q9" s="102">
        <v>13457.54933970686</v>
      </c>
      <c r="R9" s="102">
        <v>20791.913729847103</v>
      </c>
      <c r="S9" s="102">
        <v>15686.343802851312</v>
      </c>
      <c r="T9" s="102">
        <v>27697.601343320319</v>
      </c>
      <c r="U9" s="102">
        <v>19030.560256306337</v>
      </c>
      <c r="V9" s="102">
        <v>21907.533189171474</v>
      </c>
      <c r="W9" s="102">
        <v>15439.045758052947</v>
      </c>
      <c r="X9" s="102">
        <v>25343.787421296147</v>
      </c>
      <c r="Y9" s="102">
        <v>14526.598153752018</v>
      </c>
      <c r="Z9" s="102">
        <v>11509.535460280445</v>
      </c>
      <c r="AA9" s="102">
        <v>21338.678743359949</v>
      </c>
      <c r="AB9" s="102">
        <v>18315.699254717289</v>
      </c>
      <c r="AC9" s="102">
        <v>15397.397840132333</v>
      </c>
      <c r="AD9" s="102">
        <v>25618.901175543262</v>
      </c>
      <c r="AE9" s="102">
        <v>23874.376000256267</v>
      </c>
      <c r="AF9" s="102">
        <v>38827.274653048349</v>
      </c>
      <c r="AG9" s="102">
        <v>37662.456413456901</v>
      </c>
      <c r="AH9" s="102">
        <v>28447.708744297783</v>
      </c>
      <c r="AI9" s="102">
        <v>38624.23000873522</v>
      </c>
      <c r="AJ9" s="102">
        <v>25838.27800584356</v>
      </c>
      <c r="AK9" s="102">
        <v>25282.755028717929</v>
      </c>
      <c r="AL9" s="102">
        <v>34264.786420499295</v>
      </c>
      <c r="AM9" s="102">
        <v>22587.347208393137</v>
      </c>
      <c r="AN9" s="102">
        <v>15062.937169597175</v>
      </c>
    </row>
    <row r="10" spans="1:40" s="16" customFormat="1" ht="21" customHeight="1" x14ac:dyDescent="0.2">
      <c r="A10" s="13"/>
      <c r="B10" s="5" t="s">
        <v>98</v>
      </c>
      <c r="C10" s="101">
        <v>0.1</v>
      </c>
      <c r="D10" s="14"/>
      <c r="E10" s="102">
        <v>250</v>
      </c>
      <c r="F10" s="103">
        <f t="shared" ref="F10" si="62">E10*(1+$C10)</f>
        <v>275</v>
      </c>
      <c r="G10" s="103">
        <f t="shared" ref="G10" si="63">F10*(1+$C10)</f>
        <v>302.5</v>
      </c>
      <c r="H10" s="103">
        <f t="shared" ref="H10" si="64">G10*(1+$C10)</f>
        <v>332.75</v>
      </c>
      <c r="I10" s="103">
        <f t="shared" ref="I10" si="65">H10*(1+$C10)</f>
        <v>366.02500000000003</v>
      </c>
      <c r="J10" s="103">
        <f t="shared" ref="J10" si="66">I10*(1+$C10)</f>
        <v>402.62750000000005</v>
      </c>
      <c r="K10" s="103">
        <f t="shared" ref="K10" si="67">J10*(1+$C10)</f>
        <v>442.89025000000009</v>
      </c>
      <c r="L10" s="103">
        <f t="shared" ref="L10" si="68">K10*(1+$C10)</f>
        <v>487.17927500000013</v>
      </c>
      <c r="M10" s="103">
        <f t="shared" ref="M10" si="69">L10*(1+$C10)</f>
        <v>535.89720250000016</v>
      </c>
      <c r="N10" s="103">
        <f t="shared" ref="N10" si="70">M10*(1+$C10)</f>
        <v>589.48692275000019</v>
      </c>
      <c r="O10" s="103">
        <f t="shared" ref="O10" si="71">N10*(1+$C10)</f>
        <v>648.43561502500029</v>
      </c>
      <c r="P10" s="103">
        <f t="shared" ref="P10" si="72">O10*(1+$C10)</f>
        <v>713.27917652750034</v>
      </c>
      <c r="Q10" s="103">
        <f t="shared" ref="Q10" si="73">P10*(1+$C10)</f>
        <v>784.60709418025044</v>
      </c>
      <c r="R10" s="103">
        <f t="shared" ref="R10" si="74">Q10*(1+$C10)</f>
        <v>863.06780359827553</v>
      </c>
      <c r="S10" s="103">
        <f t="shared" ref="S10" si="75">R10*(1+$C10)</f>
        <v>949.37458395810313</v>
      </c>
      <c r="T10" s="103">
        <f t="shared" ref="T10" si="76">S10*(1+$C10)</f>
        <v>1044.3120423539135</v>
      </c>
      <c r="U10" s="103">
        <f t="shared" ref="U10" si="77">T10*(1+$C10)</f>
        <v>1148.743246589305</v>
      </c>
      <c r="V10" s="103">
        <f t="shared" ref="V10" si="78">U10*(1+$C10)</f>
        <v>1263.6175712482357</v>
      </c>
      <c r="W10" s="103">
        <f t="shared" ref="W10" si="79">V10*(1+$C10)</f>
        <v>1389.9793283730594</v>
      </c>
      <c r="X10" s="103">
        <f t="shared" ref="X10" si="80">W10*(1+$C10)</f>
        <v>1528.9772612103654</v>
      </c>
      <c r="Y10" s="103">
        <f t="shared" ref="Y10" si="81">X10*(1+$C10)</f>
        <v>1681.8749873314021</v>
      </c>
      <c r="Z10" s="103">
        <f t="shared" ref="Z10" si="82">Y10*(1+$C10)</f>
        <v>1850.0624860645423</v>
      </c>
      <c r="AA10" s="103">
        <f t="shared" ref="AA10" si="83">Z10*(1+$C10)</f>
        <v>2035.0687346709967</v>
      </c>
      <c r="AB10" s="103">
        <f t="shared" ref="AB10" si="84">AA10*(1+$C10)</f>
        <v>2238.5756081380964</v>
      </c>
      <c r="AC10" s="103">
        <f t="shared" ref="AC10" si="85">AB10*(1+$C10)</f>
        <v>2462.4331689519063</v>
      </c>
      <c r="AD10" s="103">
        <f t="shared" ref="AD10" si="86">AC10*(1+$C10)</f>
        <v>2708.676485847097</v>
      </c>
      <c r="AE10" s="103">
        <f t="shared" ref="AE10" si="87">AD10*(1+$C10)</f>
        <v>2979.5441344318069</v>
      </c>
      <c r="AF10" s="103">
        <f t="shared" ref="AF10" si="88">AE10*(1+$C10)</f>
        <v>3277.4985478749877</v>
      </c>
      <c r="AG10" s="103">
        <f t="shared" ref="AG10" si="89">AF10*(1+$C10)</f>
        <v>3605.2484026624866</v>
      </c>
      <c r="AH10" s="103">
        <f t="shared" ref="AH10" si="90">AG10*(1+$C10)</f>
        <v>3965.7732429287357</v>
      </c>
      <c r="AI10" s="103">
        <f t="shared" ref="AI10" si="91">AH10*(1+$C10)</f>
        <v>4362.3505672216097</v>
      </c>
      <c r="AJ10" s="103">
        <f t="shared" ref="AJ10" si="92">AI10*(1+$C10)</f>
        <v>4798.5856239437708</v>
      </c>
      <c r="AK10" s="103">
        <f t="shared" ref="AK10" si="93">AJ10*(1+$C10)</f>
        <v>5278.444186338148</v>
      </c>
      <c r="AL10" s="103">
        <f t="shared" ref="AL10" si="94">AK10*(1+$C10)</f>
        <v>5806.2886049719637</v>
      </c>
      <c r="AM10" s="103">
        <f t="shared" ref="AM10" si="95">AL10*(1+$C10)</f>
        <v>6386.9174654691606</v>
      </c>
      <c r="AN10" s="103">
        <f t="shared" ref="AN10" si="96">AM10*(1+$C10)</f>
        <v>7025.6092120160774</v>
      </c>
    </row>
    <row r="11" spans="1:40" s="16" customFormat="1" ht="21" customHeight="1" x14ac:dyDescent="0.2">
      <c r="A11" s="13"/>
      <c r="B11" s="6" t="s">
        <v>146</v>
      </c>
      <c r="C11" s="26"/>
      <c r="D11" s="14"/>
      <c r="E11" s="104">
        <f t="shared" ref="E11:AM11" si="97">SUM(E10, E9 + E8)</f>
        <v>25250</v>
      </c>
      <c r="F11" s="104">
        <f t="shared" si="97"/>
        <v>31175</v>
      </c>
      <c r="G11" s="104">
        <f t="shared" si="97"/>
        <v>14289.9</v>
      </c>
      <c r="H11" s="104">
        <f t="shared" si="97"/>
        <v>28117.721000000001</v>
      </c>
      <c r="I11" s="104">
        <f t="shared" si="97"/>
        <v>20330.041200000003</v>
      </c>
      <c r="J11" s="104">
        <f t="shared" si="97"/>
        <v>13768.536345900002</v>
      </c>
      <c r="K11" s="104">
        <f t="shared" si="97"/>
        <v>22681.706275909004</v>
      </c>
      <c r="L11" s="104">
        <f t="shared" si="97"/>
        <v>12813.837300789563</v>
      </c>
      <c r="M11" s="104">
        <f t="shared" si="97"/>
        <v>18522.54570513127</v>
      </c>
      <c r="N11" s="104">
        <f t="shared" si="97"/>
        <v>21295.293463720234</v>
      </c>
      <c r="O11" s="104">
        <f t="shared" si="97"/>
        <v>20852.943681845431</v>
      </c>
      <c r="P11" s="104">
        <f t="shared" si="97"/>
        <v>13778.861059738045</v>
      </c>
      <c r="Q11" s="104">
        <f t="shared" si="97"/>
        <v>14242.15643388711</v>
      </c>
      <c r="R11" s="104">
        <f t="shared" si="97"/>
        <v>21654.981533445378</v>
      </c>
      <c r="S11" s="104">
        <f t="shared" si="97"/>
        <v>16635.718386809414</v>
      </c>
      <c r="T11" s="104">
        <f t="shared" si="97"/>
        <v>28741.913385674234</v>
      </c>
      <c r="U11" s="104">
        <f t="shared" si="97"/>
        <v>20179.30350289564</v>
      </c>
      <c r="V11" s="104">
        <f t="shared" si="97"/>
        <v>23171.15076041971</v>
      </c>
      <c r="W11" s="104">
        <f t="shared" si="97"/>
        <v>16829.025086426005</v>
      </c>
      <c r="X11" s="104">
        <f t="shared" si="97"/>
        <v>26872.764682506513</v>
      </c>
      <c r="Y11" s="104">
        <f t="shared" si="97"/>
        <v>16208.473141083421</v>
      </c>
      <c r="Z11" s="104">
        <f t="shared" si="97"/>
        <v>13359.597946344988</v>
      </c>
      <c r="AA11" s="104">
        <f t="shared" si="97"/>
        <v>23373.747478030946</v>
      </c>
      <c r="AB11" s="104">
        <f t="shared" si="97"/>
        <v>20554.274862855385</v>
      </c>
      <c r="AC11" s="104">
        <f t="shared" si="97"/>
        <v>17859.831009084239</v>
      </c>
      <c r="AD11" s="104">
        <f t="shared" si="97"/>
        <v>28327.577661390358</v>
      </c>
      <c r="AE11" s="104">
        <f t="shared" si="97"/>
        <v>26853.920134688073</v>
      </c>
      <c r="AF11" s="104">
        <f t="shared" si="97"/>
        <v>42104.773200923337</v>
      </c>
      <c r="AG11" s="104">
        <f t="shared" si="97"/>
        <v>41267.704816119389</v>
      </c>
      <c r="AH11" s="104">
        <f t="shared" si="97"/>
        <v>32413.481987226518</v>
      </c>
      <c r="AI11" s="104">
        <f t="shared" si="97"/>
        <v>42986.580575956832</v>
      </c>
      <c r="AJ11" s="104">
        <f t="shared" si="97"/>
        <v>30636.863629787331</v>
      </c>
      <c r="AK11" s="104">
        <f t="shared" si="97"/>
        <v>30561.199215056076</v>
      </c>
      <c r="AL11" s="104">
        <f t="shared" si="97"/>
        <v>40071.075025471262</v>
      </c>
      <c r="AM11" s="104">
        <f t="shared" si="97"/>
        <v>28974.264673862297</v>
      </c>
      <c r="AN11" s="104">
        <f t="shared" ref="AN11" si="98">SUM(AN10, AN9 + AN8)</f>
        <v>22088.546381613254</v>
      </c>
    </row>
    <row r="12" spans="1:40" s="18" customFormat="1" ht="21" customHeight="1" x14ac:dyDescent="0.2">
      <c r="B12" s="6" t="s">
        <v>43</v>
      </c>
      <c r="C12" s="26"/>
      <c r="D12" s="19"/>
      <c r="E12" s="105">
        <f t="shared" ref="E12:AM12" si="99">E7-E11</f>
        <v>74750</v>
      </c>
      <c r="F12" s="105">
        <f t="shared" si="99"/>
        <v>71825</v>
      </c>
      <c r="G12" s="105">
        <f t="shared" si="99"/>
        <v>85620.1</v>
      </c>
      <c r="H12" s="105">
        <f t="shared" si="99"/>
        <v>74789.578999999998</v>
      </c>
      <c r="I12" s="105">
        <f t="shared" si="99"/>
        <v>79490.039799999999</v>
      </c>
      <c r="J12" s="105">
        <f t="shared" si="99"/>
        <v>89046.147084099997</v>
      </c>
      <c r="K12" s="105">
        <f t="shared" si="99"/>
        <v>83217.417656991005</v>
      </c>
      <c r="L12" s="105">
        <f t="shared" si="99"/>
        <v>89908.312914123453</v>
      </c>
      <c r="M12" s="105">
        <f t="shared" si="99"/>
        <v>87281.26901622914</v>
      </c>
      <c r="N12" s="105">
        <f t="shared" si="99"/>
        <v>87682.635699281003</v>
      </c>
      <c r="O12" s="105">
        <f t="shared" si="99"/>
        <v>91394.323356045847</v>
      </c>
      <c r="P12" s="105">
        <f t="shared" si="99"/>
        <v>95100.987967016481</v>
      </c>
      <c r="Q12" s="105">
        <f t="shared" si="99"/>
        <v>97904.08806367006</v>
      </c>
      <c r="R12" s="105">
        <f t="shared" si="99"/>
        <v>93855.65029903852</v>
      </c>
      <c r="S12" s="105">
        <f t="shared" si="99"/>
        <v>95409.594490699965</v>
      </c>
      <c r="T12" s="105">
        <f t="shared" si="99"/>
        <v>86664.758878160443</v>
      </c>
      <c r="U12" s="105">
        <f t="shared" si="99"/>
        <v>91765.168593023991</v>
      </c>
      <c r="V12" s="105">
        <f t="shared" si="99"/>
        <v>92131.655498377513</v>
      </c>
      <c r="W12" s="105">
        <f t="shared" si="99"/>
        <v>101932.86536013514</v>
      </c>
      <c r="X12" s="105">
        <f t="shared" si="99"/>
        <v>88326.269050657793</v>
      </c>
      <c r="Y12" s="105">
        <f t="shared" si="99"/>
        <v>95534.589580085958</v>
      </c>
      <c r="Z12" s="105">
        <f t="shared" si="99"/>
        <v>101735.75665645947</v>
      </c>
      <c r="AA12" s="105">
        <f t="shared" si="99"/>
        <v>95174.467762857661</v>
      </c>
      <c r="AB12" s="105">
        <f t="shared" si="99"/>
        <v>101550.38683525988</v>
      </c>
      <c r="AC12" s="105">
        <f t="shared" si="99"/>
        <v>100581.69083808755</v>
      </c>
      <c r="AD12" s="105">
        <f t="shared" si="99"/>
        <v>93667.189841196596</v>
      </c>
      <c r="AE12" s="105">
        <f t="shared" si="99"/>
        <v>98800.690392976496</v>
      </c>
      <c r="AF12" s="105">
        <f t="shared" si="99"/>
        <v>87319.475642571168</v>
      </c>
      <c r="AG12" s="105">
        <f t="shared" si="99"/>
        <v>84273.816562070278</v>
      </c>
      <c r="AH12" s="105">
        <f t="shared" si="99"/>
        <v>96894.28503230885</v>
      </c>
      <c r="AI12" s="105">
        <f t="shared" si="99"/>
        <v>90200.419454164614</v>
      </c>
      <c r="AJ12" s="105">
        <f t="shared" si="99"/>
        <v>98554.52639943047</v>
      </c>
      <c r="AK12" s="105">
        <f t="shared" si="99"/>
        <v>102505.93251503826</v>
      </c>
      <c r="AL12" s="105">
        <f t="shared" si="99"/>
        <v>96988.070656525917</v>
      </c>
      <c r="AM12" s="105">
        <f t="shared" si="99"/>
        <v>112196.65537859481</v>
      </c>
      <c r="AN12" s="105">
        <f t="shared" ref="AN12" si="100">AN7-AN11</f>
        <v>114847.24606927014</v>
      </c>
    </row>
    <row r="13" spans="1:40" s="16" customFormat="1" ht="21" customHeight="1" x14ac:dyDescent="0.2">
      <c r="A13" s="13"/>
      <c r="B13" s="6" t="s">
        <v>23</v>
      </c>
      <c r="C13" s="26"/>
      <c r="D13" s="14"/>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row>
    <row r="14" spans="1:40" s="16" customFormat="1" ht="21" customHeight="1" x14ac:dyDescent="0.2">
      <c r="B14" s="5" t="s">
        <v>49</v>
      </c>
      <c r="C14" s="101">
        <v>0</v>
      </c>
      <c r="D14" s="14"/>
      <c r="E14" s="102">
        <v>0</v>
      </c>
      <c r="F14" s="102">
        <v>0</v>
      </c>
      <c r="G14" s="102">
        <v>0</v>
      </c>
      <c r="H14" s="102">
        <v>0</v>
      </c>
      <c r="I14" s="102">
        <v>0</v>
      </c>
      <c r="J14" s="102">
        <v>0</v>
      </c>
      <c r="K14" s="102">
        <v>0</v>
      </c>
      <c r="L14" s="102">
        <v>0</v>
      </c>
      <c r="M14" s="102">
        <v>0</v>
      </c>
      <c r="N14" s="102">
        <v>0</v>
      </c>
      <c r="O14" s="102">
        <v>0</v>
      </c>
      <c r="P14" s="102">
        <v>0</v>
      </c>
      <c r="Q14" s="102">
        <v>0</v>
      </c>
      <c r="R14" s="102">
        <v>0</v>
      </c>
      <c r="S14" s="102">
        <v>0</v>
      </c>
      <c r="T14" s="102">
        <v>0</v>
      </c>
      <c r="U14" s="102">
        <v>0</v>
      </c>
      <c r="V14" s="102">
        <v>0</v>
      </c>
      <c r="W14" s="102">
        <v>0</v>
      </c>
      <c r="X14" s="102">
        <v>0</v>
      </c>
      <c r="Y14" s="102">
        <v>0</v>
      </c>
      <c r="Z14" s="102">
        <v>0</v>
      </c>
      <c r="AA14" s="102">
        <v>0</v>
      </c>
      <c r="AB14" s="102">
        <v>0</v>
      </c>
      <c r="AC14" s="102">
        <v>0</v>
      </c>
      <c r="AD14" s="102">
        <v>0</v>
      </c>
      <c r="AE14" s="102">
        <v>0</v>
      </c>
      <c r="AF14" s="102">
        <v>0</v>
      </c>
      <c r="AG14" s="102">
        <v>0</v>
      </c>
      <c r="AH14" s="102">
        <v>0</v>
      </c>
      <c r="AI14" s="102">
        <v>0</v>
      </c>
      <c r="AJ14" s="102">
        <v>0</v>
      </c>
      <c r="AK14" s="102">
        <v>0</v>
      </c>
      <c r="AL14" s="102">
        <v>0</v>
      </c>
      <c r="AM14" s="102">
        <v>0</v>
      </c>
      <c r="AN14" s="102">
        <v>0</v>
      </c>
    </row>
    <row r="15" spans="1:40" s="16" customFormat="1" ht="21" customHeight="1" x14ac:dyDescent="0.2">
      <c r="B15" s="5" t="s">
        <v>106</v>
      </c>
      <c r="C15" s="101">
        <v>0.03</v>
      </c>
      <c r="D15" s="14"/>
      <c r="E15" s="102">
        <v>350</v>
      </c>
      <c r="F15" s="103">
        <f t="shared" ref="F15" si="101">E15*(1+$C15)</f>
        <v>360.5</v>
      </c>
      <c r="G15" s="103">
        <f>F15*(0.98)</f>
        <v>353.29</v>
      </c>
      <c r="H15" s="103">
        <f t="shared" ref="H15" si="102">G15*(1+$C15)</f>
        <v>363.88870000000003</v>
      </c>
      <c r="I15" s="103">
        <f t="shared" ref="I15" si="103">H15*(1+$C15)</f>
        <v>374.80536100000006</v>
      </c>
      <c r="J15" s="103">
        <f>I15*(0.98)</f>
        <v>367.30925378000006</v>
      </c>
      <c r="K15" s="103">
        <f t="shared" ref="K15" si="104">J15*(1+$C15)</f>
        <v>378.32853139340006</v>
      </c>
      <c r="L15" s="103">
        <f t="shared" ref="L15" si="105">K15*(1+$C15)</f>
        <v>389.67838733520205</v>
      </c>
      <c r="M15" s="103">
        <f t="shared" ref="M15" si="106">L15*(1+$C15)</f>
        <v>401.3687389552581</v>
      </c>
      <c r="N15" s="103">
        <f>M15*(0.98)</f>
        <v>393.34136417615292</v>
      </c>
      <c r="O15" s="103">
        <f t="shared" ref="O15" si="107">N15*(1+$C15)</f>
        <v>405.14160510143751</v>
      </c>
      <c r="P15" s="103">
        <f t="shared" ref="P15" si="108">O15*(1+$C15)</f>
        <v>417.29585325448062</v>
      </c>
      <c r="Q15" s="103">
        <f t="shared" ref="Q15" si="109">P15*(1+$C15)</f>
        <v>429.81472885211502</v>
      </c>
      <c r="R15" s="103">
        <f>Q15*(0.98)</f>
        <v>421.2184342750727</v>
      </c>
      <c r="S15" s="103">
        <f t="shared" ref="S15" si="110">R15*(1+$C15)</f>
        <v>433.85498730332489</v>
      </c>
      <c r="T15" s="103">
        <f t="shared" ref="T15" si="111">S15*(1+$C15)</f>
        <v>446.87063692242464</v>
      </c>
      <c r="U15" s="103">
        <f t="shared" ref="U15" si="112">T15*(1+$C15)</f>
        <v>460.27675603009737</v>
      </c>
      <c r="V15" s="103">
        <f>U15*(0.98)</f>
        <v>451.07122090949542</v>
      </c>
      <c r="W15" s="103">
        <f t="shared" ref="W15" si="113">V15*(1+$C15)</f>
        <v>464.60335753678032</v>
      </c>
      <c r="X15" s="103">
        <f t="shared" ref="X15" si="114">W15*(1+$C15)</f>
        <v>478.54145826288374</v>
      </c>
      <c r="Y15" s="103">
        <f>X15*(0.98)</f>
        <v>468.97062909762604</v>
      </c>
      <c r="Z15" s="103">
        <f t="shared" ref="Z15" si="115">Y15*(1+$C15)</f>
        <v>483.03974797055486</v>
      </c>
      <c r="AA15" s="103">
        <f t="shared" ref="AA15" si="116">Z15*(1+$C15)</f>
        <v>497.53094040967153</v>
      </c>
      <c r="AB15" s="103">
        <f>AA15*(0.98)</f>
        <v>487.58032160147809</v>
      </c>
      <c r="AC15" s="103">
        <f t="shared" ref="AC15" si="117">AB15*(1+$C15)</f>
        <v>502.20773124952245</v>
      </c>
      <c r="AD15" s="103">
        <f>AC15*(0.98)</f>
        <v>492.16357662453197</v>
      </c>
      <c r="AE15" s="103">
        <f t="shared" ref="AE15" si="118">AD15*(1+$C15)</f>
        <v>506.92848392326795</v>
      </c>
      <c r="AF15" s="103">
        <f>AE15*(0.98)</f>
        <v>496.78991424480256</v>
      </c>
      <c r="AG15" s="103">
        <f t="shared" ref="AG15" si="119">AF15*(1+$C15)</f>
        <v>511.69361167214663</v>
      </c>
      <c r="AH15" s="103">
        <f>AG15*(0.98)</f>
        <v>501.45973943870371</v>
      </c>
      <c r="AI15" s="103">
        <f t="shared" ref="AI15" si="120">AH15*(1+$C15)</f>
        <v>516.50353162186479</v>
      </c>
      <c r="AJ15" s="103">
        <f t="shared" ref="AJ15" si="121">AI15*(1+$C15)</f>
        <v>531.99863757052071</v>
      </c>
      <c r="AK15" s="103">
        <f t="shared" ref="AK15" si="122">AJ15*(1+$C15)</f>
        <v>547.95859669763638</v>
      </c>
      <c r="AL15" s="103">
        <f>AK15*(0.98)</f>
        <v>536.99942476368369</v>
      </c>
      <c r="AM15" s="103">
        <f t="shared" ref="AM15" si="123">AL15*(1+$C15)</f>
        <v>553.10940750659427</v>
      </c>
      <c r="AN15" s="103">
        <f t="shared" ref="AN15" si="124">AM15*(1+$C15)</f>
        <v>569.70268973179213</v>
      </c>
    </row>
    <row r="16" spans="1:40" s="16" customFormat="1" ht="21" customHeight="1" x14ac:dyDescent="0.2">
      <c r="B16" s="5" t="s">
        <v>51</v>
      </c>
      <c r="C16" s="101">
        <v>0.04</v>
      </c>
      <c r="D16" s="14"/>
      <c r="E16" s="102">
        <v>1000</v>
      </c>
      <c r="F16" s="103">
        <f t="shared" ref="F16:F22" si="125">E16*(1+$C16)</f>
        <v>1040</v>
      </c>
      <c r="G16" s="103">
        <f>F16*(0.9)</f>
        <v>936</v>
      </c>
      <c r="H16" s="103">
        <f t="shared" ref="H16:H22" si="126">G16*(1+$C16)</f>
        <v>973.44</v>
      </c>
      <c r="I16" s="103">
        <f t="shared" ref="I16:I22" si="127">H16*(1+$C16)</f>
        <v>1012.3776000000001</v>
      </c>
      <c r="J16" s="103">
        <f t="shared" ref="J16:J22" si="128">I16*(0.98)</f>
        <v>992.1300480000001</v>
      </c>
      <c r="K16" s="103">
        <f t="shared" ref="K16:K22" si="129">J16*(1+$C16)</f>
        <v>1031.81524992</v>
      </c>
      <c r="L16" s="103">
        <f t="shared" ref="L16:L22" si="130">K16*(1+$C16)</f>
        <v>1073.0878599168</v>
      </c>
      <c r="M16" s="103">
        <f t="shared" ref="M16:M22" si="131">L16*(1+$C16)</f>
        <v>1116.0113743134721</v>
      </c>
      <c r="N16" s="103">
        <f t="shared" ref="N16:N22" si="132">M16*(0.98)</f>
        <v>1093.6911468272026</v>
      </c>
      <c r="O16" s="103">
        <f t="shared" ref="O16:O22" si="133">N16*(1+$C16)</f>
        <v>1137.4387927002908</v>
      </c>
      <c r="P16" s="103">
        <f t="shared" ref="P16:P22" si="134">O16*(1+$C16)</f>
        <v>1182.9363444083026</v>
      </c>
      <c r="Q16" s="103">
        <f t="shared" ref="Q16:Q22" si="135">P16*(1+$C16)</f>
        <v>1230.2537981846347</v>
      </c>
      <c r="R16" s="103">
        <f t="shared" ref="R16:R22" si="136">Q16*(0.98)</f>
        <v>1205.6487222209419</v>
      </c>
      <c r="S16" s="103">
        <f t="shared" ref="S16:S22" si="137">R16*(1+$C16)</f>
        <v>1253.8746711097797</v>
      </c>
      <c r="T16" s="103">
        <f t="shared" ref="T16:T22" si="138">S16*(1+$C16)</f>
        <v>1304.0296579541709</v>
      </c>
      <c r="U16" s="103">
        <f t="shared" ref="U16:U22" si="139">T16*(1+$C16)</f>
        <v>1356.1908442723379</v>
      </c>
      <c r="V16" s="103">
        <f t="shared" ref="V16:V22" si="140">U16*(0.98)</f>
        <v>1329.0670273868911</v>
      </c>
      <c r="W16" s="103">
        <f t="shared" ref="W16:W22" si="141">V16*(1+$C16)</f>
        <v>1382.2297084823667</v>
      </c>
      <c r="X16" s="103">
        <f t="shared" ref="X16:X22" si="142">W16*(1+$C16)</f>
        <v>1437.5188968216614</v>
      </c>
      <c r="Y16" s="103">
        <f t="shared" ref="Y16:Y22" si="143">X16*(0.98)</f>
        <v>1408.7685188852281</v>
      </c>
      <c r="Z16" s="103">
        <f t="shared" ref="Z16:Z22" si="144">Y16*(1+$C16)</f>
        <v>1465.1192596406372</v>
      </c>
      <c r="AA16" s="103">
        <f t="shared" ref="AA16:AA22" si="145">Z16*(1+$C16)</f>
        <v>1523.7240300262627</v>
      </c>
      <c r="AB16" s="103">
        <f t="shared" ref="AB16:AB22" si="146">AA16*(0.98)</f>
        <v>1493.2495494257373</v>
      </c>
      <c r="AC16" s="103">
        <f t="shared" ref="AC16:AC22" si="147">AB16*(1+$C16)</f>
        <v>1552.979531402767</v>
      </c>
      <c r="AD16" s="103">
        <f t="shared" ref="AD16:AD22" si="148">AC16*(0.98)</f>
        <v>1521.9199407747117</v>
      </c>
      <c r="AE16" s="103">
        <f t="shared" ref="AE16:AE22" si="149">AD16*(1+$C16)</f>
        <v>1582.7967384057001</v>
      </c>
      <c r="AF16" s="103">
        <f t="shared" ref="AF16:AF22" si="150">AE16*(0.98)</f>
        <v>1551.140803637586</v>
      </c>
      <c r="AG16" s="103">
        <f t="shared" ref="AG16:AG22" si="151">AF16*(1+$C16)</f>
        <v>1613.1864357830896</v>
      </c>
      <c r="AH16" s="103">
        <f t="shared" ref="AH16:AH22" si="152">AG16*(0.98)</f>
        <v>1580.9227070674278</v>
      </c>
      <c r="AI16" s="103">
        <f t="shared" ref="AI16:AI22" si="153">AH16*(1+$C16)</f>
        <v>1644.159615350125</v>
      </c>
      <c r="AJ16" s="103">
        <f t="shared" ref="AJ16:AJ22" si="154">AI16*(1+$C16)</f>
        <v>1709.9259999641301</v>
      </c>
      <c r="AK16" s="103">
        <f t="shared" ref="AK16:AK22" si="155">AJ16*(1+$C16)</f>
        <v>1778.3230399626955</v>
      </c>
      <c r="AL16" s="103">
        <f t="shared" ref="AL16:AL22" si="156">AK16*(0.98)</f>
        <v>1742.7565791634415</v>
      </c>
      <c r="AM16" s="103">
        <f t="shared" ref="AM16:AM22" si="157">AL16*(1+$C16)</f>
        <v>1812.4668423299793</v>
      </c>
      <c r="AN16" s="103">
        <f t="shared" ref="AN16:AN22" si="158">AM16*(1+$C16)</f>
        <v>1884.9655160231785</v>
      </c>
    </row>
    <row r="17" spans="2:40" s="16" customFormat="1" ht="21" customHeight="1" x14ac:dyDescent="0.2">
      <c r="B17" s="5" t="s">
        <v>110</v>
      </c>
      <c r="C17" s="101">
        <v>0.05</v>
      </c>
      <c r="D17" s="14"/>
      <c r="E17" s="102">
        <v>4000</v>
      </c>
      <c r="F17" s="103">
        <f t="shared" si="125"/>
        <v>4200</v>
      </c>
      <c r="G17" s="103">
        <f t="shared" ref="G17:G22" si="159">F17*(0.98)</f>
        <v>4116</v>
      </c>
      <c r="H17" s="103">
        <f t="shared" si="126"/>
        <v>4321.8</v>
      </c>
      <c r="I17" s="103">
        <f t="shared" si="127"/>
        <v>4537.8900000000003</v>
      </c>
      <c r="J17" s="103">
        <f t="shared" si="128"/>
        <v>4447.1322</v>
      </c>
      <c r="K17" s="103">
        <f t="shared" si="129"/>
        <v>4669.4888099999998</v>
      </c>
      <c r="L17" s="103">
        <f t="shared" si="130"/>
        <v>4902.9632505</v>
      </c>
      <c r="M17" s="103">
        <f t="shared" si="131"/>
        <v>5148.1114130249998</v>
      </c>
      <c r="N17" s="103">
        <f t="shared" si="132"/>
        <v>5045.1491847644993</v>
      </c>
      <c r="O17" s="103">
        <f t="shared" si="133"/>
        <v>5297.4066440027245</v>
      </c>
      <c r="P17" s="103">
        <f t="shared" si="134"/>
        <v>5562.2769762028611</v>
      </c>
      <c r="Q17" s="103">
        <f t="shared" si="135"/>
        <v>5840.3908250130044</v>
      </c>
      <c r="R17" s="103">
        <f t="shared" si="136"/>
        <v>5723.5830085127445</v>
      </c>
      <c r="S17" s="103">
        <f t="shared" si="137"/>
        <v>6009.7621589383816</v>
      </c>
      <c r="T17" s="103">
        <f t="shared" si="138"/>
        <v>6310.2502668853012</v>
      </c>
      <c r="U17" s="103">
        <f t="shared" si="139"/>
        <v>6625.7627802295665</v>
      </c>
      <c r="V17" s="103">
        <f t="shared" si="140"/>
        <v>6493.2475246249751</v>
      </c>
      <c r="W17" s="103">
        <f t="shared" si="141"/>
        <v>6817.9099008562243</v>
      </c>
      <c r="X17" s="103">
        <f t="shared" si="142"/>
        <v>7158.8053958990358</v>
      </c>
      <c r="Y17" s="103">
        <f t="shared" si="143"/>
        <v>7015.6292879810553</v>
      </c>
      <c r="Z17" s="103">
        <f t="shared" si="144"/>
        <v>7366.4107523801085</v>
      </c>
      <c r="AA17" s="103">
        <f t="shared" si="145"/>
        <v>7734.7312899991139</v>
      </c>
      <c r="AB17" s="103">
        <f t="shared" si="146"/>
        <v>7580.0366641991313</v>
      </c>
      <c r="AC17" s="103">
        <f t="shared" si="147"/>
        <v>7959.0384974090884</v>
      </c>
      <c r="AD17" s="103">
        <f t="shared" si="148"/>
        <v>7799.857727460907</v>
      </c>
      <c r="AE17" s="103">
        <f t="shared" si="149"/>
        <v>8189.8506138339526</v>
      </c>
      <c r="AF17" s="103">
        <f t="shared" si="150"/>
        <v>8026.0536015572734</v>
      </c>
      <c r="AG17" s="103">
        <f t="shared" si="151"/>
        <v>8427.3562816351368</v>
      </c>
      <c r="AH17" s="103">
        <f t="shared" si="152"/>
        <v>8258.8091560024332</v>
      </c>
      <c r="AI17" s="103">
        <f t="shared" si="153"/>
        <v>8671.7496138025544</v>
      </c>
      <c r="AJ17" s="103">
        <f t="shared" si="154"/>
        <v>9105.3370944926828</v>
      </c>
      <c r="AK17" s="103">
        <f t="shared" si="155"/>
        <v>9560.6039492173168</v>
      </c>
      <c r="AL17" s="103">
        <f t="shared" si="156"/>
        <v>9369.3918702329702</v>
      </c>
      <c r="AM17" s="103">
        <f t="shared" si="157"/>
        <v>9837.861463744619</v>
      </c>
      <c r="AN17" s="103">
        <f t="shared" si="158"/>
        <v>10329.75453693185</v>
      </c>
    </row>
    <row r="18" spans="2:40" s="16" customFormat="1" ht="21" customHeight="1" x14ac:dyDescent="0.2">
      <c r="B18" s="5" t="s">
        <v>112</v>
      </c>
      <c r="C18" s="101">
        <v>0.03</v>
      </c>
      <c r="D18" s="14"/>
      <c r="E18" s="102">
        <v>250</v>
      </c>
      <c r="F18" s="103">
        <f t="shared" si="125"/>
        <v>257.5</v>
      </c>
      <c r="G18" s="103">
        <f t="shared" si="159"/>
        <v>252.35</v>
      </c>
      <c r="H18" s="103">
        <f t="shared" si="126"/>
        <v>259.9205</v>
      </c>
      <c r="I18" s="103">
        <f t="shared" si="127"/>
        <v>267.71811500000001</v>
      </c>
      <c r="J18" s="103">
        <f t="shared" si="128"/>
        <v>262.36375270000002</v>
      </c>
      <c r="K18" s="103">
        <f t="shared" si="129"/>
        <v>270.23466528100005</v>
      </c>
      <c r="L18" s="103">
        <f t="shared" si="130"/>
        <v>278.34170523943004</v>
      </c>
      <c r="M18" s="103">
        <f t="shared" si="131"/>
        <v>286.69195639661297</v>
      </c>
      <c r="N18" s="103">
        <f t="shared" si="132"/>
        <v>280.95811726868072</v>
      </c>
      <c r="O18" s="103">
        <f t="shared" si="133"/>
        <v>289.38686078674118</v>
      </c>
      <c r="P18" s="103">
        <f t="shared" si="134"/>
        <v>298.06846661034342</v>
      </c>
      <c r="Q18" s="103">
        <f t="shared" si="135"/>
        <v>307.01052060865374</v>
      </c>
      <c r="R18" s="103">
        <f t="shared" si="136"/>
        <v>300.87031019648066</v>
      </c>
      <c r="S18" s="103">
        <f t="shared" si="137"/>
        <v>309.89641950237507</v>
      </c>
      <c r="T18" s="103">
        <f t="shared" si="138"/>
        <v>319.19331208744632</v>
      </c>
      <c r="U18" s="103">
        <f t="shared" si="139"/>
        <v>328.76911145006972</v>
      </c>
      <c r="V18" s="103">
        <f t="shared" si="140"/>
        <v>322.19372922106834</v>
      </c>
      <c r="W18" s="103">
        <f t="shared" si="141"/>
        <v>331.8595410977004</v>
      </c>
      <c r="X18" s="103">
        <f t="shared" si="142"/>
        <v>341.81532733063142</v>
      </c>
      <c r="Y18" s="103">
        <f t="shared" si="143"/>
        <v>334.97902078401876</v>
      </c>
      <c r="Z18" s="103">
        <f t="shared" si="144"/>
        <v>345.02839140753935</v>
      </c>
      <c r="AA18" s="103">
        <f t="shared" si="145"/>
        <v>355.37924314976556</v>
      </c>
      <c r="AB18" s="103">
        <f t="shared" si="146"/>
        <v>348.27165828677022</v>
      </c>
      <c r="AC18" s="103">
        <f t="shared" si="147"/>
        <v>358.71980803537332</v>
      </c>
      <c r="AD18" s="103">
        <f t="shared" si="148"/>
        <v>351.54541187466583</v>
      </c>
      <c r="AE18" s="103">
        <f t="shared" si="149"/>
        <v>362.0917742309058</v>
      </c>
      <c r="AF18" s="103">
        <f t="shared" si="150"/>
        <v>354.84993874628765</v>
      </c>
      <c r="AG18" s="103">
        <f t="shared" si="151"/>
        <v>365.49543690867631</v>
      </c>
      <c r="AH18" s="103">
        <f t="shared" si="152"/>
        <v>358.18552817050278</v>
      </c>
      <c r="AI18" s="103">
        <f t="shared" si="153"/>
        <v>368.93109401561787</v>
      </c>
      <c r="AJ18" s="103">
        <f t="shared" si="154"/>
        <v>379.99902683608644</v>
      </c>
      <c r="AK18" s="103">
        <f t="shared" si="155"/>
        <v>391.39899764116905</v>
      </c>
      <c r="AL18" s="103">
        <f t="shared" si="156"/>
        <v>383.57101768834565</v>
      </c>
      <c r="AM18" s="103">
        <f t="shared" si="157"/>
        <v>395.07814821899603</v>
      </c>
      <c r="AN18" s="103">
        <f t="shared" si="158"/>
        <v>406.93049266556591</v>
      </c>
    </row>
    <row r="19" spans="2:40" s="18" customFormat="1" ht="21" customHeight="1" x14ac:dyDescent="0.2">
      <c r="B19" s="7" t="s">
        <v>114</v>
      </c>
      <c r="C19" s="101">
        <v>0.03</v>
      </c>
      <c r="D19" s="19"/>
      <c r="E19" s="102">
        <v>0</v>
      </c>
      <c r="F19" s="103">
        <f t="shared" si="125"/>
        <v>0</v>
      </c>
      <c r="G19" s="103">
        <f t="shared" si="159"/>
        <v>0</v>
      </c>
      <c r="H19" s="103">
        <f t="shared" si="126"/>
        <v>0</v>
      </c>
      <c r="I19" s="103">
        <f t="shared" si="127"/>
        <v>0</v>
      </c>
      <c r="J19" s="103">
        <f t="shared" si="128"/>
        <v>0</v>
      </c>
      <c r="K19" s="103">
        <f t="shared" si="129"/>
        <v>0</v>
      </c>
      <c r="L19" s="103">
        <f t="shared" si="130"/>
        <v>0</v>
      </c>
      <c r="M19" s="103">
        <f t="shared" si="131"/>
        <v>0</v>
      </c>
      <c r="N19" s="103">
        <f t="shared" si="132"/>
        <v>0</v>
      </c>
      <c r="O19" s="103">
        <f t="shared" si="133"/>
        <v>0</v>
      </c>
      <c r="P19" s="103">
        <f t="shared" si="134"/>
        <v>0</v>
      </c>
      <c r="Q19" s="103">
        <f t="shared" si="135"/>
        <v>0</v>
      </c>
      <c r="R19" s="103">
        <f t="shared" si="136"/>
        <v>0</v>
      </c>
      <c r="S19" s="103">
        <f t="shared" si="137"/>
        <v>0</v>
      </c>
      <c r="T19" s="103">
        <f t="shared" si="138"/>
        <v>0</v>
      </c>
      <c r="U19" s="103">
        <f t="shared" si="139"/>
        <v>0</v>
      </c>
      <c r="V19" s="103">
        <f t="shared" si="140"/>
        <v>0</v>
      </c>
      <c r="W19" s="103">
        <f t="shared" si="141"/>
        <v>0</v>
      </c>
      <c r="X19" s="103">
        <f t="shared" si="142"/>
        <v>0</v>
      </c>
      <c r="Y19" s="103">
        <f t="shared" si="143"/>
        <v>0</v>
      </c>
      <c r="Z19" s="103">
        <f t="shared" si="144"/>
        <v>0</v>
      </c>
      <c r="AA19" s="103">
        <f t="shared" si="145"/>
        <v>0</v>
      </c>
      <c r="AB19" s="103">
        <f t="shared" si="146"/>
        <v>0</v>
      </c>
      <c r="AC19" s="103">
        <f t="shared" si="147"/>
        <v>0</v>
      </c>
      <c r="AD19" s="103">
        <f t="shared" si="148"/>
        <v>0</v>
      </c>
      <c r="AE19" s="103">
        <f t="shared" si="149"/>
        <v>0</v>
      </c>
      <c r="AF19" s="103">
        <f t="shared" si="150"/>
        <v>0</v>
      </c>
      <c r="AG19" s="103">
        <f t="shared" si="151"/>
        <v>0</v>
      </c>
      <c r="AH19" s="103">
        <f t="shared" si="152"/>
        <v>0</v>
      </c>
      <c r="AI19" s="103">
        <f t="shared" si="153"/>
        <v>0</v>
      </c>
      <c r="AJ19" s="103">
        <f t="shared" si="154"/>
        <v>0</v>
      </c>
      <c r="AK19" s="103">
        <f t="shared" si="155"/>
        <v>0</v>
      </c>
      <c r="AL19" s="103">
        <f t="shared" si="156"/>
        <v>0</v>
      </c>
      <c r="AM19" s="103">
        <f t="shared" si="157"/>
        <v>0</v>
      </c>
      <c r="AN19" s="103">
        <f t="shared" si="158"/>
        <v>0</v>
      </c>
    </row>
    <row r="20" spans="2:40" s="16" customFormat="1" ht="21" customHeight="1" x14ac:dyDescent="0.2">
      <c r="B20" s="8" t="s">
        <v>116</v>
      </c>
      <c r="C20" s="101">
        <v>0.05</v>
      </c>
      <c r="D20" s="14"/>
      <c r="E20" s="102">
        <v>800</v>
      </c>
      <c r="F20" s="103">
        <f t="shared" si="125"/>
        <v>840</v>
      </c>
      <c r="G20" s="103">
        <f t="shared" si="159"/>
        <v>823.19999999999993</v>
      </c>
      <c r="H20" s="103">
        <f t="shared" si="126"/>
        <v>864.36</v>
      </c>
      <c r="I20" s="103">
        <f t="shared" si="127"/>
        <v>907.57800000000009</v>
      </c>
      <c r="J20" s="103">
        <f t="shared" si="128"/>
        <v>889.42644000000007</v>
      </c>
      <c r="K20" s="103">
        <f t="shared" si="129"/>
        <v>933.89776200000006</v>
      </c>
      <c r="L20" s="103">
        <f t="shared" si="130"/>
        <v>980.59265010000013</v>
      </c>
      <c r="M20" s="103">
        <f t="shared" si="131"/>
        <v>1029.6222826050002</v>
      </c>
      <c r="N20" s="103">
        <f t="shared" si="132"/>
        <v>1009.0298369529003</v>
      </c>
      <c r="O20" s="103">
        <f t="shared" si="133"/>
        <v>1059.4813288005453</v>
      </c>
      <c r="P20" s="103">
        <f t="shared" si="134"/>
        <v>1112.4553952405727</v>
      </c>
      <c r="Q20" s="103">
        <f t="shared" si="135"/>
        <v>1168.0781650026013</v>
      </c>
      <c r="R20" s="103">
        <f t="shared" si="136"/>
        <v>1144.7166017025493</v>
      </c>
      <c r="S20" s="103">
        <f t="shared" si="137"/>
        <v>1201.9524317876767</v>
      </c>
      <c r="T20" s="103">
        <f t="shared" si="138"/>
        <v>1262.0500533770605</v>
      </c>
      <c r="U20" s="103">
        <f t="shared" si="139"/>
        <v>1325.1525560459136</v>
      </c>
      <c r="V20" s="103">
        <f t="shared" si="140"/>
        <v>1298.6495049249952</v>
      </c>
      <c r="W20" s="103">
        <f t="shared" si="141"/>
        <v>1363.581980171245</v>
      </c>
      <c r="X20" s="103">
        <f t="shared" si="142"/>
        <v>1431.7610791798074</v>
      </c>
      <c r="Y20" s="103">
        <f t="shared" si="143"/>
        <v>1403.1258575962113</v>
      </c>
      <c r="Z20" s="103">
        <f t="shared" si="144"/>
        <v>1473.282150476022</v>
      </c>
      <c r="AA20" s="103">
        <f t="shared" si="145"/>
        <v>1546.9462579998233</v>
      </c>
      <c r="AB20" s="103">
        <f t="shared" si="146"/>
        <v>1516.0073328398269</v>
      </c>
      <c r="AC20" s="103">
        <f t="shared" si="147"/>
        <v>1591.8076994818182</v>
      </c>
      <c r="AD20" s="103">
        <f t="shared" si="148"/>
        <v>1559.9715454921818</v>
      </c>
      <c r="AE20" s="103">
        <f t="shared" si="149"/>
        <v>1637.9701227667911</v>
      </c>
      <c r="AF20" s="103">
        <f t="shared" si="150"/>
        <v>1605.2107203114551</v>
      </c>
      <c r="AG20" s="103">
        <f t="shared" si="151"/>
        <v>1685.471256327028</v>
      </c>
      <c r="AH20" s="103">
        <f t="shared" si="152"/>
        <v>1651.7618312004874</v>
      </c>
      <c r="AI20" s="103">
        <f t="shared" si="153"/>
        <v>1734.3499227605118</v>
      </c>
      <c r="AJ20" s="103">
        <f t="shared" si="154"/>
        <v>1821.0674188985374</v>
      </c>
      <c r="AK20" s="103">
        <f t="shared" si="155"/>
        <v>1912.1207898434643</v>
      </c>
      <c r="AL20" s="103">
        <f t="shared" si="156"/>
        <v>1873.8783740465949</v>
      </c>
      <c r="AM20" s="103">
        <f t="shared" si="157"/>
        <v>1967.5722927489248</v>
      </c>
      <c r="AN20" s="103">
        <f t="shared" si="158"/>
        <v>2065.950907386371</v>
      </c>
    </row>
    <row r="21" spans="2:40" s="16" customFormat="1" ht="21" customHeight="1" x14ac:dyDescent="0.2">
      <c r="B21" s="8" t="s">
        <v>118</v>
      </c>
      <c r="C21" s="101">
        <v>0.03</v>
      </c>
      <c r="D21" s="14"/>
      <c r="E21" s="102">
        <v>3500</v>
      </c>
      <c r="F21" s="103">
        <f t="shared" si="125"/>
        <v>3605</v>
      </c>
      <c r="G21" s="103">
        <f t="shared" si="159"/>
        <v>3532.9</v>
      </c>
      <c r="H21" s="103">
        <f t="shared" si="126"/>
        <v>3638.8870000000002</v>
      </c>
      <c r="I21" s="103">
        <f t="shared" si="127"/>
        <v>3748.0536100000004</v>
      </c>
      <c r="J21" s="103">
        <f t="shared" si="128"/>
        <v>3673.0925378000002</v>
      </c>
      <c r="K21" s="103">
        <f t="shared" si="129"/>
        <v>3783.2853139340004</v>
      </c>
      <c r="L21" s="103">
        <f t="shared" si="130"/>
        <v>3896.7838733520207</v>
      </c>
      <c r="M21" s="103">
        <f t="shared" si="131"/>
        <v>4013.6873895525814</v>
      </c>
      <c r="N21" s="103">
        <f t="shared" si="132"/>
        <v>3933.4136417615296</v>
      </c>
      <c r="O21" s="103">
        <f t="shared" si="133"/>
        <v>4051.4160510143756</v>
      </c>
      <c r="P21" s="103">
        <f t="shared" si="134"/>
        <v>4172.958532544807</v>
      </c>
      <c r="Q21" s="103">
        <f t="shared" si="135"/>
        <v>4298.1472885211515</v>
      </c>
      <c r="R21" s="103">
        <f t="shared" si="136"/>
        <v>4212.1843427507283</v>
      </c>
      <c r="S21" s="103">
        <f t="shared" si="137"/>
        <v>4338.5498730332502</v>
      </c>
      <c r="T21" s="103">
        <f t="shared" si="138"/>
        <v>4468.7063692242482</v>
      </c>
      <c r="U21" s="103">
        <f t="shared" si="139"/>
        <v>4602.7675603009757</v>
      </c>
      <c r="V21" s="103">
        <f t="shared" si="140"/>
        <v>4510.7122090949561</v>
      </c>
      <c r="W21" s="103">
        <f t="shared" si="141"/>
        <v>4646.0335753678046</v>
      </c>
      <c r="X21" s="103">
        <f t="shared" si="142"/>
        <v>4785.4145826288386</v>
      </c>
      <c r="Y21" s="103">
        <f t="shared" si="143"/>
        <v>4689.7062909762617</v>
      </c>
      <c r="Z21" s="103">
        <f t="shared" si="144"/>
        <v>4830.3974797055498</v>
      </c>
      <c r="AA21" s="103">
        <f t="shared" si="145"/>
        <v>4975.3094040967162</v>
      </c>
      <c r="AB21" s="103">
        <f t="shared" si="146"/>
        <v>4875.8032160147814</v>
      </c>
      <c r="AC21" s="103">
        <f t="shared" si="147"/>
        <v>5022.0773124952248</v>
      </c>
      <c r="AD21" s="103">
        <f t="shared" ref="AD21:AG21" si="160">AC21*(0.9)</f>
        <v>4519.8695812457026</v>
      </c>
      <c r="AE21" s="103">
        <f t="shared" si="160"/>
        <v>4067.8826231211324</v>
      </c>
      <c r="AF21" s="103">
        <f t="shared" si="160"/>
        <v>3661.0943608090192</v>
      </c>
      <c r="AG21" s="103">
        <f t="shared" si="160"/>
        <v>3294.9849247281172</v>
      </c>
      <c r="AH21" s="103">
        <f t="shared" si="152"/>
        <v>3229.0852262335547</v>
      </c>
      <c r="AI21" s="103">
        <f t="shared" si="153"/>
        <v>3325.9577830205617</v>
      </c>
      <c r="AJ21" s="103">
        <f t="shared" si="154"/>
        <v>3425.7365165111787</v>
      </c>
      <c r="AK21" s="103">
        <f t="shared" si="155"/>
        <v>3528.5086120065143</v>
      </c>
      <c r="AL21" s="103">
        <f t="shared" ref="AL21:AN21" si="161">AK21*(0.9)</f>
        <v>3175.6577508058631</v>
      </c>
      <c r="AM21" s="103">
        <f t="shared" si="161"/>
        <v>2858.0919757252768</v>
      </c>
      <c r="AN21" s="103">
        <f t="shared" si="161"/>
        <v>2572.2827781527494</v>
      </c>
    </row>
    <row r="22" spans="2:40" s="16" customFormat="1" ht="21" customHeight="1" x14ac:dyDescent="0.2">
      <c r="B22" s="8" t="s">
        <v>120</v>
      </c>
      <c r="C22" s="101">
        <v>0.03</v>
      </c>
      <c r="D22" s="14"/>
      <c r="E22" s="102">
        <v>350</v>
      </c>
      <c r="F22" s="103">
        <f t="shared" si="125"/>
        <v>360.5</v>
      </c>
      <c r="G22" s="103">
        <f t="shared" si="159"/>
        <v>353.29</v>
      </c>
      <c r="H22" s="103">
        <f t="shared" si="126"/>
        <v>363.88870000000003</v>
      </c>
      <c r="I22" s="103">
        <f t="shared" si="127"/>
        <v>374.80536100000006</v>
      </c>
      <c r="J22" s="103">
        <f t="shared" si="128"/>
        <v>367.30925378000006</v>
      </c>
      <c r="K22" s="103">
        <f t="shared" si="129"/>
        <v>378.32853139340006</v>
      </c>
      <c r="L22" s="103">
        <f t="shared" si="130"/>
        <v>389.67838733520205</v>
      </c>
      <c r="M22" s="103">
        <f t="shared" si="131"/>
        <v>401.3687389552581</v>
      </c>
      <c r="N22" s="103">
        <f t="shared" si="132"/>
        <v>393.34136417615292</v>
      </c>
      <c r="O22" s="103">
        <f t="shared" si="133"/>
        <v>405.14160510143751</v>
      </c>
      <c r="P22" s="103">
        <f t="shared" si="134"/>
        <v>417.29585325448062</v>
      </c>
      <c r="Q22" s="103">
        <f t="shared" si="135"/>
        <v>429.81472885211502</v>
      </c>
      <c r="R22" s="103">
        <f t="shared" si="136"/>
        <v>421.2184342750727</v>
      </c>
      <c r="S22" s="103">
        <f t="shared" si="137"/>
        <v>433.85498730332489</v>
      </c>
      <c r="T22" s="103">
        <f t="shared" si="138"/>
        <v>446.87063692242464</v>
      </c>
      <c r="U22" s="103">
        <f t="shared" si="139"/>
        <v>460.27675603009737</v>
      </c>
      <c r="V22" s="103">
        <f t="shared" si="140"/>
        <v>451.07122090949542</v>
      </c>
      <c r="W22" s="103">
        <f t="shared" si="141"/>
        <v>464.60335753678032</v>
      </c>
      <c r="X22" s="103">
        <f t="shared" si="142"/>
        <v>478.54145826288374</v>
      </c>
      <c r="Y22" s="103">
        <f t="shared" si="143"/>
        <v>468.97062909762604</v>
      </c>
      <c r="Z22" s="103">
        <f t="shared" si="144"/>
        <v>483.03974797055486</v>
      </c>
      <c r="AA22" s="103">
        <f t="shared" si="145"/>
        <v>497.53094040967153</v>
      </c>
      <c r="AB22" s="103">
        <f t="shared" si="146"/>
        <v>487.58032160147809</v>
      </c>
      <c r="AC22" s="103">
        <f t="shared" si="147"/>
        <v>502.20773124952245</v>
      </c>
      <c r="AD22" s="103">
        <f t="shared" si="148"/>
        <v>492.16357662453197</v>
      </c>
      <c r="AE22" s="103">
        <f t="shared" si="149"/>
        <v>506.92848392326795</v>
      </c>
      <c r="AF22" s="103">
        <f t="shared" si="150"/>
        <v>496.78991424480256</v>
      </c>
      <c r="AG22" s="103">
        <f t="shared" si="151"/>
        <v>511.69361167214663</v>
      </c>
      <c r="AH22" s="103">
        <f t="shared" si="152"/>
        <v>501.45973943870371</v>
      </c>
      <c r="AI22" s="103">
        <f t="shared" si="153"/>
        <v>516.50353162186479</v>
      </c>
      <c r="AJ22" s="103">
        <f t="shared" si="154"/>
        <v>531.99863757052071</v>
      </c>
      <c r="AK22" s="103">
        <f t="shared" si="155"/>
        <v>547.95859669763638</v>
      </c>
      <c r="AL22" s="103">
        <f t="shared" si="156"/>
        <v>536.99942476368369</v>
      </c>
      <c r="AM22" s="103">
        <f t="shared" si="157"/>
        <v>553.10940750659427</v>
      </c>
      <c r="AN22" s="103">
        <f t="shared" si="158"/>
        <v>569.70268973179213</v>
      </c>
    </row>
    <row r="23" spans="2:40" s="16" customFormat="1" ht="21" customHeight="1" x14ac:dyDescent="0.2">
      <c r="B23" s="7" t="s">
        <v>147</v>
      </c>
      <c r="C23" s="27"/>
      <c r="D23" s="14"/>
      <c r="E23" s="104">
        <f t="shared" ref="E23:AM23" si="162">SUM(E22, E21, E20 + E19)</f>
        <v>4650</v>
      </c>
      <c r="F23" s="104">
        <f t="shared" si="162"/>
        <v>4805.5</v>
      </c>
      <c r="G23" s="104">
        <f t="shared" si="162"/>
        <v>4709.3900000000003</v>
      </c>
      <c r="H23" s="104">
        <f t="shared" si="162"/>
        <v>4867.1356999999998</v>
      </c>
      <c r="I23" s="104">
        <f t="shared" si="162"/>
        <v>5030.436971000001</v>
      </c>
      <c r="J23" s="104">
        <f t="shared" si="162"/>
        <v>4929.8282315800006</v>
      </c>
      <c r="K23" s="104">
        <f t="shared" si="162"/>
        <v>5095.5116073274003</v>
      </c>
      <c r="L23" s="104">
        <f t="shared" si="162"/>
        <v>5267.054910787223</v>
      </c>
      <c r="M23" s="104">
        <f t="shared" si="162"/>
        <v>5444.67841111284</v>
      </c>
      <c r="N23" s="104">
        <f t="shared" si="162"/>
        <v>5335.7848428905827</v>
      </c>
      <c r="O23" s="104">
        <f t="shared" si="162"/>
        <v>5516.0389849163585</v>
      </c>
      <c r="P23" s="104">
        <f t="shared" si="162"/>
        <v>5702.7097810398609</v>
      </c>
      <c r="Q23" s="104">
        <f t="shared" si="162"/>
        <v>5896.0401823758675</v>
      </c>
      <c r="R23" s="104">
        <f t="shared" si="162"/>
        <v>5778.1193787283501</v>
      </c>
      <c r="S23" s="104">
        <f t="shared" si="162"/>
        <v>5974.3572921242521</v>
      </c>
      <c r="T23" s="104">
        <f t="shared" si="162"/>
        <v>6177.6270595237329</v>
      </c>
      <c r="U23" s="104">
        <f t="shared" si="162"/>
        <v>6388.196872376986</v>
      </c>
      <c r="V23" s="104">
        <f t="shared" si="162"/>
        <v>6260.4329349294467</v>
      </c>
      <c r="W23" s="104">
        <f t="shared" si="162"/>
        <v>6474.2189130758297</v>
      </c>
      <c r="X23" s="104">
        <f t="shared" si="162"/>
        <v>6695.7171200715293</v>
      </c>
      <c r="Y23" s="104">
        <f t="shared" si="162"/>
        <v>6561.8027776700992</v>
      </c>
      <c r="Z23" s="104">
        <f t="shared" si="162"/>
        <v>6786.7193781521273</v>
      </c>
      <c r="AA23" s="104">
        <f t="shared" si="162"/>
        <v>7019.7866025062112</v>
      </c>
      <c r="AB23" s="104">
        <f t="shared" si="162"/>
        <v>6879.3908704560863</v>
      </c>
      <c r="AC23" s="104">
        <f t="shared" si="162"/>
        <v>7116.0927432265653</v>
      </c>
      <c r="AD23" s="104">
        <f t="shared" si="162"/>
        <v>6572.004703362416</v>
      </c>
      <c r="AE23" s="104">
        <f t="shared" si="162"/>
        <v>6212.7812298111912</v>
      </c>
      <c r="AF23" s="104">
        <f t="shared" si="162"/>
        <v>5763.0949953652762</v>
      </c>
      <c r="AG23" s="104">
        <f t="shared" si="162"/>
        <v>5492.1497927272922</v>
      </c>
      <c r="AH23" s="104">
        <f t="shared" si="162"/>
        <v>5382.3067968727464</v>
      </c>
      <c r="AI23" s="104">
        <f t="shared" si="162"/>
        <v>5576.8112374029379</v>
      </c>
      <c r="AJ23" s="104">
        <f t="shared" si="162"/>
        <v>5778.8025729802366</v>
      </c>
      <c r="AK23" s="104">
        <f t="shared" si="162"/>
        <v>5988.5879985476149</v>
      </c>
      <c r="AL23" s="104">
        <f t="shared" si="162"/>
        <v>5586.5355496161419</v>
      </c>
      <c r="AM23" s="104">
        <f t="shared" si="162"/>
        <v>5378.7736759807958</v>
      </c>
      <c r="AN23" s="104">
        <f t="shared" ref="AN23" si="163">SUM(AN22, AN21, AN20 + AN19)</f>
        <v>5207.9363752709123</v>
      </c>
    </row>
    <row r="24" spans="2:40" s="18" customFormat="1" ht="21" customHeight="1" x14ac:dyDescent="0.2">
      <c r="B24" s="7" t="s">
        <v>122</v>
      </c>
      <c r="C24" s="27"/>
      <c r="D24" s="19"/>
      <c r="E24" s="102">
        <v>0</v>
      </c>
      <c r="F24" s="103">
        <f t="shared" ref="F24:F28" si="164">E24*(1+$C24)</f>
        <v>0</v>
      </c>
      <c r="G24" s="103">
        <f t="shared" ref="G24:G28" si="165">F24*(0.98)</f>
        <v>0</v>
      </c>
      <c r="H24" s="103">
        <f t="shared" ref="H24:H28" si="166">G24*(1+$C24)</f>
        <v>0</v>
      </c>
      <c r="I24" s="103">
        <f t="shared" ref="I24:I28" si="167">H24*(1+$C24)</f>
        <v>0</v>
      </c>
      <c r="J24" s="103">
        <f t="shared" ref="J24:J28" si="168">I24*(0.98)</f>
        <v>0</v>
      </c>
      <c r="K24" s="103">
        <f t="shared" ref="K24:K28" si="169">J24*(1+$C24)</f>
        <v>0</v>
      </c>
      <c r="L24" s="103">
        <f t="shared" ref="L24:L28" si="170">K24*(1+$C24)</f>
        <v>0</v>
      </c>
      <c r="M24" s="103">
        <f t="shared" ref="M24:M28" si="171">L24*(1+$C24)</f>
        <v>0</v>
      </c>
      <c r="N24" s="103">
        <f t="shared" ref="N24:N28" si="172">M24*(0.98)</f>
        <v>0</v>
      </c>
      <c r="O24" s="103">
        <f t="shared" ref="O24:O28" si="173">N24*(1+$C24)</f>
        <v>0</v>
      </c>
      <c r="P24" s="103">
        <f t="shared" ref="P24:P28" si="174">O24*(1+$C24)</f>
        <v>0</v>
      </c>
      <c r="Q24" s="103">
        <f t="shared" ref="Q24:Q28" si="175">P24*(1+$C24)</f>
        <v>0</v>
      </c>
      <c r="R24" s="103">
        <f t="shared" ref="R24:R28" si="176">Q24*(0.98)</f>
        <v>0</v>
      </c>
      <c r="S24" s="103">
        <f t="shared" ref="S24:S28" si="177">R24*(1+$C24)</f>
        <v>0</v>
      </c>
      <c r="T24" s="103">
        <f t="shared" ref="T24:T28" si="178">S24*(1+$C24)</f>
        <v>0</v>
      </c>
      <c r="U24" s="103">
        <f t="shared" ref="U24:U28" si="179">T24*(1+$C24)</f>
        <v>0</v>
      </c>
      <c r="V24" s="103">
        <f t="shared" ref="V24:V28" si="180">U24*(0.98)</f>
        <v>0</v>
      </c>
      <c r="W24" s="103">
        <f t="shared" ref="W24:W28" si="181">V24*(1+$C24)</f>
        <v>0</v>
      </c>
      <c r="X24" s="103">
        <f t="shared" ref="X24:X28" si="182">W24*(1+$C24)</f>
        <v>0</v>
      </c>
      <c r="Y24" s="103">
        <f t="shared" ref="Y24:Y28" si="183">X24*(0.98)</f>
        <v>0</v>
      </c>
      <c r="Z24" s="103">
        <f t="shared" ref="Z24:Z28" si="184">Y24*(1+$C24)</f>
        <v>0</v>
      </c>
      <c r="AA24" s="103">
        <f t="shared" ref="AA24:AA28" si="185">Z24*(1+$C24)</f>
        <v>0</v>
      </c>
      <c r="AB24" s="103">
        <f t="shared" ref="AB24:AB28" si="186">AA24*(0.98)</f>
        <v>0</v>
      </c>
      <c r="AC24" s="103">
        <f t="shared" ref="AC24:AC28" si="187">AB24*(1+$C24)</f>
        <v>0</v>
      </c>
      <c r="AD24" s="103">
        <f t="shared" ref="AD24:AD28" si="188">AC24*(0.98)</f>
        <v>0</v>
      </c>
      <c r="AE24" s="103">
        <f t="shared" ref="AE24:AE28" si="189">AD24*(1+$C24)</f>
        <v>0</v>
      </c>
      <c r="AF24" s="103">
        <f t="shared" ref="AF24:AF28" si="190">AE24*(0.98)</f>
        <v>0</v>
      </c>
      <c r="AG24" s="103">
        <f t="shared" ref="AG24:AG28" si="191">AF24*(1+$C24)</f>
        <v>0</v>
      </c>
      <c r="AH24" s="103">
        <f t="shared" ref="AH24:AH28" si="192">AG24*(0.98)</f>
        <v>0</v>
      </c>
      <c r="AI24" s="103">
        <f t="shared" ref="AI24:AI28" si="193">AH24*(1+$C24)</f>
        <v>0</v>
      </c>
      <c r="AJ24" s="103">
        <f t="shared" ref="AJ24:AJ28" si="194">AI24*(1+$C24)</f>
        <v>0</v>
      </c>
      <c r="AK24" s="103">
        <f t="shared" ref="AK24:AK28" si="195">AJ24*(1+$C24)</f>
        <v>0</v>
      </c>
      <c r="AL24" s="103">
        <f t="shared" ref="AL24:AL28" si="196">AK24*(0.98)</f>
        <v>0</v>
      </c>
      <c r="AM24" s="103">
        <f t="shared" ref="AM24:AM28" si="197">AL24*(1+$C24)</f>
        <v>0</v>
      </c>
      <c r="AN24" s="103">
        <f t="shared" ref="AN24:AN28" si="198">AM24*(1+$C24)</f>
        <v>0</v>
      </c>
    </row>
    <row r="25" spans="2:40" s="16" customFormat="1" ht="21" customHeight="1" x14ac:dyDescent="0.2">
      <c r="B25" s="8" t="s">
        <v>123</v>
      </c>
      <c r="C25" s="101">
        <v>0.02</v>
      </c>
      <c r="D25" s="14"/>
      <c r="E25" s="102">
        <v>1000</v>
      </c>
      <c r="F25" s="103">
        <f t="shared" si="164"/>
        <v>1020</v>
      </c>
      <c r="G25" s="103">
        <f t="shared" si="165"/>
        <v>999.6</v>
      </c>
      <c r="H25" s="103">
        <f t="shared" si="166"/>
        <v>1019.592</v>
      </c>
      <c r="I25" s="103">
        <f t="shared" si="167"/>
        <v>1039.9838400000001</v>
      </c>
      <c r="J25" s="103">
        <f t="shared" si="168"/>
        <v>1019.1841632000001</v>
      </c>
      <c r="K25" s="103">
        <f t="shared" si="169"/>
        <v>1039.567846464</v>
      </c>
      <c r="L25" s="103">
        <f t="shared" si="170"/>
        <v>1060.35920339328</v>
      </c>
      <c r="M25" s="103">
        <f t="shared" si="171"/>
        <v>1081.5663874611457</v>
      </c>
      <c r="N25" s="103">
        <f t="shared" si="172"/>
        <v>1059.9350597119228</v>
      </c>
      <c r="O25" s="103">
        <f t="shared" si="173"/>
        <v>1081.1337609061613</v>
      </c>
      <c r="P25" s="103">
        <f t="shared" si="174"/>
        <v>1102.7564361242846</v>
      </c>
      <c r="Q25" s="103">
        <f t="shared" si="175"/>
        <v>1124.8115648467704</v>
      </c>
      <c r="R25" s="103">
        <f t="shared" si="176"/>
        <v>1102.315333549835</v>
      </c>
      <c r="S25" s="103">
        <f t="shared" si="177"/>
        <v>1124.3616402208318</v>
      </c>
      <c r="T25" s="103">
        <f t="shared" si="178"/>
        <v>1146.8488730252484</v>
      </c>
      <c r="U25" s="103">
        <f t="shared" si="179"/>
        <v>1169.7858504857534</v>
      </c>
      <c r="V25" s="103">
        <f t="shared" si="180"/>
        <v>1146.3901334760383</v>
      </c>
      <c r="W25" s="103">
        <f t="shared" si="181"/>
        <v>1169.3179361455591</v>
      </c>
      <c r="X25" s="103">
        <f t="shared" si="182"/>
        <v>1192.7042948684702</v>
      </c>
      <c r="Y25" s="103">
        <f t="shared" si="183"/>
        <v>1168.8502089711008</v>
      </c>
      <c r="Z25" s="103">
        <f t="shared" si="184"/>
        <v>1192.2272131505229</v>
      </c>
      <c r="AA25" s="103">
        <f t="shared" si="185"/>
        <v>1216.0717574135333</v>
      </c>
      <c r="AB25" s="103">
        <f t="shared" si="186"/>
        <v>1191.7503222652626</v>
      </c>
      <c r="AC25" s="103">
        <f t="shared" si="187"/>
        <v>1215.5853287105679</v>
      </c>
      <c r="AD25" s="103">
        <f t="shared" si="188"/>
        <v>1191.2736221363564</v>
      </c>
      <c r="AE25" s="103">
        <f t="shared" si="189"/>
        <v>1215.0990945790836</v>
      </c>
      <c r="AF25" s="103">
        <f t="shared" si="190"/>
        <v>1190.797112687502</v>
      </c>
      <c r="AG25" s="103">
        <f t="shared" si="191"/>
        <v>1214.6130549412521</v>
      </c>
      <c r="AH25" s="103">
        <f t="shared" si="192"/>
        <v>1190.3207938424271</v>
      </c>
      <c r="AI25" s="103">
        <f t="shared" si="193"/>
        <v>1214.1272097192757</v>
      </c>
      <c r="AJ25" s="103">
        <f t="shared" si="194"/>
        <v>1238.4097539136612</v>
      </c>
      <c r="AK25" s="103">
        <f t="shared" si="195"/>
        <v>1263.1779489919345</v>
      </c>
      <c r="AL25" s="103">
        <f t="shared" si="196"/>
        <v>1237.9143900120957</v>
      </c>
      <c r="AM25" s="103">
        <f t="shared" si="197"/>
        <v>1262.6726778123377</v>
      </c>
      <c r="AN25" s="103">
        <f t="shared" si="198"/>
        <v>1287.9261313685845</v>
      </c>
    </row>
    <row r="26" spans="2:40" s="16" customFormat="1" ht="21" customHeight="1" x14ac:dyDescent="0.2">
      <c r="B26" s="8" t="s">
        <v>124</v>
      </c>
      <c r="C26" s="101">
        <v>0.03</v>
      </c>
      <c r="D26" s="14"/>
      <c r="E26" s="102">
        <v>2500</v>
      </c>
      <c r="F26" s="103">
        <f t="shared" si="164"/>
        <v>2575</v>
      </c>
      <c r="G26" s="103">
        <f t="shared" si="165"/>
        <v>2523.5</v>
      </c>
      <c r="H26" s="103">
        <f t="shared" si="166"/>
        <v>2599.2049999999999</v>
      </c>
      <c r="I26" s="103">
        <f t="shared" si="167"/>
        <v>2677.1811499999999</v>
      </c>
      <c r="J26" s="103">
        <f t="shared" si="168"/>
        <v>2623.6375269999999</v>
      </c>
      <c r="K26" s="103">
        <f t="shared" si="169"/>
        <v>2702.3466528099998</v>
      </c>
      <c r="L26" s="103">
        <f t="shared" si="170"/>
        <v>2783.4170523942998</v>
      </c>
      <c r="M26" s="103">
        <f t="shared" si="171"/>
        <v>2866.9195639661289</v>
      </c>
      <c r="N26" s="103">
        <f t="shared" si="172"/>
        <v>2809.5811726868064</v>
      </c>
      <c r="O26" s="103">
        <f t="shared" si="173"/>
        <v>2893.8686078674109</v>
      </c>
      <c r="P26" s="103">
        <f t="shared" si="174"/>
        <v>2980.6846661034333</v>
      </c>
      <c r="Q26" s="103">
        <f t="shared" si="175"/>
        <v>3070.1052060865363</v>
      </c>
      <c r="R26" s="103">
        <f t="shared" si="176"/>
        <v>3008.7031019648057</v>
      </c>
      <c r="S26" s="103">
        <f t="shared" si="177"/>
        <v>3098.9641950237501</v>
      </c>
      <c r="T26" s="103">
        <f t="shared" si="178"/>
        <v>3191.9331208744625</v>
      </c>
      <c r="U26" s="103">
        <f t="shared" si="179"/>
        <v>3287.6911145006966</v>
      </c>
      <c r="V26" s="103">
        <f t="shared" si="180"/>
        <v>3221.9372922106827</v>
      </c>
      <c r="W26" s="103">
        <f t="shared" si="181"/>
        <v>3318.5954109770032</v>
      </c>
      <c r="X26" s="103">
        <f t="shared" si="182"/>
        <v>3418.1532733063136</v>
      </c>
      <c r="Y26" s="103">
        <f t="shared" si="183"/>
        <v>3349.7902078401871</v>
      </c>
      <c r="Z26" s="103">
        <f t="shared" si="184"/>
        <v>3450.2839140753927</v>
      </c>
      <c r="AA26" s="103">
        <f t="shared" si="185"/>
        <v>3553.7924314976544</v>
      </c>
      <c r="AB26" s="103">
        <f t="shared" si="186"/>
        <v>3482.7165828677012</v>
      </c>
      <c r="AC26" s="103">
        <f t="shared" si="187"/>
        <v>3587.1980803537322</v>
      </c>
      <c r="AD26" s="103">
        <f t="shared" si="188"/>
        <v>3515.4541187466575</v>
      </c>
      <c r="AE26" s="103">
        <f t="shared" si="189"/>
        <v>3620.9177423090573</v>
      </c>
      <c r="AF26" s="103">
        <f t="shared" si="190"/>
        <v>3548.4993874628763</v>
      </c>
      <c r="AG26" s="103">
        <f t="shared" si="191"/>
        <v>3654.9543690867627</v>
      </c>
      <c r="AH26" s="103">
        <f t="shared" si="192"/>
        <v>3581.8552817050272</v>
      </c>
      <c r="AI26" s="103">
        <f t="shared" si="193"/>
        <v>3689.3109401561783</v>
      </c>
      <c r="AJ26" s="103">
        <f t="shared" si="194"/>
        <v>3799.9902683608639</v>
      </c>
      <c r="AK26" s="103">
        <f t="shared" si="195"/>
        <v>3913.9899764116899</v>
      </c>
      <c r="AL26" s="103">
        <f t="shared" si="196"/>
        <v>3835.7101768834559</v>
      </c>
      <c r="AM26" s="103">
        <f t="shared" si="197"/>
        <v>3950.7814821899597</v>
      </c>
      <c r="AN26" s="103">
        <f t="shared" si="198"/>
        <v>4069.3049266556586</v>
      </c>
    </row>
    <row r="27" spans="2:40" s="16" customFormat="1" ht="21" customHeight="1" x14ac:dyDescent="0.2">
      <c r="B27" s="8" t="s">
        <v>125</v>
      </c>
      <c r="C27" s="101">
        <v>0.03</v>
      </c>
      <c r="D27" s="14"/>
      <c r="E27" s="102">
        <v>1500</v>
      </c>
      <c r="F27" s="103">
        <f t="shared" si="164"/>
        <v>1545</v>
      </c>
      <c r="G27" s="103">
        <f t="shared" si="165"/>
        <v>1514.1</v>
      </c>
      <c r="H27" s="103">
        <f t="shared" si="166"/>
        <v>1559.5229999999999</v>
      </c>
      <c r="I27" s="103">
        <f t="shared" si="167"/>
        <v>1606.3086899999998</v>
      </c>
      <c r="J27" s="103">
        <f t="shared" si="168"/>
        <v>1574.1825161999998</v>
      </c>
      <c r="K27" s="103">
        <f t="shared" si="169"/>
        <v>1621.4079916859998</v>
      </c>
      <c r="L27" s="103">
        <f t="shared" si="170"/>
        <v>1670.0502314365799</v>
      </c>
      <c r="M27" s="103">
        <f t="shared" si="171"/>
        <v>1720.1517383796775</v>
      </c>
      <c r="N27" s="103">
        <f t="shared" si="172"/>
        <v>1685.7487036120838</v>
      </c>
      <c r="O27" s="103">
        <f t="shared" si="173"/>
        <v>1736.3211647204464</v>
      </c>
      <c r="P27" s="103">
        <f t="shared" si="174"/>
        <v>1788.4107996620598</v>
      </c>
      <c r="Q27" s="103">
        <f t="shared" si="175"/>
        <v>1842.0631236519216</v>
      </c>
      <c r="R27" s="103">
        <f t="shared" si="176"/>
        <v>1805.221861178883</v>
      </c>
      <c r="S27" s="103">
        <f t="shared" si="177"/>
        <v>1859.3785170142496</v>
      </c>
      <c r="T27" s="103">
        <f t="shared" si="178"/>
        <v>1915.1598725246772</v>
      </c>
      <c r="U27" s="103">
        <f t="shared" si="179"/>
        <v>1972.6146687004175</v>
      </c>
      <c r="V27" s="103">
        <f t="shared" si="180"/>
        <v>1933.1623753264091</v>
      </c>
      <c r="W27" s="103">
        <f t="shared" si="181"/>
        <v>1991.1572465862014</v>
      </c>
      <c r="X27" s="103">
        <f t="shared" si="182"/>
        <v>2050.8919639837873</v>
      </c>
      <c r="Y27" s="103">
        <f t="shared" si="183"/>
        <v>2009.8741247041114</v>
      </c>
      <c r="Z27" s="103">
        <f t="shared" si="184"/>
        <v>2070.1703484452346</v>
      </c>
      <c r="AA27" s="103">
        <f t="shared" si="185"/>
        <v>2132.2754588985918</v>
      </c>
      <c r="AB27" s="103">
        <f t="shared" si="186"/>
        <v>2089.6299497206201</v>
      </c>
      <c r="AC27" s="103">
        <f t="shared" si="187"/>
        <v>2152.3188482122387</v>
      </c>
      <c r="AD27" s="103">
        <f t="shared" si="188"/>
        <v>2109.272471247994</v>
      </c>
      <c r="AE27" s="103">
        <f t="shared" si="189"/>
        <v>2172.5506453854337</v>
      </c>
      <c r="AF27" s="103">
        <f t="shared" si="190"/>
        <v>2129.0996324777248</v>
      </c>
      <c r="AG27" s="103">
        <f t="shared" si="191"/>
        <v>2192.9726214520565</v>
      </c>
      <c r="AH27" s="103">
        <f t="shared" si="192"/>
        <v>2149.1131690230154</v>
      </c>
      <c r="AI27" s="103">
        <f t="shared" si="193"/>
        <v>2213.5865640937059</v>
      </c>
      <c r="AJ27" s="103">
        <f t="shared" si="194"/>
        <v>2279.994161016517</v>
      </c>
      <c r="AK27" s="103">
        <f t="shared" si="195"/>
        <v>2348.3939858470126</v>
      </c>
      <c r="AL27" s="103">
        <f t="shared" si="196"/>
        <v>2301.4261061300722</v>
      </c>
      <c r="AM27" s="103">
        <f t="shared" si="197"/>
        <v>2370.4688893139746</v>
      </c>
      <c r="AN27" s="103">
        <f t="shared" si="198"/>
        <v>2441.5829559933941</v>
      </c>
    </row>
    <row r="28" spans="2:40" s="16" customFormat="1" ht="21" customHeight="1" x14ac:dyDescent="0.2">
      <c r="B28" s="8" t="s">
        <v>126</v>
      </c>
      <c r="C28" s="101">
        <v>0.03</v>
      </c>
      <c r="D28" s="14"/>
      <c r="E28" s="102">
        <v>2000</v>
      </c>
      <c r="F28" s="103">
        <f t="shared" si="164"/>
        <v>2060</v>
      </c>
      <c r="G28" s="103">
        <f t="shared" si="165"/>
        <v>2018.8</v>
      </c>
      <c r="H28" s="103">
        <f t="shared" si="166"/>
        <v>2079.364</v>
      </c>
      <c r="I28" s="103">
        <f t="shared" si="167"/>
        <v>2141.7449200000001</v>
      </c>
      <c r="J28" s="103">
        <f t="shared" si="168"/>
        <v>2098.9100216000002</v>
      </c>
      <c r="K28" s="103">
        <f t="shared" si="169"/>
        <v>2161.8773222480004</v>
      </c>
      <c r="L28" s="103">
        <f t="shared" si="170"/>
        <v>2226.7336419154403</v>
      </c>
      <c r="M28" s="103">
        <f t="shared" si="171"/>
        <v>2293.5356511729037</v>
      </c>
      <c r="N28" s="103">
        <f t="shared" si="172"/>
        <v>2247.6649381494458</v>
      </c>
      <c r="O28" s="103">
        <f t="shared" si="173"/>
        <v>2315.0948862939294</v>
      </c>
      <c r="P28" s="103">
        <f t="shared" si="174"/>
        <v>2384.5477328827474</v>
      </c>
      <c r="Q28" s="103">
        <f t="shared" si="175"/>
        <v>2456.0841648692299</v>
      </c>
      <c r="R28" s="103">
        <f t="shared" si="176"/>
        <v>2406.9624815718453</v>
      </c>
      <c r="S28" s="103">
        <f t="shared" si="177"/>
        <v>2479.1713560190005</v>
      </c>
      <c r="T28" s="103">
        <f t="shared" si="178"/>
        <v>2553.5464966995705</v>
      </c>
      <c r="U28" s="103">
        <f t="shared" si="179"/>
        <v>2630.1528916005577</v>
      </c>
      <c r="V28" s="103">
        <f t="shared" si="180"/>
        <v>2577.5498337685467</v>
      </c>
      <c r="W28" s="103">
        <f t="shared" si="181"/>
        <v>2654.8763287816032</v>
      </c>
      <c r="X28" s="103">
        <f t="shared" si="182"/>
        <v>2734.5226186450514</v>
      </c>
      <c r="Y28" s="103">
        <f t="shared" si="183"/>
        <v>2679.8321662721501</v>
      </c>
      <c r="Z28" s="103">
        <f t="shared" si="184"/>
        <v>2760.2271312603148</v>
      </c>
      <c r="AA28" s="103">
        <f t="shared" si="185"/>
        <v>2843.0339451981245</v>
      </c>
      <c r="AB28" s="103">
        <f t="shared" si="186"/>
        <v>2786.1732662941617</v>
      </c>
      <c r="AC28" s="103">
        <f t="shared" si="187"/>
        <v>2869.7584642829866</v>
      </c>
      <c r="AD28" s="103">
        <f t="shared" si="188"/>
        <v>2812.3632949973266</v>
      </c>
      <c r="AE28" s="103">
        <f t="shared" si="189"/>
        <v>2896.7341938472464</v>
      </c>
      <c r="AF28" s="103">
        <f t="shared" si="190"/>
        <v>2838.7995099703012</v>
      </c>
      <c r="AG28" s="103">
        <f t="shared" si="191"/>
        <v>2923.9634952694105</v>
      </c>
      <c r="AH28" s="103">
        <f t="shared" si="192"/>
        <v>2865.4842253640222</v>
      </c>
      <c r="AI28" s="103">
        <f t="shared" si="193"/>
        <v>2951.448752124943</v>
      </c>
      <c r="AJ28" s="103">
        <f t="shared" si="194"/>
        <v>3039.9922146886915</v>
      </c>
      <c r="AK28" s="103">
        <f t="shared" si="195"/>
        <v>3131.1919811293524</v>
      </c>
      <c r="AL28" s="103">
        <f t="shared" si="196"/>
        <v>3068.5681415067652</v>
      </c>
      <c r="AM28" s="103">
        <f t="shared" si="197"/>
        <v>3160.6251857519683</v>
      </c>
      <c r="AN28" s="103">
        <f t="shared" si="198"/>
        <v>3255.4439413245273</v>
      </c>
    </row>
    <row r="29" spans="2:40" s="16" customFormat="1" ht="21" customHeight="1" x14ac:dyDescent="0.2">
      <c r="B29" s="7" t="s">
        <v>148</v>
      </c>
      <c r="C29" s="27"/>
      <c r="D29" s="14"/>
      <c r="E29" s="104">
        <f t="shared" ref="E29:AM29" si="199">SUM(E28, E27, E26, E25 + E24)</f>
        <v>7000</v>
      </c>
      <c r="F29" s="104">
        <f t="shared" si="199"/>
        <v>7200</v>
      </c>
      <c r="G29" s="104">
        <f t="shared" si="199"/>
        <v>7056</v>
      </c>
      <c r="H29" s="104">
        <f t="shared" si="199"/>
        <v>7257.6839999999993</v>
      </c>
      <c r="I29" s="104">
        <f t="shared" si="199"/>
        <v>7465.2185999999992</v>
      </c>
      <c r="J29" s="104">
        <f t="shared" si="199"/>
        <v>7315.9142279999996</v>
      </c>
      <c r="K29" s="104">
        <f t="shared" si="199"/>
        <v>7525.1998132080007</v>
      </c>
      <c r="L29" s="104">
        <f t="shared" si="199"/>
        <v>7740.5601291395997</v>
      </c>
      <c r="M29" s="104">
        <f t="shared" si="199"/>
        <v>7962.1733409798562</v>
      </c>
      <c r="N29" s="104">
        <f t="shared" si="199"/>
        <v>7802.9298741602588</v>
      </c>
      <c r="O29" s="104">
        <f t="shared" si="199"/>
        <v>8026.4184197879476</v>
      </c>
      <c r="P29" s="104">
        <f t="shared" si="199"/>
        <v>8256.3996347725242</v>
      </c>
      <c r="Q29" s="104">
        <f t="shared" si="199"/>
        <v>8493.0640594544584</v>
      </c>
      <c r="R29" s="104">
        <f t="shared" si="199"/>
        <v>8323.2027782653695</v>
      </c>
      <c r="S29" s="104">
        <f t="shared" si="199"/>
        <v>8561.875708277832</v>
      </c>
      <c r="T29" s="104">
        <f t="shared" si="199"/>
        <v>8807.4883631239591</v>
      </c>
      <c r="U29" s="104">
        <f t="shared" si="199"/>
        <v>9060.2445252874259</v>
      </c>
      <c r="V29" s="104">
        <f t="shared" si="199"/>
        <v>8879.0396347816768</v>
      </c>
      <c r="W29" s="104">
        <f t="shared" si="199"/>
        <v>9133.946922490366</v>
      </c>
      <c r="X29" s="104">
        <f t="shared" si="199"/>
        <v>9396.2721508036229</v>
      </c>
      <c r="Y29" s="104">
        <f t="shared" si="199"/>
        <v>9208.3467077875484</v>
      </c>
      <c r="Z29" s="104">
        <f t="shared" si="199"/>
        <v>9472.9086069314653</v>
      </c>
      <c r="AA29" s="104">
        <f t="shared" si="199"/>
        <v>9745.1735930079049</v>
      </c>
      <c r="AB29" s="104">
        <f t="shared" si="199"/>
        <v>9550.2701211477452</v>
      </c>
      <c r="AC29" s="104">
        <f t="shared" si="199"/>
        <v>9824.8607215595239</v>
      </c>
      <c r="AD29" s="104">
        <f t="shared" si="199"/>
        <v>9628.3635071283352</v>
      </c>
      <c r="AE29" s="104">
        <f t="shared" si="199"/>
        <v>9905.30167612082</v>
      </c>
      <c r="AF29" s="104">
        <f t="shared" si="199"/>
        <v>9707.1956425984044</v>
      </c>
      <c r="AG29" s="104">
        <f t="shared" si="199"/>
        <v>9986.5035407494815</v>
      </c>
      <c r="AH29" s="104">
        <f t="shared" si="199"/>
        <v>9786.7734699344928</v>
      </c>
      <c r="AI29" s="104">
        <f t="shared" si="199"/>
        <v>10068.473466094103</v>
      </c>
      <c r="AJ29" s="104">
        <f t="shared" si="199"/>
        <v>10358.386397979733</v>
      </c>
      <c r="AK29" s="104">
        <f t="shared" si="199"/>
        <v>10656.753892379991</v>
      </c>
      <c r="AL29" s="104">
        <f t="shared" si="199"/>
        <v>10443.61881453239</v>
      </c>
      <c r="AM29" s="104">
        <f t="shared" si="199"/>
        <v>10744.54823506824</v>
      </c>
      <c r="AN29" s="104">
        <f t="shared" ref="AN29" si="200">SUM(AN28, AN27, AN26, AN25 + AN24)</f>
        <v>11054.257955342164</v>
      </c>
    </row>
    <row r="30" spans="2:40" s="18" customFormat="1" ht="21" customHeight="1" x14ac:dyDescent="0.2">
      <c r="B30" s="7" t="s">
        <v>127</v>
      </c>
      <c r="C30" s="101">
        <v>0.03</v>
      </c>
      <c r="D30" s="19"/>
      <c r="E30" s="102">
        <v>0</v>
      </c>
      <c r="F30" s="103">
        <f t="shared" ref="F30:F35" si="201">E30*(1+$C30)</f>
        <v>0</v>
      </c>
      <c r="G30" s="103">
        <f t="shared" ref="G30:G35" si="202">F30*(0.98)</f>
        <v>0</v>
      </c>
      <c r="H30" s="103">
        <f t="shared" ref="H30:H35" si="203">G30*(1+$C30)</f>
        <v>0</v>
      </c>
      <c r="I30" s="103">
        <f t="shared" ref="I30:I35" si="204">H30*(1+$C30)</f>
        <v>0</v>
      </c>
      <c r="J30" s="103">
        <f t="shared" ref="J30:J35" si="205">I30*(0.98)</f>
        <v>0</v>
      </c>
      <c r="K30" s="103">
        <f t="shared" ref="K30:K35" si="206">J30*(1+$C30)</f>
        <v>0</v>
      </c>
      <c r="L30" s="103">
        <f t="shared" ref="L30:L35" si="207">K30*(1+$C30)</f>
        <v>0</v>
      </c>
      <c r="M30" s="103">
        <f t="shared" ref="M30:M35" si="208">L30*(1+$C30)</f>
        <v>0</v>
      </c>
      <c r="N30" s="103">
        <f t="shared" ref="N30:N35" si="209">M30*(0.98)</f>
        <v>0</v>
      </c>
      <c r="O30" s="103">
        <f t="shared" ref="O30:O35" si="210">N30*(1+$C30)</f>
        <v>0</v>
      </c>
      <c r="P30" s="103">
        <f t="shared" ref="P30:P35" si="211">O30*(1+$C30)</f>
        <v>0</v>
      </c>
      <c r="Q30" s="103">
        <f t="shared" ref="Q30:Q35" si="212">P30*(1+$C30)</f>
        <v>0</v>
      </c>
      <c r="R30" s="103">
        <f t="shared" ref="R30:R35" si="213">Q30*(0.98)</f>
        <v>0</v>
      </c>
      <c r="S30" s="103">
        <f t="shared" ref="S30:S35" si="214">R30*(1+$C30)</f>
        <v>0</v>
      </c>
      <c r="T30" s="103">
        <f t="shared" ref="T30:T35" si="215">S30*(1+$C30)</f>
        <v>0</v>
      </c>
      <c r="U30" s="103">
        <f t="shared" ref="U30:U35" si="216">T30*(1+$C30)</f>
        <v>0</v>
      </c>
      <c r="V30" s="103">
        <f t="shared" ref="V30:V35" si="217">U30*(0.98)</f>
        <v>0</v>
      </c>
      <c r="W30" s="103">
        <f t="shared" ref="W30:W35" si="218">V30*(1+$C30)</f>
        <v>0</v>
      </c>
      <c r="X30" s="103">
        <f t="shared" ref="X30:X35" si="219">W30*(1+$C30)</f>
        <v>0</v>
      </c>
      <c r="Y30" s="103">
        <f t="shared" ref="Y30:Y35" si="220">X30*(0.98)</f>
        <v>0</v>
      </c>
      <c r="Z30" s="103">
        <f t="shared" ref="Z30:Z35" si="221">Y30*(1+$C30)</f>
        <v>0</v>
      </c>
      <c r="AA30" s="103">
        <f t="shared" ref="AA30:AA35" si="222">Z30*(1+$C30)</f>
        <v>0</v>
      </c>
      <c r="AB30" s="103">
        <f t="shared" ref="AB30:AB35" si="223">AA30*(0.98)</f>
        <v>0</v>
      </c>
      <c r="AC30" s="103">
        <f t="shared" ref="AC30:AC35" si="224">AB30*(1+$C30)</f>
        <v>0</v>
      </c>
      <c r="AD30" s="103">
        <f t="shared" ref="AD30:AD35" si="225">AC30*(0.98)</f>
        <v>0</v>
      </c>
      <c r="AE30" s="103">
        <f t="shared" ref="AE30:AE35" si="226">AD30*(1+$C30)</f>
        <v>0</v>
      </c>
      <c r="AF30" s="103">
        <f t="shared" ref="AF30:AF35" si="227">AE30*(0.98)</f>
        <v>0</v>
      </c>
      <c r="AG30" s="103">
        <f t="shared" ref="AG30:AG35" si="228">AF30*(1+$C30)</f>
        <v>0</v>
      </c>
      <c r="AH30" s="103">
        <f t="shared" ref="AH30:AH35" si="229">AG30*(0.98)</f>
        <v>0</v>
      </c>
      <c r="AI30" s="103">
        <f t="shared" ref="AI30:AI35" si="230">AH30*(1+$C30)</f>
        <v>0</v>
      </c>
      <c r="AJ30" s="103">
        <f t="shared" ref="AJ30:AJ35" si="231">AI30*(1+$C30)</f>
        <v>0</v>
      </c>
      <c r="AK30" s="103">
        <f t="shared" ref="AK30:AK35" si="232">AJ30*(1+$C30)</f>
        <v>0</v>
      </c>
      <c r="AL30" s="103">
        <f t="shared" ref="AL30:AL35" si="233">AK30*(0.98)</f>
        <v>0</v>
      </c>
      <c r="AM30" s="103">
        <f t="shared" ref="AM30:AM35" si="234">AL30*(1+$C30)</f>
        <v>0</v>
      </c>
      <c r="AN30" s="103">
        <f t="shared" ref="AN30:AN35" si="235">AM30*(1+$C30)</f>
        <v>0</v>
      </c>
    </row>
    <row r="31" spans="2:40" s="16" customFormat="1" ht="21" customHeight="1" x14ac:dyDescent="0.2">
      <c r="B31" s="8" t="s">
        <v>128</v>
      </c>
      <c r="C31" s="101">
        <v>0.05</v>
      </c>
      <c r="D31" s="14"/>
      <c r="E31" s="102">
        <v>5000</v>
      </c>
      <c r="F31" s="103">
        <f t="shared" si="201"/>
        <v>5250</v>
      </c>
      <c r="G31" s="103">
        <f t="shared" si="202"/>
        <v>5145</v>
      </c>
      <c r="H31" s="103">
        <f t="shared" ref="H31:J31" si="236">G31*(0.9)</f>
        <v>4630.5</v>
      </c>
      <c r="I31" s="103">
        <f t="shared" si="236"/>
        <v>4167.45</v>
      </c>
      <c r="J31" s="103">
        <f t="shared" si="236"/>
        <v>3750.7049999999999</v>
      </c>
      <c r="K31" s="103">
        <f t="shared" si="206"/>
        <v>3938.2402500000003</v>
      </c>
      <c r="L31" s="103">
        <f t="shared" si="207"/>
        <v>4135.1522625000007</v>
      </c>
      <c r="M31" s="103">
        <f t="shared" si="208"/>
        <v>4341.9098756250005</v>
      </c>
      <c r="N31" s="103">
        <f t="shared" si="209"/>
        <v>4255.0716781125002</v>
      </c>
      <c r="O31" s="103">
        <f t="shared" si="210"/>
        <v>4467.8252620181256</v>
      </c>
      <c r="P31" s="103">
        <f t="shared" si="211"/>
        <v>4691.2165251190318</v>
      </c>
      <c r="Q31" s="103">
        <f t="shared" si="212"/>
        <v>4925.7773513749835</v>
      </c>
      <c r="R31" s="103">
        <f t="shared" si="213"/>
        <v>4827.261804347484</v>
      </c>
      <c r="S31" s="103">
        <f t="shared" ref="S31:T31" si="237">R31*(0.9)</f>
        <v>4344.5356239127359</v>
      </c>
      <c r="T31" s="103">
        <f t="shared" si="237"/>
        <v>3910.0820615214625</v>
      </c>
      <c r="U31" s="103">
        <f t="shared" si="216"/>
        <v>4105.5861645975356</v>
      </c>
      <c r="V31" s="103">
        <f t="shared" si="217"/>
        <v>4023.4744413055846</v>
      </c>
      <c r="W31" s="103">
        <f t="shared" si="218"/>
        <v>4224.6481633708636</v>
      </c>
      <c r="X31" s="103">
        <f t="shared" si="219"/>
        <v>4435.8805715394074</v>
      </c>
      <c r="Y31" s="103">
        <f t="shared" si="220"/>
        <v>4347.1629601086188</v>
      </c>
      <c r="Z31" s="103">
        <f t="shared" ref="Z31:AB31" si="238">Y31*(0.9)</f>
        <v>3912.4466640977571</v>
      </c>
      <c r="AA31" s="103">
        <f t="shared" si="238"/>
        <v>3521.2019976879815</v>
      </c>
      <c r="AB31" s="103">
        <f t="shared" si="238"/>
        <v>3169.0817979191834</v>
      </c>
      <c r="AC31" s="103">
        <f t="shared" si="224"/>
        <v>3327.5358878151428</v>
      </c>
      <c r="AD31" s="103">
        <f t="shared" si="225"/>
        <v>3260.9851700588397</v>
      </c>
      <c r="AE31" s="103">
        <f t="shared" si="226"/>
        <v>3424.0344285617816</v>
      </c>
      <c r="AF31" s="103">
        <f t="shared" si="227"/>
        <v>3355.5537399905461</v>
      </c>
      <c r="AG31" s="103">
        <f t="shared" si="228"/>
        <v>3523.3314269900734</v>
      </c>
      <c r="AH31" s="103">
        <f t="shared" ref="AH31:AJ31" si="239">AG31*(0.9)</f>
        <v>3170.9982842910663</v>
      </c>
      <c r="AI31" s="103">
        <f t="shared" si="239"/>
        <v>2853.8984558619595</v>
      </c>
      <c r="AJ31" s="103">
        <f t="shared" si="239"/>
        <v>2568.5086102757637</v>
      </c>
      <c r="AK31" s="103">
        <f t="shared" si="232"/>
        <v>2696.934040789552</v>
      </c>
      <c r="AL31" s="103">
        <f t="shared" si="233"/>
        <v>2642.995359973761</v>
      </c>
      <c r="AM31" s="103">
        <f t="shared" si="234"/>
        <v>2775.1451279724492</v>
      </c>
      <c r="AN31" s="103">
        <f t="shared" si="235"/>
        <v>2913.902384371072</v>
      </c>
    </row>
    <row r="32" spans="2:40" s="16" customFormat="1" ht="21" customHeight="1" x14ac:dyDescent="0.2">
      <c r="B32" s="8" t="s">
        <v>129</v>
      </c>
      <c r="C32" s="101">
        <v>0.03</v>
      </c>
      <c r="D32" s="14"/>
      <c r="E32" s="102">
        <v>500</v>
      </c>
      <c r="F32" s="103">
        <f t="shared" si="201"/>
        <v>515</v>
      </c>
      <c r="G32" s="103">
        <f t="shared" si="202"/>
        <v>504.7</v>
      </c>
      <c r="H32" s="103">
        <f t="shared" si="203"/>
        <v>519.84100000000001</v>
      </c>
      <c r="I32" s="103">
        <f t="shared" si="204"/>
        <v>535.43623000000002</v>
      </c>
      <c r="J32" s="103">
        <f t="shared" si="205"/>
        <v>524.72750540000004</v>
      </c>
      <c r="K32" s="103">
        <f t="shared" si="206"/>
        <v>540.4693305620001</v>
      </c>
      <c r="L32" s="103">
        <f t="shared" si="207"/>
        <v>556.68341047886008</v>
      </c>
      <c r="M32" s="103">
        <f t="shared" si="208"/>
        <v>573.38391279322593</v>
      </c>
      <c r="N32" s="103">
        <f t="shared" si="209"/>
        <v>561.91623453736145</v>
      </c>
      <c r="O32" s="103">
        <f t="shared" si="210"/>
        <v>578.77372157348236</v>
      </c>
      <c r="P32" s="103">
        <f t="shared" si="211"/>
        <v>596.13693322068684</v>
      </c>
      <c r="Q32" s="103">
        <f t="shared" si="212"/>
        <v>614.02104121730747</v>
      </c>
      <c r="R32" s="103">
        <f t="shared" si="213"/>
        <v>601.74062039296132</v>
      </c>
      <c r="S32" s="103">
        <f t="shared" si="214"/>
        <v>619.79283900475014</v>
      </c>
      <c r="T32" s="103">
        <f t="shared" si="215"/>
        <v>638.38662417489263</v>
      </c>
      <c r="U32" s="103">
        <f t="shared" si="216"/>
        <v>657.53822290013943</v>
      </c>
      <c r="V32" s="103">
        <f t="shared" si="217"/>
        <v>644.38745844213668</v>
      </c>
      <c r="W32" s="103">
        <f t="shared" si="218"/>
        <v>663.7190821954008</v>
      </c>
      <c r="X32" s="103">
        <f t="shared" si="219"/>
        <v>683.63065466126284</v>
      </c>
      <c r="Y32" s="103">
        <f t="shared" si="220"/>
        <v>669.95804156803752</v>
      </c>
      <c r="Z32" s="103">
        <f t="shared" si="221"/>
        <v>690.05678281507869</v>
      </c>
      <c r="AA32" s="103">
        <f t="shared" si="222"/>
        <v>710.75848629953111</v>
      </c>
      <c r="AB32" s="103">
        <f t="shared" si="223"/>
        <v>696.54331657354044</v>
      </c>
      <c r="AC32" s="103">
        <f t="shared" si="224"/>
        <v>717.43961607074664</v>
      </c>
      <c r="AD32" s="103">
        <f t="shared" si="225"/>
        <v>703.09082374933166</v>
      </c>
      <c r="AE32" s="103">
        <f t="shared" si="226"/>
        <v>724.1835484618116</v>
      </c>
      <c r="AF32" s="103">
        <f t="shared" si="227"/>
        <v>709.6998774925753</v>
      </c>
      <c r="AG32" s="103">
        <f t="shared" si="228"/>
        <v>730.99087381735262</v>
      </c>
      <c r="AH32" s="103">
        <f t="shared" si="229"/>
        <v>716.37105634100556</v>
      </c>
      <c r="AI32" s="103">
        <f t="shared" si="230"/>
        <v>737.86218803123575</v>
      </c>
      <c r="AJ32" s="103">
        <f t="shared" si="231"/>
        <v>759.99805367217289</v>
      </c>
      <c r="AK32" s="103">
        <f t="shared" si="232"/>
        <v>782.79799528233809</v>
      </c>
      <c r="AL32" s="103">
        <f t="shared" si="233"/>
        <v>767.1420353766913</v>
      </c>
      <c r="AM32" s="103">
        <f t="shared" si="234"/>
        <v>790.15629643799207</v>
      </c>
      <c r="AN32" s="103">
        <f t="shared" si="235"/>
        <v>813.86098533113181</v>
      </c>
    </row>
    <row r="33" spans="2:40" s="16" customFormat="1" ht="21" customHeight="1" x14ac:dyDescent="0.2">
      <c r="B33" s="8" t="s">
        <v>130</v>
      </c>
      <c r="C33" s="101">
        <v>0.03</v>
      </c>
      <c r="D33" s="14"/>
      <c r="E33" s="102">
        <v>450</v>
      </c>
      <c r="F33" s="103">
        <f t="shared" si="201"/>
        <v>463.5</v>
      </c>
      <c r="G33" s="103">
        <f t="shared" si="202"/>
        <v>454.23</v>
      </c>
      <c r="H33" s="103">
        <f t="shared" si="203"/>
        <v>467.85690000000005</v>
      </c>
      <c r="I33" s="103">
        <f t="shared" si="204"/>
        <v>481.89260700000005</v>
      </c>
      <c r="J33" s="103">
        <f t="shared" si="205"/>
        <v>472.25475486000005</v>
      </c>
      <c r="K33" s="103">
        <f t="shared" si="206"/>
        <v>486.42239750580006</v>
      </c>
      <c r="L33" s="103">
        <f t="shared" si="207"/>
        <v>501.01506943097405</v>
      </c>
      <c r="M33" s="103">
        <f t="shared" si="208"/>
        <v>516.04552151390328</v>
      </c>
      <c r="N33" s="103">
        <f t="shared" si="209"/>
        <v>505.72461108362523</v>
      </c>
      <c r="O33" s="103">
        <f t="shared" si="210"/>
        <v>520.89634941613406</v>
      </c>
      <c r="P33" s="103">
        <f t="shared" si="211"/>
        <v>536.52323989861804</v>
      </c>
      <c r="Q33" s="103">
        <f t="shared" si="212"/>
        <v>552.6189370955766</v>
      </c>
      <c r="R33" s="103">
        <f t="shared" si="213"/>
        <v>541.56655835366507</v>
      </c>
      <c r="S33" s="103">
        <f t="shared" si="214"/>
        <v>557.813555104275</v>
      </c>
      <c r="T33" s="103">
        <f t="shared" si="215"/>
        <v>574.5479617574033</v>
      </c>
      <c r="U33" s="103">
        <f t="shared" si="216"/>
        <v>591.78440061012543</v>
      </c>
      <c r="V33" s="103">
        <f t="shared" si="217"/>
        <v>579.94871259792296</v>
      </c>
      <c r="W33" s="103">
        <f t="shared" si="218"/>
        <v>597.34717397586064</v>
      </c>
      <c r="X33" s="103">
        <f t="shared" si="219"/>
        <v>615.26758919513645</v>
      </c>
      <c r="Y33" s="103">
        <f t="shared" si="220"/>
        <v>602.96223741123367</v>
      </c>
      <c r="Z33" s="103">
        <f t="shared" si="221"/>
        <v>621.05110453357065</v>
      </c>
      <c r="AA33" s="103">
        <f t="shared" si="222"/>
        <v>639.68263766957784</v>
      </c>
      <c r="AB33" s="103">
        <f t="shared" si="223"/>
        <v>626.88898491618625</v>
      </c>
      <c r="AC33" s="103">
        <f t="shared" si="224"/>
        <v>645.69565446367187</v>
      </c>
      <c r="AD33" s="103">
        <f t="shared" si="225"/>
        <v>632.78174137439839</v>
      </c>
      <c r="AE33" s="103">
        <f t="shared" si="226"/>
        <v>651.76519361563032</v>
      </c>
      <c r="AF33" s="103">
        <f t="shared" si="227"/>
        <v>638.7298897433177</v>
      </c>
      <c r="AG33" s="103">
        <f t="shared" si="228"/>
        <v>657.89178643561729</v>
      </c>
      <c r="AH33" s="103">
        <f t="shared" si="229"/>
        <v>644.73395070690492</v>
      </c>
      <c r="AI33" s="103">
        <f t="shared" si="230"/>
        <v>664.07596922811206</v>
      </c>
      <c r="AJ33" s="103">
        <f t="shared" si="231"/>
        <v>683.99824830495538</v>
      </c>
      <c r="AK33" s="103">
        <f t="shared" si="232"/>
        <v>704.51819575410411</v>
      </c>
      <c r="AL33" s="103">
        <f t="shared" si="233"/>
        <v>690.42783183902202</v>
      </c>
      <c r="AM33" s="103">
        <f t="shared" si="234"/>
        <v>711.14066679419273</v>
      </c>
      <c r="AN33" s="103">
        <f t="shared" si="235"/>
        <v>732.47488679801847</v>
      </c>
    </row>
    <row r="34" spans="2:40" s="16" customFormat="1" ht="21" customHeight="1" x14ac:dyDescent="0.2">
      <c r="B34" s="8" t="s">
        <v>131</v>
      </c>
      <c r="C34" s="101">
        <v>0.05</v>
      </c>
      <c r="D34" s="14"/>
      <c r="E34" s="102">
        <v>50</v>
      </c>
      <c r="F34" s="103">
        <f t="shared" si="201"/>
        <v>52.5</v>
      </c>
      <c r="G34" s="103">
        <f t="shared" si="202"/>
        <v>51.449999999999996</v>
      </c>
      <c r="H34" s="103">
        <f t="shared" si="203"/>
        <v>54.022500000000001</v>
      </c>
      <c r="I34" s="103">
        <f t="shared" si="204"/>
        <v>56.723625000000006</v>
      </c>
      <c r="J34" s="103">
        <f t="shared" si="205"/>
        <v>55.589152500000004</v>
      </c>
      <c r="K34" s="103">
        <f t="shared" si="206"/>
        <v>58.368610125000004</v>
      </c>
      <c r="L34" s="103">
        <f t="shared" si="207"/>
        <v>61.287040631250008</v>
      </c>
      <c r="M34" s="103">
        <f t="shared" si="208"/>
        <v>64.351392662812515</v>
      </c>
      <c r="N34" s="103">
        <f t="shared" si="209"/>
        <v>63.064364809556267</v>
      </c>
      <c r="O34" s="103">
        <f t="shared" si="210"/>
        <v>66.217583050034079</v>
      </c>
      <c r="P34" s="103">
        <f t="shared" si="211"/>
        <v>69.528462202535792</v>
      </c>
      <c r="Q34" s="103">
        <f t="shared" si="212"/>
        <v>73.00488531266258</v>
      </c>
      <c r="R34" s="103">
        <f t="shared" si="213"/>
        <v>71.544787606409329</v>
      </c>
      <c r="S34" s="103">
        <f t="shared" si="214"/>
        <v>75.122026986729793</v>
      </c>
      <c r="T34" s="103">
        <f t="shared" si="215"/>
        <v>78.878128336066283</v>
      </c>
      <c r="U34" s="103">
        <f t="shared" si="216"/>
        <v>82.822034752869598</v>
      </c>
      <c r="V34" s="103">
        <f t="shared" si="217"/>
        <v>81.1655940578122</v>
      </c>
      <c r="W34" s="103">
        <f t="shared" si="218"/>
        <v>85.223873760702816</v>
      </c>
      <c r="X34" s="103">
        <f t="shared" si="219"/>
        <v>89.485067448737965</v>
      </c>
      <c r="Y34" s="103">
        <f t="shared" si="220"/>
        <v>87.695366099763206</v>
      </c>
      <c r="Z34" s="103">
        <f t="shared" si="221"/>
        <v>92.080134404751377</v>
      </c>
      <c r="AA34" s="103">
        <f t="shared" si="222"/>
        <v>96.684141124988955</v>
      </c>
      <c r="AB34" s="103">
        <f t="shared" si="223"/>
        <v>94.750458302489179</v>
      </c>
      <c r="AC34" s="103">
        <f t="shared" si="224"/>
        <v>99.487981217613637</v>
      </c>
      <c r="AD34" s="103">
        <f t="shared" si="225"/>
        <v>97.498221593261363</v>
      </c>
      <c r="AE34" s="103">
        <f t="shared" si="226"/>
        <v>102.37313267292444</v>
      </c>
      <c r="AF34" s="103">
        <f t="shared" si="227"/>
        <v>100.32567001946595</v>
      </c>
      <c r="AG34" s="103">
        <f t="shared" si="228"/>
        <v>105.34195352043925</v>
      </c>
      <c r="AH34" s="103">
        <f t="shared" si="229"/>
        <v>103.23511445003047</v>
      </c>
      <c r="AI34" s="103">
        <f t="shared" si="230"/>
        <v>108.39687017253199</v>
      </c>
      <c r="AJ34" s="103">
        <f t="shared" si="231"/>
        <v>113.81671368115859</v>
      </c>
      <c r="AK34" s="103">
        <f t="shared" si="232"/>
        <v>119.50754936521652</v>
      </c>
      <c r="AL34" s="103">
        <f t="shared" si="233"/>
        <v>117.11739837791218</v>
      </c>
      <c r="AM34" s="103">
        <f t="shared" si="234"/>
        <v>122.9732682968078</v>
      </c>
      <c r="AN34" s="103">
        <f t="shared" si="235"/>
        <v>129.12193171164819</v>
      </c>
    </row>
    <row r="35" spans="2:40" s="16" customFormat="1" ht="21" customHeight="1" x14ac:dyDescent="0.2">
      <c r="B35" s="8" t="s">
        <v>132</v>
      </c>
      <c r="C35" s="101">
        <v>0.03</v>
      </c>
      <c r="D35" s="14"/>
      <c r="E35" s="102">
        <v>0</v>
      </c>
      <c r="F35" s="103">
        <f t="shared" si="201"/>
        <v>0</v>
      </c>
      <c r="G35" s="103">
        <f t="shared" si="202"/>
        <v>0</v>
      </c>
      <c r="H35" s="103">
        <f t="shared" si="203"/>
        <v>0</v>
      </c>
      <c r="I35" s="103">
        <f t="shared" si="204"/>
        <v>0</v>
      </c>
      <c r="J35" s="103">
        <f t="shared" si="205"/>
        <v>0</v>
      </c>
      <c r="K35" s="103">
        <f t="shared" si="206"/>
        <v>0</v>
      </c>
      <c r="L35" s="103">
        <f t="shared" si="207"/>
        <v>0</v>
      </c>
      <c r="M35" s="103">
        <f t="shared" si="208"/>
        <v>0</v>
      </c>
      <c r="N35" s="103">
        <f t="shared" si="209"/>
        <v>0</v>
      </c>
      <c r="O35" s="103">
        <f t="shared" si="210"/>
        <v>0</v>
      </c>
      <c r="P35" s="103">
        <f t="shared" si="211"/>
        <v>0</v>
      </c>
      <c r="Q35" s="103">
        <f t="shared" si="212"/>
        <v>0</v>
      </c>
      <c r="R35" s="103">
        <f t="shared" si="213"/>
        <v>0</v>
      </c>
      <c r="S35" s="103">
        <f t="shared" si="214"/>
        <v>0</v>
      </c>
      <c r="T35" s="103">
        <f t="shared" si="215"/>
        <v>0</v>
      </c>
      <c r="U35" s="103">
        <f t="shared" si="216"/>
        <v>0</v>
      </c>
      <c r="V35" s="103">
        <f t="shared" si="217"/>
        <v>0</v>
      </c>
      <c r="W35" s="103">
        <f t="shared" si="218"/>
        <v>0</v>
      </c>
      <c r="X35" s="103">
        <f t="shared" si="219"/>
        <v>0</v>
      </c>
      <c r="Y35" s="103">
        <f t="shared" si="220"/>
        <v>0</v>
      </c>
      <c r="Z35" s="103">
        <f t="shared" si="221"/>
        <v>0</v>
      </c>
      <c r="AA35" s="103">
        <f t="shared" si="222"/>
        <v>0</v>
      </c>
      <c r="AB35" s="103">
        <f t="shared" si="223"/>
        <v>0</v>
      </c>
      <c r="AC35" s="103">
        <f t="shared" si="224"/>
        <v>0</v>
      </c>
      <c r="AD35" s="103">
        <f t="shared" si="225"/>
        <v>0</v>
      </c>
      <c r="AE35" s="103">
        <f t="shared" si="226"/>
        <v>0</v>
      </c>
      <c r="AF35" s="103">
        <f t="shared" si="227"/>
        <v>0</v>
      </c>
      <c r="AG35" s="103">
        <f t="shared" si="228"/>
        <v>0</v>
      </c>
      <c r="AH35" s="103">
        <f t="shared" si="229"/>
        <v>0</v>
      </c>
      <c r="AI35" s="103">
        <f t="shared" si="230"/>
        <v>0</v>
      </c>
      <c r="AJ35" s="103">
        <f t="shared" si="231"/>
        <v>0</v>
      </c>
      <c r="AK35" s="103">
        <f t="shared" si="232"/>
        <v>0</v>
      </c>
      <c r="AL35" s="103">
        <f t="shared" si="233"/>
        <v>0</v>
      </c>
      <c r="AM35" s="103">
        <f t="shared" si="234"/>
        <v>0</v>
      </c>
      <c r="AN35" s="103">
        <f t="shared" si="235"/>
        <v>0</v>
      </c>
    </row>
    <row r="36" spans="2:40" s="16" customFormat="1" ht="21" customHeight="1" x14ac:dyDescent="0.2">
      <c r="B36" s="7" t="s">
        <v>149</v>
      </c>
      <c r="C36" s="27"/>
      <c r="D36" s="14"/>
      <c r="E36" s="104">
        <f t="shared" ref="E36:AM36" si="240">SUM(E35, E34, E33, E32, E31 + E30)</f>
        <v>6000</v>
      </c>
      <c r="F36" s="104">
        <f t="shared" si="240"/>
        <v>6281</v>
      </c>
      <c r="G36" s="104">
        <f t="shared" si="240"/>
        <v>6155.38</v>
      </c>
      <c r="H36" s="104">
        <f t="shared" si="240"/>
        <v>5672.2204000000002</v>
      </c>
      <c r="I36" s="104">
        <f t="shared" si="240"/>
        <v>5241.5024620000004</v>
      </c>
      <c r="J36" s="104">
        <f t="shared" si="240"/>
        <v>4803.2764127600003</v>
      </c>
      <c r="K36" s="104">
        <f t="shared" si="240"/>
        <v>5023.5005881928009</v>
      </c>
      <c r="L36" s="104">
        <f t="shared" si="240"/>
        <v>5254.1377830410847</v>
      </c>
      <c r="M36" s="104">
        <f t="shared" si="240"/>
        <v>5495.6907025949422</v>
      </c>
      <c r="N36" s="104">
        <f t="shared" si="240"/>
        <v>5385.7768885430432</v>
      </c>
      <c r="O36" s="104">
        <f t="shared" si="240"/>
        <v>5633.7129160577761</v>
      </c>
      <c r="P36" s="104">
        <f t="shared" si="240"/>
        <v>5893.4051604408724</v>
      </c>
      <c r="Q36" s="104">
        <f t="shared" si="240"/>
        <v>6165.4222150005298</v>
      </c>
      <c r="R36" s="104">
        <f t="shared" si="240"/>
        <v>6042.11377070052</v>
      </c>
      <c r="S36" s="104">
        <f t="shared" si="240"/>
        <v>5597.2640450084909</v>
      </c>
      <c r="T36" s="104">
        <f t="shared" si="240"/>
        <v>5201.894775789825</v>
      </c>
      <c r="U36" s="104">
        <f t="shared" si="240"/>
        <v>5437.7308228606698</v>
      </c>
      <c r="V36" s="104">
        <f t="shared" si="240"/>
        <v>5328.9762064034567</v>
      </c>
      <c r="W36" s="104">
        <f t="shared" si="240"/>
        <v>5570.9382933028282</v>
      </c>
      <c r="X36" s="104">
        <f t="shared" si="240"/>
        <v>5824.2638828445452</v>
      </c>
      <c r="Y36" s="104">
        <f t="shared" si="240"/>
        <v>5707.7786051876537</v>
      </c>
      <c r="Z36" s="104">
        <f t="shared" si="240"/>
        <v>5315.6346858511579</v>
      </c>
      <c r="AA36" s="104">
        <f t="shared" si="240"/>
        <v>4968.3272627820788</v>
      </c>
      <c r="AB36" s="104">
        <f t="shared" si="240"/>
        <v>4587.264557711399</v>
      </c>
      <c r="AC36" s="104">
        <f t="shared" si="240"/>
        <v>4790.1591395671749</v>
      </c>
      <c r="AD36" s="104">
        <f t="shared" si="240"/>
        <v>4694.3559567758311</v>
      </c>
      <c r="AE36" s="104">
        <f t="shared" si="240"/>
        <v>4902.3563033121482</v>
      </c>
      <c r="AF36" s="104">
        <f t="shared" si="240"/>
        <v>4804.3091772459047</v>
      </c>
      <c r="AG36" s="104">
        <f t="shared" si="240"/>
        <v>5017.5560407634821</v>
      </c>
      <c r="AH36" s="104">
        <f t="shared" si="240"/>
        <v>4635.3384057890071</v>
      </c>
      <c r="AI36" s="104">
        <f t="shared" si="240"/>
        <v>4364.2334832938395</v>
      </c>
      <c r="AJ36" s="104">
        <f t="shared" si="240"/>
        <v>4126.3216259340506</v>
      </c>
      <c r="AK36" s="104">
        <f t="shared" si="240"/>
        <v>4303.7577811912106</v>
      </c>
      <c r="AL36" s="104">
        <f t="shared" si="240"/>
        <v>4217.6826255673859</v>
      </c>
      <c r="AM36" s="104">
        <f t="shared" si="240"/>
        <v>4399.4153595014413</v>
      </c>
      <c r="AN36" s="104">
        <f t="shared" ref="AN36" si="241">SUM(AN35, AN34, AN33, AN32, AN31 + AN30)</f>
        <v>4589.360188211871</v>
      </c>
    </row>
    <row r="37" spans="2:40" s="16" customFormat="1" ht="21" customHeight="1" x14ac:dyDescent="0.2">
      <c r="B37" s="8" t="s">
        <v>133</v>
      </c>
      <c r="C37" s="101">
        <v>0.05</v>
      </c>
      <c r="D37" s="14"/>
      <c r="E37" s="102">
        <v>150</v>
      </c>
      <c r="F37" s="103">
        <f t="shared" ref="F37:F41" si="242">E37*(1+$C37)</f>
        <v>157.5</v>
      </c>
      <c r="G37" s="103">
        <f t="shared" ref="G37:G41" si="243">F37*(0.98)</f>
        <v>154.35</v>
      </c>
      <c r="H37" s="103">
        <f t="shared" ref="H37:H41" si="244">G37*(1+$C37)</f>
        <v>162.0675</v>
      </c>
      <c r="I37" s="103">
        <f t="shared" ref="I37:I41" si="245">H37*(1+$C37)</f>
        <v>170.170875</v>
      </c>
      <c r="J37" s="103">
        <f t="shared" ref="J37:J41" si="246">I37*(0.98)</f>
        <v>166.76745750000001</v>
      </c>
      <c r="K37" s="103">
        <f t="shared" ref="K37:K41" si="247">J37*(1+$C37)</f>
        <v>175.10583037500001</v>
      </c>
      <c r="L37" s="103">
        <f t="shared" ref="L37:L41" si="248">K37*(1+$C37)</f>
        <v>183.86112189375001</v>
      </c>
      <c r="M37" s="103">
        <f t="shared" ref="M37:M41" si="249">L37*(1+$C37)</f>
        <v>193.05417798843752</v>
      </c>
      <c r="N37" s="103">
        <f t="shared" ref="N37:N41" si="250">M37*(0.98)</f>
        <v>189.19309442866876</v>
      </c>
      <c r="O37" s="103">
        <f t="shared" ref="O37:O41" si="251">N37*(1+$C37)</f>
        <v>198.65274915010221</v>
      </c>
      <c r="P37" s="103">
        <f t="shared" ref="P37:P41" si="252">O37*(1+$C37)</f>
        <v>208.58538660760732</v>
      </c>
      <c r="Q37" s="103">
        <f t="shared" ref="Q37:Q41" si="253">P37*(1+$C37)</f>
        <v>219.0146559379877</v>
      </c>
      <c r="R37" s="103">
        <f t="shared" ref="R37:R41" si="254">Q37*(0.98)</f>
        <v>214.63436281922793</v>
      </c>
      <c r="S37" s="103">
        <f t="shared" ref="S37:S41" si="255">R37*(1+$C37)</f>
        <v>225.36608096018935</v>
      </c>
      <c r="T37" s="103">
        <f t="shared" ref="T37:T41" si="256">S37*(1+$C37)</f>
        <v>236.63438500819882</v>
      </c>
      <c r="U37" s="103">
        <f t="shared" ref="U37:U41" si="257">T37*(1+$C37)</f>
        <v>248.46610425860877</v>
      </c>
      <c r="V37" s="103">
        <f t="shared" ref="V37:V41" si="258">U37*(0.98)</f>
        <v>243.4967821734366</v>
      </c>
      <c r="W37" s="103">
        <f t="shared" ref="W37:W41" si="259">V37*(1+$C37)</f>
        <v>255.67162128210845</v>
      </c>
      <c r="X37" s="103">
        <f t="shared" ref="X37:X41" si="260">W37*(1+$C37)</f>
        <v>268.45520234621387</v>
      </c>
      <c r="Y37" s="103">
        <f t="shared" ref="Y37:Y41" si="261">X37*(0.98)</f>
        <v>263.08609829928957</v>
      </c>
      <c r="Z37" s="103">
        <f t="shared" ref="Z37:Z41" si="262">Y37*(1+$C37)</f>
        <v>276.24040321425406</v>
      </c>
      <c r="AA37" s="103">
        <f t="shared" ref="AA37:AA41" si="263">Z37*(1+$C37)</f>
        <v>290.05242337496679</v>
      </c>
      <c r="AB37" s="103">
        <f t="shared" ref="AB37:AB41" si="264">AA37*(0.98)</f>
        <v>284.25137490746744</v>
      </c>
      <c r="AC37" s="103">
        <f t="shared" ref="AC37:AC41" si="265">AB37*(1+$C37)</f>
        <v>298.46394365284084</v>
      </c>
      <c r="AD37" s="103">
        <f t="shared" ref="AD37:AD41" si="266">AC37*(0.98)</f>
        <v>292.49466477978405</v>
      </c>
      <c r="AE37" s="103">
        <f t="shared" ref="AE37:AE41" si="267">AD37*(1+$C37)</f>
        <v>307.11939801877327</v>
      </c>
      <c r="AF37" s="103">
        <f t="shared" ref="AF37:AF41" si="268">AE37*(0.98)</f>
        <v>300.97701005839781</v>
      </c>
      <c r="AG37" s="103">
        <f t="shared" ref="AG37:AG41" si="269">AF37*(1+$C37)</f>
        <v>316.0258605613177</v>
      </c>
      <c r="AH37" s="103">
        <f t="shared" ref="AH37:AH41" si="270">AG37*(0.98)</f>
        <v>309.70534335009137</v>
      </c>
      <c r="AI37" s="103">
        <f t="shared" ref="AI37:AI41" si="271">AH37*(1+$C37)</f>
        <v>325.19061051759593</v>
      </c>
      <c r="AJ37" s="103">
        <f t="shared" ref="AJ37:AJ41" si="272">AI37*(1+$C37)</f>
        <v>341.45014104347575</v>
      </c>
      <c r="AK37" s="103">
        <f t="shared" ref="AK37:AK41" si="273">AJ37*(1+$C37)</f>
        <v>358.52264809564957</v>
      </c>
      <c r="AL37" s="103">
        <f t="shared" ref="AL37:AL41" si="274">AK37*(0.98)</f>
        <v>351.35219513373659</v>
      </c>
      <c r="AM37" s="103">
        <f t="shared" ref="AM37:AM41" si="275">AL37*(1+$C37)</f>
        <v>368.91980489042345</v>
      </c>
      <c r="AN37" s="103">
        <f t="shared" ref="AN37:AN41" si="276">AM37*(1+$C37)</f>
        <v>387.36579513494462</v>
      </c>
    </row>
    <row r="38" spans="2:40" s="18" customFormat="1" ht="21" customHeight="1" x14ac:dyDescent="0.2">
      <c r="B38" s="7" t="s">
        <v>134</v>
      </c>
      <c r="C38" s="101">
        <v>0.03</v>
      </c>
      <c r="D38" s="19"/>
      <c r="E38" s="102">
        <v>0</v>
      </c>
      <c r="F38" s="103">
        <f t="shared" si="242"/>
        <v>0</v>
      </c>
      <c r="G38" s="103">
        <f t="shared" si="243"/>
        <v>0</v>
      </c>
      <c r="H38" s="103">
        <f t="shared" si="244"/>
        <v>0</v>
      </c>
      <c r="I38" s="103">
        <f t="shared" si="245"/>
        <v>0</v>
      </c>
      <c r="J38" s="103">
        <f t="shared" si="246"/>
        <v>0</v>
      </c>
      <c r="K38" s="103">
        <f t="shared" si="247"/>
        <v>0</v>
      </c>
      <c r="L38" s="103">
        <f t="shared" si="248"/>
        <v>0</v>
      </c>
      <c r="M38" s="103">
        <f t="shared" si="249"/>
        <v>0</v>
      </c>
      <c r="N38" s="103">
        <f t="shared" si="250"/>
        <v>0</v>
      </c>
      <c r="O38" s="103">
        <f t="shared" si="251"/>
        <v>0</v>
      </c>
      <c r="P38" s="103">
        <f t="shared" si="252"/>
        <v>0</v>
      </c>
      <c r="Q38" s="103">
        <f t="shared" si="253"/>
        <v>0</v>
      </c>
      <c r="R38" s="103">
        <f t="shared" si="254"/>
        <v>0</v>
      </c>
      <c r="S38" s="103">
        <f t="shared" si="255"/>
        <v>0</v>
      </c>
      <c r="T38" s="103">
        <f t="shared" si="256"/>
        <v>0</v>
      </c>
      <c r="U38" s="103">
        <f t="shared" si="257"/>
        <v>0</v>
      </c>
      <c r="V38" s="103">
        <f t="shared" si="258"/>
        <v>0</v>
      </c>
      <c r="W38" s="103">
        <f t="shared" si="259"/>
        <v>0</v>
      </c>
      <c r="X38" s="103">
        <f t="shared" si="260"/>
        <v>0</v>
      </c>
      <c r="Y38" s="103">
        <f t="shared" si="261"/>
        <v>0</v>
      </c>
      <c r="Z38" s="103">
        <f t="shared" si="262"/>
        <v>0</v>
      </c>
      <c r="AA38" s="103">
        <f t="shared" si="263"/>
        <v>0</v>
      </c>
      <c r="AB38" s="103">
        <f t="shared" si="264"/>
        <v>0</v>
      </c>
      <c r="AC38" s="103">
        <f t="shared" si="265"/>
        <v>0</v>
      </c>
      <c r="AD38" s="103">
        <f t="shared" si="266"/>
        <v>0</v>
      </c>
      <c r="AE38" s="103">
        <f t="shared" si="267"/>
        <v>0</v>
      </c>
      <c r="AF38" s="103">
        <f t="shared" si="268"/>
        <v>0</v>
      </c>
      <c r="AG38" s="103">
        <f t="shared" si="269"/>
        <v>0</v>
      </c>
      <c r="AH38" s="103">
        <f t="shared" si="270"/>
        <v>0</v>
      </c>
      <c r="AI38" s="103">
        <f t="shared" si="271"/>
        <v>0</v>
      </c>
      <c r="AJ38" s="103">
        <f t="shared" si="272"/>
        <v>0</v>
      </c>
      <c r="AK38" s="103">
        <f t="shared" si="273"/>
        <v>0</v>
      </c>
      <c r="AL38" s="103">
        <f t="shared" si="274"/>
        <v>0</v>
      </c>
      <c r="AM38" s="103">
        <f t="shared" si="275"/>
        <v>0</v>
      </c>
      <c r="AN38" s="103">
        <f t="shared" si="276"/>
        <v>0</v>
      </c>
    </row>
    <row r="39" spans="2:40" s="16" customFormat="1" ht="21" customHeight="1" x14ac:dyDescent="0.2">
      <c r="B39" s="8" t="s">
        <v>135</v>
      </c>
      <c r="C39" s="101">
        <v>0.03</v>
      </c>
      <c r="D39" s="14"/>
      <c r="E39" s="102">
        <v>1000</v>
      </c>
      <c r="F39" s="103">
        <f t="shared" si="242"/>
        <v>1030</v>
      </c>
      <c r="G39" s="103">
        <f t="shared" si="243"/>
        <v>1009.4</v>
      </c>
      <c r="H39" s="103">
        <f t="shared" si="244"/>
        <v>1039.682</v>
      </c>
      <c r="I39" s="103">
        <f t="shared" si="245"/>
        <v>1070.87246</v>
      </c>
      <c r="J39" s="103">
        <f t="shared" si="246"/>
        <v>1049.4550108000001</v>
      </c>
      <c r="K39" s="103">
        <f t="shared" si="247"/>
        <v>1080.9386611240002</v>
      </c>
      <c r="L39" s="103">
        <f t="shared" si="248"/>
        <v>1113.3668209577202</v>
      </c>
      <c r="M39" s="103">
        <f t="shared" si="249"/>
        <v>1146.7678255864519</v>
      </c>
      <c r="N39" s="103">
        <f t="shared" si="250"/>
        <v>1123.8324690747229</v>
      </c>
      <c r="O39" s="103">
        <f t="shared" si="251"/>
        <v>1157.5474431469647</v>
      </c>
      <c r="P39" s="103">
        <f t="shared" si="252"/>
        <v>1192.2738664413737</v>
      </c>
      <c r="Q39" s="103">
        <f t="shared" si="253"/>
        <v>1228.0420824346149</v>
      </c>
      <c r="R39" s="103">
        <f t="shared" si="254"/>
        <v>1203.4812407859226</v>
      </c>
      <c r="S39" s="103">
        <f t="shared" si="255"/>
        <v>1239.5856780095003</v>
      </c>
      <c r="T39" s="103">
        <f t="shared" si="256"/>
        <v>1276.7732483497853</v>
      </c>
      <c r="U39" s="103">
        <f t="shared" si="257"/>
        <v>1315.0764458002789</v>
      </c>
      <c r="V39" s="103">
        <f t="shared" si="258"/>
        <v>1288.7749168842734</v>
      </c>
      <c r="W39" s="103">
        <f t="shared" si="259"/>
        <v>1327.4381643908016</v>
      </c>
      <c r="X39" s="103">
        <f t="shared" si="260"/>
        <v>1367.2613093225257</v>
      </c>
      <c r="Y39" s="103">
        <f t="shared" si="261"/>
        <v>1339.916083136075</v>
      </c>
      <c r="Z39" s="103">
        <f t="shared" si="262"/>
        <v>1380.1135656301574</v>
      </c>
      <c r="AA39" s="103">
        <f t="shared" si="263"/>
        <v>1421.5169725990622</v>
      </c>
      <c r="AB39" s="103">
        <f t="shared" si="264"/>
        <v>1393.0866331470809</v>
      </c>
      <c r="AC39" s="103">
        <f t="shared" si="265"/>
        <v>1434.8792321414933</v>
      </c>
      <c r="AD39" s="103">
        <f t="shared" si="266"/>
        <v>1406.1816474986633</v>
      </c>
      <c r="AE39" s="103">
        <f t="shared" si="267"/>
        <v>1448.3670969236232</v>
      </c>
      <c r="AF39" s="103">
        <f t="shared" si="268"/>
        <v>1419.3997549851506</v>
      </c>
      <c r="AG39" s="103">
        <f t="shared" si="269"/>
        <v>1461.9817476347052</v>
      </c>
      <c r="AH39" s="103">
        <f t="shared" si="270"/>
        <v>1432.7421126820111</v>
      </c>
      <c r="AI39" s="103">
        <f t="shared" si="271"/>
        <v>1475.7243760624715</v>
      </c>
      <c r="AJ39" s="103">
        <f t="shared" si="272"/>
        <v>1519.9961073443458</v>
      </c>
      <c r="AK39" s="103">
        <f t="shared" si="273"/>
        <v>1565.5959905646762</v>
      </c>
      <c r="AL39" s="103">
        <f t="shared" si="274"/>
        <v>1534.2840707533826</v>
      </c>
      <c r="AM39" s="103">
        <f t="shared" si="275"/>
        <v>1580.3125928759841</v>
      </c>
      <c r="AN39" s="103">
        <f t="shared" si="276"/>
        <v>1627.7219706622636</v>
      </c>
    </row>
    <row r="40" spans="2:40" s="16" customFormat="1" ht="21" customHeight="1" x14ac:dyDescent="0.2">
      <c r="B40" s="8" t="s">
        <v>136</v>
      </c>
      <c r="C40" s="101">
        <v>0.05</v>
      </c>
      <c r="D40" s="14"/>
      <c r="E40" s="102">
        <v>400</v>
      </c>
      <c r="F40" s="103">
        <f t="shared" si="242"/>
        <v>420</v>
      </c>
      <c r="G40" s="103">
        <f t="shared" si="243"/>
        <v>411.59999999999997</v>
      </c>
      <c r="H40" s="103">
        <f t="shared" si="244"/>
        <v>432.18</v>
      </c>
      <c r="I40" s="103">
        <f t="shared" si="245"/>
        <v>453.78900000000004</v>
      </c>
      <c r="J40" s="103">
        <f t="shared" si="246"/>
        <v>444.71322000000004</v>
      </c>
      <c r="K40" s="103">
        <f t="shared" si="247"/>
        <v>466.94888100000003</v>
      </c>
      <c r="L40" s="103">
        <f t="shared" si="248"/>
        <v>490.29632505000006</v>
      </c>
      <c r="M40" s="103">
        <f t="shared" si="249"/>
        <v>514.81114130250012</v>
      </c>
      <c r="N40" s="103">
        <f t="shared" si="250"/>
        <v>504.51491847645013</v>
      </c>
      <c r="O40" s="103">
        <f t="shared" si="251"/>
        <v>529.74066440027264</v>
      </c>
      <c r="P40" s="103">
        <f t="shared" si="252"/>
        <v>556.22769762028634</v>
      </c>
      <c r="Q40" s="103">
        <f t="shared" si="253"/>
        <v>584.03908250130064</v>
      </c>
      <c r="R40" s="103">
        <f t="shared" si="254"/>
        <v>572.35830085127463</v>
      </c>
      <c r="S40" s="103">
        <f t="shared" si="255"/>
        <v>600.97621589383834</v>
      </c>
      <c r="T40" s="103">
        <f t="shared" si="256"/>
        <v>631.02502668853026</v>
      </c>
      <c r="U40" s="103">
        <f t="shared" si="257"/>
        <v>662.57627802295679</v>
      </c>
      <c r="V40" s="103">
        <f t="shared" si="258"/>
        <v>649.3247524624976</v>
      </c>
      <c r="W40" s="103">
        <f t="shared" si="259"/>
        <v>681.79099008562252</v>
      </c>
      <c r="X40" s="103">
        <f t="shared" si="260"/>
        <v>715.88053958990372</v>
      </c>
      <c r="Y40" s="103">
        <f t="shared" si="261"/>
        <v>701.56292879810565</v>
      </c>
      <c r="Z40" s="103">
        <f t="shared" si="262"/>
        <v>736.64107523801101</v>
      </c>
      <c r="AA40" s="103">
        <f t="shared" si="263"/>
        <v>773.47312899991164</v>
      </c>
      <c r="AB40" s="103">
        <f t="shared" si="264"/>
        <v>758.00366641991343</v>
      </c>
      <c r="AC40" s="103">
        <f t="shared" si="265"/>
        <v>795.9038497409091</v>
      </c>
      <c r="AD40" s="103">
        <f t="shared" si="266"/>
        <v>779.9857727460909</v>
      </c>
      <c r="AE40" s="103">
        <f t="shared" si="267"/>
        <v>818.98506138339553</v>
      </c>
      <c r="AF40" s="103">
        <f t="shared" si="268"/>
        <v>802.60536015572757</v>
      </c>
      <c r="AG40" s="103">
        <f t="shared" si="269"/>
        <v>842.73562816351398</v>
      </c>
      <c r="AH40" s="103">
        <f t="shared" si="270"/>
        <v>825.88091560024372</v>
      </c>
      <c r="AI40" s="103">
        <f t="shared" si="271"/>
        <v>867.17496138025592</v>
      </c>
      <c r="AJ40" s="103">
        <f t="shared" si="272"/>
        <v>910.53370944926871</v>
      </c>
      <c r="AK40" s="103">
        <f t="shared" si="273"/>
        <v>956.06039492173215</v>
      </c>
      <c r="AL40" s="103">
        <f t="shared" si="274"/>
        <v>936.93918702329745</v>
      </c>
      <c r="AM40" s="103">
        <f t="shared" si="275"/>
        <v>983.78614637446242</v>
      </c>
      <c r="AN40" s="103">
        <f t="shared" si="276"/>
        <v>1032.9754536931855</v>
      </c>
    </row>
    <row r="41" spans="2:40" s="16" customFormat="1" ht="21" customHeight="1" x14ac:dyDescent="0.2">
      <c r="B41" s="8" t="s">
        <v>137</v>
      </c>
      <c r="C41" s="101">
        <v>0.03</v>
      </c>
      <c r="D41" s="14"/>
      <c r="E41" s="102">
        <v>300</v>
      </c>
      <c r="F41" s="103">
        <f t="shared" si="242"/>
        <v>309</v>
      </c>
      <c r="G41" s="103">
        <f t="shared" si="243"/>
        <v>302.82</v>
      </c>
      <c r="H41" s="103">
        <f t="shared" si="244"/>
        <v>311.90460000000002</v>
      </c>
      <c r="I41" s="103">
        <f t="shared" si="245"/>
        <v>321.26173800000004</v>
      </c>
      <c r="J41" s="103">
        <f t="shared" si="246"/>
        <v>314.83650324000001</v>
      </c>
      <c r="K41" s="103">
        <f t="shared" si="247"/>
        <v>324.28159833720002</v>
      </c>
      <c r="L41" s="103">
        <f t="shared" si="248"/>
        <v>334.01004628731602</v>
      </c>
      <c r="M41" s="103">
        <f t="shared" si="249"/>
        <v>344.0303476759355</v>
      </c>
      <c r="N41" s="103">
        <f t="shared" si="250"/>
        <v>337.14974072241677</v>
      </c>
      <c r="O41" s="103">
        <f t="shared" si="251"/>
        <v>347.26423294408926</v>
      </c>
      <c r="P41" s="103">
        <f t="shared" si="252"/>
        <v>357.68215993241193</v>
      </c>
      <c r="Q41" s="103">
        <f t="shared" si="253"/>
        <v>368.41262473038432</v>
      </c>
      <c r="R41" s="103">
        <f t="shared" si="254"/>
        <v>361.04437223577662</v>
      </c>
      <c r="S41" s="103">
        <f t="shared" si="255"/>
        <v>371.87570340284992</v>
      </c>
      <c r="T41" s="103">
        <f t="shared" si="256"/>
        <v>383.03197450493542</v>
      </c>
      <c r="U41" s="103">
        <f t="shared" si="257"/>
        <v>394.52293374008349</v>
      </c>
      <c r="V41" s="103">
        <f t="shared" si="258"/>
        <v>386.63247506528182</v>
      </c>
      <c r="W41" s="103">
        <f t="shared" si="259"/>
        <v>398.23144931724028</v>
      </c>
      <c r="X41" s="103">
        <f t="shared" si="260"/>
        <v>410.17839279675752</v>
      </c>
      <c r="Y41" s="103">
        <f t="shared" si="261"/>
        <v>401.97482494082237</v>
      </c>
      <c r="Z41" s="103">
        <f t="shared" si="262"/>
        <v>414.03406968904704</v>
      </c>
      <c r="AA41" s="103">
        <f t="shared" si="263"/>
        <v>426.45509177971849</v>
      </c>
      <c r="AB41" s="103">
        <f t="shared" si="264"/>
        <v>417.92598994412413</v>
      </c>
      <c r="AC41" s="103">
        <f t="shared" si="265"/>
        <v>430.46376964244786</v>
      </c>
      <c r="AD41" s="103">
        <f t="shared" si="266"/>
        <v>421.85449424959887</v>
      </c>
      <c r="AE41" s="103">
        <f t="shared" si="267"/>
        <v>434.51012907708684</v>
      </c>
      <c r="AF41" s="103">
        <f t="shared" si="268"/>
        <v>425.81992649554508</v>
      </c>
      <c r="AG41" s="103">
        <f t="shared" si="269"/>
        <v>438.59452429041141</v>
      </c>
      <c r="AH41" s="103">
        <f t="shared" si="270"/>
        <v>429.82263380460319</v>
      </c>
      <c r="AI41" s="103">
        <f t="shared" si="271"/>
        <v>442.71731281874128</v>
      </c>
      <c r="AJ41" s="103">
        <f t="shared" si="272"/>
        <v>455.99883220330355</v>
      </c>
      <c r="AK41" s="103">
        <f t="shared" si="273"/>
        <v>469.67879716940269</v>
      </c>
      <c r="AL41" s="103">
        <f t="shared" si="274"/>
        <v>460.28522122601464</v>
      </c>
      <c r="AM41" s="103">
        <f t="shared" si="275"/>
        <v>474.09377786279509</v>
      </c>
      <c r="AN41" s="103">
        <f t="shared" si="276"/>
        <v>488.31659119867896</v>
      </c>
    </row>
    <row r="42" spans="2:40" s="13" customFormat="1" ht="21" customHeight="1" x14ac:dyDescent="0.2">
      <c r="B42" s="32" t="s">
        <v>150</v>
      </c>
      <c r="C42" s="33"/>
      <c r="D42" s="14"/>
      <c r="E42" s="106">
        <f t="shared" ref="E42" si="277">SUM(E41, E40, E39 + E38)</f>
        <v>1700</v>
      </c>
      <c r="F42" s="106">
        <f t="shared" ref="F42" si="278">E42*(1+$C42)</f>
        <v>1700</v>
      </c>
      <c r="G42" s="106">
        <f t="shared" ref="G42" si="279">F42*(1+$C42)</f>
        <v>1700</v>
      </c>
      <c r="H42" s="106">
        <f t="shared" ref="H42" si="280">G42*(1+$C42)</f>
        <v>1700</v>
      </c>
      <c r="I42" s="106">
        <f t="shared" ref="I42" si="281">H42*(1+$C42)</f>
        <v>1700</v>
      </c>
      <c r="J42" s="106">
        <f t="shared" ref="J42" si="282">I42*(1+$C42)</f>
        <v>1700</v>
      </c>
      <c r="K42" s="106">
        <f t="shared" ref="K42" si="283">J42*(1+$C42)</f>
        <v>1700</v>
      </c>
      <c r="L42" s="106">
        <f t="shared" ref="L42" si="284">K42*(1+$C42)</f>
        <v>1700</v>
      </c>
      <c r="M42" s="106">
        <f t="shared" ref="M42" si="285">L42*(1+$C42)</f>
        <v>1700</v>
      </c>
      <c r="N42" s="106">
        <f t="shared" ref="N42" si="286">M42*(1+$C42)</f>
        <v>1700</v>
      </c>
      <c r="O42" s="106">
        <f t="shared" ref="O42" si="287">N42*(1+$C42)</f>
        <v>1700</v>
      </c>
      <c r="P42" s="106">
        <f t="shared" ref="P42" si="288">O42*(1+$C42)</f>
        <v>1700</v>
      </c>
      <c r="Q42" s="106">
        <f t="shared" ref="Q42" si="289">P42*(1+$C42)</f>
        <v>1700</v>
      </c>
      <c r="R42" s="106">
        <f t="shared" ref="R42" si="290">Q42*(1+$C42)</f>
        <v>1700</v>
      </c>
      <c r="S42" s="106">
        <f t="shared" ref="S42" si="291">R42*(1+$C42)</f>
        <v>1700</v>
      </c>
      <c r="T42" s="106">
        <f t="shared" ref="T42" si="292">S42*(1+$C42)</f>
        <v>1700</v>
      </c>
      <c r="U42" s="106">
        <f t="shared" ref="U42" si="293">T42*(1+$C42)</f>
        <v>1700</v>
      </c>
      <c r="V42" s="106">
        <f t="shared" ref="V42" si="294">U42*(1+$C42)</f>
        <v>1700</v>
      </c>
      <c r="W42" s="106">
        <f t="shared" ref="W42" si="295">V42*(1+$C42)</f>
        <v>1700</v>
      </c>
      <c r="X42" s="106">
        <f t="shared" ref="X42" si="296">W42*(1+$C42)</f>
        <v>1700</v>
      </c>
      <c r="Y42" s="106">
        <f t="shared" ref="Y42" si="297">X42*(1+$C42)</f>
        <v>1700</v>
      </c>
      <c r="Z42" s="106">
        <f t="shared" ref="Z42" si="298">Y42*(1+$C42)</f>
        <v>1700</v>
      </c>
      <c r="AA42" s="106">
        <f t="shared" ref="AA42" si="299">Z42*(1+$C42)</f>
        <v>1700</v>
      </c>
      <c r="AB42" s="106">
        <f t="shared" ref="AB42" si="300">AA42*(1+$C42)</f>
        <v>1700</v>
      </c>
      <c r="AC42" s="106">
        <f t="shared" ref="AC42" si="301">AB42*(1+$C42)</f>
        <v>1700</v>
      </c>
      <c r="AD42" s="106">
        <f t="shared" ref="AD42" si="302">AC42*(1+$C42)</f>
        <v>1700</v>
      </c>
      <c r="AE42" s="106">
        <f t="shared" ref="AE42" si="303">AD42*(1+$C42)</f>
        <v>1700</v>
      </c>
      <c r="AF42" s="106">
        <f t="shared" ref="AF42" si="304">AE42*(1+$C42)</f>
        <v>1700</v>
      </c>
      <c r="AG42" s="106">
        <f t="shared" ref="AG42" si="305">AF42*(1+$C42)</f>
        <v>1700</v>
      </c>
      <c r="AH42" s="106">
        <f t="shared" ref="AH42" si="306">AG42*(1+$C42)</f>
        <v>1700</v>
      </c>
      <c r="AI42" s="106">
        <f t="shared" ref="AI42" si="307">AH42*(1+$C42)</f>
        <v>1700</v>
      </c>
      <c r="AJ42" s="106">
        <f t="shared" ref="AJ42" si="308">AI42*(1+$C42)</f>
        <v>1700</v>
      </c>
      <c r="AK42" s="106">
        <f t="shared" ref="AK42" si="309">AJ42*(1+$C42)</f>
        <v>1700</v>
      </c>
      <c r="AL42" s="106">
        <f t="shared" ref="AL42" si="310">AK42*(1+$C42)</f>
        <v>1700</v>
      </c>
      <c r="AM42" s="106">
        <f t="shared" ref="AM42" si="311">AL42*(1+$C42)</f>
        <v>1700</v>
      </c>
      <c r="AN42" s="106">
        <f t="shared" ref="AN42" si="312">AM42*(1+$C42)</f>
        <v>1700</v>
      </c>
    </row>
    <row r="43" spans="2:40" s="16" customFormat="1" ht="21" customHeight="1" x14ac:dyDescent="0.2">
      <c r="B43" s="6" t="s">
        <v>151</v>
      </c>
      <c r="C43" s="26"/>
      <c r="D43" s="14"/>
      <c r="E43" s="104">
        <f t="shared" ref="E43:AM43" si="313">SUM(E41, E40, E39, E38, E37, E35, E34, E33, E32, E31, E30, E28, E27, E26, E25, E24, E22, E21, E20, E19, E18, E17, E16, E15, E14 + E13)</f>
        <v>25100</v>
      </c>
      <c r="F43" s="104">
        <f t="shared" si="313"/>
        <v>26061</v>
      </c>
      <c r="G43" s="104">
        <f t="shared" si="313"/>
        <v>25456.58</v>
      </c>
      <c r="H43" s="104">
        <f t="shared" si="313"/>
        <v>25661.923399999996</v>
      </c>
      <c r="I43" s="104">
        <f t="shared" si="313"/>
        <v>25946.043182000001</v>
      </c>
      <c r="J43" s="104">
        <f t="shared" si="313"/>
        <v>25093.726318359997</v>
      </c>
      <c r="K43" s="104">
        <f t="shared" si="313"/>
        <v>26041.354236158801</v>
      </c>
      <c r="L43" s="104">
        <f t="shared" si="313"/>
        <v>27027.358340148126</v>
      </c>
      <c r="M43" s="104">
        <f t="shared" si="313"/>
        <v>28053.389429931303</v>
      </c>
      <c r="N43" s="104">
        <f t="shared" si="313"/>
        <v>27492.321641332677</v>
      </c>
      <c r="O43" s="104">
        <f t="shared" si="313"/>
        <v>28538.749312994703</v>
      </c>
      <c r="P43" s="104">
        <f t="shared" si="313"/>
        <v>29627.861327330924</v>
      </c>
      <c r="Q43" s="104">
        <f t="shared" si="313"/>
        <v>30761.504775093552</v>
      </c>
      <c r="R43" s="104">
        <f t="shared" si="313"/>
        <v>30146.274679591683</v>
      </c>
      <c r="S43" s="104">
        <f t="shared" si="313"/>
        <v>30578.688960530821</v>
      </c>
      <c r="T43" s="104">
        <f t="shared" si="313"/>
        <v>31094.818706838309</v>
      </c>
      <c r="U43" s="104">
        <f t="shared" si="313"/>
        <v>32277.813474329076</v>
      </c>
      <c r="V43" s="104">
        <f t="shared" si="313"/>
        <v>31632.257204842503</v>
      </c>
      <c r="W43" s="104">
        <f t="shared" si="313"/>
        <v>32838.838861917873</v>
      </c>
      <c r="X43" s="104">
        <f t="shared" si="313"/>
        <v>34094.709676089311</v>
      </c>
      <c r="Y43" s="104">
        <f t="shared" si="313"/>
        <v>33412.815482567516</v>
      </c>
      <c r="Z43" s="104">
        <f t="shared" si="313"/>
        <v>34041.889936105064</v>
      </c>
      <c r="AA43" s="104">
        <f t="shared" si="313"/>
        <v>34756.150578634661</v>
      </c>
      <c r="AB43" s="104">
        <f t="shared" si="313"/>
        <v>33779.331407246929</v>
      </c>
      <c r="AC43" s="104">
        <f t="shared" si="313"/>
        <v>35063.768967627715</v>
      </c>
      <c r="AD43" s="104">
        <f t="shared" si="313"/>
        <v>33960.727403275538</v>
      </c>
      <c r="AE43" s="104">
        <f t="shared" si="313"/>
        <v>34671.088505040861</v>
      </c>
      <c r="AF43" s="104">
        <f t="shared" si="313"/>
        <v>33652.236125090356</v>
      </c>
      <c r="AG43" s="104">
        <f t="shared" si="313"/>
        <v>34473.278900889258</v>
      </c>
      <c r="AH43" s="104">
        <f t="shared" si="313"/>
        <v>33501.946808712259</v>
      </c>
      <c r="AI43" s="104">
        <f t="shared" si="313"/>
        <v>34321.669302360104</v>
      </c>
      <c r="AJ43" s="104">
        <f t="shared" si="313"/>
        <v>35218.750145797829</v>
      </c>
      <c r="AK43" s="104">
        <f t="shared" si="313"/>
        <v>36577.242086389095</v>
      </c>
      <c r="AL43" s="104">
        <f t="shared" si="313"/>
        <v>35563.416555700787</v>
      </c>
      <c r="AM43" s="104">
        <f t="shared" si="313"/>
        <v>36528.365454354331</v>
      </c>
      <c r="AN43" s="104">
        <f t="shared" ref="AN43" si="314">SUM(AN41, AN40, AN39, AN38, AN37, AN35, AN34, AN33, AN32, AN31, AN30, AN28, AN27, AN26, AN25, AN24, AN22, AN21, AN20, AN19, AN18, AN17, AN16, AN15, AN14 + AN13)</f>
        <v>37579.287564866398</v>
      </c>
    </row>
    <row r="44" spans="2:40" s="18" customFormat="1" ht="21" customHeight="1" x14ac:dyDescent="0.2">
      <c r="B44" s="6" t="s">
        <v>138</v>
      </c>
      <c r="C44" s="26"/>
      <c r="D44" s="19"/>
      <c r="E44" s="105">
        <f t="shared" ref="E44:AM44" si="315">E12-E43</f>
        <v>49650</v>
      </c>
      <c r="F44" s="105">
        <f t="shared" si="315"/>
        <v>45764</v>
      </c>
      <c r="G44" s="105">
        <f t="shared" si="315"/>
        <v>60163.520000000004</v>
      </c>
      <c r="H44" s="105">
        <f t="shared" si="315"/>
        <v>49127.655599999998</v>
      </c>
      <c r="I44" s="105">
        <f t="shared" si="315"/>
        <v>53543.996617999997</v>
      </c>
      <c r="J44" s="105">
        <f t="shared" si="315"/>
        <v>63952.420765739997</v>
      </c>
      <c r="K44" s="105">
        <f t="shared" si="315"/>
        <v>57176.063420832201</v>
      </c>
      <c r="L44" s="105">
        <f t="shared" si="315"/>
        <v>62880.954573975323</v>
      </c>
      <c r="M44" s="105">
        <f t="shared" si="315"/>
        <v>59227.879586297837</v>
      </c>
      <c r="N44" s="105">
        <f t="shared" si="315"/>
        <v>60190.31405794833</v>
      </c>
      <c r="O44" s="105">
        <f t="shared" si="315"/>
        <v>62855.574043051143</v>
      </c>
      <c r="P44" s="105">
        <f t="shared" si="315"/>
        <v>65473.126639685557</v>
      </c>
      <c r="Q44" s="105">
        <f t="shared" si="315"/>
        <v>67142.583288576512</v>
      </c>
      <c r="R44" s="105">
        <f t="shared" si="315"/>
        <v>63709.375619446837</v>
      </c>
      <c r="S44" s="105">
        <f t="shared" si="315"/>
        <v>64830.905530169141</v>
      </c>
      <c r="T44" s="105">
        <f t="shared" si="315"/>
        <v>55569.94017132213</v>
      </c>
      <c r="U44" s="105">
        <f t="shared" si="315"/>
        <v>59487.355118694919</v>
      </c>
      <c r="V44" s="105">
        <f t="shared" si="315"/>
        <v>60499.398293535007</v>
      </c>
      <c r="W44" s="105">
        <f t="shared" si="315"/>
        <v>69094.026498217267</v>
      </c>
      <c r="X44" s="105">
        <f t="shared" si="315"/>
        <v>54231.559374568482</v>
      </c>
      <c r="Y44" s="105">
        <f t="shared" si="315"/>
        <v>62121.774097518442</v>
      </c>
      <c r="Z44" s="105">
        <f t="shared" si="315"/>
        <v>67693.866720354417</v>
      </c>
      <c r="AA44" s="105">
        <f t="shared" si="315"/>
        <v>60418.317184223</v>
      </c>
      <c r="AB44" s="105">
        <f t="shared" si="315"/>
        <v>67771.055428012944</v>
      </c>
      <c r="AC44" s="105">
        <f t="shared" si="315"/>
        <v>65517.921870459839</v>
      </c>
      <c r="AD44" s="105">
        <f t="shared" si="315"/>
        <v>59706.462437921058</v>
      </c>
      <c r="AE44" s="105">
        <f t="shared" si="315"/>
        <v>64129.601887935634</v>
      </c>
      <c r="AF44" s="105">
        <f t="shared" si="315"/>
        <v>53667.239517480812</v>
      </c>
      <c r="AG44" s="105">
        <f t="shared" si="315"/>
        <v>49800.537661181021</v>
      </c>
      <c r="AH44" s="105">
        <f t="shared" si="315"/>
        <v>63392.338223596591</v>
      </c>
      <c r="AI44" s="105">
        <f t="shared" si="315"/>
        <v>55878.75015180451</v>
      </c>
      <c r="AJ44" s="105">
        <f t="shared" si="315"/>
        <v>63335.776253632641</v>
      </c>
      <c r="AK44" s="105">
        <f t="shared" si="315"/>
        <v>65928.690428649163</v>
      </c>
      <c r="AL44" s="105">
        <f t="shared" si="315"/>
        <v>61424.65410082513</v>
      </c>
      <c r="AM44" s="105">
        <f t="shared" si="315"/>
        <v>75668.289924240467</v>
      </c>
      <c r="AN44" s="105">
        <f t="shared" ref="AN44" si="316">AN12-AN43</f>
        <v>77267.958504403738</v>
      </c>
    </row>
    <row r="45" spans="2:40" s="16" customFormat="1" ht="21" customHeight="1" x14ac:dyDescent="0.2">
      <c r="B45" s="6" t="s">
        <v>58</v>
      </c>
      <c r="C45" s="101">
        <v>0.03</v>
      </c>
      <c r="D45" s="14"/>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2:40" s="16" customFormat="1" ht="21" customHeight="1" x14ac:dyDescent="0.2">
      <c r="B46" s="5" t="s">
        <v>139</v>
      </c>
      <c r="C46" s="101">
        <v>0.03</v>
      </c>
      <c r="D46" s="14"/>
      <c r="E46" s="102">
        <v>0</v>
      </c>
      <c r="F46" s="103">
        <f t="shared" ref="F46" si="317">E46*(1+$C46)</f>
        <v>0</v>
      </c>
      <c r="G46" s="103">
        <f t="shared" ref="G46" si="318">F46*(1+$C46)</f>
        <v>0</v>
      </c>
      <c r="H46" s="103">
        <f t="shared" ref="H46" si="319">G46*(1+$C46)</f>
        <v>0</v>
      </c>
      <c r="I46" s="103">
        <f t="shared" ref="I46" si="320">H46*(1+$C46)</f>
        <v>0</v>
      </c>
      <c r="J46" s="103">
        <f t="shared" ref="J46" si="321">I46*(1+$C46)</f>
        <v>0</v>
      </c>
      <c r="K46" s="103">
        <f t="shared" ref="K46" si="322">J46*(1+$C46)</f>
        <v>0</v>
      </c>
      <c r="L46" s="103">
        <f t="shared" ref="L46" si="323">K46*(1+$C46)</f>
        <v>0</v>
      </c>
      <c r="M46" s="103">
        <f t="shared" ref="M46" si="324">L46*(1+$C46)</f>
        <v>0</v>
      </c>
      <c r="N46" s="103">
        <f t="shared" ref="N46" si="325">M46*(1+$C46)</f>
        <v>0</v>
      </c>
      <c r="O46" s="103">
        <f t="shared" ref="O46" si="326">N46*(1+$C46)</f>
        <v>0</v>
      </c>
      <c r="P46" s="103">
        <f t="shared" ref="P46" si="327">O46*(1+$C46)</f>
        <v>0</v>
      </c>
      <c r="Q46" s="103">
        <f t="shared" ref="Q46" si="328">P46*(1+$C46)</f>
        <v>0</v>
      </c>
      <c r="R46" s="103">
        <f t="shared" ref="R46" si="329">Q46*(1+$C46)</f>
        <v>0</v>
      </c>
      <c r="S46" s="103">
        <f t="shared" ref="S46" si="330">R46*(1+$C46)</f>
        <v>0</v>
      </c>
      <c r="T46" s="103">
        <f t="shared" ref="T46" si="331">S46*(1+$C46)</f>
        <v>0</v>
      </c>
      <c r="U46" s="103">
        <f t="shared" ref="U46" si="332">T46*(1+$C46)</f>
        <v>0</v>
      </c>
      <c r="V46" s="103">
        <f t="shared" ref="V46" si="333">U46*(1+$C46)</f>
        <v>0</v>
      </c>
      <c r="W46" s="103">
        <f t="shared" ref="W46" si="334">V46*(1+$C46)</f>
        <v>0</v>
      </c>
      <c r="X46" s="103">
        <f t="shared" ref="X46" si="335">W46*(1+$C46)</f>
        <v>0</v>
      </c>
      <c r="Y46" s="103">
        <f t="shared" ref="Y46" si="336">X46*(1+$C46)</f>
        <v>0</v>
      </c>
      <c r="Z46" s="103">
        <f t="shared" ref="Z46" si="337">Y46*(1+$C46)</f>
        <v>0</v>
      </c>
      <c r="AA46" s="103">
        <f t="shared" ref="AA46" si="338">Z46*(1+$C46)</f>
        <v>0</v>
      </c>
      <c r="AB46" s="103">
        <f t="shared" ref="AB46" si="339">AA46*(1+$C46)</f>
        <v>0</v>
      </c>
      <c r="AC46" s="103">
        <f t="shared" ref="AC46" si="340">AB46*(1+$C46)</f>
        <v>0</v>
      </c>
      <c r="AD46" s="103">
        <f t="shared" ref="AD46" si="341">AC46*(1+$C46)</f>
        <v>0</v>
      </c>
      <c r="AE46" s="103">
        <f t="shared" ref="AE46" si="342">AD46*(1+$C46)</f>
        <v>0</v>
      </c>
      <c r="AF46" s="103">
        <f t="shared" ref="AF46" si="343">AE46*(1+$C46)</f>
        <v>0</v>
      </c>
      <c r="AG46" s="103">
        <f t="shared" ref="AG46" si="344">AF46*(1+$C46)</f>
        <v>0</v>
      </c>
      <c r="AH46" s="103">
        <f t="shared" ref="AH46" si="345">AG46*(1+$C46)</f>
        <v>0</v>
      </c>
      <c r="AI46" s="103">
        <f t="shared" ref="AI46" si="346">AH46*(1+$C46)</f>
        <v>0</v>
      </c>
      <c r="AJ46" s="103">
        <f t="shared" ref="AJ46" si="347">AI46*(1+$C46)</f>
        <v>0</v>
      </c>
      <c r="AK46" s="103">
        <f t="shared" ref="AK46" si="348">AJ46*(1+$C46)</f>
        <v>0</v>
      </c>
      <c r="AL46" s="103">
        <f t="shared" ref="AL46" si="349">AK46*(1+$C46)</f>
        <v>0</v>
      </c>
      <c r="AM46" s="103">
        <f t="shared" ref="AM46" si="350">AL46*(1+$C46)</f>
        <v>0</v>
      </c>
      <c r="AN46" s="103">
        <f t="shared" ref="AN46" si="351">AM46*(1+$C46)</f>
        <v>0</v>
      </c>
    </row>
    <row r="47" spans="2:40" s="16" customFormat="1" ht="21" customHeight="1" x14ac:dyDescent="0.2">
      <c r="B47" s="6" t="s">
        <v>152</v>
      </c>
      <c r="C47" s="26"/>
      <c r="D47" s="14"/>
      <c r="E47" s="104">
        <f t="shared" ref="E47:AM47" si="352">SUM(E46 + E45)</f>
        <v>0</v>
      </c>
      <c r="F47" s="104">
        <f t="shared" si="352"/>
        <v>0</v>
      </c>
      <c r="G47" s="104">
        <f t="shared" si="352"/>
        <v>0</v>
      </c>
      <c r="H47" s="104">
        <f t="shared" si="352"/>
        <v>0</v>
      </c>
      <c r="I47" s="104">
        <f t="shared" si="352"/>
        <v>0</v>
      </c>
      <c r="J47" s="104">
        <f t="shared" si="352"/>
        <v>0</v>
      </c>
      <c r="K47" s="104">
        <f t="shared" si="352"/>
        <v>0</v>
      </c>
      <c r="L47" s="104">
        <f t="shared" si="352"/>
        <v>0</v>
      </c>
      <c r="M47" s="104">
        <f t="shared" si="352"/>
        <v>0</v>
      </c>
      <c r="N47" s="104">
        <f t="shared" si="352"/>
        <v>0</v>
      </c>
      <c r="O47" s="104">
        <f t="shared" si="352"/>
        <v>0</v>
      </c>
      <c r="P47" s="104">
        <f t="shared" si="352"/>
        <v>0</v>
      </c>
      <c r="Q47" s="104">
        <f t="shared" si="352"/>
        <v>0</v>
      </c>
      <c r="R47" s="104">
        <f t="shared" si="352"/>
        <v>0</v>
      </c>
      <c r="S47" s="104">
        <f t="shared" si="352"/>
        <v>0</v>
      </c>
      <c r="T47" s="104">
        <f t="shared" si="352"/>
        <v>0</v>
      </c>
      <c r="U47" s="104">
        <f t="shared" si="352"/>
        <v>0</v>
      </c>
      <c r="V47" s="104">
        <f t="shared" si="352"/>
        <v>0</v>
      </c>
      <c r="W47" s="104">
        <f t="shared" si="352"/>
        <v>0</v>
      </c>
      <c r="X47" s="104">
        <f t="shared" si="352"/>
        <v>0</v>
      </c>
      <c r="Y47" s="104">
        <f t="shared" si="352"/>
        <v>0</v>
      </c>
      <c r="Z47" s="104">
        <f t="shared" si="352"/>
        <v>0</v>
      </c>
      <c r="AA47" s="104">
        <f t="shared" si="352"/>
        <v>0</v>
      </c>
      <c r="AB47" s="104">
        <f t="shared" si="352"/>
        <v>0</v>
      </c>
      <c r="AC47" s="104">
        <f t="shared" si="352"/>
        <v>0</v>
      </c>
      <c r="AD47" s="104">
        <f t="shared" si="352"/>
        <v>0</v>
      </c>
      <c r="AE47" s="104">
        <f t="shared" si="352"/>
        <v>0</v>
      </c>
      <c r="AF47" s="104">
        <f t="shared" si="352"/>
        <v>0</v>
      </c>
      <c r="AG47" s="104">
        <f t="shared" si="352"/>
        <v>0</v>
      </c>
      <c r="AH47" s="104">
        <f t="shared" si="352"/>
        <v>0</v>
      </c>
      <c r="AI47" s="104">
        <f t="shared" si="352"/>
        <v>0</v>
      </c>
      <c r="AJ47" s="104">
        <f t="shared" si="352"/>
        <v>0</v>
      </c>
      <c r="AK47" s="104">
        <f t="shared" si="352"/>
        <v>0</v>
      </c>
      <c r="AL47" s="104">
        <f t="shared" si="352"/>
        <v>0</v>
      </c>
      <c r="AM47" s="104">
        <f t="shared" si="352"/>
        <v>0</v>
      </c>
      <c r="AN47" s="104">
        <f t="shared" ref="AN47" si="353">SUM(AN46 + AN45)</f>
        <v>0</v>
      </c>
    </row>
    <row r="48" spans="2:40" s="16" customFormat="1" ht="21" customHeight="1" x14ac:dyDescent="0.2">
      <c r="B48" s="6" t="s">
        <v>59</v>
      </c>
      <c r="C48" s="101">
        <v>0.1</v>
      </c>
      <c r="D48" s="14"/>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row>
    <row r="49" spans="2:40" s="16" customFormat="1" ht="21" customHeight="1" x14ac:dyDescent="0.2">
      <c r="B49" s="5" t="s">
        <v>140</v>
      </c>
      <c r="C49" s="101">
        <v>0.1</v>
      </c>
      <c r="D49" s="14"/>
      <c r="E49" s="102">
        <v>69.444444444444443</v>
      </c>
      <c r="F49" s="103">
        <f t="shared" ref="F49:F50" si="354">E49*(1+$C49)</f>
        <v>76.3888888888889</v>
      </c>
      <c r="G49" s="103">
        <f t="shared" ref="G49:G50" si="355">F49*(1+$C49)</f>
        <v>84.0277777777778</v>
      </c>
      <c r="H49" s="103">
        <f t="shared" ref="H49:H50" si="356">G49*(1+$C49)</f>
        <v>92.430555555555586</v>
      </c>
      <c r="I49" s="103">
        <f t="shared" ref="I49:I50" si="357">H49*(1+$C49)</f>
        <v>101.67361111111116</v>
      </c>
      <c r="J49" s="103">
        <f t="shared" ref="J49:J50" si="358">I49*(1+$C49)</f>
        <v>111.84097222222228</v>
      </c>
      <c r="K49" s="103">
        <f t="shared" ref="K49:K50" si="359">J49*(1+$C49)</f>
        <v>123.02506944444451</v>
      </c>
      <c r="L49" s="103">
        <f t="shared" ref="L49:L50" si="360">K49*(1+$C49)</f>
        <v>135.32757638888899</v>
      </c>
      <c r="M49" s="103">
        <f t="shared" ref="M49:M50" si="361">L49*(1+$C49)</f>
        <v>148.8603340277779</v>
      </c>
      <c r="N49" s="103">
        <f t="shared" ref="N49:N50" si="362">M49*(1+$C49)</f>
        <v>163.74636743055569</v>
      </c>
      <c r="O49" s="103">
        <f t="shared" ref="O49:O50" si="363">N49*(1+$C49)</f>
        <v>180.12100417361128</v>
      </c>
      <c r="P49" s="103">
        <f t="shared" ref="P49:P50" si="364">O49*(1+$C49)</f>
        <v>198.13310459097244</v>
      </c>
      <c r="Q49" s="103">
        <f t="shared" ref="Q49:Q50" si="365">P49*(1+$C49)</f>
        <v>217.9464150500697</v>
      </c>
      <c r="R49" s="103">
        <f t="shared" ref="R49:R50" si="366">Q49*(1+$C49)</f>
        <v>239.74105655507668</v>
      </c>
      <c r="S49" s="103">
        <f t="shared" ref="S49:S50" si="367">R49*(1+$C49)</f>
        <v>263.71516221058437</v>
      </c>
      <c r="T49" s="103">
        <f t="shared" ref="T49:T50" si="368">S49*(1+$C49)</f>
        <v>290.08667843164284</v>
      </c>
      <c r="U49" s="103">
        <f t="shared" ref="U49:U50" si="369">T49*(1+$C49)</f>
        <v>319.09534627480713</v>
      </c>
      <c r="V49" s="103">
        <f t="shared" ref="V49:V50" si="370">U49*(1+$C49)</f>
        <v>351.00488090228788</v>
      </c>
      <c r="W49" s="103">
        <f t="shared" ref="W49:W50" si="371">V49*(1+$C49)</f>
        <v>386.10536899251667</v>
      </c>
      <c r="X49" s="103">
        <f t="shared" ref="X49:X50" si="372">W49*(1+$C49)</f>
        <v>424.71590589176839</v>
      </c>
      <c r="Y49" s="103">
        <f t="shared" ref="Y49:Y50" si="373">X49*(1+$C49)</f>
        <v>467.18749648094524</v>
      </c>
      <c r="Z49" s="103">
        <f t="shared" ref="Z49:Z50" si="374">Y49*(1+$C49)</f>
        <v>513.9062461290398</v>
      </c>
      <c r="AA49" s="103">
        <f t="shared" ref="AA49:AA50" si="375">Z49*(1+$C49)</f>
        <v>565.29687074194385</v>
      </c>
      <c r="AB49" s="103">
        <f t="shared" ref="AB49:AB50" si="376">AA49*(1+$C49)</f>
        <v>621.82655781613823</v>
      </c>
      <c r="AC49" s="103">
        <f t="shared" ref="AC49:AC50" si="377">AB49*(1+$C49)</f>
        <v>684.00921359775214</v>
      </c>
      <c r="AD49" s="103">
        <f t="shared" ref="AD49:AD50" si="378">AC49*(1+$C49)</f>
        <v>752.41013495752736</v>
      </c>
      <c r="AE49" s="103">
        <f t="shared" ref="AE49:AE50" si="379">AD49*(1+$C49)</f>
        <v>827.65114845328014</v>
      </c>
      <c r="AF49" s="103">
        <f t="shared" ref="AF49:AF50" si="380">AE49*(1+$C49)</f>
        <v>910.41626329860821</v>
      </c>
      <c r="AG49" s="103">
        <f t="shared" ref="AG49:AG50" si="381">AF49*(1+$C49)</f>
        <v>1001.4578896284692</v>
      </c>
      <c r="AH49" s="103">
        <f t="shared" ref="AH49:AH50" si="382">AG49*(1+$C49)</f>
        <v>1101.6036785913161</v>
      </c>
      <c r="AI49" s="103">
        <f t="shared" ref="AI49:AI50" si="383">AH49*(1+$C49)</f>
        <v>1211.7640464504477</v>
      </c>
      <c r="AJ49" s="103">
        <f t="shared" ref="AJ49:AJ50" si="384">AI49*(1+$C49)</f>
        <v>1332.9404510954926</v>
      </c>
      <c r="AK49" s="103">
        <f t="shared" ref="AK49:AK50" si="385">AJ49*(1+$C49)</f>
        <v>1466.234496205042</v>
      </c>
      <c r="AL49" s="103">
        <f t="shared" ref="AL49:AL50" si="386">AK49*(1+$C49)</f>
        <v>1612.8579458255463</v>
      </c>
      <c r="AM49" s="103">
        <f t="shared" ref="AM49:AM50" si="387">AL49*(1+$C49)</f>
        <v>1774.1437404081009</v>
      </c>
      <c r="AN49" s="103">
        <f t="shared" ref="AN49:AN50" si="388">AM49*(1+$C49)</f>
        <v>1951.5581144489113</v>
      </c>
    </row>
    <row r="50" spans="2:40" s="16" customFormat="1" ht="21" customHeight="1" x14ac:dyDescent="0.2">
      <c r="B50" s="5" t="s">
        <v>60</v>
      </c>
      <c r="C50" s="101">
        <v>0.1</v>
      </c>
      <c r="D50" s="14"/>
      <c r="E50" s="102">
        <v>2500</v>
      </c>
      <c r="F50" s="103">
        <f t="shared" si="354"/>
        <v>2750</v>
      </c>
      <c r="G50" s="103">
        <f t="shared" si="355"/>
        <v>3025.0000000000005</v>
      </c>
      <c r="H50" s="103">
        <f t="shared" si="356"/>
        <v>3327.5000000000009</v>
      </c>
      <c r="I50" s="103">
        <f t="shared" si="357"/>
        <v>3660.2500000000014</v>
      </c>
      <c r="J50" s="103">
        <f t="shared" si="358"/>
        <v>4026.2750000000019</v>
      </c>
      <c r="K50" s="103">
        <f t="shared" si="359"/>
        <v>4428.9025000000029</v>
      </c>
      <c r="L50" s="103">
        <f t="shared" si="360"/>
        <v>4871.7927500000033</v>
      </c>
      <c r="M50" s="103">
        <f t="shared" si="361"/>
        <v>5358.9720250000037</v>
      </c>
      <c r="N50" s="103">
        <f t="shared" si="362"/>
        <v>5894.8692275000049</v>
      </c>
      <c r="O50" s="103">
        <f t="shared" si="363"/>
        <v>6484.3561502500061</v>
      </c>
      <c r="P50" s="103">
        <f t="shared" si="364"/>
        <v>7132.7917652750075</v>
      </c>
      <c r="Q50" s="103">
        <f t="shared" si="365"/>
        <v>7846.070941802509</v>
      </c>
      <c r="R50" s="103">
        <f t="shared" si="366"/>
        <v>8630.6780359827608</v>
      </c>
      <c r="S50" s="103">
        <f t="shared" si="367"/>
        <v>9493.7458395810372</v>
      </c>
      <c r="T50" s="103">
        <f t="shared" si="368"/>
        <v>10443.120423539141</v>
      </c>
      <c r="U50" s="103">
        <f t="shared" si="369"/>
        <v>11487.432465893056</v>
      </c>
      <c r="V50" s="103">
        <f t="shared" si="370"/>
        <v>12636.175712482363</v>
      </c>
      <c r="W50" s="103">
        <f t="shared" si="371"/>
        <v>13899.793283730602</v>
      </c>
      <c r="X50" s="103">
        <f t="shared" si="372"/>
        <v>15289.772612103663</v>
      </c>
      <c r="Y50" s="103">
        <f t="shared" si="373"/>
        <v>16818.749873314031</v>
      </c>
      <c r="Z50" s="103">
        <f t="shared" si="374"/>
        <v>18500.624860645436</v>
      </c>
      <c r="AA50" s="103">
        <f t="shared" si="375"/>
        <v>20350.687346709979</v>
      </c>
      <c r="AB50" s="103">
        <f t="shared" si="376"/>
        <v>22385.75608138098</v>
      </c>
      <c r="AC50" s="103">
        <f t="shared" si="377"/>
        <v>24624.33168951908</v>
      </c>
      <c r="AD50" s="103">
        <f t="shared" si="378"/>
        <v>27086.76485847099</v>
      </c>
      <c r="AE50" s="103">
        <f t="shared" si="379"/>
        <v>29795.441344318089</v>
      </c>
      <c r="AF50" s="103">
        <f t="shared" si="380"/>
        <v>32774.985478749899</v>
      </c>
      <c r="AG50" s="103">
        <f t="shared" si="381"/>
        <v>36052.484026624894</v>
      </c>
      <c r="AH50" s="103">
        <f t="shared" si="382"/>
        <v>39657.732429287389</v>
      </c>
      <c r="AI50" s="103">
        <f t="shared" si="383"/>
        <v>43623.505672216132</v>
      </c>
      <c r="AJ50" s="103">
        <f t="shared" si="384"/>
        <v>47985.856239437751</v>
      </c>
      <c r="AK50" s="103">
        <f t="shared" si="385"/>
        <v>52784.441863381529</v>
      </c>
      <c r="AL50" s="103">
        <f t="shared" si="386"/>
        <v>58062.886049719687</v>
      </c>
      <c r="AM50" s="103">
        <f t="shared" si="387"/>
        <v>63869.174654691662</v>
      </c>
      <c r="AN50" s="103">
        <f t="shared" si="388"/>
        <v>70256.092120160829</v>
      </c>
    </row>
    <row r="51" spans="2:40" s="16" customFormat="1" ht="21" customHeight="1" x14ac:dyDescent="0.2">
      <c r="B51" s="6" t="s">
        <v>153</v>
      </c>
      <c r="C51" s="6"/>
      <c r="D51" s="14"/>
      <c r="E51" s="104">
        <f t="shared" ref="E51:AM51" si="389">SUM(E50, E49 + E48)</f>
        <v>2569.4444444444443</v>
      </c>
      <c r="F51" s="104">
        <f t="shared" si="389"/>
        <v>2826.3888888888887</v>
      </c>
      <c r="G51" s="104">
        <f t="shared" si="389"/>
        <v>3109.0277777777783</v>
      </c>
      <c r="H51" s="104">
        <f t="shared" si="389"/>
        <v>3419.9305555555566</v>
      </c>
      <c r="I51" s="104">
        <f t="shared" si="389"/>
        <v>3761.9236111111127</v>
      </c>
      <c r="J51" s="104">
        <f t="shared" si="389"/>
        <v>4138.1159722222246</v>
      </c>
      <c r="K51" s="104">
        <f t="shared" si="389"/>
        <v>4551.9275694444477</v>
      </c>
      <c r="L51" s="104">
        <f t="shared" si="389"/>
        <v>5007.120326388892</v>
      </c>
      <c r="M51" s="104">
        <f t="shared" si="389"/>
        <v>5507.8323590277814</v>
      </c>
      <c r="N51" s="104">
        <f t="shared" si="389"/>
        <v>6058.6155949305603</v>
      </c>
      <c r="O51" s="104">
        <f t="shared" si="389"/>
        <v>6664.4771544236173</v>
      </c>
      <c r="P51" s="104">
        <f t="shared" si="389"/>
        <v>7330.9248698659803</v>
      </c>
      <c r="Q51" s="104">
        <f t="shared" si="389"/>
        <v>8064.0173568525788</v>
      </c>
      <c r="R51" s="104">
        <f t="shared" si="389"/>
        <v>8870.4190925378371</v>
      </c>
      <c r="S51" s="104">
        <f t="shared" si="389"/>
        <v>9757.461001791622</v>
      </c>
      <c r="T51" s="104">
        <f t="shared" si="389"/>
        <v>10733.207101970784</v>
      </c>
      <c r="U51" s="104">
        <f t="shared" si="389"/>
        <v>11806.527812167864</v>
      </c>
      <c r="V51" s="104">
        <f t="shared" si="389"/>
        <v>12987.180593384652</v>
      </c>
      <c r="W51" s="104">
        <f t="shared" si="389"/>
        <v>14285.898652723119</v>
      </c>
      <c r="X51" s="104">
        <f t="shared" si="389"/>
        <v>15714.488517995431</v>
      </c>
      <c r="Y51" s="104">
        <f t="shared" si="389"/>
        <v>17285.937369794978</v>
      </c>
      <c r="Z51" s="104">
        <f t="shared" si="389"/>
        <v>19014.531106774477</v>
      </c>
      <c r="AA51" s="104">
        <f t="shared" si="389"/>
        <v>20915.984217451922</v>
      </c>
      <c r="AB51" s="104">
        <f t="shared" si="389"/>
        <v>23007.582639197117</v>
      </c>
      <c r="AC51" s="104">
        <f t="shared" si="389"/>
        <v>25308.340903116834</v>
      </c>
      <c r="AD51" s="104">
        <f t="shared" si="389"/>
        <v>27839.174993428518</v>
      </c>
      <c r="AE51" s="104">
        <f t="shared" si="389"/>
        <v>30623.092492771368</v>
      </c>
      <c r="AF51" s="104">
        <f t="shared" si="389"/>
        <v>33685.401742048511</v>
      </c>
      <c r="AG51" s="104">
        <f t="shared" si="389"/>
        <v>37053.94191625336</v>
      </c>
      <c r="AH51" s="104">
        <f t="shared" si="389"/>
        <v>40759.336107878706</v>
      </c>
      <c r="AI51" s="104">
        <f t="shared" si="389"/>
        <v>44835.269718666583</v>
      </c>
      <c r="AJ51" s="104">
        <f t="shared" si="389"/>
        <v>49318.796690533243</v>
      </c>
      <c r="AK51" s="104">
        <f t="shared" si="389"/>
        <v>54250.67635958657</v>
      </c>
      <c r="AL51" s="104">
        <f t="shared" si="389"/>
        <v>59675.743995545236</v>
      </c>
      <c r="AM51" s="104">
        <f t="shared" si="389"/>
        <v>65643.318395099763</v>
      </c>
      <c r="AN51" s="104">
        <f t="shared" ref="AN51" si="390">SUM(AN50, AN49 + AN48)</f>
        <v>72207.65023460974</v>
      </c>
    </row>
    <row r="52" spans="2:40" s="18" customFormat="1" ht="21" customHeight="1" x14ac:dyDescent="0.2">
      <c r="B52" s="6" t="s">
        <v>61</v>
      </c>
      <c r="C52" s="6"/>
      <c r="D52" s="19"/>
      <c r="E52" s="105">
        <f t="shared" ref="E52:AM52" si="391">E47-E51</f>
        <v>-2569.4444444444443</v>
      </c>
      <c r="F52" s="105">
        <f t="shared" si="391"/>
        <v>-2826.3888888888887</v>
      </c>
      <c r="G52" s="105">
        <f t="shared" si="391"/>
        <v>-3109.0277777777783</v>
      </c>
      <c r="H52" s="105">
        <f t="shared" si="391"/>
        <v>-3419.9305555555566</v>
      </c>
      <c r="I52" s="105">
        <f t="shared" si="391"/>
        <v>-3761.9236111111127</v>
      </c>
      <c r="J52" s="105">
        <f t="shared" si="391"/>
        <v>-4138.1159722222246</v>
      </c>
      <c r="K52" s="105">
        <f t="shared" si="391"/>
        <v>-4551.9275694444477</v>
      </c>
      <c r="L52" s="105">
        <f t="shared" si="391"/>
        <v>-5007.120326388892</v>
      </c>
      <c r="M52" s="105">
        <f t="shared" si="391"/>
        <v>-5507.8323590277814</v>
      </c>
      <c r="N52" s="105">
        <f t="shared" si="391"/>
        <v>-6058.6155949305603</v>
      </c>
      <c r="O52" s="105">
        <f t="shared" si="391"/>
        <v>-6664.4771544236173</v>
      </c>
      <c r="P52" s="105">
        <f t="shared" si="391"/>
        <v>-7330.9248698659803</v>
      </c>
      <c r="Q52" s="105">
        <f t="shared" si="391"/>
        <v>-8064.0173568525788</v>
      </c>
      <c r="R52" s="105">
        <f t="shared" si="391"/>
        <v>-8870.4190925378371</v>
      </c>
      <c r="S52" s="105">
        <f t="shared" si="391"/>
        <v>-9757.461001791622</v>
      </c>
      <c r="T52" s="105">
        <f t="shared" si="391"/>
        <v>-10733.207101970784</v>
      </c>
      <c r="U52" s="105">
        <f t="shared" si="391"/>
        <v>-11806.527812167864</v>
      </c>
      <c r="V52" s="105">
        <f t="shared" si="391"/>
        <v>-12987.180593384652</v>
      </c>
      <c r="W52" s="105">
        <f t="shared" si="391"/>
        <v>-14285.898652723119</v>
      </c>
      <c r="X52" s="105">
        <f t="shared" si="391"/>
        <v>-15714.488517995431</v>
      </c>
      <c r="Y52" s="105">
        <f t="shared" si="391"/>
        <v>-17285.937369794978</v>
      </c>
      <c r="Z52" s="105">
        <f t="shared" si="391"/>
        <v>-19014.531106774477</v>
      </c>
      <c r="AA52" s="105">
        <f t="shared" si="391"/>
        <v>-20915.984217451922</v>
      </c>
      <c r="AB52" s="105">
        <f t="shared" si="391"/>
        <v>-23007.582639197117</v>
      </c>
      <c r="AC52" s="105">
        <f t="shared" si="391"/>
        <v>-25308.340903116834</v>
      </c>
      <c r="AD52" s="105">
        <f t="shared" si="391"/>
        <v>-27839.174993428518</v>
      </c>
      <c r="AE52" s="105">
        <f t="shared" si="391"/>
        <v>-30623.092492771368</v>
      </c>
      <c r="AF52" s="105">
        <f t="shared" si="391"/>
        <v>-33685.401742048511</v>
      </c>
      <c r="AG52" s="105">
        <f t="shared" si="391"/>
        <v>-37053.94191625336</v>
      </c>
      <c r="AH52" s="105">
        <f t="shared" si="391"/>
        <v>-40759.336107878706</v>
      </c>
      <c r="AI52" s="105">
        <f t="shared" si="391"/>
        <v>-44835.269718666583</v>
      </c>
      <c r="AJ52" s="105">
        <f t="shared" si="391"/>
        <v>-49318.796690533243</v>
      </c>
      <c r="AK52" s="105">
        <f t="shared" si="391"/>
        <v>-54250.67635958657</v>
      </c>
      <c r="AL52" s="105">
        <f t="shared" si="391"/>
        <v>-59675.743995545236</v>
      </c>
      <c r="AM52" s="105">
        <f t="shared" si="391"/>
        <v>-65643.318395099763</v>
      </c>
      <c r="AN52" s="105">
        <f t="shared" ref="AN52" si="392">AN47-AN51</f>
        <v>-72207.65023460974</v>
      </c>
    </row>
    <row r="53" spans="2:40" s="18" customFormat="1" ht="21" customHeight="1" x14ac:dyDescent="0.2">
      <c r="B53" s="6" t="s">
        <v>62</v>
      </c>
      <c r="C53" s="6"/>
      <c r="D53" s="19"/>
      <c r="E53" s="105">
        <f t="shared" ref="E53:AN53" si="393">E44+E52</f>
        <v>47080.555555555555</v>
      </c>
      <c r="F53" s="105">
        <f t="shared" ref="F53:AM53" si="394">F44+F52</f>
        <v>42937.611111111109</v>
      </c>
      <c r="G53" s="105">
        <f t="shared" si="394"/>
        <v>57054.492222222223</v>
      </c>
      <c r="H53" s="105">
        <f t="shared" si="394"/>
        <v>45707.725044444443</v>
      </c>
      <c r="I53" s="105">
        <f t="shared" si="394"/>
        <v>49782.073006888888</v>
      </c>
      <c r="J53" s="105">
        <f t="shared" si="394"/>
        <v>59814.304793517775</v>
      </c>
      <c r="K53" s="105">
        <f t="shared" si="394"/>
        <v>52624.135851387749</v>
      </c>
      <c r="L53" s="105">
        <f t="shared" si="394"/>
        <v>57873.834247586434</v>
      </c>
      <c r="M53" s="105">
        <f t="shared" si="394"/>
        <v>53720.047227270057</v>
      </c>
      <c r="N53" s="105">
        <f t="shared" si="394"/>
        <v>54131.698463017769</v>
      </c>
      <c r="O53" s="105">
        <f t="shared" si="394"/>
        <v>56191.096888627522</v>
      </c>
      <c r="P53" s="105">
        <f t="shared" si="394"/>
        <v>58142.201769819578</v>
      </c>
      <c r="Q53" s="105">
        <f t="shared" si="394"/>
        <v>59078.565931723933</v>
      </c>
      <c r="R53" s="105">
        <f t="shared" si="394"/>
        <v>54838.956526909002</v>
      </c>
      <c r="S53" s="105">
        <f t="shared" si="394"/>
        <v>55073.44452837752</v>
      </c>
      <c r="T53" s="105">
        <f t="shared" si="394"/>
        <v>44836.73306935135</v>
      </c>
      <c r="U53" s="105">
        <f t="shared" si="394"/>
        <v>47680.827306527055</v>
      </c>
      <c r="V53" s="105">
        <f t="shared" si="394"/>
        <v>47512.217700150359</v>
      </c>
      <c r="W53" s="105">
        <f t="shared" si="394"/>
        <v>54808.127845494149</v>
      </c>
      <c r="X53" s="105">
        <f t="shared" si="394"/>
        <v>38517.070856573053</v>
      </c>
      <c r="Y53" s="105">
        <f t="shared" si="394"/>
        <v>44835.836727723465</v>
      </c>
      <c r="Z53" s="105">
        <f t="shared" si="394"/>
        <v>48679.33561357994</v>
      </c>
      <c r="AA53" s="105">
        <f t="shared" si="394"/>
        <v>39502.332966771079</v>
      </c>
      <c r="AB53" s="105">
        <f t="shared" si="394"/>
        <v>44763.472788815823</v>
      </c>
      <c r="AC53" s="105">
        <f t="shared" si="394"/>
        <v>40209.580967343005</v>
      </c>
      <c r="AD53" s="105">
        <f t="shared" si="394"/>
        <v>31867.28744449254</v>
      </c>
      <c r="AE53" s="105">
        <f t="shared" si="394"/>
        <v>33506.509395164263</v>
      </c>
      <c r="AF53" s="105">
        <f t="shared" si="394"/>
        <v>19981.837775432301</v>
      </c>
      <c r="AG53" s="105">
        <f t="shared" si="394"/>
        <v>12746.595744927661</v>
      </c>
      <c r="AH53" s="105">
        <f t="shared" si="394"/>
        <v>22633.002115717885</v>
      </c>
      <c r="AI53" s="105">
        <f t="shared" si="394"/>
        <v>11043.480433137927</v>
      </c>
      <c r="AJ53" s="105">
        <f t="shared" si="394"/>
        <v>14016.979563099398</v>
      </c>
      <c r="AK53" s="105">
        <f t="shared" si="394"/>
        <v>11678.014069062592</v>
      </c>
      <c r="AL53" s="105">
        <f t="shared" si="394"/>
        <v>1748.9101052798942</v>
      </c>
      <c r="AM53" s="105">
        <f t="shared" si="394"/>
        <v>10024.971529140705</v>
      </c>
      <c r="AN53" s="105">
        <f t="shared" si="393"/>
        <v>5060.3082697939972</v>
      </c>
    </row>
    <row r="267" spans="9946:10001" s="9" customFormat="1" ht="21" customHeight="1" x14ac:dyDescent="0.2">
      <c r="NSC267" s="107">
        <v>74</v>
      </c>
    </row>
    <row r="268" spans="9946:10001" s="9" customFormat="1" ht="21" customHeight="1" x14ac:dyDescent="0.2">
      <c r="NSC268" s="107">
        <v>75</v>
      </c>
    </row>
    <row r="269" spans="9946:10001" s="9" customFormat="1" ht="18" customHeight="1" x14ac:dyDescent="0.2">
      <c r="NSC269" s="107">
        <v>76</v>
      </c>
      <c r="NTO269" s="20"/>
    </row>
    <row r="270" spans="9946:10001" s="9" customFormat="1" ht="21" customHeight="1" x14ac:dyDescent="0.2">
      <c r="NSC270" s="107">
        <v>77</v>
      </c>
      <c r="NTO270" s="20"/>
    </row>
    <row r="271" spans="9946:10001" s="9" customFormat="1" ht="21" customHeight="1" x14ac:dyDescent="0.2">
      <c r="NSC271" s="107">
        <v>78</v>
      </c>
      <c r="NTO271" s="20"/>
    </row>
    <row r="272" spans="9946:10001" s="9" customFormat="1" ht="21" customHeight="1" x14ac:dyDescent="0.2">
      <c r="NRN272" s="9" t="s">
        <v>154</v>
      </c>
      <c r="NSC272" s="107">
        <v>79</v>
      </c>
      <c r="NSE272" s="9" t="s">
        <v>154</v>
      </c>
      <c r="NTO272" s="20"/>
      <c r="NTQ272" s="9" t="s">
        <v>154</v>
      </c>
    </row>
    <row r="273" spans="9946:10001" s="9" customFormat="1" ht="21" customHeight="1" x14ac:dyDescent="0.2">
      <c r="NRN273" s="9" t="s">
        <v>154</v>
      </c>
      <c r="NSC273" s="107">
        <v>80</v>
      </c>
      <c r="NSE273" s="9" t="s">
        <v>154</v>
      </c>
      <c r="NTO273" s="20"/>
      <c r="NTQ273" s="9" t="s">
        <v>154</v>
      </c>
    </row>
    <row r="274" spans="9946:10001" s="9" customFormat="1" ht="21" customHeight="1" x14ac:dyDescent="0.2">
      <c r="NRN274" s="9" t="s">
        <v>154</v>
      </c>
      <c r="NSC274" s="107">
        <v>81</v>
      </c>
      <c r="NSE274" s="9" t="s">
        <v>154</v>
      </c>
      <c r="NTO274" s="20"/>
      <c r="NTQ274" s="9" t="s">
        <v>154</v>
      </c>
    </row>
    <row r="275" spans="9946:10001" s="9" customFormat="1" ht="21" customHeight="1" x14ac:dyDescent="0.2">
      <c r="NRN275" s="9" t="s">
        <v>154</v>
      </c>
      <c r="NSC275" s="107">
        <v>82</v>
      </c>
      <c r="NSE275" s="9" t="s">
        <v>154</v>
      </c>
      <c r="NTO275" s="20"/>
      <c r="NTQ275" s="9" t="s">
        <v>154</v>
      </c>
    </row>
    <row r="276" spans="9946:10001" s="9" customFormat="1" ht="21" customHeight="1" x14ac:dyDescent="0.2">
      <c r="NRN276" s="9" t="s">
        <v>154</v>
      </c>
      <c r="NSC276" s="107">
        <v>83</v>
      </c>
      <c r="NSE276" s="9" t="s">
        <v>154</v>
      </c>
      <c r="NTO276" s="108">
        <v>74</v>
      </c>
      <c r="NTQ276" s="9" t="s">
        <v>154</v>
      </c>
    </row>
    <row r="277" spans="9946:10001" s="9" customFormat="1" ht="21" customHeight="1" x14ac:dyDescent="0.2">
      <c r="NRN277" s="9" t="s">
        <v>154</v>
      </c>
      <c r="NSC277" s="107">
        <v>84</v>
      </c>
      <c r="NSE277" s="9" t="s">
        <v>154</v>
      </c>
      <c r="NTO277" s="108">
        <v>75</v>
      </c>
      <c r="NTQ277" s="9" t="s">
        <v>154</v>
      </c>
    </row>
    <row r="278" spans="9946:10001" s="9" customFormat="1" ht="21" customHeight="1" x14ac:dyDescent="0.2">
      <c r="NSC278" s="107">
        <v>85</v>
      </c>
      <c r="NTO278" s="108">
        <v>76</v>
      </c>
    </row>
    <row r="279" spans="9946:10001" s="9" customFormat="1" ht="21" customHeight="1" x14ac:dyDescent="0.2">
      <c r="NRN279" s="9" t="s">
        <v>154</v>
      </c>
      <c r="NSC279" s="107">
        <v>86</v>
      </c>
      <c r="NSE279" s="9" t="s">
        <v>154</v>
      </c>
      <c r="NTO279" s="108">
        <v>77</v>
      </c>
      <c r="NTQ279" s="9" t="s">
        <v>154</v>
      </c>
    </row>
    <row r="280" spans="9946:10001" ht="21" customHeight="1" x14ac:dyDescent="0.2">
      <c r="NRN280" s="21" t="s">
        <v>154</v>
      </c>
      <c r="NSC280" s="109">
        <v>87</v>
      </c>
      <c r="NSE280" s="21" t="s">
        <v>154</v>
      </c>
      <c r="NTO280" s="108">
        <v>78</v>
      </c>
      <c r="NTQ280" s="21" t="s">
        <v>154</v>
      </c>
    </row>
    <row r="281" spans="9946:10001" ht="21" customHeight="1" x14ac:dyDescent="0.2">
      <c r="NRN281" s="21" t="s">
        <v>154</v>
      </c>
      <c r="NSC281" s="109">
        <v>88</v>
      </c>
      <c r="NSE281" s="21" t="s">
        <v>154</v>
      </c>
      <c r="NTO281" s="108">
        <v>79</v>
      </c>
      <c r="NTQ281" s="21" t="s">
        <v>154</v>
      </c>
    </row>
    <row r="282" spans="9946:10001" ht="21" customHeight="1" x14ac:dyDescent="0.2">
      <c r="NRN282" s="21" t="s">
        <v>154</v>
      </c>
      <c r="NSC282" s="109">
        <v>89</v>
      </c>
      <c r="NSE282" s="21" t="s">
        <v>154</v>
      </c>
      <c r="NTO282" s="108">
        <v>80</v>
      </c>
      <c r="NTQ282" s="21" t="s">
        <v>154</v>
      </c>
    </row>
    <row r="283" spans="9946:10001" ht="21" customHeight="1" x14ac:dyDescent="0.2">
      <c r="NRN283" s="21" t="s">
        <v>154</v>
      </c>
      <c r="NSC283" s="109">
        <v>90</v>
      </c>
      <c r="NSE283" s="21" t="s">
        <v>154</v>
      </c>
      <c r="NTO283" s="108">
        <v>81</v>
      </c>
      <c r="NTQ283" s="21" t="s">
        <v>154</v>
      </c>
    </row>
    <row r="284" spans="9946:10001" ht="21" customHeight="1" x14ac:dyDescent="0.2">
      <c r="NRN284" s="21" t="s">
        <v>155</v>
      </c>
      <c r="NSC284" s="109">
        <v>91</v>
      </c>
      <c r="NSE284" s="21" t="s">
        <v>155</v>
      </c>
      <c r="NTO284" s="108">
        <v>82</v>
      </c>
      <c r="NTQ284" s="21" t="s">
        <v>155</v>
      </c>
    </row>
    <row r="285" spans="9946:10001" ht="21" customHeight="1" x14ac:dyDescent="0.2">
      <c r="NSC285" s="109">
        <v>92</v>
      </c>
      <c r="NTO285" s="108">
        <v>83</v>
      </c>
    </row>
    <row r="286" spans="9946:10001" ht="21" customHeight="1" x14ac:dyDescent="0.2">
      <c r="NRN286" s="21" t="s">
        <v>154</v>
      </c>
      <c r="NSC286" s="109">
        <v>93</v>
      </c>
      <c r="NSE286" s="21" t="s">
        <v>154</v>
      </c>
      <c r="NTO286" s="108">
        <v>84</v>
      </c>
      <c r="NTQ286" s="21" t="s">
        <v>154</v>
      </c>
    </row>
    <row r="287" spans="9946:10001" ht="21" customHeight="1" x14ac:dyDescent="0.2">
      <c r="NRN287" s="21" t="s">
        <v>154</v>
      </c>
      <c r="NSC287" s="109">
        <v>94</v>
      </c>
      <c r="NSE287" s="21" t="s">
        <v>154</v>
      </c>
      <c r="NTO287" s="108">
        <v>85</v>
      </c>
      <c r="NTQ287" s="21" t="s">
        <v>154</v>
      </c>
    </row>
    <row r="288" spans="9946:10001" ht="21" customHeight="1" x14ac:dyDescent="0.2">
      <c r="NRN288" s="21" t="s">
        <v>154</v>
      </c>
      <c r="NSE288" s="21" t="s">
        <v>154</v>
      </c>
      <c r="NTO288" s="108">
        <v>86</v>
      </c>
      <c r="NTQ288" s="21" t="s">
        <v>154</v>
      </c>
    </row>
    <row r="289" spans="9946:10001" ht="21" customHeight="1" x14ac:dyDescent="0.2">
      <c r="NRN289" s="21" t="s">
        <v>154</v>
      </c>
      <c r="NSE289" s="21" t="s">
        <v>154</v>
      </c>
      <c r="NTO289" s="108">
        <v>87</v>
      </c>
      <c r="NTQ289" s="21" t="s">
        <v>154</v>
      </c>
    </row>
    <row r="290" spans="9946:10001" ht="21" customHeight="1" x14ac:dyDescent="0.2">
      <c r="NRN290" s="21" t="s">
        <v>155</v>
      </c>
      <c r="NSE290" s="21" t="s">
        <v>155</v>
      </c>
      <c r="NTO290" s="108">
        <v>88</v>
      </c>
      <c r="NTQ290" s="21" t="s">
        <v>155</v>
      </c>
    </row>
    <row r="291" spans="9946:10001" ht="21" customHeight="1" x14ac:dyDescent="0.2">
      <c r="NRN291" s="21" t="s">
        <v>154</v>
      </c>
      <c r="NSE291" s="21" t="s">
        <v>154</v>
      </c>
      <c r="NTO291" s="108">
        <v>89</v>
      </c>
      <c r="NTQ291" s="21" t="s">
        <v>154</v>
      </c>
    </row>
    <row r="292" spans="9946:10001" ht="21" customHeight="1" x14ac:dyDescent="0.2">
      <c r="NRN292" s="21" t="s">
        <v>154</v>
      </c>
      <c r="NSE292" s="21" t="s">
        <v>154</v>
      </c>
      <c r="NTO292" s="108">
        <v>90</v>
      </c>
      <c r="NTQ292" s="21" t="s">
        <v>154</v>
      </c>
    </row>
    <row r="293" spans="9946:10001" ht="21" customHeight="1" x14ac:dyDescent="0.2">
      <c r="NRN293" s="21" t="s">
        <v>154</v>
      </c>
      <c r="NSE293" s="21" t="s">
        <v>154</v>
      </c>
      <c r="NTO293" s="108">
        <v>91</v>
      </c>
      <c r="NTQ293" s="21" t="s">
        <v>154</v>
      </c>
    </row>
    <row r="294" spans="9946:10001" ht="21" customHeight="1" x14ac:dyDescent="0.2">
      <c r="NTO294" s="108">
        <v>92</v>
      </c>
    </row>
    <row r="295" spans="9946:10001" ht="21" customHeight="1" x14ac:dyDescent="0.2">
      <c r="NRN295" s="21" t="s">
        <v>154</v>
      </c>
      <c r="NSE295" s="21" t="s">
        <v>154</v>
      </c>
      <c r="NTO295" s="108">
        <v>93</v>
      </c>
      <c r="NTQ295" s="21" t="s">
        <v>154</v>
      </c>
    </row>
    <row r="296" spans="9946:10001" ht="21" customHeight="1" x14ac:dyDescent="0.2">
      <c r="NSE296" s="21" t="s">
        <v>154</v>
      </c>
      <c r="NTO296" s="108">
        <v>94</v>
      </c>
      <c r="NTQ296" s="21" t="s">
        <v>154</v>
      </c>
    </row>
    <row r="297" spans="9946:10001" ht="21" customHeight="1" x14ac:dyDescent="0.2">
      <c r="NSE297" s="21" t="s">
        <v>155</v>
      </c>
      <c r="NTO297" s="108">
        <v>95</v>
      </c>
      <c r="NTQ297" s="21" t="s">
        <v>155</v>
      </c>
    </row>
    <row r="298" spans="9946:10001" ht="21" customHeight="1" x14ac:dyDescent="0.2">
      <c r="NTO298" s="108">
        <v>96</v>
      </c>
    </row>
    <row r="299" spans="9946:10001" ht="21" customHeight="1" x14ac:dyDescent="0.2">
      <c r="NTO299" s="108">
        <v>97</v>
      </c>
    </row>
    <row r="300" spans="9946:10001" ht="21" customHeight="1" x14ac:dyDescent="0.2">
      <c r="NTO300" s="108">
        <v>98</v>
      </c>
    </row>
    <row r="301" spans="9946:10001" ht="21" customHeight="1" x14ac:dyDescent="0.2">
      <c r="NTO301" s="108">
        <v>99</v>
      </c>
    </row>
    <row r="302" spans="9946:10001" ht="21" customHeight="1" x14ac:dyDescent="0.2">
      <c r="NTO302" s="108">
        <v>100</v>
      </c>
    </row>
    <row r="303" spans="9946:10001" ht="21" customHeight="1" x14ac:dyDescent="0.2">
      <c r="NTO303" s="108">
        <v>101</v>
      </c>
    </row>
    <row r="304" spans="9946:10001" ht="21" customHeight="1" x14ac:dyDescent="0.2">
      <c r="NTO304" s="108">
        <v>102</v>
      </c>
    </row>
  </sheetData>
  <dataConsolidate/>
  <dataValidations count="1">
    <dataValidation type="list" allowBlank="1" showInputMessage="1" showErrorMessage="1" sqref="E4" xr:uid="{3A6EF5EF-3206-4FA6-BEB6-EADE824B77C8}">
      <formula1>"1/31/2021,1/31/2022,1/31/2023,1/31/2024,1/31/2025,1/31/2026,1/31/2027"</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C8DAE-B442-4B78-82B1-C78880C6C460}">
  <sheetPr>
    <tabColor theme="4" tint="0.79998168889431442"/>
    <outlinePr summaryBelow="0" summaryRight="0"/>
  </sheetPr>
  <dimension ref="A1:NTQ304"/>
  <sheetViews>
    <sheetView showGridLines="0" zoomScaleNormal="100" workbookViewId="0">
      <pane xSplit="4" ySplit="4" topLeftCell="E18" activePane="bottomRight" state="frozen"/>
      <selection activeCell="E49" sqref="E49"/>
      <selection pane="topRight" activeCell="E49" sqref="E49"/>
      <selection pane="bottomLeft" activeCell="E49" sqref="E49"/>
      <selection pane="bottomRight" activeCell="E49" sqref="E49"/>
    </sheetView>
  </sheetViews>
  <sheetFormatPr baseColWidth="10" defaultColWidth="9.140625" defaultRowHeight="15" x14ac:dyDescent="0.2"/>
  <cols>
    <col min="1" max="1" width="2.42578125" customWidth="1"/>
    <col min="2" max="2" width="42.28515625" style="2" customWidth="1"/>
    <col min="3" max="3" width="7.7109375" style="2" bestFit="1" customWidth="1"/>
    <col min="4" max="4" width="2.7109375" customWidth="1"/>
    <col min="5" max="12" width="12.42578125" style="21" customWidth="1"/>
    <col min="13" max="40" width="13.28515625" style="21" customWidth="1"/>
    <col min="41" max="9998" width="9.140625" style="21"/>
    <col min="9999" max="9999" width="9.140625" style="20"/>
    <col min="10000" max="16384" width="9.140625" style="21"/>
  </cols>
  <sheetData>
    <row r="1" spans="1:40" customFormat="1" ht="21" customHeight="1" x14ac:dyDescent="0.2">
      <c r="A1" s="10" t="s">
        <v>141</v>
      </c>
      <c r="B1" s="2"/>
      <c r="C1" s="2"/>
    </row>
    <row r="2" spans="1:40" customFormat="1" ht="21" customHeight="1" x14ac:dyDescent="0.2">
      <c r="A2" s="11" t="s">
        <v>142</v>
      </c>
      <c r="B2" s="2"/>
      <c r="C2" s="2"/>
    </row>
    <row r="3" spans="1:40" customFormat="1" x14ac:dyDescent="0.2">
      <c r="A3" t="s">
        <v>13</v>
      </c>
      <c r="B3" s="2"/>
      <c r="C3" s="2"/>
    </row>
    <row r="4" spans="1:40" s="12" customFormat="1" ht="16" x14ac:dyDescent="0.2">
      <c r="B4" s="3"/>
      <c r="C4" s="98" t="s">
        <v>144</v>
      </c>
      <c r="E4" s="99">
        <v>44957</v>
      </c>
      <c r="F4" s="100">
        <f t="shared" ref="F4:AN4" si="0">EOMONTH(E4,1)</f>
        <v>44985</v>
      </c>
      <c r="G4" s="100">
        <f t="shared" si="0"/>
        <v>45016</v>
      </c>
      <c r="H4" s="100">
        <f t="shared" si="0"/>
        <v>45046</v>
      </c>
      <c r="I4" s="100">
        <f t="shared" si="0"/>
        <v>45077</v>
      </c>
      <c r="J4" s="100">
        <f t="shared" si="0"/>
        <v>45107</v>
      </c>
      <c r="K4" s="100">
        <f t="shared" si="0"/>
        <v>45138</v>
      </c>
      <c r="L4" s="100">
        <f t="shared" si="0"/>
        <v>45169</v>
      </c>
      <c r="M4" s="100">
        <f t="shared" si="0"/>
        <v>45199</v>
      </c>
      <c r="N4" s="100">
        <f t="shared" si="0"/>
        <v>45230</v>
      </c>
      <c r="O4" s="100">
        <f t="shared" si="0"/>
        <v>45260</v>
      </c>
      <c r="P4" s="100">
        <f t="shared" si="0"/>
        <v>45291</v>
      </c>
      <c r="Q4" s="100">
        <f t="shared" si="0"/>
        <v>45322</v>
      </c>
      <c r="R4" s="100">
        <f t="shared" si="0"/>
        <v>45351</v>
      </c>
      <c r="S4" s="100">
        <f t="shared" si="0"/>
        <v>45382</v>
      </c>
      <c r="T4" s="100">
        <f t="shared" si="0"/>
        <v>45412</v>
      </c>
      <c r="U4" s="100">
        <f t="shared" si="0"/>
        <v>45443</v>
      </c>
      <c r="V4" s="100">
        <f t="shared" si="0"/>
        <v>45473</v>
      </c>
      <c r="W4" s="100">
        <f t="shared" si="0"/>
        <v>45504</v>
      </c>
      <c r="X4" s="100">
        <f t="shared" si="0"/>
        <v>45535</v>
      </c>
      <c r="Y4" s="100">
        <f t="shared" si="0"/>
        <v>45565</v>
      </c>
      <c r="Z4" s="100">
        <f t="shared" si="0"/>
        <v>45596</v>
      </c>
      <c r="AA4" s="100">
        <f t="shared" si="0"/>
        <v>45626</v>
      </c>
      <c r="AB4" s="100">
        <f t="shared" si="0"/>
        <v>45657</v>
      </c>
      <c r="AC4" s="100">
        <f t="shared" si="0"/>
        <v>45688</v>
      </c>
      <c r="AD4" s="100">
        <f t="shared" si="0"/>
        <v>45716</v>
      </c>
      <c r="AE4" s="100">
        <f t="shared" si="0"/>
        <v>45747</v>
      </c>
      <c r="AF4" s="100">
        <f t="shared" si="0"/>
        <v>45777</v>
      </c>
      <c r="AG4" s="100">
        <f t="shared" si="0"/>
        <v>45808</v>
      </c>
      <c r="AH4" s="100">
        <f t="shared" si="0"/>
        <v>45838</v>
      </c>
      <c r="AI4" s="100">
        <f t="shared" si="0"/>
        <v>45869</v>
      </c>
      <c r="AJ4" s="100">
        <f t="shared" si="0"/>
        <v>45900</v>
      </c>
      <c r="AK4" s="100">
        <f t="shared" si="0"/>
        <v>45930</v>
      </c>
      <c r="AL4" s="100">
        <f t="shared" si="0"/>
        <v>45961</v>
      </c>
      <c r="AM4" s="100">
        <f t="shared" si="0"/>
        <v>45991</v>
      </c>
      <c r="AN4" s="100">
        <f t="shared" si="0"/>
        <v>46022</v>
      </c>
    </row>
    <row r="5" spans="1:40" s="16" customFormat="1" ht="21" customHeight="1" x14ac:dyDescent="0.2">
      <c r="A5" s="13"/>
      <c r="B5" s="4" t="s">
        <v>30</v>
      </c>
      <c r="C5" s="4"/>
      <c r="D5" s="14"/>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row>
    <row r="6" spans="1:40" s="16" customFormat="1" ht="21" customHeight="1" x14ac:dyDescent="0.2">
      <c r="A6" s="13"/>
      <c r="B6" s="5" t="s">
        <v>92</v>
      </c>
      <c r="C6" s="101">
        <v>0.1</v>
      </c>
      <c r="D6" s="14"/>
      <c r="E6" s="102">
        <v>0</v>
      </c>
      <c r="F6" s="102">
        <v>0</v>
      </c>
      <c r="G6" s="102">
        <v>0</v>
      </c>
      <c r="H6" s="102">
        <v>0</v>
      </c>
      <c r="I6" s="102">
        <v>0</v>
      </c>
      <c r="J6" s="102">
        <v>0</v>
      </c>
      <c r="K6" s="102">
        <v>0</v>
      </c>
      <c r="L6" s="102">
        <v>0</v>
      </c>
      <c r="M6" s="102">
        <v>0</v>
      </c>
      <c r="N6" s="102">
        <v>0</v>
      </c>
      <c r="O6" s="102">
        <v>0</v>
      </c>
      <c r="P6" s="102">
        <v>0</v>
      </c>
      <c r="Q6" s="102">
        <v>0</v>
      </c>
      <c r="R6" s="102">
        <v>0</v>
      </c>
      <c r="S6" s="102">
        <v>0</v>
      </c>
      <c r="T6" s="102">
        <v>0</v>
      </c>
      <c r="U6" s="102">
        <v>0</v>
      </c>
      <c r="V6" s="102">
        <v>0</v>
      </c>
      <c r="W6" s="102">
        <v>0</v>
      </c>
      <c r="X6" s="102">
        <v>0</v>
      </c>
      <c r="Y6" s="102">
        <v>0</v>
      </c>
      <c r="Z6" s="102">
        <v>0</v>
      </c>
      <c r="AA6" s="102">
        <v>0</v>
      </c>
      <c r="AB6" s="102">
        <v>0</v>
      </c>
      <c r="AC6" s="102">
        <v>0</v>
      </c>
      <c r="AD6" s="102">
        <v>0</v>
      </c>
      <c r="AE6" s="102">
        <v>0</v>
      </c>
      <c r="AF6" s="102">
        <v>0</v>
      </c>
      <c r="AG6" s="102">
        <v>0</v>
      </c>
      <c r="AH6" s="102">
        <v>0</v>
      </c>
      <c r="AI6" s="102">
        <v>0</v>
      </c>
      <c r="AJ6" s="102">
        <v>0</v>
      </c>
      <c r="AK6" s="102">
        <v>0</v>
      </c>
      <c r="AL6" s="102">
        <v>0</v>
      </c>
      <c r="AM6" s="102">
        <v>0</v>
      </c>
      <c r="AN6" s="102">
        <v>0</v>
      </c>
    </row>
    <row r="7" spans="1:40" s="16" customFormat="1" ht="21" customHeight="1" x14ac:dyDescent="0.2">
      <c r="A7" s="13"/>
      <c r="B7" s="6" t="s">
        <v>145</v>
      </c>
      <c r="C7" s="26"/>
      <c r="D7" s="14"/>
      <c r="E7" s="104">
        <f t="shared" ref="E7:AN7" si="1">SUM(E6 + E5)</f>
        <v>0</v>
      </c>
      <c r="F7" s="104">
        <f t="shared" si="1"/>
        <v>0</v>
      </c>
      <c r="G7" s="104">
        <f t="shared" si="1"/>
        <v>0</v>
      </c>
      <c r="H7" s="104">
        <f t="shared" si="1"/>
        <v>0</v>
      </c>
      <c r="I7" s="104">
        <f t="shared" si="1"/>
        <v>0</v>
      </c>
      <c r="J7" s="104">
        <f t="shared" si="1"/>
        <v>0</v>
      </c>
      <c r="K7" s="104">
        <f t="shared" si="1"/>
        <v>0</v>
      </c>
      <c r="L7" s="104">
        <f t="shared" si="1"/>
        <v>0</v>
      </c>
      <c r="M7" s="104">
        <f t="shared" si="1"/>
        <v>0</v>
      </c>
      <c r="N7" s="104">
        <f t="shared" si="1"/>
        <v>0</v>
      </c>
      <c r="O7" s="104">
        <f t="shared" si="1"/>
        <v>0</v>
      </c>
      <c r="P7" s="104">
        <f t="shared" si="1"/>
        <v>0</v>
      </c>
      <c r="Q7" s="104">
        <f t="shared" si="1"/>
        <v>0</v>
      </c>
      <c r="R7" s="104">
        <f t="shared" si="1"/>
        <v>0</v>
      </c>
      <c r="S7" s="104">
        <f t="shared" si="1"/>
        <v>0</v>
      </c>
      <c r="T7" s="104">
        <f t="shared" si="1"/>
        <v>0</v>
      </c>
      <c r="U7" s="104">
        <f t="shared" si="1"/>
        <v>0</v>
      </c>
      <c r="V7" s="104">
        <f t="shared" si="1"/>
        <v>0</v>
      </c>
      <c r="W7" s="104">
        <f t="shared" si="1"/>
        <v>0</v>
      </c>
      <c r="X7" s="104">
        <f t="shared" si="1"/>
        <v>0</v>
      </c>
      <c r="Y7" s="104">
        <f t="shared" si="1"/>
        <v>0</v>
      </c>
      <c r="Z7" s="104">
        <f t="shared" si="1"/>
        <v>0</v>
      </c>
      <c r="AA7" s="104">
        <f t="shared" si="1"/>
        <v>0</v>
      </c>
      <c r="AB7" s="104">
        <f t="shared" si="1"/>
        <v>0</v>
      </c>
      <c r="AC7" s="104">
        <f t="shared" si="1"/>
        <v>0</v>
      </c>
      <c r="AD7" s="104">
        <f t="shared" si="1"/>
        <v>0</v>
      </c>
      <c r="AE7" s="104">
        <f t="shared" si="1"/>
        <v>0</v>
      </c>
      <c r="AF7" s="104">
        <f t="shared" si="1"/>
        <v>0</v>
      </c>
      <c r="AG7" s="104">
        <f t="shared" si="1"/>
        <v>0</v>
      </c>
      <c r="AH7" s="104">
        <f t="shared" si="1"/>
        <v>0</v>
      </c>
      <c r="AI7" s="104">
        <f t="shared" si="1"/>
        <v>0</v>
      </c>
      <c r="AJ7" s="104">
        <f t="shared" si="1"/>
        <v>0</v>
      </c>
      <c r="AK7" s="104">
        <f t="shared" si="1"/>
        <v>0</v>
      </c>
      <c r="AL7" s="104">
        <f t="shared" si="1"/>
        <v>0</v>
      </c>
      <c r="AM7" s="104">
        <f t="shared" si="1"/>
        <v>0</v>
      </c>
      <c r="AN7" s="104">
        <f t="shared" si="1"/>
        <v>0</v>
      </c>
    </row>
    <row r="8" spans="1:40" s="16" customFormat="1" ht="21" customHeight="1" x14ac:dyDescent="0.2">
      <c r="A8" s="13"/>
      <c r="B8" s="6" t="s">
        <v>41</v>
      </c>
      <c r="C8" s="26"/>
      <c r="D8" s="14"/>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row>
    <row r="9" spans="1:40" s="16" customFormat="1" ht="21" customHeight="1" x14ac:dyDescent="0.2">
      <c r="A9" s="13"/>
      <c r="B9" s="5" t="s">
        <v>96</v>
      </c>
      <c r="C9" s="101">
        <v>0.1</v>
      </c>
      <c r="D9" s="14"/>
      <c r="E9" s="102">
        <v>0</v>
      </c>
      <c r="F9" s="102">
        <v>0</v>
      </c>
      <c r="G9" s="102">
        <v>0</v>
      </c>
      <c r="H9" s="102">
        <v>0</v>
      </c>
      <c r="I9" s="102">
        <v>0</v>
      </c>
      <c r="J9" s="102">
        <v>0</v>
      </c>
      <c r="K9" s="102">
        <v>0</v>
      </c>
      <c r="L9" s="102">
        <v>0</v>
      </c>
      <c r="M9" s="102">
        <v>0</v>
      </c>
      <c r="N9" s="102">
        <v>0</v>
      </c>
      <c r="O9" s="102">
        <v>0</v>
      </c>
      <c r="P9" s="102">
        <v>0</v>
      </c>
      <c r="Q9" s="102">
        <v>0</v>
      </c>
      <c r="R9" s="102">
        <v>0</v>
      </c>
      <c r="S9" s="102">
        <v>0</v>
      </c>
      <c r="T9" s="102">
        <v>0</v>
      </c>
      <c r="U9" s="102">
        <v>0</v>
      </c>
      <c r="V9" s="102">
        <v>0</v>
      </c>
      <c r="W9" s="102">
        <v>0</v>
      </c>
      <c r="X9" s="102">
        <v>0</v>
      </c>
      <c r="Y9" s="102">
        <v>0</v>
      </c>
      <c r="Z9" s="102">
        <v>0</v>
      </c>
      <c r="AA9" s="102">
        <v>0</v>
      </c>
      <c r="AB9" s="102">
        <v>0</v>
      </c>
      <c r="AC9" s="102">
        <v>0</v>
      </c>
      <c r="AD9" s="102">
        <v>0</v>
      </c>
      <c r="AE9" s="102">
        <v>0</v>
      </c>
      <c r="AF9" s="102">
        <v>0</v>
      </c>
      <c r="AG9" s="102">
        <v>0</v>
      </c>
      <c r="AH9" s="102">
        <v>0</v>
      </c>
      <c r="AI9" s="102">
        <v>0</v>
      </c>
      <c r="AJ9" s="102">
        <v>0</v>
      </c>
      <c r="AK9" s="102">
        <v>0</v>
      </c>
      <c r="AL9" s="102">
        <v>0</v>
      </c>
      <c r="AM9" s="102">
        <v>0</v>
      </c>
      <c r="AN9" s="102">
        <v>0</v>
      </c>
    </row>
    <row r="10" spans="1:40" s="16" customFormat="1" ht="21" customHeight="1" x14ac:dyDescent="0.2">
      <c r="A10" s="13"/>
      <c r="B10" s="5" t="s">
        <v>98</v>
      </c>
      <c r="C10" s="101">
        <v>0.1</v>
      </c>
      <c r="D10" s="14"/>
      <c r="E10" s="102">
        <v>0</v>
      </c>
      <c r="F10" s="102">
        <v>0</v>
      </c>
      <c r="G10" s="102">
        <v>0</v>
      </c>
      <c r="H10" s="102">
        <v>0</v>
      </c>
      <c r="I10" s="102">
        <v>0</v>
      </c>
      <c r="J10" s="102">
        <v>0</v>
      </c>
      <c r="K10" s="102">
        <v>0</v>
      </c>
      <c r="L10" s="102">
        <v>0</v>
      </c>
      <c r="M10" s="102">
        <v>0</v>
      </c>
      <c r="N10" s="102">
        <v>0</v>
      </c>
      <c r="O10" s="102">
        <v>0</v>
      </c>
      <c r="P10" s="102">
        <v>0</v>
      </c>
      <c r="Q10" s="102">
        <v>0</v>
      </c>
      <c r="R10" s="102">
        <v>0</v>
      </c>
      <c r="S10" s="102">
        <v>0</v>
      </c>
      <c r="T10" s="102">
        <v>0</v>
      </c>
      <c r="U10" s="102">
        <v>0</v>
      </c>
      <c r="V10" s="102">
        <v>0</v>
      </c>
      <c r="W10" s="102">
        <v>0</v>
      </c>
      <c r="X10" s="102">
        <v>0</v>
      </c>
      <c r="Y10" s="102">
        <v>0</v>
      </c>
      <c r="Z10" s="102">
        <v>0</v>
      </c>
      <c r="AA10" s="102">
        <v>0</v>
      </c>
      <c r="AB10" s="102">
        <v>0</v>
      </c>
      <c r="AC10" s="102">
        <v>0</v>
      </c>
      <c r="AD10" s="102">
        <v>0</v>
      </c>
      <c r="AE10" s="102">
        <v>0</v>
      </c>
      <c r="AF10" s="102">
        <v>0</v>
      </c>
      <c r="AG10" s="102">
        <v>0</v>
      </c>
      <c r="AH10" s="102">
        <v>0</v>
      </c>
      <c r="AI10" s="102">
        <v>0</v>
      </c>
      <c r="AJ10" s="102">
        <v>0</v>
      </c>
      <c r="AK10" s="102">
        <v>0</v>
      </c>
      <c r="AL10" s="102">
        <v>0</v>
      </c>
      <c r="AM10" s="102">
        <v>0</v>
      </c>
      <c r="AN10" s="102">
        <v>0</v>
      </c>
    </row>
    <row r="11" spans="1:40" s="16" customFormat="1" ht="21" customHeight="1" x14ac:dyDescent="0.2">
      <c r="A11" s="13"/>
      <c r="B11" s="6" t="s">
        <v>146</v>
      </c>
      <c r="C11" s="26"/>
      <c r="D11" s="14"/>
      <c r="E11" s="104">
        <f t="shared" ref="E11:AN11" si="2">SUM(E10, E9 + E8)</f>
        <v>0</v>
      </c>
      <c r="F11" s="104">
        <f t="shared" si="2"/>
        <v>0</v>
      </c>
      <c r="G11" s="104">
        <f t="shared" si="2"/>
        <v>0</v>
      </c>
      <c r="H11" s="104">
        <f t="shared" si="2"/>
        <v>0</v>
      </c>
      <c r="I11" s="104">
        <f t="shared" si="2"/>
        <v>0</v>
      </c>
      <c r="J11" s="104">
        <f t="shared" si="2"/>
        <v>0</v>
      </c>
      <c r="K11" s="104">
        <f t="shared" si="2"/>
        <v>0</v>
      </c>
      <c r="L11" s="104">
        <f t="shared" si="2"/>
        <v>0</v>
      </c>
      <c r="M11" s="104">
        <f t="shared" si="2"/>
        <v>0</v>
      </c>
      <c r="N11" s="104">
        <f t="shared" si="2"/>
        <v>0</v>
      </c>
      <c r="O11" s="104">
        <f t="shared" si="2"/>
        <v>0</v>
      </c>
      <c r="P11" s="104">
        <f t="shared" si="2"/>
        <v>0</v>
      </c>
      <c r="Q11" s="104">
        <f t="shared" si="2"/>
        <v>0</v>
      </c>
      <c r="R11" s="104">
        <f t="shared" si="2"/>
        <v>0</v>
      </c>
      <c r="S11" s="104">
        <f t="shared" si="2"/>
        <v>0</v>
      </c>
      <c r="T11" s="104">
        <f t="shared" si="2"/>
        <v>0</v>
      </c>
      <c r="U11" s="104">
        <f t="shared" si="2"/>
        <v>0</v>
      </c>
      <c r="V11" s="104">
        <f t="shared" si="2"/>
        <v>0</v>
      </c>
      <c r="W11" s="104">
        <f t="shared" si="2"/>
        <v>0</v>
      </c>
      <c r="X11" s="104">
        <f t="shared" si="2"/>
        <v>0</v>
      </c>
      <c r="Y11" s="104">
        <f t="shared" si="2"/>
        <v>0</v>
      </c>
      <c r="Z11" s="104">
        <f t="shared" si="2"/>
        <v>0</v>
      </c>
      <c r="AA11" s="104">
        <f t="shared" si="2"/>
        <v>0</v>
      </c>
      <c r="AB11" s="104">
        <f t="shared" si="2"/>
        <v>0</v>
      </c>
      <c r="AC11" s="104">
        <f t="shared" si="2"/>
        <v>0</v>
      </c>
      <c r="AD11" s="104">
        <f t="shared" si="2"/>
        <v>0</v>
      </c>
      <c r="AE11" s="104">
        <f t="shared" si="2"/>
        <v>0</v>
      </c>
      <c r="AF11" s="104">
        <f t="shared" si="2"/>
        <v>0</v>
      </c>
      <c r="AG11" s="104">
        <f t="shared" si="2"/>
        <v>0</v>
      </c>
      <c r="AH11" s="104">
        <f t="shared" si="2"/>
        <v>0</v>
      </c>
      <c r="AI11" s="104">
        <f t="shared" si="2"/>
        <v>0</v>
      </c>
      <c r="AJ11" s="104">
        <f t="shared" si="2"/>
        <v>0</v>
      </c>
      <c r="AK11" s="104">
        <f t="shared" si="2"/>
        <v>0</v>
      </c>
      <c r="AL11" s="104">
        <f t="shared" si="2"/>
        <v>0</v>
      </c>
      <c r="AM11" s="104">
        <f t="shared" si="2"/>
        <v>0</v>
      </c>
      <c r="AN11" s="104">
        <f t="shared" si="2"/>
        <v>0</v>
      </c>
    </row>
    <row r="12" spans="1:40" s="18" customFormat="1" ht="21" customHeight="1" x14ac:dyDescent="0.2">
      <c r="B12" s="6" t="s">
        <v>43</v>
      </c>
      <c r="C12" s="26"/>
      <c r="D12" s="19"/>
      <c r="E12" s="105">
        <f t="shared" ref="E12:AN12" si="3">E7-E11</f>
        <v>0</v>
      </c>
      <c r="F12" s="105">
        <f t="shared" si="3"/>
        <v>0</v>
      </c>
      <c r="G12" s="105">
        <f t="shared" si="3"/>
        <v>0</v>
      </c>
      <c r="H12" s="105">
        <f t="shared" si="3"/>
        <v>0</v>
      </c>
      <c r="I12" s="105">
        <f t="shared" si="3"/>
        <v>0</v>
      </c>
      <c r="J12" s="105">
        <f t="shared" si="3"/>
        <v>0</v>
      </c>
      <c r="K12" s="105">
        <f t="shared" si="3"/>
        <v>0</v>
      </c>
      <c r="L12" s="105">
        <f t="shared" si="3"/>
        <v>0</v>
      </c>
      <c r="M12" s="105">
        <f t="shared" si="3"/>
        <v>0</v>
      </c>
      <c r="N12" s="105">
        <f t="shared" si="3"/>
        <v>0</v>
      </c>
      <c r="O12" s="105">
        <f t="shared" si="3"/>
        <v>0</v>
      </c>
      <c r="P12" s="105">
        <f t="shared" si="3"/>
        <v>0</v>
      </c>
      <c r="Q12" s="105">
        <f t="shared" si="3"/>
        <v>0</v>
      </c>
      <c r="R12" s="105">
        <f t="shared" si="3"/>
        <v>0</v>
      </c>
      <c r="S12" s="105">
        <f t="shared" si="3"/>
        <v>0</v>
      </c>
      <c r="T12" s="105">
        <f t="shared" si="3"/>
        <v>0</v>
      </c>
      <c r="U12" s="105">
        <f t="shared" si="3"/>
        <v>0</v>
      </c>
      <c r="V12" s="105">
        <f t="shared" si="3"/>
        <v>0</v>
      </c>
      <c r="W12" s="105">
        <f t="shared" si="3"/>
        <v>0</v>
      </c>
      <c r="X12" s="105">
        <f t="shared" si="3"/>
        <v>0</v>
      </c>
      <c r="Y12" s="105">
        <f t="shared" si="3"/>
        <v>0</v>
      </c>
      <c r="Z12" s="105">
        <f t="shared" si="3"/>
        <v>0</v>
      </c>
      <c r="AA12" s="105">
        <f t="shared" si="3"/>
        <v>0</v>
      </c>
      <c r="AB12" s="105">
        <f t="shared" si="3"/>
        <v>0</v>
      </c>
      <c r="AC12" s="105">
        <f t="shared" si="3"/>
        <v>0</v>
      </c>
      <c r="AD12" s="105">
        <f t="shared" si="3"/>
        <v>0</v>
      </c>
      <c r="AE12" s="105">
        <f t="shared" si="3"/>
        <v>0</v>
      </c>
      <c r="AF12" s="105">
        <f t="shared" si="3"/>
        <v>0</v>
      </c>
      <c r="AG12" s="105">
        <f t="shared" si="3"/>
        <v>0</v>
      </c>
      <c r="AH12" s="105">
        <f t="shared" si="3"/>
        <v>0</v>
      </c>
      <c r="AI12" s="105">
        <f t="shared" si="3"/>
        <v>0</v>
      </c>
      <c r="AJ12" s="105">
        <f t="shared" si="3"/>
        <v>0</v>
      </c>
      <c r="AK12" s="105">
        <f t="shared" si="3"/>
        <v>0</v>
      </c>
      <c r="AL12" s="105">
        <f t="shared" si="3"/>
        <v>0</v>
      </c>
      <c r="AM12" s="105">
        <f t="shared" si="3"/>
        <v>0</v>
      </c>
      <c r="AN12" s="105">
        <f t="shared" si="3"/>
        <v>0</v>
      </c>
    </row>
    <row r="13" spans="1:40" s="16" customFormat="1" ht="21" customHeight="1" x14ac:dyDescent="0.2">
      <c r="A13" s="13"/>
      <c r="B13" s="6" t="s">
        <v>23</v>
      </c>
      <c r="C13" s="26"/>
      <c r="D13" s="14"/>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row>
    <row r="14" spans="1:40" s="16" customFormat="1" ht="21" customHeight="1" x14ac:dyDescent="0.2">
      <c r="B14" s="5" t="s">
        <v>49</v>
      </c>
      <c r="C14" s="101">
        <v>0.03</v>
      </c>
      <c r="D14" s="14"/>
      <c r="E14" s="102">
        <v>0</v>
      </c>
      <c r="F14" s="102">
        <v>0</v>
      </c>
      <c r="G14" s="102">
        <v>0</v>
      </c>
      <c r="H14" s="102">
        <v>0</v>
      </c>
      <c r="I14" s="102">
        <v>0</v>
      </c>
      <c r="J14" s="102">
        <v>0</v>
      </c>
      <c r="K14" s="102">
        <v>0</v>
      </c>
      <c r="L14" s="102">
        <v>0</v>
      </c>
      <c r="M14" s="102">
        <v>0</v>
      </c>
      <c r="N14" s="102">
        <v>0</v>
      </c>
      <c r="O14" s="102">
        <v>0</v>
      </c>
      <c r="P14" s="102">
        <v>0</v>
      </c>
      <c r="Q14" s="102">
        <v>0</v>
      </c>
      <c r="R14" s="102">
        <v>0</v>
      </c>
      <c r="S14" s="102">
        <v>0</v>
      </c>
      <c r="T14" s="102">
        <v>0</v>
      </c>
      <c r="U14" s="102">
        <v>0</v>
      </c>
      <c r="V14" s="102">
        <v>0</v>
      </c>
      <c r="W14" s="102">
        <v>0</v>
      </c>
      <c r="X14" s="102">
        <v>0</v>
      </c>
      <c r="Y14" s="102">
        <v>0</v>
      </c>
      <c r="Z14" s="102">
        <v>0</v>
      </c>
      <c r="AA14" s="102">
        <v>0</v>
      </c>
      <c r="AB14" s="102">
        <v>0</v>
      </c>
      <c r="AC14" s="102">
        <v>0</v>
      </c>
      <c r="AD14" s="102">
        <v>0</v>
      </c>
      <c r="AE14" s="102">
        <v>0</v>
      </c>
      <c r="AF14" s="102">
        <v>0</v>
      </c>
      <c r="AG14" s="102">
        <v>0</v>
      </c>
      <c r="AH14" s="102">
        <v>0</v>
      </c>
      <c r="AI14" s="102">
        <v>0</v>
      </c>
      <c r="AJ14" s="102">
        <v>0</v>
      </c>
      <c r="AK14" s="102">
        <v>0</v>
      </c>
      <c r="AL14" s="102">
        <v>0</v>
      </c>
      <c r="AM14" s="102">
        <v>0</v>
      </c>
      <c r="AN14" s="102">
        <v>0</v>
      </c>
    </row>
    <row r="15" spans="1:40" s="16" customFormat="1" ht="21" customHeight="1" x14ac:dyDescent="0.2">
      <c r="B15" s="5" t="s">
        <v>106</v>
      </c>
      <c r="C15" s="101">
        <v>0.03</v>
      </c>
      <c r="D15" s="14"/>
      <c r="E15" s="102">
        <v>0</v>
      </c>
      <c r="F15" s="102">
        <v>0</v>
      </c>
      <c r="G15" s="102">
        <v>0</v>
      </c>
      <c r="H15" s="102">
        <v>0</v>
      </c>
      <c r="I15" s="102">
        <v>0</v>
      </c>
      <c r="J15" s="102">
        <v>0</v>
      </c>
      <c r="K15" s="102">
        <v>0</v>
      </c>
      <c r="L15" s="102">
        <v>0</v>
      </c>
      <c r="M15" s="102">
        <v>0</v>
      </c>
      <c r="N15" s="102">
        <v>0</v>
      </c>
      <c r="O15" s="102">
        <v>0</v>
      </c>
      <c r="P15" s="102">
        <v>0</v>
      </c>
      <c r="Q15" s="102">
        <v>0</v>
      </c>
      <c r="R15" s="102">
        <v>0</v>
      </c>
      <c r="S15" s="102">
        <v>0</v>
      </c>
      <c r="T15" s="102">
        <v>0</v>
      </c>
      <c r="U15" s="102">
        <v>0</v>
      </c>
      <c r="V15" s="102">
        <v>0</v>
      </c>
      <c r="W15" s="102">
        <v>0</v>
      </c>
      <c r="X15" s="102">
        <v>0</v>
      </c>
      <c r="Y15" s="102">
        <v>0</v>
      </c>
      <c r="Z15" s="102">
        <v>0</v>
      </c>
      <c r="AA15" s="102">
        <v>0</v>
      </c>
      <c r="AB15" s="102">
        <v>0</v>
      </c>
      <c r="AC15" s="102">
        <v>0</v>
      </c>
      <c r="AD15" s="102">
        <v>0</v>
      </c>
      <c r="AE15" s="102">
        <v>0</v>
      </c>
      <c r="AF15" s="102">
        <v>0</v>
      </c>
      <c r="AG15" s="102">
        <v>0</v>
      </c>
      <c r="AH15" s="102">
        <v>0</v>
      </c>
      <c r="AI15" s="102">
        <v>0</v>
      </c>
      <c r="AJ15" s="102">
        <v>0</v>
      </c>
      <c r="AK15" s="102">
        <v>0</v>
      </c>
      <c r="AL15" s="102">
        <v>0</v>
      </c>
      <c r="AM15" s="102">
        <v>0</v>
      </c>
      <c r="AN15" s="102">
        <v>0</v>
      </c>
    </row>
    <row r="16" spans="1:40" s="16" customFormat="1" ht="21" customHeight="1" x14ac:dyDescent="0.2">
      <c r="B16" s="5" t="s">
        <v>51</v>
      </c>
      <c r="C16" s="101">
        <v>0.03</v>
      </c>
      <c r="D16" s="14"/>
      <c r="E16" s="102">
        <v>0</v>
      </c>
      <c r="F16" s="102">
        <v>0</v>
      </c>
      <c r="G16" s="102">
        <v>0</v>
      </c>
      <c r="H16" s="102">
        <v>0</v>
      </c>
      <c r="I16" s="102">
        <v>0</v>
      </c>
      <c r="J16" s="102">
        <v>0</v>
      </c>
      <c r="K16" s="102">
        <v>0</v>
      </c>
      <c r="L16" s="102">
        <v>0</v>
      </c>
      <c r="M16" s="102">
        <v>0</v>
      </c>
      <c r="N16" s="102">
        <v>0</v>
      </c>
      <c r="O16" s="102">
        <v>0</v>
      </c>
      <c r="P16" s="102">
        <v>0</v>
      </c>
      <c r="Q16" s="102">
        <v>0</v>
      </c>
      <c r="R16" s="102">
        <v>0</v>
      </c>
      <c r="S16" s="102">
        <v>0</v>
      </c>
      <c r="T16" s="102">
        <v>0</v>
      </c>
      <c r="U16" s="102">
        <v>0</v>
      </c>
      <c r="V16" s="102">
        <v>0</v>
      </c>
      <c r="W16" s="102">
        <v>0</v>
      </c>
      <c r="X16" s="102">
        <v>0</v>
      </c>
      <c r="Y16" s="102">
        <v>0</v>
      </c>
      <c r="Z16" s="102">
        <v>0</v>
      </c>
      <c r="AA16" s="102">
        <v>0</v>
      </c>
      <c r="AB16" s="102">
        <v>0</v>
      </c>
      <c r="AC16" s="102">
        <v>0</v>
      </c>
      <c r="AD16" s="102">
        <v>0</v>
      </c>
      <c r="AE16" s="102">
        <v>0</v>
      </c>
      <c r="AF16" s="102">
        <v>0</v>
      </c>
      <c r="AG16" s="102">
        <v>0</v>
      </c>
      <c r="AH16" s="102">
        <v>0</v>
      </c>
      <c r="AI16" s="102">
        <v>0</v>
      </c>
      <c r="AJ16" s="102">
        <v>0</v>
      </c>
      <c r="AK16" s="102">
        <v>0</v>
      </c>
      <c r="AL16" s="102">
        <v>0</v>
      </c>
      <c r="AM16" s="102">
        <v>0</v>
      </c>
      <c r="AN16" s="102">
        <v>0</v>
      </c>
    </row>
    <row r="17" spans="2:40" s="16" customFormat="1" ht="21" customHeight="1" x14ac:dyDescent="0.2">
      <c r="B17" s="5" t="s">
        <v>110</v>
      </c>
      <c r="C17" s="101">
        <v>0.03</v>
      </c>
      <c r="D17" s="14"/>
      <c r="E17" s="102">
        <v>2600</v>
      </c>
      <c r="F17" s="103">
        <f t="shared" ref="F17:F20" si="4">E17*(1+$C17)</f>
        <v>2678</v>
      </c>
      <c r="G17" s="103">
        <f>F17*(0.9)</f>
        <v>2410.2000000000003</v>
      </c>
      <c r="H17" s="103">
        <f t="shared" ref="H17:H20" si="5">G17*(1+$C17)</f>
        <v>2482.5060000000003</v>
      </c>
      <c r="I17" s="103">
        <f t="shared" ref="I17:I20" si="6">H17*(1+$C17)</f>
        <v>2556.9811800000002</v>
      </c>
      <c r="J17" s="103">
        <f t="shared" ref="J17:J20" si="7">I17*(1+$C17)</f>
        <v>2633.6906154000003</v>
      </c>
      <c r="K17" s="103">
        <f t="shared" ref="K17:L17" si="8">J17*(0.9)</f>
        <v>2370.3215538600002</v>
      </c>
      <c r="L17" s="103">
        <f t="shared" si="8"/>
        <v>2133.2893984740003</v>
      </c>
      <c r="M17" s="103">
        <f t="shared" ref="M17:M20" si="9">L17*(1+$C17)</f>
        <v>2197.2880804282204</v>
      </c>
      <c r="N17" s="103">
        <f t="shared" ref="N17:N20" si="10">M17*(1+$C17)</f>
        <v>2263.2067228410669</v>
      </c>
      <c r="O17" s="103">
        <f t="shared" ref="O17:O20" si="11">N17*(1+$C17)</f>
        <v>2331.1029245262989</v>
      </c>
      <c r="P17" s="103">
        <f t="shared" ref="P17:P20" si="12">O17*(1+$C17)</f>
        <v>2401.0360122620878</v>
      </c>
      <c r="Q17" s="103">
        <f t="shared" ref="Q17:AN20" si="13">P17*(1+$C17)</f>
        <v>2473.0670926299504</v>
      </c>
      <c r="R17" s="103">
        <f t="shared" ref="R17:S17" si="14">Q17*(0.9)</f>
        <v>2225.7603833669555</v>
      </c>
      <c r="S17" s="103">
        <f t="shared" si="14"/>
        <v>2003.1843450302599</v>
      </c>
      <c r="T17" s="103">
        <f t="shared" si="13"/>
        <v>2063.2798753811676</v>
      </c>
      <c r="U17" s="103">
        <f t="shared" si="13"/>
        <v>2125.1782716426028</v>
      </c>
      <c r="V17" s="103">
        <f>U17*(0.9)</f>
        <v>1912.6604444783425</v>
      </c>
      <c r="W17" s="103">
        <f t="shared" si="13"/>
        <v>1970.0402578126927</v>
      </c>
      <c r="X17" s="103">
        <f t="shared" si="13"/>
        <v>2029.1414655470735</v>
      </c>
      <c r="Y17" s="103">
        <f t="shared" si="13"/>
        <v>2090.0157095134859</v>
      </c>
      <c r="Z17" s="103">
        <f>Y17*(0.9)</f>
        <v>1881.0141385621373</v>
      </c>
      <c r="AA17" s="103">
        <f t="shared" si="13"/>
        <v>1937.4445627190014</v>
      </c>
      <c r="AB17" s="103">
        <f t="shared" si="13"/>
        <v>1995.5678996005715</v>
      </c>
      <c r="AC17" s="103">
        <f t="shared" si="13"/>
        <v>2055.4349365885887</v>
      </c>
      <c r="AD17" s="103">
        <f>AC17*(0.9)</f>
        <v>1849.8914429297299</v>
      </c>
      <c r="AE17" s="103">
        <f t="shared" si="13"/>
        <v>1905.388186217622</v>
      </c>
      <c r="AF17" s="103">
        <f t="shared" si="13"/>
        <v>1962.5498318041507</v>
      </c>
      <c r="AG17" s="103">
        <f t="shared" si="13"/>
        <v>2021.4263267582753</v>
      </c>
      <c r="AH17" s="103">
        <f t="shared" si="13"/>
        <v>2082.0691165610237</v>
      </c>
      <c r="AI17" s="103">
        <f t="shared" ref="AI17:AJ17" si="15">AH17*(0.9)</f>
        <v>1873.8622049049213</v>
      </c>
      <c r="AJ17" s="103">
        <f t="shared" si="15"/>
        <v>1686.4759844144291</v>
      </c>
      <c r="AK17" s="103">
        <f t="shared" si="13"/>
        <v>1737.070263946862</v>
      </c>
      <c r="AL17" s="103">
        <f t="shared" si="13"/>
        <v>1789.1823718652679</v>
      </c>
      <c r="AM17" s="103">
        <f t="shared" ref="AM17:AN17" si="16">AL17*(0.9)</f>
        <v>1610.2641346787411</v>
      </c>
      <c r="AN17" s="103">
        <f t="shared" si="16"/>
        <v>1449.237721210867</v>
      </c>
    </row>
    <row r="18" spans="2:40" s="16" customFormat="1" ht="21" customHeight="1" x14ac:dyDescent="0.2">
      <c r="B18" s="5" t="s">
        <v>112</v>
      </c>
      <c r="C18" s="101">
        <v>0.03</v>
      </c>
      <c r="D18" s="14"/>
      <c r="E18" s="102">
        <v>150</v>
      </c>
      <c r="F18" s="103">
        <f t="shared" si="4"/>
        <v>154.5</v>
      </c>
      <c r="G18" s="103">
        <f t="shared" ref="G18:G20" si="17">F18*(1+$C18)</f>
        <v>159.13499999999999</v>
      </c>
      <c r="H18" s="103">
        <f t="shared" si="5"/>
        <v>163.90905000000001</v>
      </c>
      <c r="I18" s="103">
        <f t="shared" si="6"/>
        <v>168.82632150000001</v>
      </c>
      <c r="J18" s="103">
        <f t="shared" si="7"/>
        <v>173.891111145</v>
      </c>
      <c r="K18" s="103">
        <f t="shared" ref="K18:K20" si="18">J18*(1+$C18)</f>
        <v>179.10784447935001</v>
      </c>
      <c r="L18" s="103">
        <f t="shared" ref="L18:L20" si="19">K18*(1+$C18)</f>
        <v>184.4810798137305</v>
      </c>
      <c r="M18" s="103">
        <f t="shared" si="9"/>
        <v>190.01551220814241</v>
      </c>
      <c r="N18" s="103">
        <f t="shared" si="10"/>
        <v>195.7159775743867</v>
      </c>
      <c r="O18" s="103">
        <f t="shared" si="11"/>
        <v>201.58745690161831</v>
      </c>
      <c r="P18" s="103">
        <f t="shared" si="12"/>
        <v>207.63508060866687</v>
      </c>
      <c r="Q18" s="103">
        <f t="shared" si="13"/>
        <v>213.86413302692688</v>
      </c>
      <c r="R18" s="103">
        <f t="shared" si="13"/>
        <v>220.28005701773469</v>
      </c>
      <c r="S18" s="103">
        <f t="shared" si="13"/>
        <v>226.88845872826673</v>
      </c>
      <c r="T18" s="103">
        <f t="shared" si="13"/>
        <v>233.69511249011472</v>
      </c>
      <c r="U18" s="103">
        <f t="shared" si="13"/>
        <v>240.70596586481818</v>
      </c>
      <c r="V18" s="103">
        <f t="shared" si="13"/>
        <v>247.92714484076274</v>
      </c>
      <c r="W18" s="103">
        <f t="shared" si="13"/>
        <v>255.36495918598561</v>
      </c>
      <c r="X18" s="103">
        <f t="shared" si="13"/>
        <v>263.02590796156517</v>
      </c>
      <c r="Y18" s="103">
        <f t="shared" si="13"/>
        <v>270.91668520041213</v>
      </c>
      <c r="Z18" s="103">
        <f t="shared" si="13"/>
        <v>279.0441857564245</v>
      </c>
      <c r="AA18" s="103">
        <f t="shared" si="13"/>
        <v>287.41551132911724</v>
      </c>
      <c r="AB18" s="103">
        <f t="shared" si="13"/>
        <v>296.03797666899078</v>
      </c>
      <c r="AC18" s="103">
        <f t="shared" si="13"/>
        <v>304.9191159690605</v>
      </c>
      <c r="AD18" s="103">
        <f t="shared" si="13"/>
        <v>314.06668944813231</v>
      </c>
      <c r="AE18" s="103">
        <f t="shared" si="13"/>
        <v>323.48869013157628</v>
      </c>
      <c r="AF18" s="103">
        <f t="shared" si="13"/>
        <v>333.19335083552357</v>
      </c>
      <c r="AG18" s="103">
        <f t="shared" si="13"/>
        <v>343.18915136058928</v>
      </c>
      <c r="AH18" s="103">
        <f t="shared" si="13"/>
        <v>353.48482590140696</v>
      </c>
      <c r="AI18" s="103">
        <f t="shared" si="13"/>
        <v>364.0893706784492</v>
      </c>
      <c r="AJ18" s="103">
        <f t="shared" si="13"/>
        <v>375.0120517988027</v>
      </c>
      <c r="AK18" s="103">
        <f t="shared" si="13"/>
        <v>386.26241335276677</v>
      </c>
      <c r="AL18" s="103">
        <f t="shared" si="13"/>
        <v>397.85028575334979</v>
      </c>
      <c r="AM18" s="103">
        <f t="shared" si="13"/>
        <v>409.78579432595029</v>
      </c>
      <c r="AN18" s="103">
        <f t="shared" si="13"/>
        <v>422.07936815572879</v>
      </c>
    </row>
    <row r="19" spans="2:40" s="18" customFormat="1" ht="21" customHeight="1" x14ac:dyDescent="0.2">
      <c r="B19" s="7" t="s">
        <v>114</v>
      </c>
      <c r="C19" s="101">
        <v>0.03</v>
      </c>
      <c r="D19" s="19"/>
      <c r="E19" s="102">
        <v>0</v>
      </c>
      <c r="F19" s="103">
        <f t="shared" si="4"/>
        <v>0</v>
      </c>
      <c r="G19" s="103">
        <f t="shared" si="17"/>
        <v>0</v>
      </c>
      <c r="H19" s="103">
        <f t="shared" si="5"/>
        <v>0</v>
      </c>
      <c r="I19" s="103">
        <f t="shared" si="6"/>
        <v>0</v>
      </c>
      <c r="J19" s="103">
        <f t="shared" si="7"/>
        <v>0</v>
      </c>
      <c r="K19" s="103">
        <f t="shared" si="18"/>
        <v>0</v>
      </c>
      <c r="L19" s="103">
        <f t="shared" si="19"/>
        <v>0</v>
      </c>
      <c r="M19" s="103">
        <f t="shared" si="9"/>
        <v>0</v>
      </c>
      <c r="N19" s="103">
        <f t="shared" si="10"/>
        <v>0</v>
      </c>
      <c r="O19" s="103">
        <f t="shared" si="11"/>
        <v>0</v>
      </c>
      <c r="P19" s="103">
        <f t="shared" si="12"/>
        <v>0</v>
      </c>
      <c r="Q19" s="103">
        <f t="shared" si="13"/>
        <v>0</v>
      </c>
      <c r="R19" s="103">
        <f t="shared" si="13"/>
        <v>0</v>
      </c>
      <c r="S19" s="103">
        <f t="shared" si="13"/>
        <v>0</v>
      </c>
      <c r="T19" s="103">
        <f t="shared" si="13"/>
        <v>0</v>
      </c>
      <c r="U19" s="103">
        <f t="shared" si="13"/>
        <v>0</v>
      </c>
      <c r="V19" s="103">
        <f t="shared" si="13"/>
        <v>0</v>
      </c>
      <c r="W19" s="103">
        <f t="shared" si="13"/>
        <v>0</v>
      </c>
      <c r="X19" s="103">
        <f t="shared" si="13"/>
        <v>0</v>
      </c>
      <c r="Y19" s="103">
        <f t="shared" si="13"/>
        <v>0</v>
      </c>
      <c r="Z19" s="103">
        <f t="shared" si="13"/>
        <v>0</v>
      </c>
      <c r="AA19" s="103">
        <f t="shared" si="13"/>
        <v>0</v>
      </c>
      <c r="AB19" s="103">
        <f t="shared" si="13"/>
        <v>0</v>
      </c>
      <c r="AC19" s="103">
        <f t="shared" si="13"/>
        <v>0</v>
      </c>
      <c r="AD19" s="103">
        <f t="shared" si="13"/>
        <v>0</v>
      </c>
      <c r="AE19" s="103">
        <f t="shared" si="13"/>
        <v>0</v>
      </c>
      <c r="AF19" s="103">
        <f t="shared" si="13"/>
        <v>0</v>
      </c>
      <c r="AG19" s="103">
        <f t="shared" si="13"/>
        <v>0</v>
      </c>
      <c r="AH19" s="103">
        <f t="shared" si="13"/>
        <v>0</v>
      </c>
      <c r="AI19" s="103">
        <f t="shared" si="13"/>
        <v>0</v>
      </c>
      <c r="AJ19" s="103">
        <f t="shared" si="13"/>
        <v>0</v>
      </c>
      <c r="AK19" s="103">
        <f t="shared" si="13"/>
        <v>0</v>
      </c>
      <c r="AL19" s="103">
        <f t="shared" si="13"/>
        <v>0</v>
      </c>
      <c r="AM19" s="103">
        <f t="shared" si="13"/>
        <v>0</v>
      </c>
      <c r="AN19" s="103">
        <f t="shared" si="13"/>
        <v>0</v>
      </c>
    </row>
    <row r="20" spans="2:40" s="16" customFormat="1" ht="21" customHeight="1" x14ac:dyDescent="0.2">
      <c r="B20" s="8" t="s">
        <v>116</v>
      </c>
      <c r="C20" s="101">
        <v>0.03</v>
      </c>
      <c r="D20" s="14"/>
      <c r="E20" s="102">
        <v>400</v>
      </c>
      <c r="F20" s="103">
        <f t="shared" si="4"/>
        <v>412</v>
      </c>
      <c r="G20" s="103">
        <f t="shared" si="17"/>
        <v>424.36</v>
      </c>
      <c r="H20" s="103">
        <f t="shared" si="5"/>
        <v>437.0908</v>
      </c>
      <c r="I20" s="103">
        <f t="shared" si="6"/>
        <v>450.20352400000002</v>
      </c>
      <c r="J20" s="103">
        <f t="shared" si="7"/>
        <v>463.70962972000001</v>
      </c>
      <c r="K20" s="103">
        <f t="shared" si="18"/>
        <v>477.62091861160002</v>
      </c>
      <c r="L20" s="103">
        <f t="shared" si="19"/>
        <v>491.94954616994801</v>
      </c>
      <c r="M20" s="103">
        <f t="shared" si="9"/>
        <v>506.70803255504649</v>
      </c>
      <c r="N20" s="103">
        <f t="shared" si="10"/>
        <v>521.90927353169786</v>
      </c>
      <c r="O20" s="103">
        <f t="shared" si="11"/>
        <v>537.56655173764887</v>
      </c>
      <c r="P20" s="103">
        <f t="shared" si="12"/>
        <v>553.69354828977839</v>
      </c>
      <c r="Q20" s="103">
        <f t="shared" si="13"/>
        <v>570.30435473847172</v>
      </c>
      <c r="R20" s="103">
        <f t="shared" si="13"/>
        <v>587.41348538062584</v>
      </c>
      <c r="S20" s="103">
        <f t="shared" si="13"/>
        <v>605.03588994204461</v>
      </c>
      <c r="T20" s="103">
        <f t="shared" si="13"/>
        <v>623.18696664030597</v>
      </c>
      <c r="U20" s="103">
        <f t="shared" si="13"/>
        <v>641.88257563951515</v>
      </c>
      <c r="V20" s="103">
        <f t="shared" si="13"/>
        <v>661.13905290870059</v>
      </c>
      <c r="W20" s="103">
        <f t="shared" si="13"/>
        <v>680.97322449596163</v>
      </c>
      <c r="X20" s="103">
        <f t="shared" si="13"/>
        <v>701.40242123084045</v>
      </c>
      <c r="Y20" s="103">
        <f t="shared" si="13"/>
        <v>722.44449386776569</v>
      </c>
      <c r="Z20" s="103">
        <f t="shared" si="13"/>
        <v>744.11782868379862</v>
      </c>
      <c r="AA20" s="103">
        <f t="shared" si="13"/>
        <v>766.44136354431259</v>
      </c>
      <c r="AB20" s="103">
        <f t="shared" si="13"/>
        <v>789.43460445064204</v>
      </c>
      <c r="AC20" s="103">
        <f t="shared" si="13"/>
        <v>813.11764258416133</v>
      </c>
      <c r="AD20" s="103">
        <f t="shared" si="13"/>
        <v>837.51117186168619</v>
      </c>
      <c r="AE20" s="103">
        <f t="shared" si="13"/>
        <v>862.63650701753681</v>
      </c>
      <c r="AF20" s="103">
        <f t="shared" si="13"/>
        <v>888.5156022280629</v>
      </c>
      <c r="AG20" s="103">
        <f t="shared" si="13"/>
        <v>915.17107029490478</v>
      </c>
      <c r="AH20" s="103">
        <f t="shared" si="13"/>
        <v>942.6262024037519</v>
      </c>
      <c r="AI20" s="103">
        <f t="shared" si="13"/>
        <v>970.90498847586446</v>
      </c>
      <c r="AJ20" s="103">
        <f t="shared" si="13"/>
        <v>1000.0321381301404</v>
      </c>
      <c r="AK20" s="103">
        <f t="shared" si="13"/>
        <v>1030.0331022740447</v>
      </c>
      <c r="AL20" s="103">
        <f t="shared" si="13"/>
        <v>1060.9340953422661</v>
      </c>
      <c r="AM20" s="103">
        <f t="shared" si="13"/>
        <v>1092.7621182025341</v>
      </c>
      <c r="AN20" s="103">
        <f t="shared" si="13"/>
        <v>1125.5449817486101</v>
      </c>
    </row>
    <row r="21" spans="2:40" s="16" customFormat="1" ht="21" customHeight="1" x14ac:dyDescent="0.2">
      <c r="B21" s="8" t="s">
        <v>118</v>
      </c>
      <c r="C21" s="101">
        <v>0.03</v>
      </c>
      <c r="D21" s="14"/>
      <c r="E21" s="102">
        <v>0</v>
      </c>
      <c r="F21" s="102">
        <v>0</v>
      </c>
      <c r="G21" s="102">
        <v>0</v>
      </c>
      <c r="H21" s="102">
        <v>0</v>
      </c>
      <c r="I21" s="102">
        <v>0</v>
      </c>
      <c r="J21" s="102">
        <v>0</v>
      </c>
      <c r="K21" s="102">
        <v>0</v>
      </c>
      <c r="L21" s="102">
        <v>0</v>
      </c>
      <c r="M21" s="102">
        <v>0</v>
      </c>
      <c r="N21" s="102">
        <v>0</v>
      </c>
      <c r="O21" s="102">
        <v>0</v>
      </c>
      <c r="P21" s="102">
        <v>0</v>
      </c>
      <c r="Q21" s="102">
        <v>0</v>
      </c>
      <c r="R21" s="102">
        <v>0</v>
      </c>
      <c r="S21" s="102">
        <v>0</v>
      </c>
      <c r="T21" s="102">
        <v>0</v>
      </c>
      <c r="U21" s="102">
        <v>0</v>
      </c>
      <c r="V21" s="102">
        <v>0</v>
      </c>
      <c r="W21" s="102">
        <v>0</v>
      </c>
      <c r="X21" s="102">
        <v>0</v>
      </c>
      <c r="Y21" s="102">
        <v>0</v>
      </c>
      <c r="Z21" s="102">
        <v>0</v>
      </c>
      <c r="AA21" s="102">
        <v>0</v>
      </c>
      <c r="AB21" s="102">
        <v>0</v>
      </c>
      <c r="AC21" s="102">
        <v>0</v>
      </c>
      <c r="AD21" s="102">
        <v>0</v>
      </c>
      <c r="AE21" s="102">
        <v>0</v>
      </c>
      <c r="AF21" s="102">
        <v>0</v>
      </c>
      <c r="AG21" s="102">
        <v>0</v>
      </c>
      <c r="AH21" s="102">
        <v>0</v>
      </c>
      <c r="AI21" s="102">
        <v>0</v>
      </c>
      <c r="AJ21" s="102">
        <v>0</v>
      </c>
      <c r="AK21" s="102">
        <v>0</v>
      </c>
      <c r="AL21" s="102">
        <v>0</v>
      </c>
      <c r="AM21" s="102">
        <v>0</v>
      </c>
      <c r="AN21" s="102">
        <v>0</v>
      </c>
    </row>
    <row r="22" spans="2:40" s="16" customFormat="1" ht="21" customHeight="1" x14ac:dyDescent="0.2">
      <c r="B22" s="8" t="s">
        <v>120</v>
      </c>
      <c r="C22" s="101">
        <v>0.03</v>
      </c>
      <c r="D22" s="14"/>
      <c r="E22" s="102">
        <v>0</v>
      </c>
      <c r="F22" s="102">
        <v>0</v>
      </c>
      <c r="G22" s="102">
        <v>0</v>
      </c>
      <c r="H22" s="102">
        <v>0</v>
      </c>
      <c r="I22" s="102">
        <v>0</v>
      </c>
      <c r="J22" s="102">
        <v>0</v>
      </c>
      <c r="K22" s="102">
        <v>0</v>
      </c>
      <c r="L22" s="102">
        <v>0</v>
      </c>
      <c r="M22" s="102">
        <v>0</v>
      </c>
      <c r="N22" s="102">
        <v>0</v>
      </c>
      <c r="O22" s="102">
        <v>0</v>
      </c>
      <c r="P22" s="102">
        <v>0</v>
      </c>
      <c r="Q22" s="102">
        <v>0</v>
      </c>
      <c r="R22" s="102">
        <v>0</v>
      </c>
      <c r="S22" s="102">
        <v>0</v>
      </c>
      <c r="T22" s="102">
        <v>0</v>
      </c>
      <c r="U22" s="102">
        <v>0</v>
      </c>
      <c r="V22" s="102">
        <v>0</v>
      </c>
      <c r="W22" s="102">
        <v>0</v>
      </c>
      <c r="X22" s="102">
        <v>0</v>
      </c>
      <c r="Y22" s="102">
        <v>0</v>
      </c>
      <c r="Z22" s="102">
        <v>0</v>
      </c>
      <c r="AA22" s="102">
        <v>0</v>
      </c>
      <c r="AB22" s="102">
        <v>0</v>
      </c>
      <c r="AC22" s="102">
        <v>0</v>
      </c>
      <c r="AD22" s="102">
        <v>0</v>
      </c>
      <c r="AE22" s="102">
        <v>0</v>
      </c>
      <c r="AF22" s="102">
        <v>0</v>
      </c>
      <c r="AG22" s="102">
        <v>0</v>
      </c>
      <c r="AH22" s="102">
        <v>0</v>
      </c>
      <c r="AI22" s="102">
        <v>0</v>
      </c>
      <c r="AJ22" s="102">
        <v>0</v>
      </c>
      <c r="AK22" s="102">
        <v>0</v>
      </c>
      <c r="AL22" s="102">
        <v>0</v>
      </c>
      <c r="AM22" s="102">
        <v>0</v>
      </c>
      <c r="AN22" s="102">
        <v>0</v>
      </c>
    </row>
    <row r="23" spans="2:40" s="16" customFormat="1" ht="21" customHeight="1" x14ac:dyDescent="0.2">
      <c r="B23" s="7" t="s">
        <v>147</v>
      </c>
      <c r="C23" s="27"/>
      <c r="D23" s="14"/>
      <c r="E23" s="104">
        <f t="shared" ref="E23:AN23" si="20">SUM(E22, E21, E20 + E19)</f>
        <v>400</v>
      </c>
      <c r="F23" s="104">
        <f t="shared" ref="F23:P23" si="21">SUM(F22, F21, F20 + F19)</f>
        <v>412</v>
      </c>
      <c r="G23" s="104">
        <f t="shared" si="21"/>
        <v>424.36</v>
      </c>
      <c r="H23" s="104">
        <f t="shared" si="21"/>
        <v>437.0908</v>
      </c>
      <c r="I23" s="104">
        <f t="shared" si="21"/>
        <v>450.20352400000002</v>
      </c>
      <c r="J23" s="104">
        <f t="shared" si="21"/>
        <v>463.70962972000001</v>
      </c>
      <c r="K23" s="104">
        <f t="shared" si="21"/>
        <v>477.62091861160002</v>
      </c>
      <c r="L23" s="104">
        <f t="shared" si="21"/>
        <v>491.94954616994801</v>
      </c>
      <c r="M23" s="104">
        <f t="shared" si="21"/>
        <v>506.70803255504649</v>
      </c>
      <c r="N23" s="104">
        <f t="shared" si="21"/>
        <v>521.90927353169786</v>
      </c>
      <c r="O23" s="104">
        <f t="shared" si="21"/>
        <v>537.56655173764887</v>
      </c>
      <c r="P23" s="104">
        <f t="shared" si="21"/>
        <v>553.69354828977839</v>
      </c>
      <c r="Q23" s="104">
        <f t="shared" si="20"/>
        <v>570.30435473847172</v>
      </c>
      <c r="R23" s="104">
        <f t="shared" si="20"/>
        <v>587.41348538062584</v>
      </c>
      <c r="S23" s="104">
        <f t="shared" si="20"/>
        <v>605.03588994204461</v>
      </c>
      <c r="T23" s="104">
        <f t="shared" si="20"/>
        <v>623.18696664030597</v>
      </c>
      <c r="U23" s="104">
        <f t="shared" si="20"/>
        <v>641.88257563951515</v>
      </c>
      <c r="V23" s="104">
        <f t="shared" si="20"/>
        <v>661.13905290870059</v>
      </c>
      <c r="W23" s="104">
        <f t="shared" si="20"/>
        <v>680.97322449596163</v>
      </c>
      <c r="X23" s="104">
        <f t="shared" si="20"/>
        <v>701.40242123084045</v>
      </c>
      <c r="Y23" s="104">
        <f t="shared" si="20"/>
        <v>722.44449386776569</v>
      </c>
      <c r="Z23" s="104">
        <f t="shared" si="20"/>
        <v>744.11782868379862</v>
      </c>
      <c r="AA23" s="104">
        <f t="shared" si="20"/>
        <v>766.44136354431259</v>
      </c>
      <c r="AB23" s="104">
        <f t="shared" si="20"/>
        <v>789.43460445064204</v>
      </c>
      <c r="AC23" s="104">
        <f t="shared" si="20"/>
        <v>813.11764258416133</v>
      </c>
      <c r="AD23" s="104">
        <f t="shared" si="20"/>
        <v>837.51117186168619</v>
      </c>
      <c r="AE23" s="104">
        <f t="shared" si="20"/>
        <v>862.63650701753681</v>
      </c>
      <c r="AF23" s="104">
        <f t="shared" si="20"/>
        <v>888.5156022280629</v>
      </c>
      <c r="AG23" s="104">
        <f t="shared" si="20"/>
        <v>915.17107029490478</v>
      </c>
      <c r="AH23" s="104">
        <f t="shared" si="20"/>
        <v>942.6262024037519</v>
      </c>
      <c r="AI23" s="104">
        <f t="shared" si="20"/>
        <v>970.90498847586446</v>
      </c>
      <c r="AJ23" s="104">
        <f t="shared" si="20"/>
        <v>1000.0321381301404</v>
      </c>
      <c r="AK23" s="104">
        <f t="shared" si="20"/>
        <v>1030.0331022740447</v>
      </c>
      <c r="AL23" s="104">
        <f t="shared" si="20"/>
        <v>1060.9340953422661</v>
      </c>
      <c r="AM23" s="104">
        <f t="shared" si="20"/>
        <v>1092.7621182025341</v>
      </c>
      <c r="AN23" s="104">
        <f t="shared" si="20"/>
        <v>1125.5449817486101</v>
      </c>
    </row>
    <row r="24" spans="2:40" s="18" customFormat="1" ht="21" customHeight="1" x14ac:dyDescent="0.2">
      <c r="B24" s="7" t="s">
        <v>122</v>
      </c>
      <c r="C24" s="27"/>
      <c r="D24" s="19"/>
      <c r="E24" s="102">
        <v>0</v>
      </c>
      <c r="F24" s="103">
        <f t="shared" ref="F24" si="22">E24*(1+$C24)</f>
        <v>0</v>
      </c>
      <c r="G24" s="103">
        <f t="shared" ref="G24" si="23">F24*(1+$C24)</f>
        <v>0</v>
      </c>
      <c r="H24" s="103">
        <f t="shared" ref="H24" si="24">G24*(1+$C24)</f>
        <v>0</v>
      </c>
      <c r="I24" s="103">
        <f t="shared" ref="I24" si="25">H24*(1+$C24)</f>
        <v>0</v>
      </c>
      <c r="J24" s="103">
        <f t="shared" ref="J24" si="26">I24*(1+$C24)</f>
        <v>0</v>
      </c>
      <c r="K24" s="103">
        <f t="shared" ref="K24" si="27">J24*(1+$C24)</f>
        <v>0</v>
      </c>
      <c r="L24" s="103">
        <f t="shared" ref="L24" si="28">K24*(1+$C24)</f>
        <v>0</v>
      </c>
      <c r="M24" s="103">
        <f t="shared" ref="M24" si="29">L24*(1+$C24)</f>
        <v>0</v>
      </c>
      <c r="N24" s="103">
        <f t="shared" ref="N24" si="30">M24*(1+$C24)</f>
        <v>0</v>
      </c>
      <c r="O24" s="103">
        <f t="shared" ref="O24" si="31">N24*(1+$C24)</f>
        <v>0</v>
      </c>
      <c r="P24" s="103">
        <f t="shared" ref="P24" si="32">O24*(1+$C24)</f>
        <v>0</v>
      </c>
      <c r="Q24" s="103">
        <f t="shared" ref="Q24:AN28" si="33">P24*(1+$C24)</f>
        <v>0</v>
      </c>
      <c r="R24" s="103">
        <f t="shared" si="33"/>
        <v>0</v>
      </c>
      <c r="S24" s="103">
        <f t="shared" si="33"/>
        <v>0</v>
      </c>
      <c r="T24" s="103">
        <f t="shared" si="33"/>
        <v>0</v>
      </c>
      <c r="U24" s="103">
        <f t="shared" si="33"/>
        <v>0</v>
      </c>
      <c r="V24" s="103">
        <f t="shared" si="33"/>
        <v>0</v>
      </c>
      <c r="W24" s="103">
        <f t="shared" si="33"/>
        <v>0</v>
      </c>
      <c r="X24" s="103">
        <f t="shared" si="33"/>
        <v>0</v>
      </c>
      <c r="Y24" s="103">
        <f t="shared" si="33"/>
        <v>0</v>
      </c>
      <c r="Z24" s="103">
        <f t="shared" si="33"/>
        <v>0</v>
      </c>
      <c r="AA24" s="103">
        <f t="shared" si="33"/>
        <v>0</v>
      </c>
      <c r="AB24" s="103">
        <f t="shared" si="33"/>
        <v>0</v>
      </c>
      <c r="AC24" s="103">
        <f t="shared" si="33"/>
        <v>0</v>
      </c>
      <c r="AD24" s="103">
        <f t="shared" si="33"/>
        <v>0</v>
      </c>
      <c r="AE24" s="103">
        <f t="shared" si="33"/>
        <v>0</v>
      </c>
      <c r="AF24" s="103">
        <f t="shared" si="33"/>
        <v>0</v>
      </c>
      <c r="AG24" s="103">
        <f t="shared" si="33"/>
        <v>0</v>
      </c>
      <c r="AH24" s="103">
        <f t="shared" si="33"/>
        <v>0</v>
      </c>
      <c r="AI24" s="103">
        <f t="shared" si="33"/>
        <v>0</v>
      </c>
      <c r="AJ24" s="103">
        <f t="shared" si="33"/>
        <v>0</v>
      </c>
      <c r="AK24" s="103">
        <f t="shared" si="33"/>
        <v>0</v>
      </c>
      <c r="AL24" s="103">
        <f t="shared" si="33"/>
        <v>0</v>
      </c>
      <c r="AM24" s="103">
        <f t="shared" si="33"/>
        <v>0</v>
      </c>
      <c r="AN24" s="103">
        <f t="shared" si="33"/>
        <v>0</v>
      </c>
    </row>
    <row r="25" spans="2:40" s="16" customFormat="1" ht="21" customHeight="1" x14ac:dyDescent="0.2">
      <c r="B25" s="8" t="s">
        <v>123</v>
      </c>
      <c r="C25" s="101">
        <v>0.03</v>
      </c>
      <c r="D25" s="14"/>
      <c r="E25" s="102">
        <v>0</v>
      </c>
      <c r="F25" s="102">
        <v>0</v>
      </c>
      <c r="G25" s="102">
        <v>0</v>
      </c>
      <c r="H25" s="102">
        <v>0</v>
      </c>
      <c r="I25" s="102">
        <v>0</v>
      </c>
      <c r="J25" s="102">
        <v>0</v>
      </c>
      <c r="K25" s="102">
        <v>0</v>
      </c>
      <c r="L25" s="102">
        <v>0</v>
      </c>
      <c r="M25" s="102">
        <v>0</v>
      </c>
      <c r="N25" s="102">
        <v>0</v>
      </c>
      <c r="O25" s="102">
        <v>0</v>
      </c>
      <c r="P25" s="102">
        <v>0</v>
      </c>
      <c r="Q25" s="102">
        <v>0</v>
      </c>
      <c r="R25" s="102">
        <v>0</v>
      </c>
      <c r="S25" s="102">
        <v>0</v>
      </c>
      <c r="T25" s="102">
        <v>0</v>
      </c>
      <c r="U25" s="102">
        <v>0</v>
      </c>
      <c r="V25" s="102">
        <v>0</v>
      </c>
      <c r="W25" s="102">
        <v>0</v>
      </c>
      <c r="X25" s="102">
        <v>0</v>
      </c>
      <c r="Y25" s="102">
        <v>0</v>
      </c>
      <c r="Z25" s="102">
        <v>0</v>
      </c>
      <c r="AA25" s="102">
        <v>0</v>
      </c>
      <c r="AB25" s="102">
        <v>0</v>
      </c>
      <c r="AC25" s="102">
        <v>0</v>
      </c>
      <c r="AD25" s="102">
        <v>0</v>
      </c>
      <c r="AE25" s="102">
        <v>0</v>
      </c>
      <c r="AF25" s="102">
        <v>0</v>
      </c>
      <c r="AG25" s="102">
        <v>0</v>
      </c>
      <c r="AH25" s="102">
        <v>0</v>
      </c>
      <c r="AI25" s="102">
        <v>0</v>
      </c>
      <c r="AJ25" s="102">
        <v>0</v>
      </c>
      <c r="AK25" s="102">
        <v>0</v>
      </c>
      <c r="AL25" s="102">
        <v>0</v>
      </c>
      <c r="AM25" s="102">
        <v>0</v>
      </c>
      <c r="AN25" s="102">
        <v>0</v>
      </c>
    </row>
    <row r="26" spans="2:40" s="16" customFormat="1" ht="21" customHeight="1" x14ac:dyDescent="0.2">
      <c r="B26" s="8" t="s">
        <v>124</v>
      </c>
      <c r="C26" s="101">
        <v>0.03</v>
      </c>
      <c r="D26" s="14"/>
      <c r="E26" s="102">
        <v>0</v>
      </c>
      <c r="F26" s="103">
        <f t="shared" ref="F26:F28" si="34">E26*(1+$C26)</f>
        <v>0</v>
      </c>
      <c r="G26" s="103">
        <f t="shared" ref="G26:G28" si="35">F26*(1+$C26)</f>
        <v>0</v>
      </c>
      <c r="H26" s="103">
        <f t="shared" ref="H26:H28" si="36">G26*(1+$C26)</f>
        <v>0</v>
      </c>
      <c r="I26" s="103">
        <f t="shared" ref="I26:I27" si="37">H26*(1+$C26)</f>
        <v>0</v>
      </c>
      <c r="J26" s="103">
        <f t="shared" ref="J26:J28" si="38">I26*(1+$C26)</f>
        <v>0</v>
      </c>
      <c r="K26" s="103">
        <f t="shared" ref="K26:K28" si="39">J26*(1+$C26)</f>
        <v>0</v>
      </c>
      <c r="L26" s="103">
        <f t="shared" ref="L26:L28" si="40">K26*(1+$C26)</f>
        <v>0</v>
      </c>
      <c r="M26" s="103">
        <f t="shared" ref="M26:M28" si="41">L26*(1+$C26)</f>
        <v>0</v>
      </c>
      <c r="N26" s="103">
        <f t="shared" ref="N26:N28" si="42">M26*(1+$C26)</f>
        <v>0</v>
      </c>
      <c r="O26" s="103">
        <f t="shared" ref="O26:O28" si="43">N26*(1+$C26)</f>
        <v>0</v>
      </c>
      <c r="P26" s="103">
        <f t="shared" ref="P26:P27" si="44">O26*(1+$C26)</f>
        <v>0</v>
      </c>
      <c r="Q26" s="103">
        <f t="shared" si="33"/>
        <v>0</v>
      </c>
      <c r="R26" s="103">
        <f t="shared" si="33"/>
        <v>0</v>
      </c>
      <c r="S26" s="103">
        <f t="shared" si="33"/>
        <v>0</v>
      </c>
      <c r="T26" s="103">
        <f t="shared" si="33"/>
        <v>0</v>
      </c>
      <c r="U26" s="103">
        <f t="shared" si="33"/>
        <v>0</v>
      </c>
      <c r="V26" s="103">
        <f t="shared" si="33"/>
        <v>0</v>
      </c>
      <c r="W26" s="103">
        <f t="shared" si="33"/>
        <v>0</v>
      </c>
      <c r="X26" s="103">
        <f t="shared" si="33"/>
        <v>0</v>
      </c>
      <c r="Y26" s="103">
        <f t="shared" si="33"/>
        <v>0</v>
      </c>
      <c r="Z26" s="103">
        <f t="shared" si="33"/>
        <v>0</v>
      </c>
      <c r="AA26" s="103">
        <f t="shared" si="33"/>
        <v>0</v>
      </c>
      <c r="AB26" s="103">
        <f t="shared" si="33"/>
        <v>0</v>
      </c>
      <c r="AC26" s="103">
        <f t="shared" si="33"/>
        <v>0</v>
      </c>
      <c r="AD26" s="103">
        <f t="shared" si="33"/>
        <v>0</v>
      </c>
      <c r="AE26" s="103">
        <f t="shared" si="33"/>
        <v>0</v>
      </c>
      <c r="AF26" s="103">
        <f t="shared" si="33"/>
        <v>0</v>
      </c>
      <c r="AG26" s="103">
        <f t="shared" si="33"/>
        <v>0</v>
      </c>
      <c r="AH26" s="103">
        <f t="shared" si="33"/>
        <v>0</v>
      </c>
      <c r="AI26" s="103">
        <f t="shared" si="33"/>
        <v>0</v>
      </c>
      <c r="AJ26" s="103">
        <f t="shared" si="33"/>
        <v>0</v>
      </c>
      <c r="AK26" s="103">
        <f t="shared" si="33"/>
        <v>0</v>
      </c>
      <c r="AL26" s="103">
        <f t="shared" si="33"/>
        <v>0</v>
      </c>
      <c r="AM26" s="103">
        <f t="shared" si="33"/>
        <v>0</v>
      </c>
      <c r="AN26" s="103">
        <f t="shared" si="33"/>
        <v>0</v>
      </c>
    </row>
    <row r="27" spans="2:40" s="16" customFormat="1" ht="21" customHeight="1" x14ac:dyDescent="0.2">
      <c r="B27" s="8" t="s">
        <v>125</v>
      </c>
      <c r="C27" s="101">
        <v>0.03</v>
      </c>
      <c r="D27" s="14"/>
      <c r="E27" s="102">
        <v>500</v>
      </c>
      <c r="F27" s="103">
        <f t="shared" si="34"/>
        <v>515</v>
      </c>
      <c r="G27" s="103">
        <f t="shared" si="35"/>
        <v>530.45000000000005</v>
      </c>
      <c r="H27" s="103">
        <f t="shared" si="36"/>
        <v>546.36350000000004</v>
      </c>
      <c r="I27" s="103">
        <f t="shared" si="37"/>
        <v>562.75440500000002</v>
      </c>
      <c r="J27" s="103">
        <f t="shared" si="38"/>
        <v>579.63703715000008</v>
      </c>
      <c r="K27" s="103">
        <f t="shared" si="39"/>
        <v>597.02614826450008</v>
      </c>
      <c r="L27" s="103">
        <f t="shared" si="40"/>
        <v>614.93693271243512</v>
      </c>
      <c r="M27" s="103">
        <f t="shared" si="41"/>
        <v>633.38504069380815</v>
      </c>
      <c r="N27" s="103">
        <f t="shared" si="42"/>
        <v>652.38659191462239</v>
      </c>
      <c r="O27" s="103">
        <f t="shared" si="43"/>
        <v>671.95818967206105</v>
      </c>
      <c r="P27" s="103">
        <f t="shared" si="44"/>
        <v>692.11693536222288</v>
      </c>
      <c r="Q27" s="103">
        <f t="shared" si="33"/>
        <v>712.88044342308956</v>
      </c>
      <c r="R27" s="103">
        <f t="shared" si="33"/>
        <v>734.2668567257823</v>
      </c>
      <c r="S27" s="103">
        <f t="shared" si="33"/>
        <v>756.29486242755581</v>
      </c>
      <c r="T27" s="103">
        <f t="shared" si="33"/>
        <v>778.98370830038255</v>
      </c>
      <c r="U27" s="103">
        <f t="shared" si="33"/>
        <v>802.353219549394</v>
      </c>
      <c r="V27" s="103">
        <f t="shared" si="33"/>
        <v>826.42381613587588</v>
      </c>
      <c r="W27" s="103">
        <f t="shared" si="33"/>
        <v>851.21653061995221</v>
      </c>
      <c r="X27" s="103">
        <f t="shared" si="33"/>
        <v>876.75302653855078</v>
      </c>
      <c r="Y27" s="103">
        <f t="shared" si="33"/>
        <v>903.05561733470734</v>
      </c>
      <c r="Z27" s="103">
        <f t="shared" si="33"/>
        <v>930.14728585474859</v>
      </c>
      <c r="AA27" s="103">
        <f t="shared" si="33"/>
        <v>958.05170443039106</v>
      </c>
      <c r="AB27" s="103">
        <f t="shared" si="33"/>
        <v>986.79325556330286</v>
      </c>
      <c r="AC27" s="103">
        <f t="shared" si="33"/>
        <v>1016.397053230202</v>
      </c>
      <c r="AD27" s="103">
        <f t="shared" si="33"/>
        <v>1046.8889648271081</v>
      </c>
      <c r="AE27" s="103">
        <f t="shared" si="33"/>
        <v>1078.2956337719213</v>
      </c>
      <c r="AF27" s="103">
        <f t="shared" si="33"/>
        <v>1110.6445027850789</v>
      </c>
      <c r="AG27" s="103">
        <f t="shared" si="33"/>
        <v>1143.9638378686313</v>
      </c>
      <c r="AH27" s="103">
        <f t="shared" si="33"/>
        <v>1178.2827530046902</v>
      </c>
      <c r="AI27" s="103">
        <f t="shared" si="33"/>
        <v>1213.631235594831</v>
      </c>
      <c r="AJ27" s="103">
        <f t="shared" si="33"/>
        <v>1250.040172662676</v>
      </c>
      <c r="AK27" s="103">
        <f t="shared" si="33"/>
        <v>1287.5413778425564</v>
      </c>
      <c r="AL27" s="103">
        <f t="shared" si="33"/>
        <v>1326.1676191778331</v>
      </c>
      <c r="AM27" s="103">
        <f t="shared" si="33"/>
        <v>1365.9526477531681</v>
      </c>
      <c r="AN27" s="103">
        <f t="shared" si="33"/>
        <v>1406.9312271857632</v>
      </c>
    </row>
    <row r="28" spans="2:40" s="16" customFormat="1" ht="21" customHeight="1" x14ac:dyDescent="0.2">
      <c r="B28" s="8" t="s">
        <v>126</v>
      </c>
      <c r="C28" s="101">
        <v>0.03</v>
      </c>
      <c r="D28" s="14"/>
      <c r="E28" s="102">
        <v>2000</v>
      </c>
      <c r="F28" s="103">
        <f t="shared" si="34"/>
        <v>2060</v>
      </c>
      <c r="G28" s="103">
        <f t="shared" si="35"/>
        <v>2121.8000000000002</v>
      </c>
      <c r="H28" s="103">
        <f t="shared" si="36"/>
        <v>2185.4540000000002</v>
      </c>
      <c r="I28" s="103">
        <f>H28*(0.9)</f>
        <v>1966.9086000000002</v>
      </c>
      <c r="J28" s="103">
        <f t="shared" si="38"/>
        <v>2025.9158580000003</v>
      </c>
      <c r="K28" s="103">
        <f t="shared" si="39"/>
        <v>2086.6933337400005</v>
      </c>
      <c r="L28" s="103">
        <f t="shared" si="40"/>
        <v>2149.2941337522007</v>
      </c>
      <c r="M28" s="103">
        <f t="shared" si="41"/>
        <v>2213.7729577647669</v>
      </c>
      <c r="N28" s="103">
        <f t="shared" si="42"/>
        <v>2280.1861464977101</v>
      </c>
      <c r="O28" s="103">
        <f t="shared" si="43"/>
        <v>2348.5917308926414</v>
      </c>
      <c r="P28" s="103">
        <f>O28*(0.9)</f>
        <v>2113.7325578033774</v>
      </c>
      <c r="Q28" s="103">
        <f t="shared" si="33"/>
        <v>2177.1445345374786</v>
      </c>
      <c r="R28" s="103">
        <f t="shared" si="33"/>
        <v>2242.4588705736032</v>
      </c>
      <c r="S28" s="103">
        <f t="shared" si="33"/>
        <v>2309.7326366908114</v>
      </c>
      <c r="T28" s="103">
        <f t="shared" si="33"/>
        <v>2379.0246157915358</v>
      </c>
      <c r="U28" s="103">
        <f>T28*(0.9)</f>
        <v>2141.1221542123822</v>
      </c>
      <c r="V28" s="103">
        <f t="shared" si="33"/>
        <v>2205.3558188387537</v>
      </c>
      <c r="W28" s="103">
        <f t="shared" si="33"/>
        <v>2271.5164934039162</v>
      </c>
      <c r="X28" s="103">
        <f t="shared" si="33"/>
        <v>2339.6619882060336</v>
      </c>
      <c r="Y28" s="103">
        <f t="shared" si="33"/>
        <v>2409.8518478522146</v>
      </c>
      <c r="Z28" s="103">
        <f t="shared" si="33"/>
        <v>2482.1474032877813</v>
      </c>
      <c r="AA28" s="103">
        <f t="shared" si="33"/>
        <v>2556.6118253864147</v>
      </c>
      <c r="AB28" s="103">
        <f>AA28*(0.9)</f>
        <v>2300.9506428477735</v>
      </c>
      <c r="AC28" s="103">
        <f t="shared" si="33"/>
        <v>2369.9791621332065</v>
      </c>
      <c r="AD28" s="103">
        <f t="shared" si="33"/>
        <v>2441.0785369972027</v>
      </c>
      <c r="AE28" s="103">
        <f t="shared" si="33"/>
        <v>2514.3108931071188</v>
      </c>
      <c r="AF28" s="103">
        <f>AE28*(0.9)</f>
        <v>2262.879803796407</v>
      </c>
      <c r="AG28" s="103">
        <f t="shared" si="33"/>
        <v>2330.7661979102995</v>
      </c>
      <c r="AH28" s="103">
        <f t="shared" si="33"/>
        <v>2400.6891838476085</v>
      </c>
      <c r="AI28" s="103">
        <f t="shared" ref="AI28:AJ28" si="45">AH28*(0.9)</f>
        <v>2160.6202654628478</v>
      </c>
      <c r="AJ28" s="103">
        <f t="shared" si="45"/>
        <v>1944.5582389165631</v>
      </c>
      <c r="AK28" s="103">
        <f t="shared" si="33"/>
        <v>2002.8949860840601</v>
      </c>
      <c r="AL28" s="103">
        <f t="shared" si="33"/>
        <v>2062.9818356665819</v>
      </c>
      <c r="AM28" s="103">
        <f t="shared" si="33"/>
        <v>2124.8712907365793</v>
      </c>
      <c r="AN28" s="103">
        <f t="shared" si="33"/>
        <v>2188.6174294586767</v>
      </c>
    </row>
    <row r="29" spans="2:40" s="16" customFormat="1" ht="21" customHeight="1" x14ac:dyDescent="0.2">
      <c r="B29" s="7" t="s">
        <v>148</v>
      </c>
      <c r="C29" s="27"/>
      <c r="D29" s="14"/>
      <c r="E29" s="104">
        <f t="shared" ref="E29:AN29" si="46">SUM(E28, E27, E26, E25 + E24)</f>
        <v>2500</v>
      </c>
      <c r="F29" s="104">
        <f t="shared" ref="F29:P29" si="47">SUM(F28, F27, F26, F25 + F24)</f>
        <v>2575</v>
      </c>
      <c r="G29" s="104">
        <f t="shared" si="47"/>
        <v>2652.25</v>
      </c>
      <c r="H29" s="104">
        <f t="shared" si="47"/>
        <v>2731.8175000000001</v>
      </c>
      <c r="I29" s="104">
        <f t="shared" si="47"/>
        <v>2529.6630050000003</v>
      </c>
      <c r="J29" s="104">
        <f t="shared" si="47"/>
        <v>2605.5528951500005</v>
      </c>
      <c r="K29" s="104">
        <f t="shared" si="47"/>
        <v>2683.7194820045006</v>
      </c>
      <c r="L29" s="104">
        <f t="shared" si="47"/>
        <v>2764.2310664646357</v>
      </c>
      <c r="M29" s="104">
        <f t="shared" si="47"/>
        <v>2847.1579984585751</v>
      </c>
      <c r="N29" s="104">
        <f t="shared" si="47"/>
        <v>2932.5727384123325</v>
      </c>
      <c r="O29" s="104">
        <f t="shared" si="47"/>
        <v>3020.5499205647025</v>
      </c>
      <c r="P29" s="104">
        <f t="shared" si="47"/>
        <v>2805.8494931656005</v>
      </c>
      <c r="Q29" s="104">
        <f t="shared" si="46"/>
        <v>2890.0249779605683</v>
      </c>
      <c r="R29" s="104">
        <f t="shared" si="46"/>
        <v>2976.7257272993857</v>
      </c>
      <c r="S29" s="104">
        <f t="shared" si="46"/>
        <v>3066.0274991183674</v>
      </c>
      <c r="T29" s="104">
        <f t="shared" si="46"/>
        <v>3158.0083240919184</v>
      </c>
      <c r="U29" s="104">
        <f t="shared" si="46"/>
        <v>2943.4753737617762</v>
      </c>
      <c r="V29" s="104">
        <f t="shared" si="46"/>
        <v>3031.7796349746295</v>
      </c>
      <c r="W29" s="104">
        <f t="shared" si="46"/>
        <v>3122.7330240238684</v>
      </c>
      <c r="X29" s="104">
        <f t="shared" si="46"/>
        <v>3216.4150147445844</v>
      </c>
      <c r="Y29" s="104">
        <f t="shared" si="46"/>
        <v>3312.9074651869219</v>
      </c>
      <c r="Z29" s="104">
        <f t="shared" si="46"/>
        <v>3412.2946891425299</v>
      </c>
      <c r="AA29" s="104">
        <f t="shared" si="46"/>
        <v>3514.6635298168057</v>
      </c>
      <c r="AB29" s="104">
        <f t="shared" si="46"/>
        <v>3287.7438984110763</v>
      </c>
      <c r="AC29" s="104">
        <f t="shared" si="46"/>
        <v>3386.3762153634084</v>
      </c>
      <c r="AD29" s="104">
        <f t="shared" si="46"/>
        <v>3487.9675018243106</v>
      </c>
      <c r="AE29" s="104">
        <f t="shared" si="46"/>
        <v>3592.6065268790398</v>
      </c>
      <c r="AF29" s="104">
        <f t="shared" si="46"/>
        <v>3373.5243065814857</v>
      </c>
      <c r="AG29" s="104">
        <f t="shared" si="46"/>
        <v>3474.7300357789309</v>
      </c>
      <c r="AH29" s="104">
        <f t="shared" si="46"/>
        <v>3578.9719368522988</v>
      </c>
      <c r="AI29" s="104">
        <f t="shared" si="46"/>
        <v>3374.251501057679</v>
      </c>
      <c r="AJ29" s="104">
        <f t="shared" si="46"/>
        <v>3194.5984115792389</v>
      </c>
      <c r="AK29" s="104">
        <f t="shared" si="46"/>
        <v>3290.4363639266167</v>
      </c>
      <c r="AL29" s="104">
        <f t="shared" si="46"/>
        <v>3389.1494548444152</v>
      </c>
      <c r="AM29" s="104">
        <f t="shared" si="46"/>
        <v>3490.8239384897474</v>
      </c>
      <c r="AN29" s="104">
        <f t="shared" si="46"/>
        <v>3595.5486566444397</v>
      </c>
    </row>
    <row r="30" spans="2:40" s="18" customFormat="1" ht="21" customHeight="1" x14ac:dyDescent="0.2">
      <c r="B30" s="7" t="s">
        <v>127</v>
      </c>
      <c r="C30" s="101">
        <v>0.03</v>
      </c>
      <c r="D30" s="19"/>
      <c r="E30" s="102">
        <v>0</v>
      </c>
      <c r="F30" s="103">
        <f t="shared" ref="F30:F31" si="48">E30*(1+$C30)</f>
        <v>0</v>
      </c>
      <c r="G30" s="103">
        <f t="shared" ref="G30" si="49">F30*(1+$C30)</f>
        <v>0</v>
      </c>
      <c r="H30" s="103">
        <f t="shared" ref="H30:H31" si="50">G30*(1+$C30)</f>
        <v>0</v>
      </c>
      <c r="I30" s="103">
        <f t="shared" ref="I30:I31" si="51">H30*(1+$C30)</f>
        <v>0</v>
      </c>
      <c r="J30" s="103">
        <f t="shared" ref="J30:J31" si="52">I30*(1+$C30)</f>
        <v>0</v>
      </c>
      <c r="K30" s="103">
        <f t="shared" ref="K30:K31" si="53">J30*(1+$C30)</f>
        <v>0</v>
      </c>
      <c r="L30" s="103">
        <f t="shared" ref="L30:L31" si="54">K30*(1+$C30)</f>
        <v>0</v>
      </c>
      <c r="M30" s="103">
        <f t="shared" ref="M30:M31" si="55">L30*(1+$C30)</f>
        <v>0</v>
      </c>
      <c r="N30" s="103">
        <f t="shared" ref="N30:N31" si="56">M30*(1+$C30)</f>
        <v>0</v>
      </c>
      <c r="O30" s="103">
        <f t="shared" ref="O30:O31" si="57">N30*(1+$C30)</f>
        <v>0</v>
      </c>
      <c r="P30" s="103">
        <f t="shared" ref="P30" si="58">O30*(1+$C30)</f>
        <v>0</v>
      </c>
      <c r="Q30" s="103">
        <f t="shared" ref="Q30:AN31" si="59">P30*(1+$C30)</f>
        <v>0</v>
      </c>
      <c r="R30" s="103">
        <f t="shared" si="59"/>
        <v>0</v>
      </c>
      <c r="S30" s="103">
        <f t="shared" si="59"/>
        <v>0</v>
      </c>
      <c r="T30" s="103">
        <f t="shared" si="59"/>
        <v>0</v>
      </c>
      <c r="U30" s="103">
        <f t="shared" si="59"/>
        <v>0</v>
      </c>
      <c r="V30" s="103">
        <f t="shared" si="59"/>
        <v>0</v>
      </c>
      <c r="W30" s="103">
        <f t="shared" si="59"/>
        <v>0</v>
      </c>
      <c r="X30" s="103">
        <f t="shared" si="59"/>
        <v>0</v>
      </c>
      <c r="Y30" s="103">
        <f t="shared" si="59"/>
        <v>0</v>
      </c>
      <c r="Z30" s="103">
        <f t="shared" si="59"/>
        <v>0</v>
      </c>
      <c r="AA30" s="103">
        <f t="shared" si="59"/>
        <v>0</v>
      </c>
      <c r="AB30" s="103">
        <f t="shared" si="59"/>
        <v>0</v>
      </c>
      <c r="AC30" s="103">
        <f t="shared" si="59"/>
        <v>0</v>
      </c>
      <c r="AD30" s="103">
        <f t="shared" si="59"/>
        <v>0</v>
      </c>
      <c r="AE30" s="103">
        <f t="shared" si="59"/>
        <v>0</v>
      </c>
      <c r="AF30" s="103">
        <f t="shared" si="59"/>
        <v>0</v>
      </c>
      <c r="AG30" s="103">
        <f t="shared" si="59"/>
        <v>0</v>
      </c>
      <c r="AH30" s="103">
        <f t="shared" si="59"/>
        <v>0</v>
      </c>
      <c r="AI30" s="103">
        <f t="shared" si="59"/>
        <v>0</v>
      </c>
      <c r="AJ30" s="103">
        <f t="shared" si="59"/>
        <v>0</v>
      </c>
      <c r="AK30" s="103">
        <f t="shared" si="59"/>
        <v>0</v>
      </c>
      <c r="AL30" s="103">
        <f t="shared" si="59"/>
        <v>0</v>
      </c>
      <c r="AM30" s="103">
        <f t="shared" si="59"/>
        <v>0</v>
      </c>
      <c r="AN30" s="103">
        <f t="shared" si="59"/>
        <v>0</v>
      </c>
    </row>
    <row r="31" spans="2:40" s="16" customFormat="1" ht="21" customHeight="1" x14ac:dyDescent="0.2">
      <c r="B31" s="8" t="s">
        <v>128</v>
      </c>
      <c r="C31" s="101">
        <v>0.03</v>
      </c>
      <c r="D31" s="14"/>
      <c r="E31" s="102">
        <v>6000</v>
      </c>
      <c r="F31" s="103">
        <f t="shared" si="48"/>
        <v>6180</v>
      </c>
      <c r="G31" s="103">
        <f>F31*(0.9)</f>
        <v>5562</v>
      </c>
      <c r="H31" s="103">
        <f t="shared" si="50"/>
        <v>5728.8600000000006</v>
      </c>
      <c r="I31" s="103">
        <f t="shared" si="51"/>
        <v>5900.7258000000011</v>
      </c>
      <c r="J31" s="103">
        <f t="shared" si="52"/>
        <v>6077.7475740000009</v>
      </c>
      <c r="K31" s="103">
        <f t="shared" si="53"/>
        <v>6260.0800012200007</v>
      </c>
      <c r="L31" s="103">
        <f t="shared" si="54"/>
        <v>6447.882401256601</v>
      </c>
      <c r="M31" s="103">
        <f t="shared" si="55"/>
        <v>6641.318873294299</v>
      </c>
      <c r="N31" s="103">
        <f t="shared" si="56"/>
        <v>6840.5584394931284</v>
      </c>
      <c r="O31" s="103">
        <f t="shared" si="57"/>
        <v>7045.7751926779229</v>
      </c>
      <c r="P31" s="103">
        <f>O31*(0.9)</f>
        <v>6341.1976734101308</v>
      </c>
      <c r="Q31" s="103">
        <f t="shared" si="59"/>
        <v>6531.433603612435</v>
      </c>
      <c r="R31" s="103">
        <f t="shared" si="59"/>
        <v>6727.3766117208079</v>
      </c>
      <c r="S31" s="103">
        <f t="shared" si="59"/>
        <v>6929.197910072432</v>
      </c>
      <c r="T31" s="103">
        <f t="shared" si="59"/>
        <v>7137.0738473746051</v>
      </c>
      <c r="U31" s="103">
        <f t="shared" si="59"/>
        <v>7351.1860627958431</v>
      </c>
      <c r="V31" s="103">
        <f t="shared" si="59"/>
        <v>7571.7216446797183</v>
      </c>
      <c r="W31" s="103">
        <f>V31*(0.9)</f>
        <v>6814.5494802117464</v>
      </c>
      <c r="X31" s="103">
        <f t="shared" si="59"/>
        <v>7018.9859646180994</v>
      </c>
      <c r="Y31" s="103">
        <f t="shared" si="59"/>
        <v>7229.555543556643</v>
      </c>
      <c r="Z31" s="103">
        <f t="shared" si="59"/>
        <v>7446.4422098633422</v>
      </c>
      <c r="AA31" s="103">
        <f t="shared" si="59"/>
        <v>7669.8354761592427</v>
      </c>
      <c r="AB31" s="103">
        <f t="shared" si="59"/>
        <v>7899.9305404440202</v>
      </c>
      <c r="AC31" s="103">
        <f t="shared" si="59"/>
        <v>8136.9284566573406</v>
      </c>
      <c r="AD31" s="103">
        <f t="shared" ref="AD31:AE31" si="60">AC31*(0.9)</f>
        <v>7323.2356109916063</v>
      </c>
      <c r="AE31" s="103">
        <f t="shared" si="60"/>
        <v>6590.9120498924458</v>
      </c>
      <c r="AF31" s="103">
        <f t="shared" si="59"/>
        <v>6788.6394113892193</v>
      </c>
      <c r="AG31" s="103">
        <f t="shared" si="59"/>
        <v>6992.2985937308958</v>
      </c>
      <c r="AH31" s="103">
        <f t="shared" si="59"/>
        <v>7202.0675515428229</v>
      </c>
      <c r="AI31" s="103">
        <f t="shared" si="59"/>
        <v>7418.1295780891078</v>
      </c>
      <c r="AJ31" s="103">
        <f>AI31*(0.9)</f>
        <v>6676.3166202801967</v>
      </c>
      <c r="AK31" s="103">
        <f t="shared" si="59"/>
        <v>6876.6061188886024</v>
      </c>
      <c r="AL31" s="103">
        <f t="shared" si="59"/>
        <v>7082.9043024552602</v>
      </c>
      <c r="AM31" s="103">
        <f t="shared" si="59"/>
        <v>7295.3914315289185</v>
      </c>
      <c r="AN31" s="103">
        <f t="shared" si="59"/>
        <v>7514.2531744747866</v>
      </c>
    </row>
    <row r="32" spans="2:40" s="16" customFormat="1" ht="21" customHeight="1" x14ac:dyDescent="0.2">
      <c r="B32" s="8" t="s">
        <v>129</v>
      </c>
      <c r="C32" s="101">
        <v>0.03</v>
      </c>
      <c r="D32" s="14"/>
      <c r="E32" s="103">
        <f>E31*0.08</f>
        <v>480</v>
      </c>
      <c r="F32" s="103">
        <f t="shared" ref="F32:F35" si="61">E32*(1+$C32)</f>
        <v>494.40000000000003</v>
      </c>
      <c r="G32" s="103">
        <f t="shared" ref="G32:G35" si="62">F32*(0.9)</f>
        <v>444.96000000000004</v>
      </c>
      <c r="H32" s="103">
        <f t="shared" ref="H32:H35" si="63">G32*(1+$C32)</f>
        <v>458.30880000000008</v>
      </c>
      <c r="I32" s="103">
        <f t="shared" ref="I32:I35" si="64">H32*(1+$C32)</f>
        <v>472.05806400000012</v>
      </c>
      <c r="J32" s="103">
        <f t="shared" ref="J32:J35" si="65">I32*(1+$C32)</f>
        <v>486.21980592000011</v>
      </c>
      <c r="K32" s="103">
        <f t="shared" ref="K32:K35" si="66">J32*(1+$C32)</f>
        <v>500.80640009760015</v>
      </c>
      <c r="L32" s="103">
        <f t="shared" ref="L32:L35" si="67">K32*(1+$C32)</f>
        <v>515.83059210052818</v>
      </c>
      <c r="M32" s="103">
        <f t="shared" ref="M32:M35" si="68">L32*(1+$C32)</f>
        <v>531.30550986354399</v>
      </c>
      <c r="N32" s="103">
        <f t="shared" ref="N32:N35" si="69">M32*(1+$C32)</f>
        <v>547.24467515945037</v>
      </c>
      <c r="O32" s="103">
        <f t="shared" ref="O32:O35" si="70">N32*(1+$C32)</f>
        <v>563.66201541423391</v>
      </c>
      <c r="P32" s="103">
        <f t="shared" ref="P32:P35" si="71">O32*(0.9)</f>
        <v>507.29581387281053</v>
      </c>
      <c r="Q32" s="103">
        <f t="shared" ref="Q32:Q35" si="72">P32*(1+$C32)</f>
        <v>522.51468828899488</v>
      </c>
      <c r="R32" s="103">
        <f t="shared" ref="R32:R35" si="73">Q32*(1+$C32)</f>
        <v>538.19012893766478</v>
      </c>
      <c r="S32" s="103">
        <f t="shared" ref="S32:S35" si="74">R32*(1+$C32)</f>
        <v>554.33583280579478</v>
      </c>
      <c r="T32" s="103">
        <f t="shared" ref="T32:T35" si="75">S32*(1+$C32)</f>
        <v>570.96590778996858</v>
      </c>
      <c r="U32" s="103">
        <f t="shared" ref="U32:U35" si="76">T32*(1+$C32)</f>
        <v>588.09488502366764</v>
      </c>
      <c r="V32" s="103">
        <f t="shared" ref="V32:V35" si="77">U32*(1+$C32)</f>
        <v>605.73773157437768</v>
      </c>
      <c r="W32" s="103">
        <f t="shared" ref="W32:W35" si="78">V32*(0.9)</f>
        <v>545.16395841693998</v>
      </c>
      <c r="X32" s="103">
        <f t="shared" ref="X32:X35" si="79">W32*(1+$C32)</f>
        <v>561.51887716944816</v>
      </c>
      <c r="Y32" s="103">
        <f t="shared" ref="Y32:Y35" si="80">X32*(1+$C32)</f>
        <v>578.36444348453165</v>
      </c>
      <c r="Z32" s="103">
        <f t="shared" ref="Z32:Z35" si="81">Y32*(1+$C32)</f>
        <v>595.71537678906759</v>
      </c>
      <c r="AA32" s="103">
        <f t="shared" ref="AA32:AA35" si="82">Z32*(1+$C32)</f>
        <v>613.58683809273964</v>
      </c>
      <c r="AB32" s="103">
        <f t="shared" ref="AB32:AB35" si="83">AA32*(1+$C32)</f>
        <v>631.99444323552189</v>
      </c>
      <c r="AC32" s="103">
        <f t="shared" ref="AC32:AC35" si="84">AB32*(1+$C32)</f>
        <v>650.95427653258753</v>
      </c>
      <c r="AD32" s="103">
        <f t="shared" ref="AD32:AE32" si="85">AC32*(0.9)</f>
        <v>585.85884887932878</v>
      </c>
      <c r="AE32" s="103">
        <f t="shared" si="85"/>
        <v>527.27296399139595</v>
      </c>
      <c r="AF32" s="103">
        <f t="shared" ref="AF32:AF35" si="86">AE32*(1+$C32)</f>
        <v>543.0911529111379</v>
      </c>
      <c r="AG32" s="103">
        <f t="shared" ref="AG32:AG35" si="87">AF32*(1+$C32)</f>
        <v>559.38388749847206</v>
      </c>
      <c r="AH32" s="103">
        <f t="shared" ref="AH32:AH35" si="88">AG32*(1+$C32)</f>
        <v>576.16540412342624</v>
      </c>
      <c r="AI32" s="103">
        <f t="shared" ref="AI32:AI35" si="89">AH32*(1+$C32)</f>
        <v>593.45036624712907</v>
      </c>
      <c r="AJ32" s="103">
        <f t="shared" ref="AJ32:AJ35" si="90">AI32*(0.9)</f>
        <v>534.10532962241621</v>
      </c>
      <c r="AK32" s="103">
        <f t="shared" ref="AK32:AK35" si="91">AJ32*(1+$C32)</f>
        <v>550.12848951108867</v>
      </c>
      <c r="AL32" s="103">
        <f t="shared" ref="AL32:AL35" si="92">AK32*(1+$C32)</f>
        <v>566.6323441964214</v>
      </c>
      <c r="AM32" s="103">
        <f t="shared" ref="AM32:AM35" si="93">AL32*(1+$C32)</f>
        <v>583.63131452231403</v>
      </c>
      <c r="AN32" s="103">
        <f t="shared" ref="AN32:AN35" si="94">AM32*(1+$C32)</f>
        <v>601.14025395798342</v>
      </c>
    </row>
    <row r="33" spans="2:40" s="16" customFormat="1" ht="21" customHeight="1" x14ac:dyDescent="0.2">
      <c r="B33" s="8" t="s">
        <v>130</v>
      </c>
      <c r="C33" s="101">
        <v>0.03</v>
      </c>
      <c r="D33" s="14"/>
      <c r="E33" s="103">
        <f>E31*1</f>
        <v>6000</v>
      </c>
      <c r="F33" s="103">
        <f t="shared" si="61"/>
        <v>6180</v>
      </c>
      <c r="G33" s="103">
        <f t="shared" si="62"/>
        <v>5562</v>
      </c>
      <c r="H33" s="103">
        <f t="shared" si="63"/>
        <v>5728.8600000000006</v>
      </c>
      <c r="I33" s="103">
        <f t="shared" si="64"/>
        <v>5900.7258000000011</v>
      </c>
      <c r="J33" s="103">
        <f t="shared" si="65"/>
        <v>6077.7475740000009</v>
      </c>
      <c r="K33" s="103">
        <f t="shared" si="66"/>
        <v>6260.0800012200007</v>
      </c>
      <c r="L33" s="103">
        <f t="shared" si="67"/>
        <v>6447.882401256601</v>
      </c>
      <c r="M33" s="103">
        <f t="shared" si="68"/>
        <v>6641.318873294299</v>
      </c>
      <c r="N33" s="103">
        <f t="shared" si="69"/>
        <v>6840.5584394931284</v>
      </c>
      <c r="O33" s="103">
        <f t="shared" si="70"/>
        <v>7045.7751926779229</v>
      </c>
      <c r="P33" s="103">
        <f t="shared" si="71"/>
        <v>6341.1976734101308</v>
      </c>
      <c r="Q33" s="103">
        <f t="shared" si="72"/>
        <v>6531.433603612435</v>
      </c>
      <c r="R33" s="103">
        <f t="shared" si="73"/>
        <v>6727.3766117208079</v>
      </c>
      <c r="S33" s="103">
        <f t="shared" si="74"/>
        <v>6929.197910072432</v>
      </c>
      <c r="T33" s="103">
        <f t="shared" si="75"/>
        <v>7137.0738473746051</v>
      </c>
      <c r="U33" s="103">
        <f t="shared" si="76"/>
        <v>7351.1860627958431</v>
      </c>
      <c r="V33" s="103">
        <f t="shared" si="77"/>
        <v>7571.7216446797183</v>
      </c>
      <c r="W33" s="103">
        <f t="shared" si="78"/>
        <v>6814.5494802117464</v>
      </c>
      <c r="X33" s="103">
        <f t="shared" si="79"/>
        <v>7018.9859646180994</v>
      </c>
      <c r="Y33" s="103">
        <f t="shared" si="80"/>
        <v>7229.555543556643</v>
      </c>
      <c r="Z33" s="103">
        <f t="shared" si="81"/>
        <v>7446.4422098633422</v>
      </c>
      <c r="AA33" s="103">
        <f t="shared" si="82"/>
        <v>7669.8354761592427</v>
      </c>
      <c r="AB33" s="103">
        <f t="shared" si="83"/>
        <v>7899.9305404440202</v>
      </c>
      <c r="AC33" s="103">
        <f t="shared" si="84"/>
        <v>8136.9284566573406</v>
      </c>
      <c r="AD33" s="103">
        <f t="shared" ref="AD33:AE33" si="95">AC33*(0.9)</f>
        <v>7323.2356109916063</v>
      </c>
      <c r="AE33" s="103">
        <f t="shared" si="95"/>
        <v>6590.9120498924458</v>
      </c>
      <c r="AF33" s="103">
        <f t="shared" si="86"/>
        <v>6788.6394113892193</v>
      </c>
      <c r="AG33" s="103">
        <f t="shared" si="87"/>
        <v>6992.2985937308958</v>
      </c>
      <c r="AH33" s="103">
        <f t="shared" si="88"/>
        <v>7202.0675515428229</v>
      </c>
      <c r="AI33" s="103">
        <f t="shared" si="89"/>
        <v>7418.1295780891078</v>
      </c>
      <c r="AJ33" s="103">
        <f t="shared" si="90"/>
        <v>6676.3166202801967</v>
      </c>
      <c r="AK33" s="103">
        <f t="shared" si="91"/>
        <v>6876.6061188886024</v>
      </c>
      <c r="AL33" s="103">
        <f t="shared" si="92"/>
        <v>7082.9043024552602</v>
      </c>
      <c r="AM33" s="103">
        <f t="shared" si="93"/>
        <v>7295.3914315289185</v>
      </c>
      <c r="AN33" s="103">
        <f t="shared" si="94"/>
        <v>7514.2531744747866</v>
      </c>
    </row>
    <row r="34" spans="2:40" s="16" customFormat="1" ht="21" customHeight="1" x14ac:dyDescent="0.2">
      <c r="B34" s="8" t="s">
        <v>131</v>
      </c>
      <c r="C34" s="101">
        <v>0.03</v>
      </c>
      <c r="D34" s="14"/>
      <c r="E34" s="103">
        <f>E31*0.005</f>
        <v>30</v>
      </c>
      <c r="F34" s="103">
        <f t="shared" si="61"/>
        <v>30.900000000000002</v>
      </c>
      <c r="G34" s="103">
        <f t="shared" si="62"/>
        <v>27.810000000000002</v>
      </c>
      <c r="H34" s="103">
        <f t="shared" si="63"/>
        <v>28.644300000000005</v>
      </c>
      <c r="I34" s="103">
        <f t="shared" si="64"/>
        <v>29.503629000000007</v>
      </c>
      <c r="J34" s="103">
        <f t="shared" si="65"/>
        <v>30.388737870000007</v>
      </c>
      <c r="K34" s="103">
        <f t="shared" si="66"/>
        <v>31.300400006100009</v>
      </c>
      <c r="L34" s="103">
        <f t="shared" si="67"/>
        <v>32.239412006283011</v>
      </c>
      <c r="M34" s="103">
        <f t="shared" si="68"/>
        <v>33.206594366471499</v>
      </c>
      <c r="N34" s="103">
        <f t="shared" si="69"/>
        <v>34.202792197465648</v>
      </c>
      <c r="O34" s="103">
        <f t="shared" si="70"/>
        <v>35.228875963389619</v>
      </c>
      <c r="P34" s="103">
        <f t="shared" si="71"/>
        <v>31.705988367050658</v>
      </c>
      <c r="Q34" s="103">
        <f t="shared" si="72"/>
        <v>32.65716801806218</v>
      </c>
      <c r="R34" s="103">
        <f t="shared" si="73"/>
        <v>33.636883058604049</v>
      </c>
      <c r="S34" s="103">
        <f t="shared" si="74"/>
        <v>34.645989550362174</v>
      </c>
      <c r="T34" s="103">
        <f t="shared" si="75"/>
        <v>35.685369236873036</v>
      </c>
      <c r="U34" s="103">
        <f t="shared" si="76"/>
        <v>36.755930313979228</v>
      </c>
      <c r="V34" s="103">
        <f t="shared" si="77"/>
        <v>37.858608223398605</v>
      </c>
      <c r="W34" s="103">
        <f t="shared" si="78"/>
        <v>34.072747401058749</v>
      </c>
      <c r="X34" s="103">
        <f t="shared" si="79"/>
        <v>35.09492982309051</v>
      </c>
      <c r="Y34" s="103">
        <f t="shared" si="80"/>
        <v>36.147777717783228</v>
      </c>
      <c r="Z34" s="103">
        <f t="shared" si="81"/>
        <v>37.232211049316724</v>
      </c>
      <c r="AA34" s="103">
        <f t="shared" si="82"/>
        <v>38.349177380796228</v>
      </c>
      <c r="AB34" s="103">
        <f t="shared" si="83"/>
        <v>39.499652702220118</v>
      </c>
      <c r="AC34" s="103">
        <f t="shared" si="84"/>
        <v>40.68464228328672</v>
      </c>
      <c r="AD34" s="103">
        <f t="shared" ref="AD34:AE34" si="96">AC34*(0.9)</f>
        <v>36.616178054958048</v>
      </c>
      <c r="AE34" s="103">
        <f t="shared" si="96"/>
        <v>32.954560249462247</v>
      </c>
      <c r="AF34" s="103">
        <f t="shared" si="86"/>
        <v>33.943197056946119</v>
      </c>
      <c r="AG34" s="103">
        <f t="shared" si="87"/>
        <v>34.961492968654504</v>
      </c>
      <c r="AH34" s="103">
        <f t="shared" si="88"/>
        <v>36.01033775771414</v>
      </c>
      <c r="AI34" s="103">
        <f t="shared" si="89"/>
        <v>37.090647890445567</v>
      </c>
      <c r="AJ34" s="103">
        <f t="shared" si="90"/>
        <v>33.381583101401013</v>
      </c>
      <c r="AK34" s="103">
        <f t="shared" si="91"/>
        <v>34.383030594443042</v>
      </c>
      <c r="AL34" s="103">
        <f t="shared" si="92"/>
        <v>35.414521512276337</v>
      </c>
      <c r="AM34" s="103">
        <f t="shared" si="93"/>
        <v>36.476957157644627</v>
      </c>
      <c r="AN34" s="103">
        <f t="shared" si="94"/>
        <v>37.571265872373964</v>
      </c>
    </row>
    <row r="35" spans="2:40" s="16" customFormat="1" ht="21" customHeight="1" x14ac:dyDescent="0.2">
      <c r="B35" s="8" t="s">
        <v>132</v>
      </c>
      <c r="C35" s="101">
        <v>0.03</v>
      </c>
      <c r="D35" s="14"/>
      <c r="E35" s="102">
        <v>0</v>
      </c>
      <c r="F35" s="103">
        <f t="shared" si="61"/>
        <v>0</v>
      </c>
      <c r="G35" s="103">
        <f t="shared" si="62"/>
        <v>0</v>
      </c>
      <c r="H35" s="103">
        <f t="shared" si="63"/>
        <v>0</v>
      </c>
      <c r="I35" s="103">
        <f t="shared" si="64"/>
        <v>0</v>
      </c>
      <c r="J35" s="103">
        <f t="shared" si="65"/>
        <v>0</v>
      </c>
      <c r="K35" s="103">
        <f t="shared" si="66"/>
        <v>0</v>
      </c>
      <c r="L35" s="103">
        <f t="shared" si="67"/>
        <v>0</v>
      </c>
      <c r="M35" s="103">
        <f t="shared" si="68"/>
        <v>0</v>
      </c>
      <c r="N35" s="103">
        <f t="shared" si="69"/>
        <v>0</v>
      </c>
      <c r="O35" s="103">
        <f t="shared" si="70"/>
        <v>0</v>
      </c>
      <c r="P35" s="103">
        <f t="shared" si="71"/>
        <v>0</v>
      </c>
      <c r="Q35" s="103">
        <f t="shared" si="72"/>
        <v>0</v>
      </c>
      <c r="R35" s="103">
        <f t="shared" si="73"/>
        <v>0</v>
      </c>
      <c r="S35" s="103">
        <f t="shared" si="74"/>
        <v>0</v>
      </c>
      <c r="T35" s="103">
        <f t="shared" si="75"/>
        <v>0</v>
      </c>
      <c r="U35" s="103">
        <f t="shared" si="76"/>
        <v>0</v>
      </c>
      <c r="V35" s="103">
        <f t="shared" si="77"/>
        <v>0</v>
      </c>
      <c r="W35" s="103">
        <f t="shared" si="78"/>
        <v>0</v>
      </c>
      <c r="X35" s="103">
        <f t="shared" si="79"/>
        <v>0</v>
      </c>
      <c r="Y35" s="103">
        <f t="shared" si="80"/>
        <v>0</v>
      </c>
      <c r="Z35" s="103">
        <f t="shared" si="81"/>
        <v>0</v>
      </c>
      <c r="AA35" s="103">
        <f t="shared" si="82"/>
        <v>0</v>
      </c>
      <c r="AB35" s="103">
        <f t="shared" si="83"/>
        <v>0</v>
      </c>
      <c r="AC35" s="103">
        <f t="shared" si="84"/>
        <v>0</v>
      </c>
      <c r="AD35" s="103">
        <f t="shared" ref="AD35:AE35" si="97">AC35*(0.9)</f>
        <v>0</v>
      </c>
      <c r="AE35" s="103">
        <f t="shared" si="97"/>
        <v>0</v>
      </c>
      <c r="AF35" s="103">
        <f t="shared" si="86"/>
        <v>0</v>
      </c>
      <c r="AG35" s="103">
        <f t="shared" si="87"/>
        <v>0</v>
      </c>
      <c r="AH35" s="103">
        <f t="shared" si="88"/>
        <v>0</v>
      </c>
      <c r="AI35" s="103">
        <f t="shared" si="89"/>
        <v>0</v>
      </c>
      <c r="AJ35" s="103">
        <f t="shared" si="90"/>
        <v>0</v>
      </c>
      <c r="AK35" s="103">
        <f t="shared" si="91"/>
        <v>0</v>
      </c>
      <c r="AL35" s="103">
        <f t="shared" si="92"/>
        <v>0</v>
      </c>
      <c r="AM35" s="103">
        <f t="shared" si="93"/>
        <v>0</v>
      </c>
      <c r="AN35" s="103">
        <f t="shared" si="94"/>
        <v>0</v>
      </c>
    </row>
    <row r="36" spans="2:40" s="16" customFormat="1" ht="21" customHeight="1" x14ac:dyDescent="0.2">
      <c r="B36" s="7" t="s">
        <v>149</v>
      </c>
      <c r="C36" s="27"/>
      <c r="D36" s="14"/>
      <c r="E36" s="104">
        <f t="shared" ref="E36:AN36" si="98">SUM(E35, E34, E33, E32, E31 + E30)</f>
        <v>12510</v>
      </c>
      <c r="F36" s="104">
        <f t="shared" ref="F36:P36" si="99">SUM(F35, F34, F33, F32, F31 + F30)</f>
        <v>12885.3</v>
      </c>
      <c r="G36" s="104">
        <f t="shared" si="99"/>
        <v>11596.77</v>
      </c>
      <c r="H36" s="104">
        <f t="shared" si="99"/>
        <v>11944.6731</v>
      </c>
      <c r="I36" s="104">
        <f t="shared" si="99"/>
        <v>12303.013293000002</v>
      </c>
      <c r="J36" s="104">
        <f t="shared" si="99"/>
        <v>12672.103691790002</v>
      </c>
      <c r="K36" s="104">
        <f t="shared" si="99"/>
        <v>13052.266802543701</v>
      </c>
      <c r="L36" s="104">
        <f t="shared" si="99"/>
        <v>13443.834806620012</v>
      </c>
      <c r="M36" s="104">
        <f t="shared" si="99"/>
        <v>13847.149850818612</v>
      </c>
      <c r="N36" s="104">
        <f t="shared" si="99"/>
        <v>14262.564346343173</v>
      </c>
      <c r="O36" s="104">
        <f t="shared" si="99"/>
        <v>14690.441276733469</v>
      </c>
      <c r="P36" s="104">
        <f t="shared" si="99"/>
        <v>13221.397149060123</v>
      </c>
      <c r="Q36" s="104">
        <f t="shared" si="98"/>
        <v>13618.039063531927</v>
      </c>
      <c r="R36" s="104">
        <f t="shared" si="98"/>
        <v>14026.580235437885</v>
      </c>
      <c r="S36" s="104">
        <f t="shared" si="98"/>
        <v>14447.377642501022</v>
      </c>
      <c r="T36" s="104">
        <f t="shared" si="98"/>
        <v>14880.798971776052</v>
      </c>
      <c r="U36" s="104">
        <f t="shared" si="98"/>
        <v>15327.222940929332</v>
      </c>
      <c r="V36" s="104">
        <f t="shared" si="98"/>
        <v>15787.039629157214</v>
      </c>
      <c r="W36" s="104">
        <f t="shared" si="98"/>
        <v>14208.335666241492</v>
      </c>
      <c r="X36" s="104">
        <f t="shared" si="98"/>
        <v>14634.585736228739</v>
      </c>
      <c r="Y36" s="104">
        <f t="shared" si="98"/>
        <v>15073.6233083156</v>
      </c>
      <c r="Z36" s="104">
        <f t="shared" si="98"/>
        <v>15525.83200756507</v>
      </c>
      <c r="AA36" s="104">
        <f t="shared" si="98"/>
        <v>15991.60696779202</v>
      </c>
      <c r="AB36" s="104">
        <f t="shared" si="98"/>
        <v>16471.355176825782</v>
      </c>
      <c r="AC36" s="104">
        <f t="shared" si="98"/>
        <v>16965.495832130553</v>
      </c>
      <c r="AD36" s="104">
        <f t="shared" si="98"/>
        <v>15268.946248917498</v>
      </c>
      <c r="AE36" s="104">
        <f t="shared" si="98"/>
        <v>13742.051624025749</v>
      </c>
      <c r="AF36" s="104">
        <f t="shared" si="98"/>
        <v>14154.313172746522</v>
      </c>
      <c r="AG36" s="104">
        <f t="shared" si="98"/>
        <v>14578.942567928918</v>
      </c>
      <c r="AH36" s="104">
        <f t="shared" si="98"/>
        <v>15016.310844966785</v>
      </c>
      <c r="AI36" s="104">
        <f t="shared" si="98"/>
        <v>15466.80017031579</v>
      </c>
      <c r="AJ36" s="104">
        <f t="shared" si="98"/>
        <v>13920.12015328421</v>
      </c>
      <c r="AK36" s="104">
        <f t="shared" si="98"/>
        <v>14337.723757882737</v>
      </c>
      <c r="AL36" s="104">
        <f t="shared" si="98"/>
        <v>14767.855470619219</v>
      </c>
      <c r="AM36" s="104">
        <f t="shared" si="98"/>
        <v>15210.891134737794</v>
      </c>
      <c r="AN36" s="104">
        <f t="shared" si="98"/>
        <v>15667.217868779931</v>
      </c>
    </row>
    <row r="37" spans="2:40" s="16" customFormat="1" ht="21" customHeight="1" x14ac:dyDescent="0.2">
      <c r="B37" s="8" t="s">
        <v>133</v>
      </c>
      <c r="C37" s="101">
        <v>0.03</v>
      </c>
      <c r="D37" s="14"/>
      <c r="E37" s="102">
        <v>0</v>
      </c>
      <c r="F37" s="102">
        <v>0</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row>
    <row r="38" spans="2:40" s="18" customFormat="1" ht="21" customHeight="1" x14ac:dyDescent="0.2">
      <c r="B38" s="7" t="s">
        <v>134</v>
      </c>
      <c r="C38" s="101">
        <v>0.03</v>
      </c>
      <c r="D38" s="19"/>
      <c r="E38" s="102">
        <v>0</v>
      </c>
      <c r="F38" s="103">
        <f t="shared" ref="F38:F42" si="100">E38*(1+$C38)</f>
        <v>0</v>
      </c>
      <c r="G38" s="103">
        <f t="shared" ref="G38:G42" si="101">F38*(1+$C38)</f>
        <v>0</v>
      </c>
      <c r="H38" s="103">
        <f t="shared" ref="H38:H42" si="102">G38*(1+$C38)</f>
        <v>0</v>
      </c>
      <c r="I38" s="103">
        <f t="shared" ref="I38:I42" si="103">H38*(1+$C38)</f>
        <v>0</v>
      </c>
      <c r="J38" s="103">
        <f t="shared" ref="J38:J42" si="104">I38*(1+$C38)</f>
        <v>0</v>
      </c>
      <c r="K38" s="103">
        <f t="shared" ref="K38:K42" si="105">J38*(1+$C38)</f>
        <v>0</v>
      </c>
      <c r="L38" s="103">
        <f t="shared" ref="L38:L42" si="106">K38*(1+$C38)</f>
        <v>0</v>
      </c>
      <c r="M38" s="103">
        <f t="shared" ref="M38:M42" si="107">L38*(1+$C38)</f>
        <v>0</v>
      </c>
      <c r="N38" s="103">
        <f t="shared" ref="N38:N42" si="108">M38*(1+$C38)</f>
        <v>0</v>
      </c>
      <c r="O38" s="103">
        <f t="shared" ref="O38:O42" si="109">N38*(1+$C38)</f>
        <v>0</v>
      </c>
      <c r="P38" s="103">
        <f t="shared" ref="P38:P42" si="110">O38*(1+$C38)</f>
        <v>0</v>
      </c>
      <c r="Q38" s="103">
        <f t="shared" ref="Q38:AN42" si="111">P38*(1+$C38)</f>
        <v>0</v>
      </c>
      <c r="R38" s="103">
        <f t="shared" si="111"/>
        <v>0</v>
      </c>
      <c r="S38" s="103">
        <f t="shared" si="111"/>
        <v>0</v>
      </c>
      <c r="T38" s="103">
        <f t="shared" si="111"/>
        <v>0</v>
      </c>
      <c r="U38" s="103">
        <f t="shared" si="111"/>
        <v>0</v>
      </c>
      <c r="V38" s="103">
        <f t="shared" si="111"/>
        <v>0</v>
      </c>
      <c r="W38" s="103">
        <f t="shared" si="111"/>
        <v>0</v>
      </c>
      <c r="X38" s="103">
        <f t="shared" si="111"/>
        <v>0</v>
      </c>
      <c r="Y38" s="103">
        <f t="shared" si="111"/>
        <v>0</v>
      </c>
      <c r="Z38" s="103">
        <f t="shared" si="111"/>
        <v>0</v>
      </c>
      <c r="AA38" s="103">
        <f t="shared" si="111"/>
        <v>0</v>
      </c>
      <c r="AB38" s="103">
        <f t="shared" si="111"/>
        <v>0</v>
      </c>
      <c r="AC38" s="103">
        <f t="shared" si="111"/>
        <v>0</v>
      </c>
      <c r="AD38" s="103">
        <f t="shared" si="111"/>
        <v>0</v>
      </c>
      <c r="AE38" s="103">
        <f t="shared" si="111"/>
        <v>0</v>
      </c>
      <c r="AF38" s="103">
        <f t="shared" si="111"/>
        <v>0</v>
      </c>
      <c r="AG38" s="103">
        <f t="shared" si="111"/>
        <v>0</v>
      </c>
      <c r="AH38" s="103">
        <f t="shared" si="111"/>
        <v>0</v>
      </c>
      <c r="AI38" s="103">
        <f t="shared" si="111"/>
        <v>0</v>
      </c>
      <c r="AJ38" s="103">
        <f t="shared" si="111"/>
        <v>0</v>
      </c>
      <c r="AK38" s="103">
        <f t="shared" si="111"/>
        <v>0</v>
      </c>
      <c r="AL38" s="103">
        <f t="shared" si="111"/>
        <v>0</v>
      </c>
      <c r="AM38" s="103">
        <f t="shared" si="111"/>
        <v>0</v>
      </c>
      <c r="AN38" s="103">
        <f t="shared" si="111"/>
        <v>0</v>
      </c>
    </row>
    <row r="39" spans="2:40" s="16" customFormat="1" ht="21" customHeight="1" x14ac:dyDescent="0.2">
      <c r="B39" s="8" t="s">
        <v>135</v>
      </c>
      <c r="C39" s="101">
        <v>0.03</v>
      </c>
      <c r="D39" s="14"/>
      <c r="E39" s="102">
        <v>400</v>
      </c>
      <c r="F39" s="103">
        <f t="shared" si="100"/>
        <v>412</v>
      </c>
      <c r="G39" s="103">
        <f t="shared" si="101"/>
        <v>424.36</v>
      </c>
      <c r="H39" s="103">
        <f t="shared" si="102"/>
        <v>437.0908</v>
      </c>
      <c r="I39" s="103">
        <f t="shared" si="103"/>
        <v>450.20352400000002</v>
      </c>
      <c r="J39" s="103">
        <f t="shared" si="104"/>
        <v>463.70962972000001</v>
      </c>
      <c r="K39" s="103">
        <f t="shared" si="105"/>
        <v>477.62091861160002</v>
      </c>
      <c r="L39" s="103">
        <f t="shared" si="106"/>
        <v>491.94954616994801</v>
      </c>
      <c r="M39" s="103">
        <f t="shared" si="107"/>
        <v>506.70803255504649</v>
      </c>
      <c r="N39" s="103">
        <f t="shared" si="108"/>
        <v>521.90927353169786</v>
      </c>
      <c r="O39" s="103">
        <f t="shared" si="109"/>
        <v>537.56655173764887</v>
      </c>
      <c r="P39" s="103">
        <f t="shared" si="110"/>
        <v>553.69354828977839</v>
      </c>
      <c r="Q39" s="103">
        <f t="shared" si="111"/>
        <v>570.30435473847172</v>
      </c>
      <c r="R39" s="103">
        <f t="shared" si="111"/>
        <v>587.41348538062584</v>
      </c>
      <c r="S39" s="103">
        <f t="shared" si="111"/>
        <v>605.03588994204461</v>
      </c>
      <c r="T39" s="103">
        <f t="shared" si="111"/>
        <v>623.18696664030597</v>
      </c>
      <c r="U39" s="103">
        <f t="shared" si="111"/>
        <v>641.88257563951515</v>
      </c>
      <c r="V39" s="103">
        <f t="shared" si="111"/>
        <v>661.13905290870059</v>
      </c>
      <c r="W39" s="103">
        <f t="shared" si="111"/>
        <v>680.97322449596163</v>
      </c>
      <c r="X39" s="103">
        <f t="shared" si="111"/>
        <v>701.40242123084045</v>
      </c>
      <c r="Y39" s="103">
        <f t="shared" si="111"/>
        <v>722.44449386776569</v>
      </c>
      <c r="Z39" s="103">
        <f t="shared" si="111"/>
        <v>744.11782868379862</v>
      </c>
      <c r="AA39" s="103">
        <f t="shared" si="111"/>
        <v>766.44136354431259</v>
      </c>
      <c r="AB39" s="103">
        <f t="shared" si="111"/>
        <v>789.43460445064204</v>
      </c>
      <c r="AC39" s="103">
        <f t="shared" si="111"/>
        <v>813.11764258416133</v>
      </c>
      <c r="AD39" s="103">
        <f t="shared" si="111"/>
        <v>837.51117186168619</v>
      </c>
      <c r="AE39" s="103">
        <f t="shared" si="111"/>
        <v>862.63650701753681</v>
      </c>
      <c r="AF39" s="103">
        <f t="shared" si="111"/>
        <v>888.5156022280629</v>
      </c>
      <c r="AG39" s="103">
        <f t="shared" si="111"/>
        <v>915.17107029490478</v>
      </c>
      <c r="AH39" s="103">
        <f t="shared" si="111"/>
        <v>942.6262024037519</v>
      </c>
      <c r="AI39" s="103">
        <f t="shared" si="111"/>
        <v>970.90498847586446</v>
      </c>
      <c r="AJ39" s="103">
        <f t="shared" si="111"/>
        <v>1000.0321381301404</v>
      </c>
      <c r="AK39" s="103">
        <f t="shared" si="111"/>
        <v>1030.0331022740447</v>
      </c>
      <c r="AL39" s="103">
        <f t="shared" si="111"/>
        <v>1060.9340953422661</v>
      </c>
      <c r="AM39" s="103">
        <f t="shared" si="111"/>
        <v>1092.7621182025341</v>
      </c>
      <c r="AN39" s="103">
        <f t="shared" si="111"/>
        <v>1125.5449817486101</v>
      </c>
    </row>
    <row r="40" spans="2:40" s="16" customFormat="1" ht="21" customHeight="1" x14ac:dyDescent="0.2">
      <c r="B40" s="8" t="s">
        <v>136</v>
      </c>
      <c r="C40" s="101">
        <v>0.03</v>
      </c>
      <c r="D40" s="14"/>
      <c r="E40" s="102">
        <v>250</v>
      </c>
      <c r="F40" s="103">
        <f t="shared" si="100"/>
        <v>257.5</v>
      </c>
      <c r="G40" s="103">
        <f t="shared" si="101"/>
        <v>265.22500000000002</v>
      </c>
      <c r="H40" s="103">
        <f t="shared" si="102"/>
        <v>273.18175000000002</v>
      </c>
      <c r="I40" s="103">
        <f t="shared" si="103"/>
        <v>281.37720250000001</v>
      </c>
      <c r="J40" s="103">
        <f t="shared" si="104"/>
        <v>289.81851857500004</v>
      </c>
      <c r="K40" s="103">
        <f t="shared" si="105"/>
        <v>298.51307413225004</v>
      </c>
      <c r="L40" s="103">
        <f t="shared" si="106"/>
        <v>307.46846635621756</v>
      </c>
      <c r="M40" s="103">
        <f t="shared" si="107"/>
        <v>316.69252034690408</v>
      </c>
      <c r="N40" s="103">
        <f t="shared" si="108"/>
        <v>326.19329595731119</v>
      </c>
      <c r="O40" s="103">
        <f t="shared" si="109"/>
        <v>335.97909483603053</v>
      </c>
      <c r="P40" s="103">
        <f t="shared" si="110"/>
        <v>346.05846768111144</v>
      </c>
      <c r="Q40" s="103">
        <f t="shared" si="111"/>
        <v>356.44022171154478</v>
      </c>
      <c r="R40" s="103">
        <f t="shared" si="111"/>
        <v>367.13342836289115</v>
      </c>
      <c r="S40" s="103">
        <f t="shared" si="111"/>
        <v>378.14743121377791</v>
      </c>
      <c r="T40" s="103">
        <f t="shared" si="111"/>
        <v>389.49185415019127</v>
      </c>
      <c r="U40" s="103">
        <f t="shared" si="111"/>
        <v>401.176609774697</v>
      </c>
      <c r="V40" s="103">
        <f t="shared" si="111"/>
        <v>413.21190806793794</v>
      </c>
      <c r="W40" s="103">
        <f t="shared" si="111"/>
        <v>425.6082653099761</v>
      </c>
      <c r="X40" s="103">
        <f t="shared" si="111"/>
        <v>438.37651326927539</v>
      </c>
      <c r="Y40" s="103">
        <f t="shared" si="111"/>
        <v>451.52780866735367</v>
      </c>
      <c r="Z40" s="103">
        <f t="shared" si="111"/>
        <v>465.07364292737429</v>
      </c>
      <c r="AA40" s="103">
        <f t="shared" si="111"/>
        <v>479.02585221519553</v>
      </c>
      <c r="AB40" s="103">
        <f t="shared" si="111"/>
        <v>493.39662778165143</v>
      </c>
      <c r="AC40" s="103">
        <f t="shared" si="111"/>
        <v>508.198526615101</v>
      </c>
      <c r="AD40" s="103">
        <f t="shared" si="111"/>
        <v>523.44448241355406</v>
      </c>
      <c r="AE40" s="103">
        <f t="shared" si="111"/>
        <v>539.14781688596065</v>
      </c>
      <c r="AF40" s="103">
        <f t="shared" si="111"/>
        <v>555.32225139253944</v>
      </c>
      <c r="AG40" s="103">
        <f t="shared" si="111"/>
        <v>571.98191893431567</v>
      </c>
      <c r="AH40" s="103">
        <f t="shared" si="111"/>
        <v>589.14137650234511</v>
      </c>
      <c r="AI40" s="103">
        <f t="shared" si="111"/>
        <v>606.81561779741548</v>
      </c>
      <c r="AJ40" s="103">
        <f t="shared" si="111"/>
        <v>625.02008633133801</v>
      </c>
      <c r="AK40" s="103">
        <f t="shared" si="111"/>
        <v>643.77068892127818</v>
      </c>
      <c r="AL40" s="103">
        <f t="shared" si="111"/>
        <v>663.08380958891655</v>
      </c>
      <c r="AM40" s="103">
        <f t="shared" si="111"/>
        <v>682.97632387658405</v>
      </c>
      <c r="AN40" s="103">
        <f t="shared" si="111"/>
        <v>703.4656135928816</v>
      </c>
    </row>
    <row r="41" spans="2:40" s="16" customFormat="1" ht="21" customHeight="1" x14ac:dyDescent="0.2">
      <c r="B41" s="8" t="s">
        <v>137</v>
      </c>
      <c r="C41" s="101">
        <v>0.03</v>
      </c>
      <c r="D41" s="14"/>
      <c r="E41" s="102">
        <v>250</v>
      </c>
      <c r="F41" s="103">
        <f t="shared" si="100"/>
        <v>257.5</v>
      </c>
      <c r="G41" s="103">
        <f t="shared" si="101"/>
        <v>265.22500000000002</v>
      </c>
      <c r="H41" s="103">
        <f t="shared" si="102"/>
        <v>273.18175000000002</v>
      </c>
      <c r="I41" s="103">
        <f t="shared" si="103"/>
        <v>281.37720250000001</v>
      </c>
      <c r="J41" s="103">
        <f t="shared" si="104"/>
        <v>289.81851857500004</v>
      </c>
      <c r="K41" s="103">
        <f t="shared" si="105"/>
        <v>298.51307413225004</v>
      </c>
      <c r="L41" s="103">
        <f t="shared" si="106"/>
        <v>307.46846635621756</v>
      </c>
      <c r="M41" s="103">
        <f t="shared" si="107"/>
        <v>316.69252034690408</v>
      </c>
      <c r="N41" s="103">
        <f t="shared" si="108"/>
        <v>326.19329595731119</v>
      </c>
      <c r="O41" s="103">
        <f t="shared" si="109"/>
        <v>335.97909483603053</v>
      </c>
      <c r="P41" s="103">
        <f t="shared" si="110"/>
        <v>346.05846768111144</v>
      </c>
      <c r="Q41" s="103">
        <f t="shared" si="111"/>
        <v>356.44022171154478</v>
      </c>
      <c r="R41" s="103">
        <f t="shared" si="111"/>
        <v>367.13342836289115</v>
      </c>
      <c r="S41" s="103">
        <f t="shared" si="111"/>
        <v>378.14743121377791</v>
      </c>
      <c r="T41" s="103">
        <f t="shared" si="111"/>
        <v>389.49185415019127</v>
      </c>
      <c r="U41" s="103">
        <f t="shared" si="111"/>
        <v>401.176609774697</v>
      </c>
      <c r="V41" s="103">
        <f t="shared" si="111"/>
        <v>413.21190806793794</v>
      </c>
      <c r="W41" s="103">
        <f t="shared" si="111"/>
        <v>425.6082653099761</v>
      </c>
      <c r="X41" s="103">
        <f t="shared" si="111"/>
        <v>438.37651326927539</v>
      </c>
      <c r="Y41" s="103">
        <f t="shared" si="111"/>
        <v>451.52780866735367</v>
      </c>
      <c r="Z41" s="103">
        <f t="shared" si="111"/>
        <v>465.07364292737429</v>
      </c>
      <c r="AA41" s="103">
        <f t="shared" si="111"/>
        <v>479.02585221519553</v>
      </c>
      <c r="AB41" s="103">
        <f t="shared" si="111"/>
        <v>493.39662778165143</v>
      </c>
      <c r="AC41" s="103">
        <f t="shared" si="111"/>
        <v>508.198526615101</v>
      </c>
      <c r="AD41" s="103">
        <f t="shared" si="111"/>
        <v>523.44448241355406</v>
      </c>
      <c r="AE41" s="103">
        <f t="shared" si="111"/>
        <v>539.14781688596065</v>
      </c>
      <c r="AF41" s="103">
        <f t="shared" si="111"/>
        <v>555.32225139253944</v>
      </c>
      <c r="AG41" s="103">
        <f t="shared" si="111"/>
        <v>571.98191893431567</v>
      </c>
      <c r="AH41" s="103">
        <f t="shared" si="111"/>
        <v>589.14137650234511</v>
      </c>
      <c r="AI41" s="103">
        <f t="shared" si="111"/>
        <v>606.81561779741548</v>
      </c>
      <c r="AJ41" s="103">
        <f t="shared" si="111"/>
        <v>625.02008633133801</v>
      </c>
      <c r="AK41" s="103">
        <f t="shared" si="111"/>
        <v>643.77068892127818</v>
      </c>
      <c r="AL41" s="103">
        <f t="shared" si="111"/>
        <v>663.08380958891655</v>
      </c>
      <c r="AM41" s="103">
        <f t="shared" si="111"/>
        <v>682.97632387658405</v>
      </c>
      <c r="AN41" s="103">
        <f t="shared" si="111"/>
        <v>703.4656135928816</v>
      </c>
    </row>
    <row r="42" spans="2:40" s="16" customFormat="1" ht="21" customHeight="1" x14ac:dyDescent="0.2">
      <c r="B42" s="7" t="s">
        <v>150</v>
      </c>
      <c r="C42" s="27"/>
      <c r="D42" s="14"/>
      <c r="E42" s="103">
        <f t="shared" ref="E42" si="112">SUM(E41, E40, E39 + E38)</f>
        <v>900</v>
      </c>
      <c r="F42" s="103">
        <f t="shared" si="100"/>
        <v>900</v>
      </c>
      <c r="G42" s="103">
        <f t="shared" si="101"/>
        <v>900</v>
      </c>
      <c r="H42" s="103">
        <f t="shared" si="102"/>
        <v>900</v>
      </c>
      <c r="I42" s="103">
        <f t="shared" si="103"/>
        <v>900</v>
      </c>
      <c r="J42" s="103">
        <f t="shared" si="104"/>
        <v>900</v>
      </c>
      <c r="K42" s="103">
        <f t="shared" si="105"/>
        <v>900</v>
      </c>
      <c r="L42" s="103">
        <f t="shared" si="106"/>
        <v>900</v>
      </c>
      <c r="M42" s="103">
        <f t="shared" si="107"/>
        <v>900</v>
      </c>
      <c r="N42" s="103">
        <f t="shared" si="108"/>
        <v>900</v>
      </c>
      <c r="O42" s="103">
        <f t="shared" si="109"/>
        <v>900</v>
      </c>
      <c r="P42" s="103">
        <f t="shared" si="110"/>
        <v>900</v>
      </c>
      <c r="Q42" s="103">
        <f t="shared" si="111"/>
        <v>900</v>
      </c>
      <c r="R42" s="103">
        <f t="shared" si="111"/>
        <v>900</v>
      </c>
      <c r="S42" s="103">
        <f t="shared" si="111"/>
        <v>900</v>
      </c>
      <c r="T42" s="103">
        <f t="shared" si="111"/>
        <v>900</v>
      </c>
      <c r="U42" s="103">
        <f t="shared" si="111"/>
        <v>900</v>
      </c>
      <c r="V42" s="103">
        <f t="shared" si="111"/>
        <v>900</v>
      </c>
      <c r="W42" s="103">
        <f t="shared" si="111"/>
        <v>900</v>
      </c>
      <c r="X42" s="103">
        <f t="shared" si="111"/>
        <v>900</v>
      </c>
      <c r="Y42" s="103">
        <f t="shared" si="111"/>
        <v>900</v>
      </c>
      <c r="Z42" s="103">
        <f t="shared" si="111"/>
        <v>900</v>
      </c>
      <c r="AA42" s="103">
        <f t="shared" si="111"/>
        <v>900</v>
      </c>
      <c r="AB42" s="103">
        <f t="shared" si="111"/>
        <v>900</v>
      </c>
      <c r="AC42" s="103">
        <f t="shared" si="111"/>
        <v>900</v>
      </c>
      <c r="AD42" s="103">
        <f t="shared" si="111"/>
        <v>900</v>
      </c>
      <c r="AE42" s="103">
        <f t="shared" si="111"/>
        <v>900</v>
      </c>
      <c r="AF42" s="103">
        <f t="shared" si="111"/>
        <v>900</v>
      </c>
      <c r="AG42" s="103">
        <f t="shared" si="111"/>
        <v>900</v>
      </c>
      <c r="AH42" s="103">
        <f t="shared" si="111"/>
        <v>900</v>
      </c>
      <c r="AI42" s="103">
        <f t="shared" si="111"/>
        <v>900</v>
      </c>
      <c r="AJ42" s="103">
        <f t="shared" si="111"/>
        <v>900</v>
      </c>
      <c r="AK42" s="103">
        <f t="shared" si="111"/>
        <v>900</v>
      </c>
      <c r="AL42" s="103">
        <f t="shared" si="111"/>
        <v>900</v>
      </c>
      <c r="AM42" s="103">
        <f t="shared" si="111"/>
        <v>900</v>
      </c>
      <c r="AN42" s="103">
        <f t="shared" si="111"/>
        <v>900</v>
      </c>
    </row>
    <row r="43" spans="2:40" s="16" customFormat="1" ht="21" customHeight="1" x14ac:dyDescent="0.2">
      <c r="B43" s="6" t="s">
        <v>151</v>
      </c>
      <c r="C43" s="26"/>
      <c r="D43" s="14"/>
      <c r="E43" s="104">
        <f t="shared" ref="E43:AN43" si="113">SUM(E41, E40, E39, E38, E37, E35, E34, E33, E32, E31, E30, E28, E27, E26, E25, E24, E22, E21, E20, E19, E18, E17, E16, E15, E14 + E13)</f>
        <v>19060</v>
      </c>
      <c r="F43" s="104">
        <f t="shared" ref="F43:P43" si="114">SUM(F41, F40, F39, F38, F37, F35, F34, F33, F32, F31, F30, F28, F27, F26, F25, F24, F22, F21, F20, F19, F18, F17, F16, F15, F14 + F13)</f>
        <v>19631.8</v>
      </c>
      <c r="G43" s="104">
        <f t="shared" si="114"/>
        <v>18197.525000000001</v>
      </c>
      <c r="H43" s="104">
        <f t="shared" si="114"/>
        <v>18743.45075</v>
      </c>
      <c r="I43" s="104">
        <f t="shared" si="114"/>
        <v>19021.645252500002</v>
      </c>
      <c r="J43" s="104">
        <f t="shared" si="114"/>
        <v>19592.294610075001</v>
      </c>
      <c r="K43" s="104">
        <f t="shared" si="114"/>
        <v>19837.683668375252</v>
      </c>
      <c r="L43" s="104">
        <f t="shared" si="114"/>
        <v>20124.672376424711</v>
      </c>
      <c r="M43" s="104">
        <f t="shared" si="114"/>
        <v>20728.412547717449</v>
      </c>
      <c r="N43" s="104">
        <f t="shared" si="114"/>
        <v>21350.264924148978</v>
      </c>
      <c r="O43" s="104">
        <f t="shared" si="114"/>
        <v>21990.772871873447</v>
      </c>
      <c r="P43" s="104">
        <f t="shared" si="114"/>
        <v>20435.42176703826</v>
      </c>
      <c r="Q43" s="104">
        <f t="shared" si="113"/>
        <v>21048.484420049404</v>
      </c>
      <c r="R43" s="104">
        <f t="shared" si="113"/>
        <v>21358.440230608994</v>
      </c>
      <c r="S43" s="104">
        <f t="shared" si="113"/>
        <v>21709.84458768956</v>
      </c>
      <c r="T43" s="104">
        <f t="shared" si="113"/>
        <v>22361.139925320247</v>
      </c>
      <c r="U43" s="104">
        <f t="shared" si="113"/>
        <v>22722.700923026954</v>
      </c>
      <c r="V43" s="104">
        <f t="shared" si="113"/>
        <v>23128.108775404224</v>
      </c>
      <c r="W43" s="104">
        <f t="shared" si="113"/>
        <v>21769.636886875916</v>
      </c>
      <c r="X43" s="104">
        <f t="shared" si="113"/>
        <v>22422.725993482189</v>
      </c>
      <c r="Y43" s="104">
        <f t="shared" si="113"/>
        <v>23095.407773286661</v>
      </c>
      <c r="Z43" s="104">
        <f t="shared" si="113"/>
        <v>23516.567964248512</v>
      </c>
      <c r="AA43" s="104">
        <f t="shared" si="113"/>
        <v>24222.065003175961</v>
      </c>
      <c r="AB43" s="104">
        <f t="shared" si="113"/>
        <v>24616.367415971006</v>
      </c>
      <c r="AC43" s="104">
        <f t="shared" si="113"/>
        <v>25354.858438450141</v>
      </c>
      <c r="AD43" s="104">
        <f t="shared" si="113"/>
        <v>23642.783191670151</v>
      </c>
      <c r="AE43" s="104">
        <f t="shared" si="113"/>
        <v>22367.103675060986</v>
      </c>
      <c r="AF43" s="104">
        <f t="shared" si="113"/>
        <v>22711.256369208892</v>
      </c>
      <c r="AG43" s="104">
        <f t="shared" si="113"/>
        <v>23392.594060285155</v>
      </c>
      <c r="AH43" s="104">
        <f t="shared" si="113"/>
        <v>24094.371882093707</v>
      </c>
      <c r="AI43" s="104">
        <f t="shared" si="113"/>
        <v>24234.4444595034</v>
      </c>
      <c r="AJ43" s="104">
        <f t="shared" si="113"/>
        <v>22426.31104999964</v>
      </c>
      <c r="AK43" s="104">
        <f t="shared" si="113"/>
        <v>23099.100381499629</v>
      </c>
      <c r="AL43" s="104">
        <f t="shared" si="113"/>
        <v>23792.073392944614</v>
      </c>
      <c r="AM43" s="104">
        <f t="shared" si="113"/>
        <v>24273.241886390475</v>
      </c>
      <c r="AN43" s="104">
        <f t="shared" si="113"/>
        <v>24792.104805473951</v>
      </c>
    </row>
    <row r="44" spans="2:40" s="18" customFormat="1" ht="21" customHeight="1" x14ac:dyDescent="0.2">
      <c r="B44" s="6" t="s">
        <v>138</v>
      </c>
      <c r="C44" s="26"/>
      <c r="D44" s="19"/>
      <c r="E44" s="105">
        <f t="shared" ref="E44:AN44" si="115">E12-E43</f>
        <v>-19060</v>
      </c>
      <c r="F44" s="105">
        <f t="shared" ref="F44:P44" si="116">F12-F43</f>
        <v>-19631.8</v>
      </c>
      <c r="G44" s="105">
        <f t="shared" si="116"/>
        <v>-18197.525000000001</v>
      </c>
      <c r="H44" s="105">
        <f t="shared" si="116"/>
        <v>-18743.45075</v>
      </c>
      <c r="I44" s="105">
        <f t="shared" si="116"/>
        <v>-19021.645252500002</v>
      </c>
      <c r="J44" s="105">
        <f t="shared" si="116"/>
        <v>-19592.294610075001</v>
      </c>
      <c r="K44" s="105">
        <f t="shared" si="116"/>
        <v>-19837.683668375252</v>
      </c>
      <c r="L44" s="105">
        <f t="shared" si="116"/>
        <v>-20124.672376424711</v>
      </c>
      <c r="M44" s="105">
        <f t="shared" si="116"/>
        <v>-20728.412547717449</v>
      </c>
      <c r="N44" s="105">
        <f t="shared" si="116"/>
        <v>-21350.264924148978</v>
      </c>
      <c r="O44" s="105">
        <f t="shared" si="116"/>
        <v>-21990.772871873447</v>
      </c>
      <c r="P44" s="105">
        <f t="shared" si="116"/>
        <v>-20435.42176703826</v>
      </c>
      <c r="Q44" s="105">
        <f t="shared" si="115"/>
        <v>-21048.484420049404</v>
      </c>
      <c r="R44" s="105">
        <f t="shared" si="115"/>
        <v>-21358.440230608994</v>
      </c>
      <c r="S44" s="105">
        <f t="shared" si="115"/>
        <v>-21709.84458768956</v>
      </c>
      <c r="T44" s="105">
        <f t="shared" si="115"/>
        <v>-22361.139925320247</v>
      </c>
      <c r="U44" s="105">
        <f t="shared" si="115"/>
        <v>-22722.700923026954</v>
      </c>
      <c r="V44" s="105">
        <f t="shared" si="115"/>
        <v>-23128.108775404224</v>
      </c>
      <c r="W44" s="105">
        <f t="shared" si="115"/>
        <v>-21769.636886875916</v>
      </c>
      <c r="X44" s="105">
        <f t="shared" si="115"/>
        <v>-22422.725993482189</v>
      </c>
      <c r="Y44" s="105">
        <f t="shared" si="115"/>
        <v>-23095.407773286661</v>
      </c>
      <c r="Z44" s="105">
        <f t="shared" si="115"/>
        <v>-23516.567964248512</v>
      </c>
      <c r="AA44" s="105">
        <f t="shared" si="115"/>
        <v>-24222.065003175961</v>
      </c>
      <c r="AB44" s="105">
        <f t="shared" si="115"/>
        <v>-24616.367415971006</v>
      </c>
      <c r="AC44" s="105">
        <f t="shared" si="115"/>
        <v>-25354.858438450141</v>
      </c>
      <c r="AD44" s="105">
        <f t="shared" si="115"/>
        <v>-23642.783191670151</v>
      </c>
      <c r="AE44" s="105">
        <f t="shared" si="115"/>
        <v>-22367.103675060986</v>
      </c>
      <c r="AF44" s="105">
        <f t="shared" si="115"/>
        <v>-22711.256369208892</v>
      </c>
      <c r="AG44" s="105">
        <f t="shared" si="115"/>
        <v>-23392.594060285155</v>
      </c>
      <c r="AH44" s="105">
        <f t="shared" si="115"/>
        <v>-24094.371882093707</v>
      </c>
      <c r="AI44" s="105">
        <f t="shared" si="115"/>
        <v>-24234.4444595034</v>
      </c>
      <c r="AJ44" s="105">
        <f t="shared" si="115"/>
        <v>-22426.31104999964</v>
      </c>
      <c r="AK44" s="105">
        <f t="shared" si="115"/>
        <v>-23099.100381499629</v>
      </c>
      <c r="AL44" s="105">
        <f t="shared" si="115"/>
        <v>-23792.073392944614</v>
      </c>
      <c r="AM44" s="105">
        <f t="shared" si="115"/>
        <v>-24273.241886390475</v>
      </c>
      <c r="AN44" s="105">
        <f t="shared" si="115"/>
        <v>-24792.104805473951</v>
      </c>
    </row>
    <row r="45" spans="2:40" s="16" customFormat="1" ht="21" customHeight="1" x14ac:dyDescent="0.2">
      <c r="B45" s="6" t="s">
        <v>58</v>
      </c>
      <c r="C45" s="101">
        <v>0.1</v>
      </c>
      <c r="D45" s="14"/>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2:40" s="16" customFormat="1" ht="21" customHeight="1" x14ac:dyDescent="0.2">
      <c r="B46" s="5" t="s">
        <v>139</v>
      </c>
      <c r="C46" s="101">
        <v>0.1</v>
      </c>
      <c r="D46" s="14"/>
      <c r="E46" s="102">
        <v>0</v>
      </c>
      <c r="F46" s="103">
        <f t="shared" ref="F46" si="117">E46*(1+$C46)</f>
        <v>0</v>
      </c>
      <c r="G46" s="103">
        <f t="shared" ref="G46" si="118">F46*(1+$C46)</f>
        <v>0</v>
      </c>
      <c r="H46" s="103">
        <f t="shared" ref="H46" si="119">G46*(1+$C46)</f>
        <v>0</v>
      </c>
      <c r="I46" s="103">
        <f t="shared" ref="I46" si="120">H46*(1+$C46)</f>
        <v>0</v>
      </c>
      <c r="J46" s="103">
        <f t="shared" ref="J46" si="121">I46*(1+$C46)</f>
        <v>0</v>
      </c>
      <c r="K46" s="103">
        <f t="shared" ref="K46" si="122">J46*(1+$C46)</f>
        <v>0</v>
      </c>
      <c r="L46" s="103">
        <f t="shared" ref="L46" si="123">K46*(1+$C46)</f>
        <v>0</v>
      </c>
      <c r="M46" s="103">
        <f t="shared" ref="M46" si="124">L46*(1+$C46)</f>
        <v>0</v>
      </c>
      <c r="N46" s="103">
        <f t="shared" ref="N46" si="125">M46*(1+$C46)</f>
        <v>0</v>
      </c>
      <c r="O46" s="103">
        <f t="shared" ref="O46" si="126">N46*(1+$C46)</f>
        <v>0</v>
      </c>
      <c r="P46" s="103">
        <f t="shared" ref="P46" si="127">O46*(1+$C46)</f>
        <v>0</v>
      </c>
      <c r="Q46" s="103">
        <f t="shared" ref="Q46:AN46" si="128">P46*(1+$C46)</f>
        <v>0</v>
      </c>
      <c r="R46" s="103">
        <f t="shared" si="128"/>
        <v>0</v>
      </c>
      <c r="S46" s="103">
        <f t="shared" si="128"/>
        <v>0</v>
      </c>
      <c r="T46" s="103">
        <f t="shared" si="128"/>
        <v>0</v>
      </c>
      <c r="U46" s="103">
        <f t="shared" si="128"/>
        <v>0</v>
      </c>
      <c r="V46" s="103">
        <f t="shared" si="128"/>
        <v>0</v>
      </c>
      <c r="W46" s="103">
        <f t="shared" si="128"/>
        <v>0</v>
      </c>
      <c r="X46" s="103">
        <f t="shared" si="128"/>
        <v>0</v>
      </c>
      <c r="Y46" s="103">
        <f t="shared" si="128"/>
        <v>0</v>
      </c>
      <c r="Z46" s="103">
        <f t="shared" si="128"/>
        <v>0</v>
      </c>
      <c r="AA46" s="103">
        <f t="shared" si="128"/>
        <v>0</v>
      </c>
      <c r="AB46" s="103">
        <f t="shared" si="128"/>
        <v>0</v>
      </c>
      <c r="AC46" s="103">
        <f t="shared" si="128"/>
        <v>0</v>
      </c>
      <c r="AD46" s="103">
        <f t="shared" si="128"/>
        <v>0</v>
      </c>
      <c r="AE46" s="103">
        <f t="shared" si="128"/>
        <v>0</v>
      </c>
      <c r="AF46" s="103">
        <f t="shared" si="128"/>
        <v>0</v>
      </c>
      <c r="AG46" s="103">
        <f t="shared" si="128"/>
        <v>0</v>
      </c>
      <c r="AH46" s="103">
        <f t="shared" si="128"/>
        <v>0</v>
      </c>
      <c r="AI46" s="103">
        <f t="shared" si="128"/>
        <v>0</v>
      </c>
      <c r="AJ46" s="103">
        <f t="shared" si="128"/>
        <v>0</v>
      </c>
      <c r="AK46" s="103">
        <f t="shared" si="128"/>
        <v>0</v>
      </c>
      <c r="AL46" s="103">
        <f t="shared" si="128"/>
        <v>0</v>
      </c>
      <c r="AM46" s="103">
        <f t="shared" si="128"/>
        <v>0</v>
      </c>
      <c r="AN46" s="103">
        <f t="shared" si="128"/>
        <v>0</v>
      </c>
    </row>
    <row r="47" spans="2:40" s="16" customFormat="1" ht="21" customHeight="1" x14ac:dyDescent="0.2">
      <c r="B47" s="6" t="s">
        <v>152</v>
      </c>
      <c r="C47" s="26"/>
      <c r="D47" s="14"/>
      <c r="E47" s="104">
        <f t="shared" ref="E47:Z47" si="129">SUM(E46 + E45)</f>
        <v>0</v>
      </c>
      <c r="F47" s="104">
        <f t="shared" ref="F47:P47" si="130">SUM(F46 + F45)</f>
        <v>0</v>
      </c>
      <c r="G47" s="104">
        <f t="shared" si="130"/>
        <v>0</v>
      </c>
      <c r="H47" s="104">
        <f t="shared" si="130"/>
        <v>0</v>
      </c>
      <c r="I47" s="104">
        <f t="shared" si="130"/>
        <v>0</v>
      </c>
      <c r="J47" s="104">
        <f t="shared" si="130"/>
        <v>0</v>
      </c>
      <c r="K47" s="104">
        <f t="shared" si="130"/>
        <v>0</v>
      </c>
      <c r="L47" s="104">
        <f t="shared" si="130"/>
        <v>0</v>
      </c>
      <c r="M47" s="104">
        <f t="shared" si="130"/>
        <v>0</v>
      </c>
      <c r="N47" s="104">
        <f t="shared" si="130"/>
        <v>0</v>
      </c>
      <c r="O47" s="104">
        <f t="shared" si="130"/>
        <v>0</v>
      </c>
      <c r="P47" s="104">
        <f t="shared" si="130"/>
        <v>0</v>
      </c>
      <c r="Q47" s="104">
        <f t="shared" si="129"/>
        <v>0</v>
      </c>
      <c r="R47" s="104">
        <f t="shared" si="129"/>
        <v>0</v>
      </c>
      <c r="S47" s="104">
        <f t="shared" si="129"/>
        <v>0</v>
      </c>
      <c r="T47" s="104">
        <f t="shared" si="129"/>
        <v>0</v>
      </c>
      <c r="U47" s="104">
        <f t="shared" si="129"/>
        <v>0</v>
      </c>
      <c r="V47" s="104">
        <f t="shared" si="129"/>
        <v>0</v>
      </c>
      <c r="W47" s="104">
        <f t="shared" si="129"/>
        <v>0</v>
      </c>
      <c r="X47" s="104">
        <f t="shared" si="129"/>
        <v>0</v>
      </c>
      <c r="Y47" s="104">
        <f t="shared" si="129"/>
        <v>0</v>
      </c>
      <c r="Z47" s="104">
        <f t="shared" si="129"/>
        <v>0</v>
      </c>
      <c r="AA47" s="104">
        <f>SUM(AA46 + AA45)</f>
        <v>0</v>
      </c>
      <c r="AB47" s="104">
        <f t="shared" ref="AB47:AN47" si="131">SUM(AB46 + AB45)</f>
        <v>0</v>
      </c>
      <c r="AC47" s="104">
        <f t="shared" si="131"/>
        <v>0</v>
      </c>
      <c r="AD47" s="104">
        <f t="shared" si="131"/>
        <v>0</v>
      </c>
      <c r="AE47" s="104">
        <f t="shared" si="131"/>
        <v>0</v>
      </c>
      <c r="AF47" s="104">
        <f t="shared" si="131"/>
        <v>0</v>
      </c>
      <c r="AG47" s="104">
        <f t="shared" si="131"/>
        <v>0</v>
      </c>
      <c r="AH47" s="104">
        <f t="shared" si="131"/>
        <v>0</v>
      </c>
      <c r="AI47" s="104">
        <f t="shared" si="131"/>
        <v>0</v>
      </c>
      <c r="AJ47" s="104">
        <f t="shared" si="131"/>
        <v>0</v>
      </c>
      <c r="AK47" s="104">
        <f t="shared" si="131"/>
        <v>0</v>
      </c>
      <c r="AL47" s="104">
        <f t="shared" si="131"/>
        <v>0</v>
      </c>
      <c r="AM47" s="104">
        <f t="shared" si="131"/>
        <v>0</v>
      </c>
      <c r="AN47" s="104">
        <f t="shared" si="131"/>
        <v>0</v>
      </c>
    </row>
    <row r="48" spans="2:40" s="16" customFormat="1" ht="21" customHeight="1" x14ac:dyDescent="0.2">
      <c r="B48" s="6" t="s">
        <v>59</v>
      </c>
      <c r="C48" s="101">
        <v>0.1</v>
      </c>
      <c r="D48" s="14"/>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row>
    <row r="49" spans="2:40" s="16" customFormat="1" ht="21" customHeight="1" x14ac:dyDescent="0.2">
      <c r="B49" s="5" t="s">
        <v>140</v>
      </c>
      <c r="C49" s="101">
        <v>0.1</v>
      </c>
      <c r="D49" s="14"/>
      <c r="E49" s="102">
        <v>0</v>
      </c>
      <c r="F49" s="102">
        <v>0</v>
      </c>
      <c r="G49" s="102">
        <v>0</v>
      </c>
      <c r="H49" s="102">
        <v>0</v>
      </c>
      <c r="I49" s="102">
        <v>0</v>
      </c>
      <c r="J49" s="102">
        <v>0</v>
      </c>
      <c r="K49" s="102">
        <v>0</v>
      </c>
      <c r="L49" s="102">
        <v>0</v>
      </c>
      <c r="M49" s="102">
        <v>0</v>
      </c>
      <c r="N49" s="102">
        <v>0</v>
      </c>
      <c r="O49" s="102">
        <v>0</v>
      </c>
      <c r="P49" s="102">
        <v>0</v>
      </c>
      <c r="Q49" s="102">
        <v>0</v>
      </c>
      <c r="R49" s="102">
        <v>0</v>
      </c>
      <c r="S49" s="102">
        <v>0</v>
      </c>
      <c r="T49" s="102">
        <v>0</v>
      </c>
      <c r="U49" s="102">
        <v>0</v>
      </c>
      <c r="V49" s="102">
        <v>0</v>
      </c>
      <c r="W49" s="102">
        <v>0</v>
      </c>
      <c r="X49" s="102">
        <v>0</v>
      </c>
      <c r="Y49" s="102">
        <v>0</v>
      </c>
      <c r="Z49" s="102">
        <v>0</v>
      </c>
      <c r="AA49" s="102">
        <v>0</v>
      </c>
      <c r="AB49" s="102">
        <v>0</v>
      </c>
      <c r="AC49" s="102">
        <v>0</v>
      </c>
      <c r="AD49" s="102">
        <v>0</v>
      </c>
      <c r="AE49" s="102">
        <v>0</v>
      </c>
      <c r="AF49" s="102">
        <v>0</v>
      </c>
      <c r="AG49" s="102">
        <v>0</v>
      </c>
      <c r="AH49" s="102">
        <v>0</v>
      </c>
      <c r="AI49" s="102">
        <v>0</v>
      </c>
      <c r="AJ49" s="102">
        <v>0</v>
      </c>
      <c r="AK49" s="102">
        <v>0</v>
      </c>
      <c r="AL49" s="102">
        <v>0</v>
      </c>
      <c r="AM49" s="102">
        <v>0</v>
      </c>
      <c r="AN49" s="102">
        <v>0</v>
      </c>
    </row>
    <row r="50" spans="2:40" s="16" customFormat="1" ht="21" customHeight="1" x14ac:dyDescent="0.2">
      <c r="B50" s="5" t="s">
        <v>60</v>
      </c>
      <c r="C50" s="101">
        <v>0.1</v>
      </c>
      <c r="D50" s="14"/>
      <c r="E50" s="102">
        <v>0</v>
      </c>
      <c r="F50" s="102">
        <v>0</v>
      </c>
      <c r="G50" s="102">
        <v>0</v>
      </c>
      <c r="H50" s="102">
        <v>0</v>
      </c>
      <c r="I50" s="102">
        <v>0</v>
      </c>
      <c r="J50" s="102">
        <v>0</v>
      </c>
      <c r="K50" s="102">
        <v>0</v>
      </c>
      <c r="L50" s="102">
        <v>0</v>
      </c>
      <c r="M50" s="102">
        <v>0</v>
      </c>
      <c r="N50" s="102">
        <v>0</v>
      </c>
      <c r="O50" s="102">
        <v>0</v>
      </c>
      <c r="P50" s="102">
        <v>0</v>
      </c>
      <c r="Q50" s="102">
        <v>0</v>
      </c>
      <c r="R50" s="102">
        <v>0</v>
      </c>
      <c r="S50" s="102">
        <v>0</v>
      </c>
      <c r="T50" s="102">
        <v>0</v>
      </c>
      <c r="U50" s="102">
        <v>0</v>
      </c>
      <c r="V50" s="102">
        <v>0</v>
      </c>
      <c r="W50" s="102">
        <v>0</v>
      </c>
      <c r="X50" s="102">
        <v>0</v>
      </c>
      <c r="Y50" s="102">
        <v>0</v>
      </c>
      <c r="Z50" s="102">
        <v>0</v>
      </c>
      <c r="AA50" s="102">
        <v>0</v>
      </c>
      <c r="AB50" s="102">
        <v>0</v>
      </c>
      <c r="AC50" s="102">
        <v>0</v>
      </c>
      <c r="AD50" s="102">
        <v>0</v>
      </c>
      <c r="AE50" s="102">
        <v>0</v>
      </c>
      <c r="AF50" s="102">
        <v>0</v>
      </c>
      <c r="AG50" s="102">
        <v>0</v>
      </c>
      <c r="AH50" s="102">
        <v>0</v>
      </c>
      <c r="AI50" s="102">
        <v>0</v>
      </c>
      <c r="AJ50" s="102">
        <v>0</v>
      </c>
      <c r="AK50" s="102">
        <v>0</v>
      </c>
      <c r="AL50" s="102">
        <v>0</v>
      </c>
      <c r="AM50" s="102">
        <v>0</v>
      </c>
      <c r="AN50" s="102">
        <v>0</v>
      </c>
    </row>
    <row r="51" spans="2:40" s="16" customFormat="1" ht="21" customHeight="1" x14ac:dyDescent="0.2">
      <c r="B51" s="6" t="s">
        <v>153</v>
      </c>
      <c r="C51" s="6"/>
      <c r="D51" s="14"/>
      <c r="E51" s="104">
        <f t="shared" ref="E51:AN51" si="132">SUM(E50, E49 + E48)</f>
        <v>0</v>
      </c>
      <c r="F51" s="104">
        <f t="shared" ref="F51:P51" si="133">SUM(F50, F49 + F48)</f>
        <v>0</v>
      </c>
      <c r="G51" s="104">
        <f t="shared" si="133"/>
        <v>0</v>
      </c>
      <c r="H51" s="104">
        <f t="shared" si="133"/>
        <v>0</v>
      </c>
      <c r="I51" s="104">
        <f t="shared" si="133"/>
        <v>0</v>
      </c>
      <c r="J51" s="104">
        <f t="shared" si="133"/>
        <v>0</v>
      </c>
      <c r="K51" s="104">
        <f t="shared" si="133"/>
        <v>0</v>
      </c>
      <c r="L51" s="104">
        <f t="shared" si="133"/>
        <v>0</v>
      </c>
      <c r="M51" s="104">
        <f t="shared" si="133"/>
        <v>0</v>
      </c>
      <c r="N51" s="104">
        <f t="shared" si="133"/>
        <v>0</v>
      </c>
      <c r="O51" s="104">
        <f t="shared" si="133"/>
        <v>0</v>
      </c>
      <c r="P51" s="104">
        <f t="shared" si="133"/>
        <v>0</v>
      </c>
      <c r="Q51" s="104">
        <f t="shared" si="132"/>
        <v>0</v>
      </c>
      <c r="R51" s="104">
        <f t="shared" si="132"/>
        <v>0</v>
      </c>
      <c r="S51" s="104">
        <f t="shared" si="132"/>
        <v>0</v>
      </c>
      <c r="T51" s="104">
        <f t="shared" si="132"/>
        <v>0</v>
      </c>
      <c r="U51" s="104">
        <f t="shared" si="132"/>
        <v>0</v>
      </c>
      <c r="V51" s="104">
        <f t="shared" si="132"/>
        <v>0</v>
      </c>
      <c r="W51" s="104">
        <f t="shared" si="132"/>
        <v>0</v>
      </c>
      <c r="X51" s="104">
        <f t="shared" si="132"/>
        <v>0</v>
      </c>
      <c r="Y51" s="104">
        <f t="shared" si="132"/>
        <v>0</v>
      </c>
      <c r="Z51" s="104">
        <f t="shared" si="132"/>
        <v>0</v>
      </c>
      <c r="AA51" s="104">
        <f t="shared" si="132"/>
        <v>0</v>
      </c>
      <c r="AB51" s="104">
        <f t="shared" si="132"/>
        <v>0</v>
      </c>
      <c r="AC51" s="104">
        <f t="shared" si="132"/>
        <v>0</v>
      </c>
      <c r="AD51" s="104">
        <f t="shared" si="132"/>
        <v>0</v>
      </c>
      <c r="AE51" s="104">
        <f t="shared" si="132"/>
        <v>0</v>
      </c>
      <c r="AF51" s="104">
        <f t="shared" si="132"/>
        <v>0</v>
      </c>
      <c r="AG51" s="104">
        <f t="shared" si="132"/>
        <v>0</v>
      </c>
      <c r="AH51" s="104">
        <f t="shared" si="132"/>
        <v>0</v>
      </c>
      <c r="AI51" s="104">
        <f t="shared" si="132"/>
        <v>0</v>
      </c>
      <c r="AJ51" s="104">
        <f t="shared" si="132"/>
        <v>0</v>
      </c>
      <c r="AK51" s="104">
        <f t="shared" si="132"/>
        <v>0</v>
      </c>
      <c r="AL51" s="104">
        <f t="shared" si="132"/>
        <v>0</v>
      </c>
      <c r="AM51" s="104">
        <f t="shared" si="132"/>
        <v>0</v>
      </c>
      <c r="AN51" s="104">
        <f t="shared" si="132"/>
        <v>0</v>
      </c>
    </row>
    <row r="52" spans="2:40" s="18" customFormat="1" ht="21" customHeight="1" x14ac:dyDescent="0.2">
      <c r="B52" s="6" t="s">
        <v>61</v>
      </c>
      <c r="C52" s="6"/>
      <c r="D52" s="19"/>
      <c r="E52" s="105">
        <f t="shared" ref="E52:AN52" si="134">E47-E51</f>
        <v>0</v>
      </c>
      <c r="F52" s="105">
        <f t="shared" ref="F52:P52" si="135">F47-F51</f>
        <v>0</v>
      </c>
      <c r="G52" s="105">
        <f t="shared" si="135"/>
        <v>0</v>
      </c>
      <c r="H52" s="105">
        <f t="shared" si="135"/>
        <v>0</v>
      </c>
      <c r="I52" s="105">
        <f t="shared" si="135"/>
        <v>0</v>
      </c>
      <c r="J52" s="105">
        <f t="shared" si="135"/>
        <v>0</v>
      </c>
      <c r="K52" s="105">
        <f t="shared" si="135"/>
        <v>0</v>
      </c>
      <c r="L52" s="105">
        <f t="shared" si="135"/>
        <v>0</v>
      </c>
      <c r="M52" s="105">
        <f t="shared" si="135"/>
        <v>0</v>
      </c>
      <c r="N52" s="105">
        <f t="shared" si="135"/>
        <v>0</v>
      </c>
      <c r="O52" s="105">
        <f t="shared" si="135"/>
        <v>0</v>
      </c>
      <c r="P52" s="105">
        <f t="shared" si="135"/>
        <v>0</v>
      </c>
      <c r="Q52" s="105">
        <f t="shared" si="134"/>
        <v>0</v>
      </c>
      <c r="R52" s="105">
        <f t="shared" si="134"/>
        <v>0</v>
      </c>
      <c r="S52" s="105">
        <f t="shared" si="134"/>
        <v>0</v>
      </c>
      <c r="T52" s="105">
        <f t="shared" si="134"/>
        <v>0</v>
      </c>
      <c r="U52" s="105">
        <f t="shared" si="134"/>
        <v>0</v>
      </c>
      <c r="V52" s="105">
        <f t="shared" si="134"/>
        <v>0</v>
      </c>
      <c r="W52" s="105">
        <f t="shared" si="134"/>
        <v>0</v>
      </c>
      <c r="X52" s="105">
        <f t="shared" si="134"/>
        <v>0</v>
      </c>
      <c r="Y52" s="105">
        <f t="shared" si="134"/>
        <v>0</v>
      </c>
      <c r="Z52" s="105">
        <f t="shared" si="134"/>
        <v>0</v>
      </c>
      <c r="AA52" s="105">
        <f t="shared" si="134"/>
        <v>0</v>
      </c>
      <c r="AB52" s="105">
        <f t="shared" si="134"/>
        <v>0</v>
      </c>
      <c r="AC52" s="105">
        <f t="shared" si="134"/>
        <v>0</v>
      </c>
      <c r="AD52" s="105">
        <f t="shared" si="134"/>
        <v>0</v>
      </c>
      <c r="AE52" s="105">
        <f t="shared" si="134"/>
        <v>0</v>
      </c>
      <c r="AF52" s="105">
        <f t="shared" si="134"/>
        <v>0</v>
      </c>
      <c r="AG52" s="105">
        <f t="shared" si="134"/>
        <v>0</v>
      </c>
      <c r="AH52" s="105">
        <f t="shared" si="134"/>
        <v>0</v>
      </c>
      <c r="AI52" s="105">
        <f t="shared" si="134"/>
        <v>0</v>
      </c>
      <c r="AJ52" s="105">
        <f t="shared" si="134"/>
        <v>0</v>
      </c>
      <c r="AK52" s="105">
        <f t="shared" si="134"/>
        <v>0</v>
      </c>
      <c r="AL52" s="105">
        <f t="shared" si="134"/>
        <v>0</v>
      </c>
      <c r="AM52" s="105">
        <f t="shared" si="134"/>
        <v>0</v>
      </c>
      <c r="AN52" s="105">
        <f t="shared" si="134"/>
        <v>0</v>
      </c>
    </row>
    <row r="53" spans="2:40" s="18" customFormat="1" ht="21" customHeight="1" x14ac:dyDescent="0.2">
      <c r="B53" s="6" t="s">
        <v>62</v>
      </c>
      <c r="C53" s="6"/>
      <c r="D53" s="19"/>
      <c r="E53" s="105">
        <f t="shared" ref="E53:AN53" si="136">E44+E52</f>
        <v>-19060</v>
      </c>
      <c r="F53" s="105">
        <f t="shared" ref="F53:P53" si="137">F44+F52</f>
        <v>-19631.8</v>
      </c>
      <c r="G53" s="105">
        <f t="shared" si="137"/>
        <v>-18197.525000000001</v>
      </c>
      <c r="H53" s="105">
        <f t="shared" si="137"/>
        <v>-18743.45075</v>
      </c>
      <c r="I53" s="105">
        <f t="shared" si="137"/>
        <v>-19021.645252500002</v>
      </c>
      <c r="J53" s="105">
        <f t="shared" si="137"/>
        <v>-19592.294610075001</v>
      </c>
      <c r="K53" s="105">
        <f t="shared" si="137"/>
        <v>-19837.683668375252</v>
      </c>
      <c r="L53" s="105">
        <f t="shared" si="137"/>
        <v>-20124.672376424711</v>
      </c>
      <c r="M53" s="105">
        <f t="shared" si="137"/>
        <v>-20728.412547717449</v>
      </c>
      <c r="N53" s="105">
        <f t="shared" si="137"/>
        <v>-21350.264924148978</v>
      </c>
      <c r="O53" s="105">
        <f t="shared" si="137"/>
        <v>-21990.772871873447</v>
      </c>
      <c r="P53" s="105">
        <f t="shared" si="137"/>
        <v>-20435.42176703826</v>
      </c>
      <c r="Q53" s="105">
        <f t="shared" si="136"/>
        <v>-21048.484420049404</v>
      </c>
      <c r="R53" s="105">
        <f t="shared" si="136"/>
        <v>-21358.440230608994</v>
      </c>
      <c r="S53" s="105">
        <f t="shared" si="136"/>
        <v>-21709.84458768956</v>
      </c>
      <c r="T53" s="105">
        <f t="shared" si="136"/>
        <v>-22361.139925320247</v>
      </c>
      <c r="U53" s="105">
        <f t="shared" si="136"/>
        <v>-22722.700923026954</v>
      </c>
      <c r="V53" s="105">
        <f t="shared" si="136"/>
        <v>-23128.108775404224</v>
      </c>
      <c r="W53" s="105">
        <f t="shared" si="136"/>
        <v>-21769.636886875916</v>
      </c>
      <c r="X53" s="105">
        <f t="shared" si="136"/>
        <v>-22422.725993482189</v>
      </c>
      <c r="Y53" s="105">
        <f t="shared" si="136"/>
        <v>-23095.407773286661</v>
      </c>
      <c r="Z53" s="105">
        <f t="shared" si="136"/>
        <v>-23516.567964248512</v>
      </c>
      <c r="AA53" s="105">
        <f t="shared" si="136"/>
        <v>-24222.065003175961</v>
      </c>
      <c r="AB53" s="105">
        <f t="shared" si="136"/>
        <v>-24616.367415971006</v>
      </c>
      <c r="AC53" s="105">
        <f t="shared" si="136"/>
        <v>-25354.858438450141</v>
      </c>
      <c r="AD53" s="105">
        <f t="shared" si="136"/>
        <v>-23642.783191670151</v>
      </c>
      <c r="AE53" s="105">
        <f t="shared" si="136"/>
        <v>-22367.103675060986</v>
      </c>
      <c r="AF53" s="105">
        <f t="shared" si="136"/>
        <v>-22711.256369208892</v>
      </c>
      <c r="AG53" s="105">
        <f t="shared" si="136"/>
        <v>-23392.594060285155</v>
      </c>
      <c r="AH53" s="105">
        <f t="shared" si="136"/>
        <v>-24094.371882093707</v>
      </c>
      <c r="AI53" s="105">
        <f t="shared" si="136"/>
        <v>-24234.4444595034</v>
      </c>
      <c r="AJ53" s="105">
        <f t="shared" si="136"/>
        <v>-22426.31104999964</v>
      </c>
      <c r="AK53" s="105">
        <f t="shared" si="136"/>
        <v>-23099.100381499629</v>
      </c>
      <c r="AL53" s="105">
        <f t="shared" si="136"/>
        <v>-23792.073392944614</v>
      </c>
      <c r="AM53" s="105">
        <f t="shared" si="136"/>
        <v>-24273.241886390475</v>
      </c>
      <c r="AN53" s="105">
        <f t="shared" si="136"/>
        <v>-24792.104805473951</v>
      </c>
    </row>
    <row r="267" spans="9946:10001" s="9" customFormat="1" ht="21" customHeight="1" x14ac:dyDescent="0.2">
      <c r="NSC267" s="107">
        <v>74</v>
      </c>
    </row>
    <row r="268" spans="9946:10001" s="9" customFormat="1" ht="21" customHeight="1" x14ac:dyDescent="0.2">
      <c r="NSC268" s="107">
        <v>75</v>
      </c>
    </row>
    <row r="269" spans="9946:10001" s="9" customFormat="1" ht="18" customHeight="1" x14ac:dyDescent="0.2">
      <c r="NSC269" s="107">
        <v>76</v>
      </c>
      <c r="NTO269" s="20"/>
    </row>
    <row r="270" spans="9946:10001" s="9" customFormat="1" ht="21" customHeight="1" x14ac:dyDescent="0.2">
      <c r="NSC270" s="107">
        <v>77</v>
      </c>
      <c r="NTO270" s="20"/>
    </row>
    <row r="271" spans="9946:10001" s="9" customFormat="1" ht="21" customHeight="1" x14ac:dyDescent="0.2">
      <c r="NSC271" s="107">
        <v>78</v>
      </c>
      <c r="NTO271" s="20"/>
    </row>
    <row r="272" spans="9946:10001" s="9" customFormat="1" ht="21" customHeight="1" x14ac:dyDescent="0.2">
      <c r="NRN272" s="9" t="s">
        <v>154</v>
      </c>
      <c r="NSC272" s="107">
        <v>79</v>
      </c>
      <c r="NSE272" s="9" t="s">
        <v>154</v>
      </c>
      <c r="NTO272" s="20"/>
      <c r="NTQ272" s="9" t="s">
        <v>154</v>
      </c>
    </row>
    <row r="273" spans="9946:10001" s="9" customFormat="1" ht="21" customHeight="1" x14ac:dyDescent="0.2">
      <c r="NRN273" s="9" t="s">
        <v>154</v>
      </c>
      <c r="NSC273" s="107">
        <v>80</v>
      </c>
      <c r="NSE273" s="9" t="s">
        <v>154</v>
      </c>
      <c r="NTO273" s="20"/>
      <c r="NTQ273" s="9" t="s">
        <v>154</v>
      </c>
    </row>
    <row r="274" spans="9946:10001" s="9" customFormat="1" ht="21" customHeight="1" x14ac:dyDescent="0.2">
      <c r="NRN274" s="9" t="s">
        <v>154</v>
      </c>
      <c r="NSC274" s="107">
        <v>81</v>
      </c>
      <c r="NSE274" s="9" t="s">
        <v>154</v>
      </c>
      <c r="NTO274" s="20"/>
      <c r="NTQ274" s="9" t="s">
        <v>154</v>
      </c>
    </row>
    <row r="275" spans="9946:10001" s="9" customFormat="1" ht="21" customHeight="1" x14ac:dyDescent="0.2">
      <c r="NRN275" s="9" t="s">
        <v>154</v>
      </c>
      <c r="NSC275" s="107">
        <v>82</v>
      </c>
      <c r="NSE275" s="9" t="s">
        <v>154</v>
      </c>
      <c r="NTO275" s="20"/>
      <c r="NTQ275" s="9" t="s">
        <v>154</v>
      </c>
    </row>
    <row r="276" spans="9946:10001" s="9" customFormat="1" ht="21" customHeight="1" x14ac:dyDescent="0.2">
      <c r="NRN276" s="9" t="s">
        <v>154</v>
      </c>
      <c r="NSC276" s="107">
        <v>83</v>
      </c>
      <c r="NSE276" s="9" t="s">
        <v>154</v>
      </c>
      <c r="NTO276" s="108">
        <v>74</v>
      </c>
      <c r="NTQ276" s="9" t="s">
        <v>154</v>
      </c>
    </row>
    <row r="277" spans="9946:10001" s="9" customFormat="1" ht="21" customHeight="1" x14ac:dyDescent="0.2">
      <c r="NRN277" s="9" t="s">
        <v>154</v>
      </c>
      <c r="NSC277" s="107">
        <v>84</v>
      </c>
      <c r="NSE277" s="9" t="s">
        <v>154</v>
      </c>
      <c r="NTO277" s="108">
        <v>75</v>
      </c>
      <c r="NTQ277" s="9" t="s">
        <v>154</v>
      </c>
    </row>
    <row r="278" spans="9946:10001" s="9" customFormat="1" ht="21" customHeight="1" x14ac:dyDescent="0.2">
      <c r="NSC278" s="107">
        <v>85</v>
      </c>
      <c r="NTO278" s="108">
        <v>76</v>
      </c>
    </row>
    <row r="279" spans="9946:10001" s="9" customFormat="1" ht="21" customHeight="1" x14ac:dyDescent="0.2">
      <c r="NRN279" s="9" t="s">
        <v>154</v>
      </c>
      <c r="NSC279" s="107">
        <v>86</v>
      </c>
      <c r="NSE279" s="9" t="s">
        <v>154</v>
      </c>
      <c r="NTO279" s="108">
        <v>77</v>
      </c>
      <c r="NTQ279" s="9" t="s">
        <v>154</v>
      </c>
    </row>
    <row r="280" spans="9946:10001" ht="21" customHeight="1" x14ac:dyDescent="0.2">
      <c r="NRN280" s="21" t="s">
        <v>154</v>
      </c>
      <c r="NSC280" s="109">
        <v>87</v>
      </c>
      <c r="NSE280" s="21" t="s">
        <v>154</v>
      </c>
      <c r="NTO280" s="108">
        <v>78</v>
      </c>
      <c r="NTQ280" s="21" t="s">
        <v>154</v>
      </c>
    </row>
    <row r="281" spans="9946:10001" ht="21" customHeight="1" x14ac:dyDescent="0.2">
      <c r="NRN281" s="21" t="s">
        <v>154</v>
      </c>
      <c r="NSC281" s="109">
        <v>88</v>
      </c>
      <c r="NSE281" s="21" t="s">
        <v>154</v>
      </c>
      <c r="NTO281" s="108">
        <v>79</v>
      </c>
      <c r="NTQ281" s="21" t="s">
        <v>154</v>
      </c>
    </row>
    <row r="282" spans="9946:10001" ht="21" customHeight="1" x14ac:dyDescent="0.2">
      <c r="NRN282" s="21" t="s">
        <v>154</v>
      </c>
      <c r="NSC282" s="109">
        <v>89</v>
      </c>
      <c r="NSE282" s="21" t="s">
        <v>154</v>
      </c>
      <c r="NTO282" s="108">
        <v>80</v>
      </c>
      <c r="NTQ282" s="21" t="s">
        <v>154</v>
      </c>
    </row>
    <row r="283" spans="9946:10001" ht="21" customHeight="1" x14ac:dyDescent="0.2">
      <c r="NRN283" s="21" t="s">
        <v>154</v>
      </c>
      <c r="NSC283" s="109">
        <v>90</v>
      </c>
      <c r="NSE283" s="21" t="s">
        <v>154</v>
      </c>
      <c r="NTO283" s="108">
        <v>81</v>
      </c>
      <c r="NTQ283" s="21" t="s">
        <v>154</v>
      </c>
    </row>
    <row r="284" spans="9946:10001" ht="21" customHeight="1" x14ac:dyDescent="0.2">
      <c r="NRN284" s="21" t="s">
        <v>155</v>
      </c>
      <c r="NSC284" s="109">
        <v>91</v>
      </c>
      <c r="NSE284" s="21" t="s">
        <v>155</v>
      </c>
      <c r="NTO284" s="108">
        <v>82</v>
      </c>
      <c r="NTQ284" s="21" t="s">
        <v>155</v>
      </c>
    </row>
    <row r="285" spans="9946:10001" ht="21" customHeight="1" x14ac:dyDescent="0.2">
      <c r="NSC285" s="109">
        <v>92</v>
      </c>
      <c r="NTO285" s="108">
        <v>83</v>
      </c>
    </row>
    <row r="286" spans="9946:10001" ht="21" customHeight="1" x14ac:dyDescent="0.2">
      <c r="NRN286" s="21" t="s">
        <v>154</v>
      </c>
      <c r="NSC286" s="109">
        <v>93</v>
      </c>
      <c r="NSE286" s="21" t="s">
        <v>154</v>
      </c>
      <c r="NTO286" s="108">
        <v>84</v>
      </c>
      <c r="NTQ286" s="21" t="s">
        <v>154</v>
      </c>
    </row>
    <row r="287" spans="9946:10001" ht="21" customHeight="1" x14ac:dyDescent="0.2">
      <c r="NRN287" s="21" t="s">
        <v>154</v>
      </c>
      <c r="NSC287" s="109">
        <v>94</v>
      </c>
      <c r="NSE287" s="21" t="s">
        <v>154</v>
      </c>
      <c r="NTO287" s="108">
        <v>85</v>
      </c>
      <c r="NTQ287" s="21" t="s">
        <v>154</v>
      </c>
    </row>
    <row r="288" spans="9946:10001" ht="21" customHeight="1" x14ac:dyDescent="0.2">
      <c r="NRN288" s="21" t="s">
        <v>154</v>
      </c>
      <c r="NSE288" s="21" t="s">
        <v>154</v>
      </c>
      <c r="NTO288" s="108">
        <v>86</v>
      </c>
      <c r="NTQ288" s="21" t="s">
        <v>154</v>
      </c>
    </row>
    <row r="289" spans="9946:10001" ht="21" customHeight="1" x14ac:dyDescent="0.2">
      <c r="NRN289" s="21" t="s">
        <v>154</v>
      </c>
      <c r="NSE289" s="21" t="s">
        <v>154</v>
      </c>
      <c r="NTO289" s="108">
        <v>87</v>
      </c>
      <c r="NTQ289" s="21" t="s">
        <v>154</v>
      </c>
    </row>
    <row r="290" spans="9946:10001" ht="21" customHeight="1" x14ac:dyDescent="0.2">
      <c r="NRN290" s="21" t="s">
        <v>155</v>
      </c>
      <c r="NSE290" s="21" t="s">
        <v>155</v>
      </c>
      <c r="NTO290" s="108">
        <v>88</v>
      </c>
      <c r="NTQ290" s="21" t="s">
        <v>155</v>
      </c>
    </row>
    <row r="291" spans="9946:10001" ht="21" customHeight="1" x14ac:dyDescent="0.2">
      <c r="NRN291" s="21" t="s">
        <v>154</v>
      </c>
      <c r="NSE291" s="21" t="s">
        <v>154</v>
      </c>
      <c r="NTO291" s="108">
        <v>89</v>
      </c>
      <c r="NTQ291" s="21" t="s">
        <v>154</v>
      </c>
    </row>
    <row r="292" spans="9946:10001" ht="21" customHeight="1" x14ac:dyDescent="0.2">
      <c r="NRN292" s="21" t="s">
        <v>154</v>
      </c>
      <c r="NSE292" s="21" t="s">
        <v>154</v>
      </c>
      <c r="NTO292" s="108">
        <v>90</v>
      </c>
      <c r="NTQ292" s="21" t="s">
        <v>154</v>
      </c>
    </row>
    <row r="293" spans="9946:10001" ht="21" customHeight="1" x14ac:dyDescent="0.2">
      <c r="NRN293" s="21" t="s">
        <v>154</v>
      </c>
      <c r="NSE293" s="21" t="s">
        <v>154</v>
      </c>
      <c r="NTO293" s="108">
        <v>91</v>
      </c>
      <c r="NTQ293" s="21" t="s">
        <v>154</v>
      </c>
    </row>
    <row r="294" spans="9946:10001" ht="21" customHeight="1" x14ac:dyDescent="0.2">
      <c r="NTO294" s="108">
        <v>92</v>
      </c>
    </row>
    <row r="295" spans="9946:10001" ht="21" customHeight="1" x14ac:dyDescent="0.2">
      <c r="NRN295" s="21" t="s">
        <v>154</v>
      </c>
      <c r="NSE295" s="21" t="s">
        <v>154</v>
      </c>
      <c r="NTO295" s="108">
        <v>93</v>
      </c>
      <c r="NTQ295" s="21" t="s">
        <v>154</v>
      </c>
    </row>
    <row r="296" spans="9946:10001" ht="21" customHeight="1" x14ac:dyDescent="0.2">
      <c r="NSE296" s="21" t="s">
        <v>154</v>
      </c>
      <c r="NTO296" s="108">
        <v>94</v>
      </c>
      <c r="NTQ296" s="21" t="s">
        <v>154</v>
      </c>
    </row>
    <row r="297" spans="9946:10001" ht="21" customHeight="1" x14ac:dyDescent="0.2">
      <c r="NSE297" s="21" t="s">
        <v>155</v>
      </c>
      <c r="NTO297" s="108">
        <v>95</v>
      </c>
      <c r="NTQ297" s="21" t="s">
        <v>155</v>
      </c>
    </row>
    <row r="298" spans="9946:10001" ht="21" customHeight="1" x14ac:dyDescent="0.2">
      <c r="NTO298" s="108">
        <v>96</v>
      </c>
    </row>
    <row r="299" spans="9946:10001" ht="21" customHeight="1" x14ac:dyDescent="0.2">
      <c r="NTO299" s="108">
        <v>97</v>
      </c>
    </row>
    <row r="300" spans="9946:10001" ht="21" customHeight="1" x14ac:dyDescent="0.2">
      <c r="NTO300" s="108">
        <v>98</v>
      </c>
    </row>
    <row r="301" spans="9946:10001" ht="21" customHeight="1" x14ac:dyDescent="0.2">
      <c r="NTO301" s="108">
        <v>99</v>
      </c>
    </row>
    <row r="302" spans="9946:10001" ht="21" customHeight="1" x14ac:dyDescent="0.2">
      <c r="NTO302" s="108">
        <v>100</v>
      </c>
    </row>
    <row r="303" spans="9946:10001" ht="21" customHeight="1" x14ac:dyDescent="0.2">
      <c r="NTO303" s="108">
        <v>101</v>
      </c>
    </row>
    <row r="304" spans="9946:10001" ht="21" customHeight="1" x14ac:dyDescent="0.2">
      <c r="NTO304" s="108">
        <v>102</v>
      </c>
    </row>
  </sheetData>
  <dataConsolidate/>
  <dataValidations count="1">
    <dataValidation type="list" allowBlank="1" showInputMessage="1" showErrorMessage="1" sqref="E4" xr:uid="{1C906DC0-ED9F-426C-AF4A-D600057D7499}">
      <formula1>"1/31/2021,1/31/2022,1/31/2023,1/31/2024,1/31/2025,1/31/2026,1/31/2027"</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29787-3768-4A9C-99CE-3CD62696D5B3}">
  <sheetPr>
    <tabColor theme="4" tint="0.79998168889431442"/>
    <outlinePr summaryBelow="0" summaryRight="0"/>
  </sheetPr>
  <dimension ref="A1:NTQ304"/>
  <sheetViews>
    <sheetView showGridLines="0" zoomScaleNormal="100" workbookViewId="0">
      <pane xSplit="4" ySplit="4" topLeftCell="E5" activePane="bottomRight" state="frozen"/>
      <selection activeCell="E49" sqref="E49"/>
      <selection pane="topRight" activeCell="E49" sqref="E49"/>
      <selection pane="bottomLeft" activeCell="E49" sqref="E49"/>
      <selection pane="bottomRight" activeCell="E49" sqref="E49"/>
    </sheetView>
  </sheetViews>
  <sheetFormatPr baseColWidth="10" defaultColWidth="9.140625" defaultRowHeight="15" x14ac:dyDescent="0.2"/>
  <cols>
    <col min="1" max="1" width="2.42578125" customWidth="1"/>
    <col min="2" max="2" width="42.28515625" style="2" customWidth="1"/>
    <col min="3" max="3" width="7.7109375" style="2" bestFit="1" customWidth="1"/>
    <col min="4" max="4" width="2.7109375" customWidth="1"/>
    <col min="5" max="5" width="12.42578125" style="21" customWidth="1"/>
    <col min="6" max="40" width="13.28515625" style="21" customWidth="1"/>
    <col min="41" max="9998" width="9.140625" style="21"/>
    <col min="9999" max="9999" width="9.140625" style="20"/>
    <col min="10000" max="16384" width="9.140625" style="21"/>
  </cols>
  <sheetData>
    <row r="1" spans="1:40" customFormat="1" ht="21" customHeight="1" x14ac:dyDescent="0.2">
      <c r="A1" s="10" t="s">
        <v>141</v>
      </c>
      <c r="B1" s="2"/>
      <c r="C1" s="2"/>
    </row>
    <row r="2" spans="1:40" customFormat="1" ht="21" customHeight="1" x14ac:dyDescent="0.2">
      <c r="A2" s="11" t="s">
        <v>142</v>
      </c>
      <c r="B2" s="2"/>
      <c r="C2" s="2"/>
    </row>
    <row r="3" spans="1:40" customFormat="1" x14ac:dyDescent="0.2">
      <c r="A3" t="s">
        <v>8</v>
      </c>
      <c r="B3" s="2"/>
      <c r="C3" s="2"/>
    </row>
    <row r="4" spans="1:40" s="12" customFormat="1" ht="16" x14ac:dyDescent="0.2">
      <c r="B4" s="3"/>
      <c r="C4" s="98" t="s">
        <v>144</v>
      </c>
      <c r="E4" s="99">
        <v>44957</v>
      </c>
      <c r="F4" s="100">
        <f t="shared" ref="F4" si="0">EOMONTH(E4,1)</f>
        <v>44985</v>
      </c>
      <c r="G4" s="100">
        <f t="shared" ref="G4" si="1">EOMONTH(F4,1)</f>
        <v>45016</v>
      </c>
      <c r="H4" s="100">
        <f t="shared" ref="H4" si="2">EOMONTH(G4,1)</f>
        <v>45046</v>
      </c>
      <c r="I4" s="100">
        <f t="shared" ref="I4" si="3">EOMONTH(H4,1)</f>
        <v>45077</v>
      </c>
      <c r="J4" s="100">
        <f t="shared" ref="J4" si="4">EOMONTH(I4,1)</f>
        <v>45107</v>
      </c>
      <c r="K4" s="100">
        <f t="shared" ref="K4" si="5">EOMONTH(J4,1)</f>
        <v>45138</v>
      </c>
      <c r="L4" s="100">
        <f t="shared" ref="L4" si="6">EOMONTH(K4,1)</f>
        <v>45169</v>
      </c>
      <c r="M4" s="100">
        <f t="shared" ref="M4" si="7">EOMONTH(L4,1)</f>
        <v>45199</v>
      </c>
      <c r="N4" s="100">
        <f t="shared" ref="N4" si="8">EOMONTH(M4,1)</f>
        <v>45230</v>
      </c>
      <c r="O4" s="100">
        <f t="shared" ref="O4" si="9">EOMONTH(N4,1)</f>
        <v>45260</v>
      </c>
      <c r="P4" s="100">
        <f t="shared" ref="P4" si="10">EOMONTH(O4,1)</f>
        <v>45291</v>
      </c>
      <c r="Q4" s="100">
        <f t="shared" ref="Q4" si="11">EOMONTH(P4,1)</f>
        <v>45322</v>
      </c>
      <c r="R4" s="100">
        <f t="shared" ref="R4" si="12">EOMONTH(Q4,1)</f>
        <v>45351</v>
      </c>
      <c r="S4" s="100">
        <f t="shared" ref="S4" si="13">EOMONTH(R4,1)</f>
        <v>45382</v>
      </c>
      <c r="T4" s="100">
        <f t="shared" ref="T4" si="14">EOMONTH(S4,1)</f>
        <v>45412</v>
      </c>
      <c r="U4" s="100">
        <f t="shared" ref="U4" si="15">EOMONTH(T4,1)</f>
        <v>45443</v>
      </c>
      <c r="V4" s="100">
        <f t="shared" ref="V4" si="16">EOMONTH(U4,1)</f>
        <v>45473</v>
      </c>
      <c r="W4" s="100">
        <f t="shared" ref="W4" si="17">EOMONTH(V4,1)</f>
        <v>45504</v>
      </c>
      <c r="X4" s="100">
        <f t="shared" ref="X4" si="18">EOMONTH(W4,1)</f>
        <v>45535</v>
      </c>
      <c r="Y4" s="100">
        <f t="shared" ref="Y4" si="19">EOMONTH(X4,1)</f>
        <v>45565</v>
      </c>
      <c r="Z4" s="100">
        <f t="shared" ref="Z4" si="20">EOMONTH(Y4,1)</f>
        <v>45596</v>
      </c>
      <c r="AA4" s="100">
        <f t="shared" ref="AA4" si="21">EOMONTH(Z4,1)</f>
        <v>45626</v>
      </c>
      <c r="AB4" s="100">
        <f t="shared" ref="AB4" si="22">EOMONTH(AA4,1)</f>
        <v>45657</v>
      </c>
      <c r="AC4" s="100">
        <f t="shared" ref="AC4" si="23">EOMONTH(AB4,1)</f>
        <v>45688</v>
      </c>
      <c r="AD4" s="100">
        <f t="shared" ref="AD4" si="24">EOMONTH(AC4,1)</f>
        <v>45716</v>
      </c>
      <c r="AE4" s="100">
        <f t="shared" ref="AE4" si="25">EOMONTH(AD4,1)</f>
        <v>45747</v>
      </c>
      <c r="AF4" s="100">
        <f t="shared" ref="AF4" si="26">EOMONTH(AE4,1)</f>
        <v>45777</v>
      </c>
      <c r="AG4" s="100">
        <f t="shared" ref="AG4" si="27">EOMONTH(AF4,1)</f>
        <v>45808</v>
      </c>
      <c r="AH4" s="100">
        <f t="shared" ref="AH4" si="28">EOMONTH(AG4,1)</f>
        <v>45838</v>
      </c>
      <c r="AI4" s="100">
        <f t="shared" ref="AI4" si="29">EOMONTH(AH4,1)</f>
        <v>45869</v>
      </c>
      <c r="AJ4" s="100">
        <f t="shared" ref="AJ4" si="30">EOMONTH(AI4,1)</f>
        <v>45900</v>
      </c>
      <c r="AK4" s="100">
        <f t="shared" ref="AK4" si="31">EOMONTH(AJ4,1)</f>
        <v>45930</v>
      </c>
      <c r="AL4" s="100">
        <f t="shared" ref="AL4" si="32">EOMONTH(AK4,1)</f>
        <v>45961</v>
      </c>
      <c r="AM4" s="100">
        <f t="shared" ref="AM4" si="33">EOMONTH(AL4,1)</f>
        <v>45991</v>
      </c>
      <c r="AN4" s="100">
        <f t="shared" ref="AN4" si="34">EOMONTH(AM4,1)</f>
        <v>46022</v>
      </c>
    </row>
    <row r="5" spans="1:40" s="16" customFormat="1" ht="21" customHeight="1" x14ac:dyDescent="0.2">
      <c r="A5" s="13"/>
      <c r="B5" s="4" t="s">
        <v>30</v>
      </c>
      <c r="C5" s="4"/>
      <c r="D5" s="14"/>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row>
    <row r="6" spans="1:40" s="16" customFormat="1" ht="21" customHeight="1" x14ac:dyDescent="0.2">
      <c r="A6" s="13"/>
      <c r="B6" s="5" t="s">
        <v>92</v>
      </c>
      <c r="C6" s="101">
        <v>0.1</v>
      </c>
      <c r="D6" s="14"/>
      <c r="E6" s="102">
        <v>0</v>
      </c>
      <c r="F6" s="102">
        <v>0</v>
      </c>
      <c r="G6" s="102">
        <v>0</v>
      </c>
      <c r="H6" s="102">
        <v>0</v>
      </c>
      <c r="I6" s="102">
        <v>0</v>
      </c>
      <c r="J6" s="102">
        <v>0</v>
      </c>
      <c r="K6" s="102">
        <v>0</v>
      </c>
      <c r="L6" s="102">
        <v>0</v>
      </c>
      <c r="M6" s="102">
        <v>0</v>
      </c>
      <c r="N6" s="102">
        <v>0</v>
      </c>
      <c r="O6" s="102">
        <v>0</v>
      </c>
      <c r="P6" s="102">
        <v>0</v>
      </c>
      <c r="Q6" s="102">
        <v>0</v>
      </c>
      <c r="R6" s="102">
        <v>0</v>
      </c>
      <c r="S6" s="102">
        <v>0</v>
      </c>
      <c r="T6" s="102">
        <v>0</v>
      </c>
      <c r="U6" s="102">
        <v>0</v>
      </c>
      <c r="V6" s="102">
        <v>0</v>
      </c>
      <c r="W6" s="102">
        <v>0</v>
      </c>
      <c r="X6" s="102">
        <v>0</v>
      </c>
      <c r="Y6" s="102">
        <v>0</v>
      </c>
      <c r="Z6" s="102">
        <v>0</v>
      </c>
      <c r="AA6" s="102">
        <v>0</v>
      </c>
      <c r="AB6" s="102">
        <v>0</v>
      </c>
      <c r="AC6" s="102">
        <v>0</v>
      </c>
      <c r="AD6" s="102">
        <v>0</v>
      </c>
      <c r="AE6" s="102">
        <v>0</v>
      </c>
      <c r="AF6" s="102">
        <v>0</v>
      </c>
      <c r="AG6" s="102">
        <v>0</v>
      </c>
      <c r="AH6" s="102">
        <v>0</v>
      </c>
      <c r="AI6" s="102">
        <v>0</v>
      </c>
      <c r="AJ6" s="102">
        <v>0</v>
      </c>
      <c r="AK6" s="102">
        <v>0</v>
      </c>
      <c r="AL6" s="102">
        <v>0</v>
      </c>
      <c r="AM6" s="102">
        <v>0</v>
      </c>
      <c r="AN6" s="102">
        <v>0</v>
      </c>
    </row>
    <row r="7" spans="1:40" s="16" customFormat="1" ht="21" customHeight="1" x14ac:dyDescent="0.2">
      <c r="A7" s="13"/>
      <c r="B7" s="6" t="s">
        <v>145</v>
      </c>
      <c r="C7" s="26"/>
      <c r="D7" s="14"/>
      <c r="E7" s="104">
        <f t="shared" ref="E7:AN7" si="35">SUM(E6 + E5)</f>
        <v>0</v>
      </c>
      <c r="F7" s="104">
        <f t="shared" ref="F7:AM7" si="36">SUM(F6 + F5)</f>
        <v>0</v>
      </c>
      <c r="G7" s="104">
        <f t="shared" si="36"/>
        <v>0</v>
      </c>
      <c r="H7" s="104">
        <f t="shared" si="36"/>
        <v>0</v>
      </c>
      <c r="I7" s="104">
        <f t="shared" si="36"/>
        <v>0</v>
      </c>
      <c r="J7" s="104">
        <f t="shared" si="36"/>
        <v>0</v>
      </c>
      <c r="K7" s="104">
        <f t="shared" si="36"/>
        <v>0</v>
      </c>
      <c r="L7" s="104">
        <f t="shared" si="36"/>
        <v>0</v>
      </c>
      <c r="M7" s="104">
        <f t="shared" si="36"/>
        <v>0</v>
      </c>
      <c r="N7" s="104">
        <f t="shared" si="36"/>
        <v>0</v>
      </c>
      <c r="O7" s="104">
        <f t="shared" si="36"/>
        <v>0</v>
      </c>
      <c r="P7" s="104">
        <f t="shared" si="36"/>
        <v>0</v>
      </c>
      <c r="Q7" s="104">
        <f t="shared" si="36"/>
        <v>0</v>
      </c>
      <c r="R7" s="104">
        <f t="shared" si="36"/>
        <v>0</v>
      </c>
      <c r="S7" s="104">
        <f t="shared" si="36"/>
        <v>0</v>
      </c>
      <c r="T7" s="104">
        <f t="shared" si="36"/>
        <v>0</v>
      </c>
      <c r="U7" s="104">
        <f t="shared" si="36"/>
        <v>0</v>
      </c>
      <c r="V7" s="104">
        <f t="shared" si="36"/>
        <v>0</v>
      </c>
      <c r="W7" s="104">
        <f t="shared" si="36"/>
        <v>0</v>
      </c>
      <c r="X7" s="104">
        <f t="shared" si="36"/>
        <v>0</v>
      </c>
      <c r="Y7" s="104">
        <f t="shared" si="36"/>
        <v>0</v>
      </c>
      <c r="Z7" s="104">
        <f t="shared" si="36"/>
        <v>0</v>
      </c>
      <c r="AA7" s="104">
        <f t="shared" si="36"/>
        <v>0</v>
      </c>
      <c r="AB7" s="104">
        <f t="shared" si="36"/>
        <v>0</v>
      </c>
      <c r="AC7" s="104">
        <f t="shared" si="36"/>
        <v>0</v>
      </c>
      <c r="AD7" s="104">
        <f t="shared" si="36"/>
        <v>0</v>
      </c>
      <c r="AE7" s="104">
        <f t="shared" si="36"/>
        <v>0</v>
      </c>
      <c r="AF7" s="104">
        <f t="shared" si="36"/>
        <v>0</v>
      </c>
      <c r="AG7" s="104">
        <f t="shared" si="36"/>
        <v>0</v>
      </c>
      <c r="AH7" s="104">
        <f t="shared" si="36"/>
        <v>0</v>
      </c>
      <c r="AI7" s="104">
        <f t="shared" si="36"/>
        <v>0</v>
      </c>
      <c r="AJ7" s="104">
        <f t="shared" si="36"/>
        <v>0</v>
      </c>
      <c r="AK7" s="104">
        <f t="shared" si="36"/>
        <v>0</v>
      </c>
      <c r="AL7" s="104">
        <f t="shared" si="36"/>
        <v>0</v>
      </c>
      <c r="AM7" s="104">
        <f t="shared" si="36"/>
        <v>0</v>
      </c>
      <c r="AN7" s="104">
        <f t="shared" si="35"/>
        <v>0</v>
      </c>
    </row>
    <row r="8" spans="1:40" s="16" customFormat="1" ht="21" customHeight="1" x14ac:dyDescent="0.2">
      <c r="A8" s="13"/>
      <c r="B8" s="6" t="s">
        <v>41</v>
      </c>
      <c r="C8" s="26"/>
      <c r="D8" s="14"/>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row>
    <row r="9" spans="1:40" s="16" customFormat="1" ht="21" customHeight="1" x14ac:dyDescent="0.2">
      <c r="A9" s="13"/>
      <c r="B9" s="5" t="s">
        <v>96</v>
      </c>
      <c r="C9" s="101">
        <v>0.03</v>
      </c>
      <c r="D9" s="14"/>
      <c r="E9" s="102">
        <v>0</v>
      </c>
      <c r="F9" s="102">
        <v>0</v>
      </c>
      <c r="G9" s="102">
        <v>0</v>
      </c>
      <c r="H9" s="102">
        <v>0</v>
      </c>
      <c r="I9" s="102">
        <v>0</v>
      </c>
      <c r="J9" s="102">
        <v>0</v>
      </c>
      <c r="K9" s="102">
        <v>0</v>
      </c>
      <c r="L9" s="102">
        <v>0</v>
      </c>
      <c r="M9" s="102">
        <v>0</v>
      </c>
      <c r="N9" s="102">
        <v>0</v>
      </c>
      <c r="O9" s="102">
        <v>0</v>
      </c>
      <c r="P9" s="102">
        <v>0</v>
      </c>
      <c r="Q9" s="102">
        <v>0</v>
      </c>
      <c r="R9" s="102">
        <v>0</v>
      </c>
      <c r="S9" s="102">
        <v>0</v>
      </c>
      <c r="T9" s="102">
        <v>0</v>
      </c>
      <c r="U9" s="102">
        <v>0</v>
      </c>
      <c r="V9" s="102">
        <v>0</v>
      </c>
      <c r="W9" s="102">
        <v>0</v>
      </c>
      <c r="X9" s="102">
        <v>0</v>
      </c>
      <c r="Y9" s="102">
        <v>0</v>
      </c>
      <c r="Z9" s="102">
        <v>0</v>
      </c>
      <c r="AA9" s="102">
        <v>0</v>
      </c>
      <c r="AB9" s="102">
        <v>0</v>
      </c>
      <c r="AC9" s="102">
        <v>0</v>
      </c>
      <c r="AD9" s="102">
        <v>0</v>
      </c>
      <c r="AE9" s="102">
        <v>0</v>
      </c>
      <c r="AF9" s="102">
        <v>0</v>
      </c>
      <c r="AG9" s="102">
        <v>0</v>
      </c>
      <c r="AH9" s="102">
        <v>0</v>
      </c>
      <c r="AI9" s="102">
        <v>0</v>
      </c>
      <c r="AJ9" s="102">
        <v>0</v>
      </c>
      <c r="AK9" s="102">
        <v>0</v>
      </c>
      <c r="AL9" s="102">
        <v>0</v>
      </c>
      <c r="AM9" s="102">
        <v>0</v>
      </c>
      <c r="AN9" s="102">
        <v>0</v>
      </c>
    </row>
    <row r="10" spans="1:40" s="16" customFormat="1" ht="21" customHeight="1" x14ac:dyDescent="0.2">
      <c r="A10" s="13"/>
      <c r="B10" s="5" t="s">
        <v>98</v>
      </c>
      <c r="C10" s="101">
        <v>0.03</v>
      </c>
      <c r="D10" s="14"/>
      <c r="E10" s="102">
        <v>0</v>
      </c>
      <c r="F10" s="102">
        <v>0</v>
      </c>
      <c r="G10" s="102">
        <v>0</v>
      </c>
      <c r="H10" s="102">
        <v>0</v>
      </c>
      <c r="I10" s="102">
        <v>0</v>
      </c>
      <c r="J10" s="102">
        <v>0</v>
      </c>
      <c r="K10" s="102">
        <v>0</v>
      </c>
      <c r="L10" s="102">
        <v>0</v>
      </c>
      <c r="M10" s="102">
        <v>0</v>
      </c>
      <c r="N10" s="102">
        <v>0</v>
      </c>
      <c r="O10" s="102">
        <v>0</v>
      </c>
      <c r="P10" s="102">
        <v>0</v>
      </c>
      <c r="Q10" s="102">
        <v>0</v>
      </c>
      <c r="R10" s="102">
        <v>0</v>
      </c>
      <c r="S10" s="102">
        <v>0</v>
      </c>
      <c r="T10" s="102">
        <v>0</v>
      </c>
      <c r="U10" s="102">
        <v>0</v>
      </c>
      <c r="V10" s="102">
        <v>0</v>
      </c>
      <c r="W10" s="102">
        <v>0</v>
      </c>
      <c r="X10" s="102">
        <v>0</v>
      </c>
      <c r="Y10" s="102">
        <v>0</v>
      </c>
      <c r="Z10" s="102">
        <v>0</v>
      </c>
      <c r="AA10" s="102">
        <v>0</v>
      </c>
      <c r="AB10" s="102">
        <v>0</v>
      </c>
      <c r="AC10" s="102">
        <v>0</v>
      </c>
      <c r="AD10" s="102">
        <v>0</v>
      </c>
      <c r="AE10" s="102">
        <v>0</v>
      </c>
      <c r="AF10" s="102">
        <v>0</v>
      </c>
      <c r="AG10" s="102">
        <v>0</v>
      </c>
      <c r="AH10" s="102">
        <v>0</v>
      </c>
      <c r="AI10" s="102">
        <v>0</v>
      </c>
      <c r="AJ10" s="102">
        <v>0</v>
      </c>
      <c r="AK10" s="102">
        <v>0</v>
      </c>
      <c r="AL10" s="102">
        <v>0</v>
      </c>
      <c r="AM10" s="102">
        <v>0</v>
      </c>
      <c r="AN10" s="102">
        <v>0</v>
      </c>
    </row>
    <row r="11" spans="1:40" s="16" customFormat="1" ht="21" customHeight="1" x14ac:dyDescent="0.2">
      <c r="A11" s="13"/>
      <c r="B11" s="6" t="s">
        <v>146</v>
      </c>
      <c r="C11" s="26"/>
      <c r="D11" s="14"/>
      <c r="E11" s="104">
        <f t="shared" ref="E11:AN11" si="37">SUM(E10, E9 + E8)</f>
        <v>0</v>
      </c>
      <c r="F11" s="104">
        <f t="shared" ref="F11:AM11" si="38">SUM(F10, F9 + F8)</f>
        <v>0</v>
      </c>
      <c r="G11" s="104">
        <f t="shared" si="38"/>
        <v>0</v>
      </c>
      <c r="H11" s="104">
        <f t="shared" si="38"/>
        <v>0</v>
      </c>
      <c r="I11" s="104">
        <f t="shared" si="38"/>
        <v>0</v>
      </c>
      <c r="J11" s="104">
        <f t="shared" si="38"/>
        <v>0</v>
      </c>
      <c r="K11" s="104">
        <f t="shared" si="38"/>
        <v>0</v>
      </c>
      <c r="L11" s="104">
        <f t="shared" si="38"/>
        <v>0</v>
      </c>
      <c r="M11" s="104">
        <f t="shared" si="38"/>
        <v>0</v>
      </c>
      <c r="N11" s="104">
        <f t="shared" si="38"/>
        <v>0</v>
      </c>
      <c r="O11" s="104">
        <f t="shared" si="38"/>
        <v>0</v>
      </c>
      <c r="P11" s="104">
        <f t="shared" si="38"/>
        <v>0</v>
      </c>
      <c r="Q11" s="104">
        <f t="shared" si="38"/>
        <v>0</v>
      </c>
      <c r="R11" s="104">
        <f t="shared" si="38"/>
        <v>0</v>
      </c>
      <c r="S11" s="104">
        <f t="shared" si="38"/>
        <v>0</v>
      </c>
      <c r="T11" s="104">
        <f t="shared" si="38"/>
        <v>0</v>
      </c>
      <c r="U11" s="104">
        <f t="shared" si="38"/>
        <v>0</v>
      </c>
      <c r="V11" s="104">
        <f t="shared" si="38"/>
        <v>0</v>
      </c>
      <c r="W11" s="104">
        <f t="shared" si="38"/>
        <v>0</v>
      </c>
      <c r="X11" s="104">
        <f t="shared" si="38"/>
        <v>0</v>
      </c>
      <c r="Y11" s="104">
        <f t="shared" si="38"/>
        <v>0</v>
      </c>
      <c r="Z11" s="104">
        <f t="shared" si="38"/>
        <v>0</v>
      </c>
      <c r="AA11" s="104">
        <f t="shared" si="38"/>
        <v>0</v>
      </c>
      <c r="AB11" s="104">
        <f t="shared" si="38"/>
        <v>0</v>
      </c>
      <c r="AC11" s="104">
        <f t="shared" si="38"/>
        <v>0</v>
      </c>
      <c r="AD11" s="104">
        <f t="shared" si="38"/>
        <v>0</v>
      </c>
      <c r="AE11" s="104">
        <f t="shared" si="38"/>
        <v>0</v>
      </c>
      <c r="AF11" s="104">
        <f t="shared" si="38"/>
        <v>0</v>
      </c>
      <c r="AG11" s="104">
        <f t="shared" si="38"/>
        <v>0</v>
      </c>
      <c r="AH11" s="104">
        <f t="shared" si="38"/>
        <v>0</v>
      </c>
      <c r="AI11" s="104">
        <f t="shared" si="38"/>
        <v>0</v>
      </c>
      <c r="AJ11" s="104">
        <f t="shared" si="38"/>
        <v>0</v>
      </c>
      <c r="AK11" s="104">
        <f t="shared" si="38"/>
        <v>0</v>
      </c>
      <c r="AL11" s="104">
        <f t="shared" si="38"/>
        <v>0</v>
      </c>
      <c r="AM11" s="104">
        <f t="shared" si="38"/>
        <v>0</v>
      </c>
      <c r="AN11" s="104">
        <f t="shared" si="37"/>
        <v>0</v>
      </c>
    </row>
    <row r="12" spans="1:40" s="18" customFormat="1" ht="21" customHeight="1" x14ac:dyDescent="0.2">
      <c r="B12" s="6" t="s">
        <v>43</v>
      </c>
      <c r="C12" s="26"/>
      <c r="D12" s="19"/>
      <c r="E12" s="105">
        <f t="shared" ref="E12:AN12" si="39">E7-E11</f>
        <v>0</v>
      </c>
      <c r="F12" s="105">
        <f t="shared" ref="F12:AM12" si="40">F7-F11</f>
        <v>0</v>
      </c>
      <c r="G12" s="105">
        <f t="shared" si="40"/>
        <v>0</v>
      </c>
      <c r="H12" s="105">
        <f t="shared" si="40"/>
        <v>0</v>
      </c>
      <c r="I12" s="105">
        <f t="shared" si="40"/>
        <v>0</v>
      </c>
      <c r="J12" s="105">
        <f t="shared" si="40"/>
        <v>0</v>
      </c>
      <c r="K12" s="105">
        <f t="shared" si="40"/>
        <v>0</v>
      </c>
      <c r="L12" s="105">
        <f t="shared" si="40"/>
        <v>0</v>
      </c>
      <c r="M12" s="105">
        <f t="shared" si="40"/>
        <v>0</v>
      </c>
      <c r="N12" s="105">
        <f t="shared" si="40"/>
        <v>0</v>
      </c>
      <c r="O12" s="105">
        <f t="shared" si="40"/>
        <v>0</v>
      </c>
      <c r="P12" s="105">
        <f t="shared" si="40"/>
        <v>0</v>
      </c>
      <c r="Q12" s="105">
        <f t="shared" si="40"/>
        <v>0</v>
      </c>
      <c r="R12" s="105">
        <f t="shared" si="40"/>
        <v>0</v>
      </c>
      <c r="S12" s="105">
        <f t="shared" si="40"/>
        <v>0</v>
      </c>
      <c r="T12" s="105">
        <f t="shared" si="40"/>
        <v>0</v>
      </c>
      <c r="U12" s="105">
        <f t="shared" si="40"/>
        <v>0</v>
      </c>
      <c r="V12" s="105">
        <f t="shared" si="40"/>
        <v>0</v>
      </c>
      <c r="W12" s="105">
        <f t="shared" si="40"/>
        <v>0</v>
      </c>
      <c r="X12" s="105">
        <f t="shared" si="40"/>
        <v>0</v>
      </c>
      <c r="Y12" s="105">
        <f t="shared" si="40"/>
        <v>0</v>
      </c>
      <c r="Z12" s="105">
        <f t="shared" si="40"/>
        <v>0</v>
      </c>
      <c r="AA12" s="105">
        <f t="shared" si="40"/>
        <v>0</v>
      </c>
      <c r="AB12" s="105">
        <f t="shared" si="40"/>
        <v>0</v>
      </c>
      <c r="AC12" s="105">
        <f t="shared" si="40"/>
        <v>0</v>
      </c>
      <c r="AD12" s="105">
        <f t="shared" si="40"/>
        <v>0</v>
      </c>
      <c r="AE12" s="105">
        <f t="shared" si="40"/>
        <v>0</v>
      </c>
      <c r="AF12" s="105">
        <f t="shared" si="40"/>
        <v>0</v>
      </c>
      <c r="AG12" s="105">
        <f t="shared" si="40"/>
        <v>0</v>
      </c>
      <c r="AH12" s="105">
        <f t="shared" si="40"/>
        <v>0</v>
      </c>
      <c r="AI12" s="105">
        <f t="shared" si="40"/>
        <v>0</v>
      </c>
      <c r="AJ12" s="105">
        <f t="shared" si="40"/>
        <v>0</v>
      </c>
      <c r="AK12" s="105">
        <f t="shared" si="40"/>
        <v>0</v>
      </c>
      <c r="AL12" s="105">
        <f t="shared" si="40"/>
        <v>0</v>
      </c>
      <c r="AM12" s="105">
        <f t="shared" si="40"/>
        <v>0</v>
      </c>
      <c r="AN12" s="105">
        <f t="shared" si="39"/>
        <v>0</v>
      </c>
    </row>
    <row r="13" spans="1:40" s="16" customFormat="1" ht="21" customHeight="1" x14ac:dyDescent="0.2">
      <c r="A13" s="13"/>
      <c r="B13" s="6" t="s">
        <v>23</v>
      </c>
      <c r="C13" s="26"/>
      <c r="D13" s="14"/>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row>
    <row r="14" spans="1:40" s="16" customFormat="1" ht="21" customHeight="1" x14ac:dyDescent="0.2">
      <c r="B14" s="5" t="s">
        <v>49</v>
      </c>
      <c r="C14" s="101">
        <v>0.03</v>
      </c>
      <c r="D14" s="14"/>
      <c r="E14" s="102">
        <v>0</v>
      </c>
      <c r="F14" s="102">
        <v>0</v>
      </c>
      <c r="G14" s="102">
        <v>0</v>
      </c>
      <c r="H14" s="102">
        <v>0</v>
      </c>
      <c r="I14" s="102">
        <v>0</v>
      </c>
      <c r="J14" s="102">
        <v>0</v>
      </c>
      <c r="K14" s="102">
        <v>0</v>
      </c>
      <c r="L14" s="102">
        <v>0</v>
      </c>
      <c r="M14" s="102">
        <v>0</v>
      </c>
      <c r="N14" s="102">
        <v>0</v>
      </c>
      <c r="O14" s="102">
        <v>0</v>
      </c>
      <c r="P14" s="102">
        <v>0</v>
      </c>
      <c r="Q14" s="102">
        <v>0</v>
      </c>
      <c r="R14" s="102">
        <v>0</v>
      </c>
      <c r="S14" s="102">
        <v>0</v>
      </c>
      <c r="T14" s="102">
        <v>0</v>
      </c>
      <c r="U14" s="102">
        <v>0</v>
      </c>
      <c r="V14" s="102">
        <v>0</v>
      </c>
      <c r="W14" s="102">
        <v>0</v>
      </c>
      <c r="X14" s="102">
        <v>0</v>
      </c>
      <c r="Y14" s="102">
        <v>0</v>
      </c>
      <c r="Z14" s="102">
        <v>0</v>
      </c>
      <c r="AA14" s="102">
        <v>0</v>
      </c>
      <c r="AB14" s="102">
        <v>0</v>
      </c>
      <c r="AC14" s="102">
        <v>0</v>
      </c>
      <c r="AD14" s="102">
        <v>0</v>
      </c>
      <c r="AE14" s="102">
        <v>0</v>
      </c>
      <c r="AF14" s="102">
        <v>0</v>
      </c>
      <c r="AG14" s="102">
        <v>0</v>
      </c>
      <c r="AH14" s="102">
        <v>0</v>
      </c>
      <c r="AI14" s="102">
        <v>0</v>
      </c>
      <c r="AJ14" s="102">
        <v>0</v>
      </c>
      <c r="AK14" s="102">
        <v>0</v>
      </c>
      <c r="AL14" s="102">
        <v>0</v>
      </c>
      <c r="AM14" s="102">
        <v>0</v>
      </c>
      <c r="AN14" s="102">
        <v>0</v>
      </c>
    </row>
    <row r="15" spans="1:40" s="16" customFormat="1" ht="21" customHeight="1" x14ac:dyDescent="0.2">
      <c r="B15" s="5" t="s">
        <v>106</v>
      </c>
      <c r="C15" s="101">
        <v>0.03</v>
      </c>
      <c r="D15" s="14"/>
      <c r="E15" s="102">
        <v>0</v>
      </c>
      <c r="F15" s="102">
        <v>0</v>
      </c>
      <c r="G15" s="102">
        <v>0</v>
      </c>
      <c r="H15" s="102">
        <v>0</v>
      </c>
      <c r="I15" s="102">
        <v>0</v>
      </c>
      <c r="J15" s="102">
        <v>0</v>
      </c>
      <c r="K15" s="102">
        <v>0</v>
      </c>
      <c r="L15" s="102">
        <v>0</v>
      </c>
      <c r="M15" s="102">
        <v>0</v>
      </c>
      <c r="N15" s="102">
        <v>0</v>
      </c>
      <c r="O15" s="102">
        <v>0</v>
      </c>
      <c r="P15" s="102">
        <v>0</v>
      </c>
      <c r="Q15" s="102">
        <v>0</v>
      </c>
      <c r="R15" s="102">
        <v>0</v>
      </c>
      <c r="S15" s="102">
        <v>0</v>
      </c>
      <c r="T15" s="102">
        <v>0</v>
      </c>
      <c r="U15" s="102">
        <v>0</v>
      </c>
      <c r="V15" s="102">
        <v>0</v>
      </c>
      <c r="W15" s="102">
        <v>0</v>
      </c>
      <c r="X15" s="102">
        <v>0</v>
      </c>
      <c r="Y15" s="102">
        <v>0</v>
      </c>
      <c r="Z15" s="102">
        <v>0</v>
      </c>
      <c r="AA15" s="102">
        <v>0</v>
      </c>
      <c r="AB15" s="102">
        <v>0</v>
      </c>
      <c r="AC15" s="102">
        <v>0</v>
      </c>
      <c r="AD15" s="102">
        <v>0</v>
      </c>
      <c r="AE15" s="102">
        <v>0</v>
      </c>
      <c r="AF15" s="102">
        <v>0</v>
      </c>
      <c r="AG15" s="102">
        <v>0</v>
      </c>
      <c r="AH15" s="102">
        <v>0</v>
      </c>
      <c r="AI15" s="102">
        <v>0</v>
      </c>
      <c r="AJ15" s="102">
        <v>0</v>
      </c>
      <c r="AK15" s="102">
        <v>0</v>
      </c>
      <c r="AL15" s="102">
        <v>0</v>
      </c>
      <c r="AM15" s="102">
        <v>0</v>
      </c>
      <c r="AN15" s="102">
        <v>0</v>
      </c>
    </row>
    <row r="16" spans="1:40" s="16" customFormat="1" ht="21" customHeight="1" x14ac:dyDescent="0.2">
      <c r="B16" s="5" t="s">
        <v>51</v>
      </c>
      <c r="C16" s="101">
        <v>0.03</v>
      </c>
      <c r="D16" s="14"/>
      <c r="E16" s="102">
        <v>650</v>
      </c>
      <c r="F16" s="103">
        <f t="shared" ref="F16:F17" si="41">E16*(1+$C16)</f>
        <v>669.5</v>
      </c>
      <c r="G16" s="103">
        <f t="shared" ref="G16:G17" si="42">F16*(1+$C16)</f>
        <v>689.58500000000004</v>
      </c>
      <c r="H16" s="103">
        <f>G16*(0.92)</f>
        <v>634.41820000000007</v>
      </c>
      <c r="I16" s="103">
        <f t="shared" ref="I16" si="43">H16*(1+$C16)</f>
        <v>653.45074600000009</v>
      </c>
      <c r="J16" s="103">
        <f t="shared" ref="J16" si="44">I16*(1+$C16)</f>
        <v>673.05426838000017</v>
      </c>
      <c r="K16" s="103">
        <f t="shared" ref="K16:K17" si="45">J16*(1+$C16)</f>
        <v>693.24589643140018</v>
      </c>
      <c r="L16" s="103">
        <f t="shared" ref="L16:L17" si="46">K16*(1+$C16)</f>
        <v>714.04327332434218</v>
      </c>
      <c r="M16" s="103">
        <f t="shared" ref="M16:M17" si="47">L16*(1+$C16)</f>
        <v>735.46457152407243</v>
      </c>
      <c r="N16" s="103">
        <f t="shared" ref="N16:N17" si="48">M16*(1+$C16)</f>
        <v>757.52850866979463</v>
      </c>
      <c r="O16" s="103">
        <f t="shared" ref="O16:O17" si="49">N16*(1+$C16)</f>
        <v>780.25436392988854</v>
      </c>
      <c r="P16" s="103">
        <f>O16*(0.92)</f>
        <v>717.83401481549754</v>
      </c>
      <c r="Q16" s="103">
        <f t="shared" ref="Q16:Q17" si="50">P16*(1+$C16)</f>
        <v>739.36903525996252</v>
      </c>
      <c r="R16" s="103">
        <f t="shared" ref="R16:R17" si="51">Q16*(1+$C16)</f>
        <v>761.55010631776145</v>
      </c>
      <c r="S16" s="103">
        <f t="shared" ref="S16" si="52">R16*(1+$C16)</f>
        <v>784.39660950729433</v>
      </c>
      <c r="T16" s="103">
        <f t="shared" ref="T16" si="53">S16*(1+$C16)</f>
        <v>807.92850779251319</v>
      </c>
      <c r="U16" s="103">
        <f t="shared" ref="U16:U17" si="54">T16*(1+$C16)</f>
        <v>832.16636302628865</v>
      </c>
      <c r="V16" s="103">
        <f t="shared" ref="V16:W16" si="55">U16*(0.92)</f>
        <v>765.59305398418564</v>
      </c>
      <c r="W16" s="103">
        <f t="shared" si="55"/>
        <v>704.34560966545087</v>
      </c>
      <c r="X16" s="103">
        <f t="shared" ref="X16:X17" si="56">W16*(1+$C16)</f>
        <v>725.47597795541446</v>
      </c>
      <c r="Y16" s="103">
        <f t="shared" ref="Y16:Y17" si="57">X16*(1+$C16)</f>
        <v>747.24025729407697</v>
      </c>
      <c r="Z16" s="103">
        <f t="shared" ref="Z16:AA16" si="58">Y16*(0.92)</f>
        <v>687.46103671055084</v>
      </c>
      <c r="AA16" s="103">
        <f t="shared" si="58"/>
        <v>632.46415377370681</v>
      </c>
      <c r="AB16" s="103">
        <f t="shared" ref="AB16:AB17" si="59">AA16*(1+$C16)</f>
        <v>651.43807838691805</v>
      </c>
      <c r="AC16" s="103">
        <f t="shared" ref="AC16" si="60">AB16*(1+$C16)</f>
        <v>670.98122073852562</v>
      </c>
      <c r="AD16" s="103">
        <f t="shared" ref="AD16:AE16" si="61">AC16*(0.92)</f>
        <v>617.30272307944358</v>
      </c>
      <c r="AE16" s="103">
        <f t="shared" si="61"/>
        <v>567.91850523308813</v>
      </c>
      <c r="AF16" s="103">
        <f t="shared" ref="AF16:AF17" si="62">AE16*(1+$C16)</f>
        <v>584.95606039008078</v>
      </c>
      <c r="AG16" s="103">
        <f t="shared" ref="AG16:AG17" si="63">AF16*(1+$C16)</f>
        <v>602.50474220178319</v>
      </c>
      <c r="AH16" s="103">
        <f t="shared" ref="AH16:AH17" si="64">AG16*(1+$C16)</f>
        <v>620.57988446783668</v>
      </c>
      <c r="AI16" s="103">
        <f t="shared" ref="AI16" si="65">AH16*(1+$C16)</f>
        <v>639.19728100187183</v>
      </c>
      <c r="AJ16" s="103">
        <f t="shared" ref="AJ16:AJ17" si="66">AI16*(1+$C16)</f>
        <v>658.37319943192801</v>
      </c>
      <c r="AK16" s="103">
        <f>AJ16*(0.92)</f>
        <v>605.70334347737378</v>
      </c>
      <c r="AL16" s="103">
        <f t="shared" ref="AL16:AL17" si="67">AK16*(1+$C16)</f>
        <v>623.87444378169505</v>
      </c>
      <c r="AM16" s="103">
        <f t="shared" ref="AM16:AM17" si="68">AL16*(1+$C16)</f>
        <v>642.59067709514591</v>
      </c>
      <c r="AN16" s="103">
        <f t="shared" ref="AN16:AN20" si="69">AM16*(1+$C16)</f>
        <v>661.86839740800031</v>
      </c>
    </row>
    <row r="17" spans="2:40" s="16" customFormat="1" ht="21" customHeight="1" x14ac:dyDescent="0.2">
      <c r="B17" s="5" t="s">
        <v>110</v>
      </c>
      <c r="C17" s="101">
        <v>0.03</v>
      </c>
      <c r="D17" s="14"/>
      <c r="E17" s="102">
        <v>2500</v>
      </c>
      <c r="F17" s="103">
        <f t="shared" si="41"/>
        <v>2575</v>
      </c>
      <c r="G17" s="103">
        <f t="shared" si="42"/>
        <v>2652.25</v>
      </c>
      <c r="H17" s="103">
        <f t="shared" ref="H17" si="70">G17*(1+$C17)</f>
        <v>2731.8175000000001</v>
      </c>
      <c r="I17" s="103">
        <f t="shared" ref="I17:J17" si="71">H17*(0.92)</f>
        <v>2513.2721000000001</v>
      </c>
      <c r="J17" s="103">
        <f t="shared" si="71"/>
        <v>2312.2103320000001</v>
      </c>
      <c r="K17" s="103">
        <f t="shared" si="45"/>
        <v>2381.57664196</v>
      </c>
      <c r="L17" s="103">
        <f t="shared" si="46"/>
        <v>2453.0239412188002</v>
      </c>
      <c r="M17" s="103">
        <f t="shared" si="47"/>
        <v>2526.6146594553643</v>
      </c>
      <c r="N17" s="103">
        <f t="shared" si="48"/>
        <v>2602.4130992390251</v>
      </c>
      <c r="O17" s="103">
        <f t="shared" si="49"/>
        <v>2680.4854922161958</v>
      </c>
      <c r="P17" s="103">
        <f t="shared" ref="P17" si="72">O17*(1+$C17)</f>
        <v>2760.9000569826817</v>
      </c>
      <c r="Q17" s="103">
        <f t="shared" si="50"/>
        <v>2843.7270586921622</v>
      </c>
      <c r="R17" s="103">
        <f t="shared" si="51"/>
        <v>2929.0388704529273</v>
      </c>
      <c r="S17" s="103">
        <f t="shared" ref="S17:T17" si="73">R17*(0.92)</f>
        <v>2694.7157608166931</v>
      </c>
      <c r="T17" s="103">
        <f t="shared" si="73"/>
        <v>2479.138499951358</v>
      </c>
      <c r="U17" s="103">
        <f t="shared" si="54"/>
        <v>2553.5126549498987</v>
      </c>
      <c r="V17" s="103">
        <f t="shared" ref="V17" si="74">U17*(1+$C17)</f>
        <v>2630.1180345983958</v>
      </c>
      <c r="W17" s="103">
        <f t="shared" ref="W17" si="75">V17*(1+$C17)</f>
        <v>2709.0215756363477</v>
      </c>
      <c r="X17" s="103">
        <f t="shared" si="56"/>
        <v>2790.2922229054384</v>
      </c>
      <c r="Y17" s="103">
        <f t="shared" si="57"/>
        <v>2874.0009895926014</v>
      </c>
      <c r="Z17" s="103">
        <f t="shared" ref="Z17" si="76">Y17*(1+$C17)</f>
        <v>2960.2210192803796</v>
      </c>
      <c r="AA17" s="103">
        <f t="shared" ref="AA17" si="77">Z17*(1+$C17)</f>
        <v>3049.0276498587909</v>
      </c>
      <c r="AB17" s="103">
        <f t="shared" si="59"/>
        <v>3140.4984793545545</v>
      </c>
      <c r="AC17" s="103">
        <f t="shared" ref="AC17:AD17" si="78">AB17*(0.92)</f>
        <v>2889.2586010061905</v>
      </c>
      <c r="AD17" s="103">
        <f t="shared" si="78"/>
        <v>2658.1179129256952</v>
      </c>
      <c r="AE17" s="103">
        <f t="shared" ref="AE17" si="79">AD17*(1+$C17)</f>
        <v>2737.8614503134663</v>
      </c>
      <c r="AF17" s="103">
        <f t="shared" si="62"/>
        <v>2819.9972938228702</v>
      </c>
      <c r="AG17" s="103">
        <f t="shared" si="63"/>
        <v>2904.5972126375564</v>
      </c>
      <c r="AH17" s="103">
        <f t="shared" si="64"/>
        <v>2991.735129016683</v>
      </c>
      <c r="AI17" s="103">
        <f>AH17*(0.92)</f>
        <v>2752.3963186953483</v>
      </c>
      <c r="AJ17" s="103">
        <f t="shared" si="66"/>
        <v>2834.968208256209</v>
      </c>
      <c r="AK17" s="103">
        <f t="shared" ref="AK17" si="80">AJ17*(1+$C17)</f>
        <v>2920.0172545038954</v>
      </c>
      <c r="AL17" s="103">
        <f t="shared" si="67"/>
        <v>3007.6177721390122</v>
      </c>
      <c r="AM17" s="103">
        <f t="shared" si="68"/>
        <v>3097.8463053031828</v>
      </c>
      <c r="AN17" s="103">
        <f t="shared" si="69"/>
        <v>3190.7816944622782</v>
      </c>
    </row>
    <row r="18" spans="2:40" s="16" customFormat="1" ht="21" customHeight="1" x14ac:dyDescent="0.2">
      <c r="B18" s="5" t="s">
        <v>112</v>
      </c>
      <c r="C18" s="101">
        <v>0.03</v>
      </c>
      <c r="D18" s="14"/>
      <c r="E18" s="102">
        <v>0</v>
      </c>
      <c r="F18" s="102">
        <v>0</v>
      </c>
      <c r="G18" s="102">
        <v>0</v>
      </c>
      <c r="H18" s="102">
        <v>0</v>
      </c>
      <c r="I18" s="102">
        <v>0</v>
      </c>
      <c r="J18" s="102">
        <v>0</v>
      </c>
      <c r="K18" s="102">
        <v>0</v>
      </c>
      <c r="L18" s="102">
        <v>0</v>
      </c>
      <c r="M18" s="102">
        <v>0</v>
      </c>
      <c r="N18" s="102">
        <v>0</v>
      </c>
      <c r="O18" s="102">
        <v>0</v>
      </c>
      <c r="P18" s="102">
        <v>0</v>
      </c>
      <c r="Q18" s="102">
        <v>0</v>
      </c>
      <c r="R18" s="102">
        <v>0</v>
      </c>
      <c r="S18" s="102">
        <v>0</v>
      </c>
      <c r="T18" s="102">
        <v>0</v>
      </c>
      <c r="U18" s="102">
        <v>0</v>
      </c>
      <c r="V18" s="102">
        <v>0</v>
      </c>
      <c r="W18" s="102">
        <v>0</v>
      </c>
      <c r="X18" s="102">
        <v>0</v>
      </c>
      <c r="Y18" s="102">
        <v>0</v>
      </c>
      <c r="Z18" s="102">
        <v>0</v>
      </c>
      <c r="AA18" s="102">
        <v>0</v>
      </c>
      <c r="AB18" s="102">
        <v>0</v>
      </c>
      <c r="AC18" s="102">
        <v>0</v>
      </c>
      <c r="AD18" s="102">
        <v>0</v>
      </c>
      <c r="AE18" s="102">
        <v>0</v>
      </c>
      <c r="AF18" s="102">
        <v>0</v>
      </c>
      <c r="AG18" s="102">
        <v>0</v>
      </c>
      <c r="AH18" s="102">
        <v>0</v>
      </c>
      <c r="AI18" s="102">
        <v>0</v>
      </c>
      <c r="AJ18" s="102">
        <v>0</v>
      </c>
      <c r="AK18" s="102">
        <v>0</v>
      </c>
      <c r="AL18" s="102">
        <v>0</v>
      </c>
      <c r="AM18" s="102">
        <v>0</v>
      </c>
      <c r="AN18" s="102">
        <v>0</v>
      </c>
    </row>
    <row r="19" spans="2:40" s="18" customFormat="1" ht="21" customHeight="1" x14ac:dyDescent="0.2">
      <c r="B19" s="7" t="s">
        <v>114</v>
      </c>
      <c r="C19" s="101">
        <v>0.03</v>
      </c>
      <c r="D19" s="19"/>
      <c r="E19" s="102">
        <v>0</v>
      </c>
      <c r="F19" s="103">
        <f t="shared" ref="F19:F20" si="81">E19*(1+$C19)</f>
        <v>0</v>
      </c>
      <c r="G19" s="103">
        <f t="shared" ref="G19" si="82">F19*(1+$C19)</f>
        <v>0</v>
      </c>
      <c r="H19" s="103">
        <f t="shared" ref="H19" si="83">G19*(1+$C19)</f>
        <v>0</v>
      </c>
      <c r="I19" s="103">
        <f t="shared" ref="I19:I20" si="84">H19*(1+$C19)</f>
        <v>0</v>
      </c>
      <c r="J19" s="103">
        <f t="shared" ref="J19:J20" si="85">I19*(1+$C19)</f>
        <v>0</v>
      </c>
      <c r="K19" s="103">
        <f t="shared" ref="K19:K20" si="86">J19*(1+$C19)</f>
        <v>0</v>
      </c>
      <c r="L19" s="103">
        <f t="shared" ref="L19:L20" si="87">K19*(1+$C19)</f>
        <v>0</v>
      </c>
      <c r="M19" s="103">
        <f t="shared" ref="M19:M20" si="88">L19*(1+$C19)</f>
        <v>0</v>
      </c>
      <c r="N19" s="103">
        <f t="shared" ref="N19:N20" si="89">M19*(1+$C19)</f>
        <v>0</v>
      </c>
      <c r="O19" s="103">
        <f t="shared" ref="O19:O20" si="90">N19*(1+$C19)</f>
        <v>0</v>
      </c>
      <c r="P19" s="103">
        <f t="shared" ref="P19:P20" si="91">O19*(1+$C19)</f>
        <v>0</v>
      </c>
      <c r="Q19" s="103">
        <f t="shared" ref="Q19:Q20" si="92">P19*(1+$C19)</f>
        <v>0</v>
      </c>
      <c r="R19" s="103">
        <f t="shared" ref="R19:R20" si="93">Q19*(1+$C19)</f>
        <v>0</v>
      </c>
      <c r="S19" s="103">
        <f t="shared" ref="S19:S20" si="94">R19*(1+$C19)</f>
        <v>0</v>
      </c>
      <c r="T19" s="103">
        <f t="shared" ref="T19:T20" si="95">S19*(1+$C19)</f>
        <v>0</v>
      </c>
      <c r="U19" s="103">
        <f t="shared" ref="U19:U20" si="96">T19*(1+$C19)</f>
        <v>0</v>
      </c>
      <c r="V19" s="103">
        <f t="shared" ref="V19:V20" si="97">U19*(1+$C19)</f>
        <v>0</v>
      </c>
      <c r="W19" s="103">
        <f t="shared" ref="W19:W20" si="98">V19*(1+$C19)</f>
        <v>0</v>
      </c>
      <c r="X19" s="103">
        <f t="shared" ref="X19:X20" si="99">W19*(1+$C19)</f>
        <v>0</v>
      </c>
      <c r="Y19" s="103">
        <f t="shared" ref="Y19:Y20" si="100">X19*(1+$C19)</f>
        <v>0</v>
      </c>
      <c r="Z19" s="103">
        <f t="shared" ref="Z19:Z20" si="101">Y19*(1+$C19)</f>
        <v>0</v>
      </c>
      <c r="AA19" s="103">
        <f t="shared" ref="AA19:AA20" si="102">Z19*(1+$C19)</f>
        <v>0</v>
      </c>
      <c r="AB19" s="103">
        <f t="shared" ref="AB19:AB20" si="103">AA19*(1+$C19)</f>
        <v>0</v>
      </c>
      <c r="AC19" s="103">
        <f t="shared" ref="AC19:AC20" si="104">AB19*(1+$C19)</f>
        <v>0</v>
      </c>
      <c r="AD19" s="103">
        <f t="shared" ref="AD19:AD20" si="105">AC19*(1+$C19)</f>
        <v>0</v>
      </c>
      <c r="AE19" s="103">
        <f t="shared" ref="AE19:AE20" si="106">AD19*(1+$C19)</f>
        <v>0</v>
      </c>
      <c r="AF19" s="103">
        <f t="shared" ref="AF19:AF20" si="107">AE19*(1+$C19)</f>
        <v>0</v>
      </c>
      <c r="AG19" s="103">
        <f t="shared" ref="AG19:AG20" si="108">AF19*(1+$C19)</f>
        <v>0</v>
      </c>
      <c r="AH19" s="103">
        <f t="shared" ref="AH19:AH20" si="109">AG19*(1+$C19)</f>
        <v>0</v>
      </c>
      <c r="AI19" s="103">
        <f t="shared" ref="AI19:AI20" si="110">AH19*(1+$C19)</f>
        <v>0</v>
      </c>
      <c r="AJ19" s="103">
        <f t="shared" ref="AJ19:AJ20" si="111">AI19*(1+$C19)</f>
        <v>0</v>
      </c>
      <c r="AK19" s="103">
        <f t="shared" ref="AK19:AK20" si="112">AJ19*(1+$C19)</f>
        <v>0</v>
      </c>
      <c r="AL19" s="103">
        <f t="shared" ref="AL19:AL20" si="113">AK19*(1+$C19)</f>
        <v>0</v>
      </c>
      <c r="AM19" s="103">
        <f t="shared" ref="AM19:AM20" si="114">AL19*(1+$C19)</f>
        <v>0</v>
      </c>
      <c r="AN19" s="103">
        <f t="shared" si="69"/>
        <v>0</v>
      </c>
    </row>
    <row r="20" spans="2:40" s="16" customFormat="1" ht="21" customHeight="1" x14ac:dyDescent="0.2">
      <c r="B20" s="8" t="s">
        <v>116</v>
      </c>
      <c r="C20" s="101">
        <v>0.03</v>
      </c>
      <c r="D20" s="14"/>
      <c r="E20" s="102">
        <v>250</v>
      </c>
      <c r="F20" s="103">
        <f t="shared" si="81"/>
        <v>257.5</v>
      </c>
      <c r="G20" s="103">
        <f t="shared" ref="G20:H20" si="115">F20*(0.92)</f>
        <v>236.9</v>
      </c>
      <c r="H20" s="103">
        <f t="shared" si="115"/>
        <v>217.94800000000001</v>
      </c>
      <c r="I20" s="103">
        <f t="shared" si="84"/>
        <v>224.48644000000002</v>
      </c>
      <c r="J20" s="103">
        <f t="shared" si="85"/>
        <v>231.22103320000002</v>
      </c>
      <c r="K20" s="103">
        <f t="shared" si="86"/>
        <v>238.15766419600004</v>
      </c>
      <c r="L20" s="103">
        <f t="shared" si="87"/>
        <v>245.30239412188004</v>
      </c>
      <c r="M20" s="103">
        <f t="shared" si="88"/>
        <v>252.66146594553646</v>
      </c>
      <c r="N20" s="103">
        <f t="shared" si="89"/>
        <v>260.24130992390258</v>
      </c>
      <c r="O20" s="103">
        <f t="shared" si="90"/>
        <v>268.04854922161968</v>
      </c>
      <c r="P20" s="103">
        <f t="shared" si="91"/>
        <v>276.09000569826827</v>
      </c>
      <c r="Q20" s="103">
        <f t="shared" si="92"/>
        <v>284.3727058692163</v>
      </c>
      <c r="R20" s="103">
        <f t="shared" si="93"/>
        <v>292.90388704529278</v>
      </c>
      <c r="S20" s="103">
        <f t="shared" si="94"/>
        <v>301.69100365665156</v>
      </c>
      <c r="T20" s="103">
        <f t="shared" si="95"/>
        <v>310.7417337663511</v>
      </c>
      <c r="U20" s="103">
        <f t="shared" si="96"/>
        <v>320.06398577934164</v>
      </c>
      <c r="V20" s="103">
        <f t="shared" si="97"/>
        <v>329.66590535272189</v>
      </c>
      <c r="W20" s="103">
        <f t="shared" si="98"/>
        <v>339.55588251330357</v>
      </c>
      <c r="X20" s="103">
        <f t="shared" si="99"/>
        <v>349.74255898870268</v>
      </c>
      <c r="Y20" s="103">
        <f t="shared" si="100"/>
        <v>360.23483575836377</v>
      </c>
      <c r="Z20" s="103">
        <f t="shared" si="101"/>
        <v>371.04188083111467</v>
      </c>
      <c r="AA20" s="103">
        <f t="shared" si="102"/>
        <v>382.17313725604811</v>
      </c>
      <c r="AB20" s="103">
        <f t="shared" si="103"/>
        <v>393.63833137372956</v>
      </c>
      <c r="AC20" s="103">
        <f t="shared" si="104"/>
        <v>405.44748131494146</v>
      </c>
      <c r="AD20" s="103">
        <f t="shared" si="105"/>
        <v>417.61090575438971</v>
      </c>
      <c r="AE20" s="103">
        <f t="shared" si="106"/>
        <v>430.1392329270214</v>
      </c>
      <c r="AF20" s="103">
        <f t="shared" si="107"/>
        <v>443.04340991483207</v>
      </c>
      <c r="AG20" s="103">
        <f t="shared" si="108"/>
        <v>456.33471221227705</v>
      </c>
      <c r="AH20" s="103">
        <f t="shared" si="109"/>
        <v>470.0247535786454</v>
      </c>
      <c r="AI20" s="103">
        <f t="shared" si="110"/>
        <v>484.1254961860048</v>
      </c>
      <c r="AJ20" s="103">
        <f t="shared" si="111"/>
        <v>498.64926107158493</v>
      </c>
      <c r="AK20" s="103">
        <f t="shared" si="112"/>
        <v>513.6087389037325</v>
      </c>
      <c r="AL20" s="103">
        <f t="shared" si="113"/>
        <v>529.01700107084446</v>
      </c>
      <c r="AM20" s="103">
        <f t="shared" si="114"/>
        <v>544.88751110296982</v>
      </c>
      <c r="AN20" s="103">
        <f t="shared" si="69"/>
        <v>561.23413643605898</v>
      </c>
    </row>
    <row r="21" spans="2:40" s="16" customFormat="1" ht="21" customHeight="1" x14ac:dyDescent="0.2">
      <c r="B21" s="8" t="s">
        <v>118</v>
      </c>
      <c r="C21" s="101">
        <v>0.03</v>
      </c>
      <c r="D21" s="14"/>
      <c r="E21" s="102">
        <v>0</v>
      </c>
      <c r="F21" s="102">
        <v>0</v>
      </c>
      <c r="G21" s="102">
        <v>0</v>
      </c>
      <c r="H21" s="102">
        <v>0</v>
      </c>
      <c r="I21" s="102">
        <v>0</v>
      </c>
      <c r="J21" s="102">
        <v>0</v>
      </c>
      <c r="K21" s="102">
        <v>0</v>
      </c>
      <c r="L21" s="102">
        <v>0</v>
      </c>
      <c r="M21" s="102">
        <v>0</v>
      </c>
      <c r="N21" s="102">
        <v>0</v>
      </c>
      <c r="O21" s="102">
        <v>0</v>
      </c>
      <c r="P21" s="102">
        <v>0</v>
      </c>
      <c r="Q21" s="102">
        <v>0</v>
      </c>
      <c r="R21" s="102">
        <v>0</v>
      </c>
      <c r="S21" s="102">
        <v>0</v>
      </c>
      <c r="T21" s="102">
        <v>0</v>
      </c>
      <c r="U21" s="102">
        <v>0</v>
      </c>
      <c r="V21" s="102">
        <v>0</v>
      </c>
      <c r="W21" s="102">
        <v>0</v>
      </c>
      <c r="X21" s="102">
        <v>0</v>
      </c>
      <c r="Y21" s="102">
        <v>0</v>
      </c>
      <c r="Z21" s="102">
        <v>0</v>
      </c>
      <c r="AA21" s="102">
        <v>0</v>
      </c>
      <c r="AB21" s="102">
        <v>0</v>
      </c>
      <c r="AC21" s="102">
        <v>0</v>
      </c>
      <c r="AD21" s="102">
        <v>0</v>
      </c>
      <c r="AE21" s="102">
        <v>0</v>
      </c>
      <c r="AF21" s="102">
        <v>0</v>
      </c>
      <c r="AG21" s="102">
        <v>0</v>
      </c>
      <c r="AH21" s="102">
        <v>0</v>
      </c>
      <c r="AI21" s="102">
        <v>0</v>
      </c>
      <c r="AJ21" s="102">
        <v>0</v>
      </c>
      <c r="AK21" s="102">
        <v>0</v>
      </c>
      <c r="AL21" s="102">
        <v>0</v>
      </c>
      <c r="AM21" s="102">
        <v>0</v>
      </c>
      <c r="AN21" s="102">
        <v>0</v>
      </c>
    </row>
    <row r="22" spans="2:40" s="16" customFormat="1" ht="21" customHeight="1" x14ac:dyDescent="0.2">
      <c r="B22" s="8" t="s">
        <v>120</v>
      </c>
      <c r="C22" s="101">
        <v>0.03</v>
      </c>
      <c r="D22" s="14"/>
      <c r="E22" s="102">
        <v>0</v>
      </c>
      <c r="F22" s="102">
        <v>0</v>
      </c>
      <c r="G22" s="102">
        <v>0</v>
      </c>
      <c r="H22" s="102">
        <v>0</v>
      </c>
      <c r="I22" s="102">
        <v>0</v>
      </c>
      <c r="J22" s="102">
        <v>0</v>
      </c>
      <c r="K22" s="102">
        <v>0</v>
      </c>
      <c r="L22" s="102">
        <v>0</v>
      </c>
      <c r="M22" s="102">
        <v>0</v>
      </c>
      <c r="N22" s="102">
        <v>0</v>
      </c>
      <c r="O22" s="102">
        <v>0</v>
      </c>
      <c r="P22" s="102">
        <v>0</v>
      </c>
      <c r="Q22" s="102">
        <v>0</v>
      </c>
      <c r="R22" s="102">
        <v>0</v>
      </c>
      <c r="S22" s="102">
        <v>0</v>
      </c>
      <c r="T22" s="102">
        <v>0</v>
      </c>
      <c r="U22" s="102">
        <v>0</v>
      </c>
      <c r="V22" s="102">
        <v>0</v>
      </c>
      <c r="W22" s="102">
        <v>0</v>
      </c>
      <c r="X22" s="102">
        <v>0</v>
      </c>
      <c r="Y22" s="102">
        <v>0</v>
      </c>
      <c r="Z22" s="102">
        <v>0</v>
      </c>
      <c r="AA22" s="102">
        <v>0</v>
      </c>
      <c r="AB22" s="102">
        <v>0</v>
      </c>
      <c r="AC22" s="102">
        <v>0</v>
      </c>
      <c r="AD22" s="102">
        <v>0</v>
      </c>
      <c r="AE22" s="102">
        <v>0</v>
      </c>
      <c r="AF22" s="102">
        <v>0</v>
      </c>
      <c r="AG22" s="102">
        <v>0</v>
      </c>
      <c r="AH22" s="102">
        <v>0</v>
      </c>
      <c r="AI22" s="102">
        <v>0</v>
      </c>
      <c r="AJ22" s="102">
        <v>0</v>
      </c>
      <c r="AK22" s="102">
        <v>0</v>
      </c>
      <c r="AL22" s="102">
        <v>0</v>
      </c>
      <c r="AM22" s="102">
        <v>0</v>
      </c>
      <c r="AN22" s="102">
        <v>0</v>
      </c>
    </row>
    <row r="23" spans="2:40" s="16" customFormat="1" ht="21" customHeight="1" x14ac:dyDescent="0.2">
      <c r="B23" s="7" t="s">
        <v>147</v>
      </c>
      <c r="C23" s="27"/>
      <c r="D23" s="14"/>
      <c r="E23" s="104">
        <f t="shared" ref="E23:AN23" si="116">SUM(E22, E21, E20 + E19)</f>
        <v>250</v>
      </c>
      <c r="F23" s="104">
        <f t="shared" ref="F23:AM23" si="117">SUM(F22, F21, F20 + F19)</f>
        <v>257.5</v>
      </c>
      <c r="G23" s="104">
        <f t="shared" si="117"/>
        <v>236.9</v>
      </c>
      <c r="H23" s="104">
        <f t="shared" si="117"/>
        <v>217.94800000000001</v>
      </c>
      <c r="I23" s="104">
        <f t="shared" si="117"/>
        <v>224.48644000000002</v>
      </c>
      <c r="J23" s="104">
        <f t="shared" si="117"/>
        <v>231.22103320000002</v>
      </c>
      <c r="K23" s="104">
        <f t="shared" si="117"/>
        <v>238.15766419600004</v>
      </c>
      <c r="L23" s="104">
        <f t="shared" si="117"/>
        <v>245.30239412188004</v>
      </c>
      <c r="M23" s="104">
        <f t="shared" si="117"/>
        <v>252.66146594553646</v>
      </c>
      <c r="N23" s="104">
        <f t="shared" si="117"/>
        <v>260.24130992390258</v>
      </c>
      <c r="O23" s="104">
        <f t="shared" si="117"/>
        <v>268.04854922161968</v>
      </c>
      <c r="P23" s="104">
        <f t="shared" si="117"/>
        <v>276.09000569826827</v>
      </c>
      <c r="Q23" s="104">
        <f t="shared" si="117"/>
        <v>284.3727058692163</v>
      </c>
      <c r="R23" s="104">
        <f t="shared" si="117"/>
        <v>292.90388704529278</v>
      </c>
      <c r="S23" s="104">
        <f t="shared" si="117"/>
        <v>301.69100365665156</v>
      </c>
      <c r="T23" s="104">
        <f t="shared" si="117"/>
        <v>310.7417337663511</v>
      </c>
      <c r="U23" s="104">
        <f t="shared" si="117"/>
        <v>320.06398577934164</v>
      </c>
      <c r="V23" s="104">
        <f t="shared" si="117"/>
        <v>329.66590535272189</v>
      </c>
      <c r="W23" s="104">
        <f t="shared" si="117"/>
        <v>339.55588251330357</v>
      </c>
      <c r="X23" s="104">
        <f t="shared" si="117"/>
        <v>349.74255898870268</v>
      </c>
      <c r="Y23" s="104">
        <f t="shared" si="117"/>
        <v>360.23483575836377</v>
      </c>
      <c r="Z23" s="104">
        <f t="shared" si="117"/>
        <v>371.04188083111467</v>
      </c>
      <c r="AA23" s="104">
        <f t="shared" si="117"/>
        <v>382.17313725604811</v>
      </c>
      <c r="AB23" s="104">
        <f t="shared" si="117"/>
        <v>393.63833137372956</v>
      </c>
      <c r="AC23" s="104">
        <f t="shared" si="117"/>
        <v>405.44748131494146</v>
      </c>
      <c r="AD23" s="104">
        <f t="shared" si="117"/>
        <v>417.61090575438971</v>
      </c>
      <c r="AE23" s="104">
        <f t="shared" si="117"/>
        <v>430.1392329270214</v>
      </c>
      <c r="AF23" s="104">
        <f t="shared" si="117"/>
        <v>443.04340991483207</v>
      </c>
      <c r="AG23" s="104">
        <f t="shared" si="117"/>
        <v>456.33471221227705</v>
      </c>
      <c r="AH23" s="104">
        <f t="shared" si="117"/>
        <v>470.0247535786454</v>
      </c>
      <c r="AI23" s="104">
        <f t="shared" si="117"/>
        <v>484.1254961860048</v>
      </c>
      <c r="AJ23" s="104">
        <f t="shared" si="117"/>
        <v>498.64926107158493</v>
      </c>
      <c r="AK23" s="104">
        <f t="shared" si="117"/>
        <v>513.6087389037325</v>
      </c>
      <c r="AL23" s="104">
        <f t="shared" si="117"/>
        <v>529.01700107084446</v>
      </c>
      <c r="AM23" s="104">
        <f t="shared" si="117"/>
        <v>544.88751110296982</v>
      </c>
      <c r="AN23" s="104">
        <f t="shared" si="116"/>
        <v>561.23413643605898</v>
      </c>
    </row>
    <row r="24" spans="2:40" s="18" customFormat="1" ht="21" customHeight="1" x14ac:dyDescent="0.2">
      <c r="B24" s="7" t="s">
        <v>122</v>
      </c>
      <c r="C24" s="27"/>
      <c r="D24" s="19"/>
      <c r="E24" s="102">
        <v>0</v>
      </c>
      <c r="F24" s="103">
        <f t="shared" ref="F24" si="118">E24*(1+$C24)</f>
        <v>0</v>
      </c>
      <c r="G24" s="103">
        <f t="shared" ref="G24" si="119">F24*(1+$C24)</f>
        <v>0</v>
      </c>
      <c r="H24" s="103">
        <f t="shared" ref="H24" si="120">G24*(1+$C24)</f>
        <v>0</v>
      </c>
      <c r="I24" s="103">
        <f t="shared" ref="I24" si="121">H24*(1+$C24)</f>
        <v>0</v>
      </c>
      <c r="J24" s="103">
        <f t="shared" ref="J24" si="122">I24*(1+$C24)</f>
        <v>0</v>
      </c>
      <c r="K24" s="103">
        <f t="shared" ref="K24" si="123">J24*(1+$C24)</f>
        <v>0</v>
      </c>
      <c r="L24" s="103">
        <f t="shared" ref="L24" si="124">K24*(1+$C24)</f>
        <v>0</v>
      </c>
      <c r="M24" s="103">
        <f t="shared" ref="M24" si="125">L24*(1+$C24)</f>
        <v>0</v>
      </c>
      <c r="N24" s="103">
        <f t="shared" ref="N24" si="126">M24*(1+$C24)</f>
        <v>0</v>
      </c>
      <c r="O24" s="103">
        <f t="shared" ref="O24" si="127">N24*(1+$C24)</f>
        <v>0</v>
      </c>
      <c r="P24" s="103">
        <f t="shared" ref="P24" si="128">O24*(1+$C24)</f>
        <v>0</v>
      </c>
      <c r="Q24" s="103">
        <f t="shared" ref="Q24" si="129">P24*(1+$C24)</f>
        <v>0</v>
      </c>
      <c r="R24" s="103">
        <f t="shared" ref="R24" si="130">Q24*(1+$C24)</f>
        <v>0</v>
      </c>
      <c r="S24" s="103">
        <f t="shared" ref="S24" si="131">R24*(1+$C24)</f>
        <v>0</v>
      </c>
      <c r="T24" s="103">
        <f t="shared" ref="T24" si="132">S24*(1+$C24)</f>
        <v>0</v>
      </c>
      <c r="U24" s="103">
        <f t="shared" ref="U24" si="133">T24*(1+$C24)</f>
        <v>0</v>
      </c>
      <c r="V24" s="103">
        <f t="shared" ref="V24" si="134">U24*(1+$C24)</f>
        <v>0</v>
      </c>
      <c r="W24" s="103">
        <f t="shared" ref="W24" si="135">V24*(1+$C24)</f>
        <v>0</v>
      </c>
      <c r="X24" s="103">
        <f t="shared" ref="X24" si="136">W24*(1+$C24)</f>
        <v>0</v>
      </c>
      <c r="Y24" s="103">
        <f t="shared" ref="Y24" si="137">X24*(1+$C24)</f>
        <v>0</v>
      </c>
      <c r="Z24" s="103">
        <f t="shared" ref="Z24" si="138">Y24*(1+$C24)</f>
        <v>0</v>
      </c>
      <c r="AA24" s="103">
        <f t="shared" ref="AA24" si="139">Z24*(1+$C24)</f>
        <v>0</v>
      </c>
      <c r="AB24" s="103">
        <f t="shared" ref="AB24" si="140">AA24*(1+$C24)</f>
        <v>0</v>
      </c>
      <c r="AC24" s="103">
        <f t="shared" ref="AC24" si="141">AB24*(1+$C24)</f>
        <v>0</v>
      </c>
      <c r="AD24" s="103">
        <f t="shared" ref="AD24" si="142">AC24*(1+$C24)</f>
        <v>0</v>
      </c>
      <c r="AE24" s="103">
        <f t="shared" ref="AE24" si="143">AD24*(1+$C24)</f>
        <v>0</v>
      </c>
      <c r="AF24" s="103">
        <f t="shared" ref="AF24" si="144">AE24*(1+$C24)</f>
        <v>0</v>
      </c>
      <c r="AG24" s="103">
        <f t="shared" ref="AG24" si="145">AF24*(1+$C24)</f>
        <v>0</v>
      </c>
      <c r="AH24" s="103">
        <f t="shared" ref="AH24" si="146">AG24*(1+$C24)</f>
        <v>0</v>
      </c>
      <c r="AI24" s="103">
        <f t="shared" ref="AI24" si="147">AH24*(1+$C24)</f>
        <v>0</v>
      </c>
      <c r="AJ24" s="103">
        <f t="shared" ref="AJ24" si="148">AI24*(1+$C24)</f>
        <v>0</v>
      </c>
      <c r="AK24" s="103">
        <f t="shared" ref="AK24" si="149">AJ24*(1+$C24)</f>
        <v>0</v>
      </c>
      <c r="AL24" s="103">
        <f t="shared" ref="AL24" si="150">AK24*(1+$C24)</f>
        <v>0</v>
      </c>
      <c r="AM24" s="103">
        <f t="shared" ref="AM24" si="151">AL24*(1+$C24)</f>
        <v>0</v>
      </c>
      <c r="AN24" s="103">
        <f t="shared" ref="AN24:AN28" si="152">AM24*(1+$C24)</f>
        <v>0</v>
      </c>
    </row>
    <row r="25" spans="2:40" s="16" customFormat="1" ht="21" customHeight="1" x14ac:dyDescent="0.2">
      <c r="B25" s="8" t="s">
        <v>123</v>
      </c>
      <c r="C25" s="101">
        <v>0.03</v>
      </c>
      <c r="D25" s="14"/>
      <c r="E25" s="102">
        <v>0</v>
      </c>
      <c r="F25" s="102">
        <v>0</v>
      </c>
      <c r="G25" s="102">
        <v>0</v>
      </c>
      <c r="H25" s="102">
        <v>0</v>
      </c>
      <c r="I25" s="102">
        <v>0</v>
      </c>
      <c r="J25" s="102">
        <v>0</v>
      </c>
      <c r="K25" s="102">
        <v>0</v>
      </c>
      <c r="L25" s="102">
        <v>0</v>
      </c>
      <c r="M25" s="102">
        <v>0</v>
      </c>
      <c r="N25" s="102">
        <v>0</v>
      </c>
      <c r="O25" s="102">
        <v>0</v>
      </c>
      <c r="P25" s="102">
        <v>0</v>
      </c>
      <c r="Q25" s="102">
        <v>0</v>
      </c>
      <c r="R25" s="102">
        <v>0</v>
      </c>
      <c r="S25" s="102">
        <v>0</v>
      </c>
      <c r="T25" s="102">
        <v>0</v>
      </c>
      <c r="U25" s="102">
        <v>0</v>
      </c>
      <c r="V25" s="102">
        <v>0</v>
      </c>
      <c r="W25" s="102">
        <v>0</v>
      </c>
      <c r="X25" s="102">
        <v>0</v>
      </c>
      <c r="Y25" s="102">
        <v>0</v>
      </c>
      <c r="Z25" s="102">
        <v>0</v>
      </c>
      <c r="AA25" s="102">
        <v>0</v>
      </c>
      <c r="AB25" s="102">
        <v>0</v>
      </c>
      <c r="AC25" s="102">
        <v>0</v>
      </c>
      <c r="AD25" s="102">
        <v>0</v>
      </c>
      <c r="AE25" s="102">
        <v>0</v>
      </c>
      <c r="AF25" s="102">
        <v>0</v>
      </c>
      <c r="AG25" s="102">
        <v>0</v>
      </c>
      <c r="AH25" s="102">
        <v>0</v>
      </c>
      <c r="AI25" s="102">
        <v>0</v>
      </c>
      <c r="AJ25" s="102">
        <v>0</v>
      </c>
      <c r="AK25" s="102">
        <v>0</v>
      </c>
      <c r="AL25" s="102">
        <v>0</v>
      </c>
      <c r="AM25" s="102">
        <v>0</v>
      </c>
      <c r="AN25" s="102">
        <v>0</v>
      </c>
    </row>
    <row r="26" spans="2:40" s="16" customFormat="1" ht="21" customHeight="1" x14ac:dyDescent="0.2">
      <c r="B26" s="8" t="s">
        <v>124</v>
      </c>
      <c r="C26" s="101">
        <v>0.03</v>
      </c>
      <c r="D26" s="14"/>
      <c r="E26" s="102">
        <v>0</v>
      </c>
      <c r="F26" s="103">
        <f t="shared" ref="F26:F28" si="153">E26*(1+$C26)</f>
        <v>0</v>
      </c>
      <c r="G26" s="103">
        <f t="shared" ref="G26:G28" si="154">F26*(1+$C26)</f>
        <v>0</v>
      </c>
      <c r="H26" s="103">
        <f t="shared" ref="H26:H28" si="155">G26*(1+$C26)</f>
        <v>0</v>
      </c>
      <c r="I26" s="103">
        <f t="shared" ref="I26:I28" si="156">H26*(1+$C26)</f>
        <v>0</v>
      </c>
      <c r="J26" s="103">
        <f t="shared" ref="J26:J28" si="157">I26*(1+$C26)</f>
        <v>0</v>
      </c>
      <c r="K26" s="103">
        <f t="shared" ref="K26:K28" si="158">J26*(1+$C26)</f>
        <v>0</v>
      </c>
      <c r="L26" s="103">
        <f t="shared" ref="L26:L28" si="159">K26*(1+$C26)</f>
        <v>0</v>
      </c>
      <c r="M26" s="103">
        <f t="shared" ref="M26:M27" si="160">L26*(1+$C26)</f>
        <v>0</v>
      </c>
      <c r="N26" s="103">
        <f t="shared" ref="N26:N27" si="161">M26*(1+$C26)</f>
        <v>0</v>
      </c>
      <c r="O26" s="103">
        <f t="shared" ref="O26:O27" si="162">N26*(1+$C26)</f>
        <v>0</v>
      </c>
      <c r="P26" s="103">
        <f t="shared" ref="P26:P28" si="163">O26*(1+$C26)</f>
        <v>0</v>
      </c>
      <c r="Q26" s="103">
        <f t="shared" ref="Q26:Q28" si="164">P26*(1+$C26)</f>
        <v>0</v>
      </c>
      <c r="R26" s="103">
        <f t="shared" ref="R26:R28" si="165">Q26*(1+$C26)</f>
        <v>0</v>
      </c>
      <c r="S26" s="103">
        <f t="shared" ref="S26:S28" si="166">R26*(1+$C26)</f>
        <v>0</v>
      </c>
      <c r="T26" s="103">
        <f t="shared" ref="T26:T28" si="167">S26*(1+$C26)</f>
        <v>0</v>
      </c>
      <c r="U26" s="103">
        <f t="shared" ref="U26:U28" si="168">T26*(1+$C26)</f>
        <v>0</v>
      </c>
      <c r="V26" s="103">
        <f t="shared" ref="V26:V28" si="169">U26*(1+$C26)</f>
        <v>0</v>
      </c>
      <c r="W26" s="103">
        <f t="shared" ref="W26:W28" si="170">V26*(1+$C26)</f>
        <v>0</v>
      </c>
      <c r="X26" s="103">
        <f t="shared" ref="X26:X28" si="171">W26*(1+$C26)</f>
        <v>0</v>
      </c>
      <c r="Y26" s="103">
        <f t="shared" ref="Y26:Y28" si="172">X26*(1+$C26)</f>
        <v>0</v>
      </c>
      <c r="Z26" s="103">
        <f t="shared" ref="Z26:Z27" si="173">Y26*(1+$C26)</f>
        <v>0</v>
      </c>
      <c r="AA26" s="103">
        <f t="shared" ref="AA26:AA27" si="174">Z26*(1+$C26)</f>
        <v>0</v>
      </c>
      <c r="AB26" s="103">
        <f t="shared" ref="AB26:AB28" si="175">AA26*(1+$C26)</f>
        <v>0</v>
      </c>
      <c r="AC26" s="103">
        <f t="shared" ref="AC26:AC28" si="176">AB26*(1+$C26)</f>
        <v>0</v>
      </c>
      <c r="AD26" s="103">
        <f t="shared" ref="AD26:AD28" si="177">AC26*(1+$C26)</f>
        <v>0</v>
      </c>
      <c r="AE26" s="103">
        <f t="shared" ref="AE26:AE28" si="178">AD26*(1+$C26)</f>
        <v>0</v>
      </c>
      <c r="AF26" s="103">
        <f t="shared" ref="AF26:AF28" si="179">AE26*(1+$C26)</f>
        <v>0</v>
      </c>
      <c r="AG26" s="103">
        <f t="shared" ref="AG26:AG27" si="180">AF26*(1+$C26)</f>
        <v>0</v>
      </c>
      <c r="AH26" s="103">
        <f t="shared" ref="AH26:AH28" si="181">AG26*(1+$C26)</f>
        <v>0</v>
      </c>
      <c r="AI26" s="103">
        <f t="shared" ref="AI26:AI28" si="182">AH26*(1+$C26)</f>
        <v>0</v>
      </c>
      <c r="AJ26" s="103">
        <f t="shared" ref="AJ26:AJ28" si="183">AI26*(1+$C26)</f>
        <v>0</v>
      </c>
      <c r="AK26" s="103">
        <f t="shared" ref="AK26:AK28" si="184">AJ26*(1+$C26)</f>
        <v>0</v>
      </c>
      <c r="AL26" s="103">
        <f t="shared" ref="AL26:AL27" si="185">AK26*(1+$C26)</f>
        <v>0</v>
      </c>
      <c r="AM26" s="103">
        <f t="shared" ref="AM26:AM27" si="186">AL26*(1+$C26)</f>
        <v>0</v>
      </c>
      <c r="AN26" s="103">
        <f t="shared" si="152"/>
        <v>0</v>
      </c>
    </row>
    <row r="27" spans="2:40" s="16" customFormat="1" ht="21" customHeight="1" x14ac:dyDescent="0.2">
      <c r="B27" s="8" t="s">
        <v>125</v>
      </c>
      <c r="C27" s="101">
        <v>0.03</v>
      </c>
      <c r="D27" s="14"/>
      <c r="E27" s="102">
        <v>0</v>
      </c>
      <c r="F27" s="103">
        <f t="shared" si="153"/>
        <v>0</v>
      </c>
      <c r="G27" s="103">
        <f t="shared" si="154"/>
        <v>0</v>
      </c>
      <c r="H27" s="103">
        <f t="shared" si="155"/>
        <v>0</v>
      </c>
      <c r="I27" s="103">
        <f t="shared" si="156"/>
        <v>0</v>
      </c>
      <c r="J27" s="103">
        <f t="shared" si="157"/>
        <v>0</v>
      </c>
      <c r="K27" s="103">
        <f t="shared" si="158"/>
        <v>0</v>
      </c>
      <c r="L27" s="103">
        <f t="shared" si="159"/>
        <v>0</v>
      </c>
      <c r="M27" s="103">
        <f t="shared" si="160"/>
        <v>0</v>
      </c>
      <c r="N27" s="103">
        <f t="shared" si="161"/>
        <v>0</v>
      </c>
      <c r="O27" s="103">
        <f t="shared" si="162"/>
        <v>0</v>
      </c>
      <c r="P27" s="103">
        <f t="shared" si="163"/>
        <v>0</v>
      </c>
      <c r="Q27" s="103">
        <f t="shared" si="164"/>
        <v>0</v>
      </c>
      <c r="R27" s="103">
        <f t="shared" si="165"/>
        <v>0</v>
      </c>
      <c r="S27" s="103">
        <f t="shared" si="166"/>
        <v>0</v>
      </c>
      <c r="T27" s="103">
        <f t="shared" si="167"/>
        <v>0</v>
      </c>
      <c r="U27" s="103">
        <f t="shared" si="168"/>
        <v>0</v>
      </c>
      <c r="V27" s="103">
        <f t="shared" si="169"/>
        <v>0</v>
      </c>
      <c r="W27" s="103">
        <f t="shared" si="170"/>
        <v>0</v>
      </c>
      <c r="X27" s="103">
        <f t="shared" si="171"/>
        <v>0</v>
      </c>
      <c r="Y27" s="103">
        <f t="shared" si="172"/>
        <v>0</v>
      </c>
      <c r="Z27" s="103">
        <f t="shared" si="173"/>
        <v>0</v>
      </c>
      <c r="AA27" s="103">
        <f t="shared" si="174"/>
        <v>0</v>
      </c>
      <c r="AB27" s="103">
        <f t="shared" si="175"/>
        <v>0</v>
      </c>
      <c r="AC27" s="103">
        <f t="shared" si="176"/>
        <v>0</v>
      </c>
      <c r="AD27" s="103">
        <f t="shared" si="177"/>
        <v>0</v>
      </c>
      <c r="AE27" s="103">
        <f t="shared" si="178"/>
        <v>0</v>
      </c>
      <c r="AF27" s="103">
        <f t="shared" si="179"/>
        <v>0</v>
      </c>
      <c r="AG27" s="103">
        <f t="shared" si="180"/>
        <v>0</v>
      </c>
      <c r="AH27" s="103">
        <f t="shared" si="181"/>
        <v>0</v>
      </c>
      <c r="AI27" s="103">
        <f t="shared" si="182"/>
        <v>0</v>
      </c>
      <c r="AJ27" s="103">
        <f t="shared" si="183"/>
        <v>0</v>
      </c>
      <c r="AK27" s="103">
        <f t="shared" si="184"/>
        <v>0</v>
      </c>
      <c r="AL27" s="103">
        <f t="shared" si="185"/>
        <v>0</v>
      </c>
      <c r="AM27" s="103">
        <f t="shared" si="186"/>
        <v>0</v>
      </c>
      <c r="AN27" s="103">
        <f t="shared" si="152"/>
        <v>0</v>
      </c>
    </row>
    <row r="28" spans="2:40" s="16" customFormat="1" ht="21" customHeight="1" x14ac:dyDescent="0.2">
      <c r="B28" s="8" t="s">
        <v>126</v>
      </c>
      <c r="C28" s="101">
        <v>0.03</v>
      </c>
      <c r="D28" s="14"/>
      <c r="E28" s="102">
        <v>2000</v>
      </c>
      <c r="F28" s="103">
        <f t="shared" si="153"/>
        <v>2060</v>
      </c>
      <c r="G28" s="103">
        <f t="shared" si="154"/>
        <v>2121.8000000000002</v>
      </c>
      <c r="H28" s="103">
        <f t="shared" si="155"/>
        <v>2185.4540000000002</v>
      </c>
      <c r="I28" s="103">
        <f t="shared" si="156"/>
        <v>2251.0176200000001</v>
      </c>
      <c r="J28" s="103">
        <f t="shared" si="157"/>
        <v>2318.5481486000003</v>
      </c>
      <c r="K28" s="103">
        <f t="shared" si="158"/>
        <v>2388.1045930580003</v>
      </c>
      <c r="L28" s="103">
        <f t="shared" si="159"/>
        <v>2459.7477308497405</v>
      </c>
      <c r="M28" s="103">
        <f t="shared" ref="M28:O28" si="187">L28*(0.92)</f>
        <v>2262.9679123817614</v>
      </c>
      <c r="N28" s="103">
        <f t="shared" si="187"/>
        <v>2081.9304793912206</v>
      </c>
      <c r="O28" s="103">
        <f t="shared" si="187"/>
        <v>1915.3760410399229</v>
      </c>
      <c r="P28" s="103">
        <f t="shared" si="163"/>
        <v>1972.8373222711207</v>
      </c>
      <c r="Q28" s="103">
        <f t="shared" si="164"/>
        <v>2032.0224419392543</v>
      </c>
      <c r="R28" s="103">
        <f t="shared" si="165"/>
        <v>2092.9831151974322</v>
      </c>
      <c r="S28" s="103">
        <f t="shared" si="166"/>
        <v>2155.7726086533553</v>
      </c>
      <c r="T28" s="103">
        <f t="shared" si="167"/>
        <v>2220.445786912956</v>
      </c>
      <c r="U28" s="103">
        <f t="shared" si="168"/>
        <v>2287.0591605203449</v>
      </c>
      <c r="V28" s="103">
        <f t="shared" si="169"/>
        <v>2355.6709353359552</v>
      </c>
      <c r="W28" s="103">
        <f t="shared" si="170"/>
        <v>2426.3410633960339</v>
      </c>
      <c r="X28" s="103">
        <f t="shared" si="171"/>
        <v>2499.1312952979151</v>
      </c>
      <c r="Y28" s="103">
        <f t="shared" si="172"/>
        <v>2574.1052341568525</v>
      </c>
      <c r="Z28" s="103">
        <f t="shared" ref="Z28:AA28" si="188">Y28*(0.92)</f>
        <v>2368.1768154243046</v>
      </c>
      <c r="AA28" s="103">
        <f t="shared" si="188"/>
        <v>2178.7226701903601</v>
      </c>
      <c r="AB28" s="103">
        <f t="shared" si="175"/>
        <v>2244.0843502960711</v>
      </c>
      <c r="AC28" s="103">
        <f t="shared" si="176"/>
        <v>2311.4068808049533</v>
      </c>
      <c r="AD28" s="103">
        <f t="shared" si="177"/>
        <v>2380.7490872291019</v>
      </c>
      <c r="AE28" s="103">
        <f t="shared" si="178"/>
        <v>2452.171559845975</v>
      </c>
      <c r="AF28" s="103">
        <f t="shared" si="179"/>
        <v>2525.7367066413544</v>
      </c>
      <c r="AG28" s="103">
        <f>AF28*(0.92)</f>
        <v>2323.6777701100464</v>
      </c>
      <c r="AH28" s="103">
        <f t="shared" si="181"/>
        <v>2393.3881032133477</v>
      </c>
      <c r="AI28" s="103">
        <f t="shared" si="182"/>
        <v>2465.189746309748</v>
      </c>
      <c r="AJ28" s="103">
        <f t="shared" si="183"/>
        <v>2539.1454386990404</v>
      </c>
      <c r="AK28" s="103">
        <f t="shared" si="184"/>
        <v>2615.3198018600115</v>
      </c>
      <c r="AL28" s="103">
        <f t="shared" ref="AL28:AM28" si="189">AK28*(0.92)</f>
        <v>2406.0942177112106</v>
      </c>
      <c r="AM28" s="103">
        <f t="shared" si="189"/>
        <v>2213.6066802943137</v>
      </c>
      <c r="AN28" s="103">
        <f t="shared" si="152"/>
        <v>2280.0148807031433</v>
      </c>
    </row>
    <row r="29" spans="2:40" s="16" customFormat="1" ht="21" customHeight="1" x14ac:dyDescent="0.2">
      <c r="B29" s="7" t="s">
        <v>148</v>
      </c>
      <c r="C29" s="27"/>
      <c r="D29" s="14"/>
      <c r="E29" s="104">
        <f t="shared" ref="E29:AN29" si="190">SUM(E28, E27, E26, E25 + E24)</f>
        <v>2000</v>
      </c>
      <c r="F29" s="104">
        <f t="shared" ref="F29:AM29" si="191">SUM(F28, F27, F26, F25 + F24)</f>
        <v>2060</v>
      </c>
      <c r="G29" s="104">
        <f t="shared" si="191"/>
        <v>2121.8000000000002</v>
      </c>
      <c r="H29" s="104">
        <f t="shared" si="191"/>
        <v>2185.4540000000002</v>
      </c>
      <c r="I29" s="104">
        <f t="shared" si="191"/>
        <v>2251.0176200000001</v>
      </c>
      <c r="J29" s="104">
        <f t="shared" si="191"/>
        <v>2318.5481486000003</v>
      </c>
      <c r="K29" s="104">
        <f t="shared" si="191"/>
        <v>2388.1045930580003</v>
      </c>
      <c r="L29" s="104">
        <f t="shared" si="191"/>
        <v>2459.7477308497405</v>
      </c>
      <c r="M29" s="104">
        <f t="shared" si="191"/>
        <v>2262.9679123817614</v>
      </c>
      <c r="N29" s="104">
        <f t="shared" si="191"/>
        <v>2081.9304793912206</v>
      </c>
      <c r="O29" s="104">
        <f t="shared" si="191"/>
        <v>1915.3760410399229</v>
      </c>
      <c r="P29" s="104">
        <f t="shared" si="191"/>
        <v>1972.8373222711207</v>
      </c>
      <c r="Q29" s="104">
        <f t="shared" si="191"/>
        <v>2032.0224419392543</v>
      </c>
      <c r="R29" s="104">
        <f t="shared" si="191"/>
        <v>2092.9831151974322</v>
      </c>
      <c r="S29" s="104">
        <f t="shared" si="191"/>
        <v>2155.7726086533553</v>
      </c>
      <c r="T29" s="104">
        <f t="shared" si="191"/>
        <v>2220.445786912956</v>
      </c>
      <c r="U29" s="104">
        <f t="shared" si="191"/>
        <v>2287.0591605203449</v>
      </c>
      <c r="V29" s="104">
        <f t="shared" si="191"/>
        <v>2355.6709353359552</v>
      </c>
      <c r="W29" s="104">
        <f t="shared" si="191"/>
        <v>2426.3410633960339</v>
      </c>
      <c r="X29" s="104">
        <f t="shared" si="191"/>
        <v>2499.1312952979151</v>
      </c>
      <c r="Y29" s="104">
        <f t="shared" si="191"/>
        <v>2574.1052341568525</v>
      </c>
      <c r="Z29" s="104">
        <f t="shared" si="191"/>
        <v>2368.1768154243046</v>
      </c>
      <c r="AA29" s="104">
        <f t="shared" si="191"/>
        <v>2178.7226701903601</v>
      </c>
      <c r="AB29" s="104">
        <f t="shared" si="191"/>
        <v>2244.0843502960711</v>
      </c>
      <c r="AC29" s="104">
        <f t="shared" si="191"/>
        <v>2311.4068808049533</v>
      </c>
      <c r="AD29" s="104">
        <f t="shared" si="191"/>
        <v>2380.7490872291019</v>
      </c>
      <c r="AE29" s="104">
        <f t="shared" si="191"/>
        <v>2452.171559845975</v>
      </c>
      <c r="AF29" s="104">
        <f t="shared" si="191"/>
        <v>2525.7367066413544</v>
      </c>
      <c r="AG29" s="104">
        <f t="shared" si="191"/>
        <v>2323.6777701100464</v>
      </c>
      <c r="AH29" s="104">
        <f t="shared" si="191"/>
        <v>2393.3881032133477</v>
      </c>
      <c r="AI29" s="104">
        <f t="shared" si="191"/>
        <v>2465.189746309748</v>
      </c>
      <c r="AJ29" s="104">
        <f t="shared" si="191"/>
        <v>2539.1454386990404</v>
      </c>
      <c r="AK29" s="104">
        <f t="shared" si="191"/>
        <v>2615.3198018600115</v>
      </c>
      <c r="AL29" s="104">
        <f t="shared" si="191"/>
        <v>2406.0942177112106</v>
      </c>
      <c r="AM29" s="104">
        <f t="shared" si="191"/>
        <v>2213.6066802943137</v>
      </c>
      <c r="AN29" s="104">
        <f t="shared" si="190"/>
        <v>2280.0148807031433</v>
      </c>
    </row>
    <row r="30" spans="2:40" s="18" customFormat="1" ht="21" customHeight="1" x14ac:dyDescent="0.2">
      <c r="B30" s="7" t="s">
        <v>127</v>
      </c>
      <c r="C30" s="101">
        <v>0.03</v>
      </c>
      <c r="D30" s="19"/>
      <c r="E30" s="102">
        <v>0</v>
      </c>
      <c r="F30" s="103">
        <f t="shared" ref="F30:F35" si="192">E30*(1+$C30)</f>
        <v>0</v>
      </c>
      <c r="G30" s="103">
        <f t="shared" ref="G30:G35" si="193">F30*(1+$C30)</f>
        <v>0</v>
      </c>
      <c r="H30" s="103">
        <f t="shared" ref="H30:H35" si="194">G30*(1+$C30)</f>
        <v>0</v>
      </c>
      <c r="I30" s="103">
        <f t="shared" ref="I30:I35" si="195">H30*(1+$C30)</f>
        <v>0</v>
      </c>
      <c r="J30" s="103">
        <f t="shared" ref="J30:J35" si="196">I30*(1+$C30)</f>
        <v>0</v>
      </c>
      <c r="K30" s="103">
        <f t="shared" ref="K30:K35" si="197">J30*(1+$C30)</f>
        <v>0</v>
      </c>
      <c r="L30" s="103">
        <f t="shared" ref="L30:L35" si="198">K30*(1+$C30)</f>
        <v>0</v>
      </c>
      <c r="M30" s="103">
        <f t="shared" ref="M30:M35" si="199">L30*(1+$C30)</f>
        <v>0</v>
      </c>
      <c r="N30" s="103">
        <f t="shared" ref="N30:N35" si="200">M30*(1+$C30)</f>
        <v>0</v>
      </c>
      <c r="O30" s="103">
        <f t="shared" ref="O30:O35" si="201">N30*(1+$C30)</f>
        <v>0</v>
      </c>
      <c r="P30" s="103">
        <f t="shared" ref="P30:P35" si="202">O30*(1+$C30)</f>
        <v>0</v>
      </c>
      <c r="Q30" s="103">
        <f t="shared" ref="Q30:Q35" si="203">P30*(1+$C30)</f>
        <v>0</v>
      </c>
      <c r="R30" s="103">
        <f t="shared" ref="R30:R35" si="204">Q30*(1+$C30)</f>
        <v>0</v>
      </c>
      <c r="S30" s="103">
        <f t="shared" ref="S30:S35" si="205">R30*(1+$C30)</f>
        <v>0</v>
      </c>
      <c r="T30" s="103">
        <f t="shared" ref="T30:T35" si="206">S30*(1+$C30)</f>
        <v>0</v>
      </c>
      <c r="U30" s="103">
        <f t="shared" ref="U30:U35" si="207">T30*(1+$C30)</f>
        <v>0</v>
      </c>
      <c r="V30" s="103">
        <f t="shared" ref="V30:V35" si="208">U30*(1+$C30)</f>
        <v>0</v>
      </c>
      <c r="W30" s="103">
        <f t="shared" ref="W30:W35" si="209">V30*(1+$C30)</f>
        <v>0</v>
      </c>
      <c r="X30" s="103">
        <f t="shared" ref="X30:X35" si="210">W30*(1+$C30)</f>
        <v>0</v>
      </c>
      <c r="Y30" s="103">
        <f t="shared" ref="Y30:Y35" si="211">X30*(1+$C30)</f>
        <v>0</v>
      </c>
      <c r="Z30" s="103">
        <f t="shared" ref="Z30:Z35" si="212">Y30*(1+$C30)</f>
        <v>0</v>
      </c>
      <c r="AA30" s="103">
        <f t="shared" ref="AA30:AA35" si="213">Z30*(1+$C30)</f>
        <v>0</v>
      </c>
      <c r="AB30" s="103">
        <f t="shared" ref="AB30:AB35" si="214">AA30*(1+$C30)</f>
        <v>0</v>
      </c>
      <c r="AC30" s="103">
        <f t="shared" ref="AC30:AC35" si="215">AB30*(1+$C30)</f>
        <v>0</v>
      </c>
      <c r="AD30" s="103">
        <f t="shared" ref="AD30:AD35" si="216">AC30*(1+$C30)</f>
        <v>0</v>
      </c>
      <c r="AE30" s="103">
        <f t="shared" ref="AE30:AE35" si="217">AD30*(1+$C30)</f>
        <v>0</v>
      </c>
      <c r="AF30" s="103">
        <f t="shared" ref="AF30:AF35" si="218">AE30*(1+$C30)</f>
        <v>0</v>
      </c>
      <c r="AG30" s="103">
        <f t="shared" ref="AG30:AG35" si="219">AF30*(1+$C30)</f>
        <v>0</v>
      </c>
      <c r="AH30" s="103">
        <f t="shared" ref="AH30:AH35" si="220">AG30*(1+$C30)</f>
        <v>0</v>
      </c>
      <c r="AI30" s="103">
        <f t="shared" ref="AI30:AI35" si="221">AH30*(1+$C30)</f>
        <v>0</v>
      </c>
      <c r="AJ30" s="103">
        <f t="shared" ref="AJ30:AJ35" si="222">AI30*(1+$C30)</f>
        <v>0</v>
      </c>
      <c r="AK30" s="103">
        <f t="shared" ref="AK30:AK35" si="223">AJ30*(1+$C30)</f>
        <v>0</v>
      </c>
      <c r="AL30" s="103">
        <f t="shared" ref="AL30:AL35" si="224">AK30*(1+$C30)</f>
        <v>0</v>
      </c>
      <c r="AM30" s="103">
        <f t="shared" ref="AM30:AM35" si="225">AL30*(1+$C30)</f>
        <v>0</v>
      </c>
      <c r="AN30" s="103">
        <f t="shared" ref="AN30:AN35" si="226">AM30*(1+$C30)</f>
        <v>0</v>
      </c>
    </row>
    <row r="31" spans="2:40" s="16" customFormat="1" ht="21" customHeight="1" x14ac:dyDescent="0.2">
      <c r="B31" s="8" t="s">
        <v>128</v>
      </c>
      <c r="C31" s="101">
        <v>0.03</v>
      </c>
      <c r="D31" s="14"/>
      <c r="E31" s="102">
        <v>3500</v>
      </c>
      <c r="F31" s="103">
        <f t="shared" si="192"/>
        <v>3605</v>
      </c>
      <c r="G31" s="103">
        <f t="shared" si="193"/>
        <v>3713.15</v>
      </c>
      <c r="H31" s="103">
        <f t="shared" ref="H31:J31" si="227">G31*(0.92)</f>
        <v>3416.0980000000004</v>
      </c>
      <c r="I31" s="103">
        <f t="shared" si="227"/>
        <v>3142.8101600000005</v>
      </c>
      <c r="J31" s="103">
        <f t="shared" si="227"/>
        <v>2891.3853472000005</v>
      </c>
      <c r="K31" s="103">
        <f t="shared" si="197"/>
        <v>2978.1269076160006</v>
      </c>
      <c r="L31" s="103">
        <f t="shared" si="198"/>
        <v>3067.4707148444809</v>
      </c>
      <c r="M31" s="103">
        <f t="shared" si="199"/>
        <v>3159.4948362898153</v>
      </c>
      <c r="N31" s="103">
        <f t="shared" si="200"/>
        <v>3254.2796813785098</v>
      </c>
      <c r="O31" s="103">
        <f t="shared" si="201"/>
        <v>3351.9080718198652</v>
      </c>
      <c r="P31" s="103">
        <f t="shared" si="202"/>
        <v>3452.4653139744614</v>
      </c>
      <c r="Q31" s="103">
        <f t="shared" si="203"/>
        <v>3556.0392733936956</v>
      </c>
      <c r="R31" s="103">
        <f t="shared" si="204"/>
        <v>3662.7204515955063</v>
      </c>
      <c r="S31" s="103">
        <f t="shared" si="205"/>
        <v>3772.6020651433714</v>
      </c>
      <c r="T31" s="103">
        <f t="shared" si="206"/>
        <v>3885.7801270976724</v>
      </c>
      <c r="U31" s="103">
        <f t="shared" si="207"/>
        <v>4002.3535309106028</v>
      </c>
      <c r="V31" s="103">
        <f t="shared" ref="V31:W31" si="228">U31*(0.92)</f>
        <v>3682.1652484377546</v>
      </c>
      <c r="W31" s="103">
        <f t="shared" si="228"/>
        <v>3387.5920285627344</v>
      </c>
      <c r="X31" s="103">
        <f t="shared" si="210"/>
        <v>3489.2197894196165</v>
      </c>
      <c r="Y31" s="103">
        <f t="shared" si="211"/>
        <v>3593.8963831022052</v>
      </c>
      <c r="Z31" s="103">
        <f t="shared" si="212"/>
        <v>3701.7132745952713</v>
      </c>
      <c r="AA31" s="103">
        <f t="shared" ref="AA31:AB31" si="229">Z31*(0.92)</f>
        <v>3405.5762126276495</v>
      </c>
      <c r="AB31" s="103">
        <f t="shared" si="229"/>
        <v>3133.1301156174377</v>
      </c>
      <c r="AC31" s="103">
        <f t="shared" si="215"/>
        <v>3227.1240190859608</v>
      </c>
      <c r="AD31" s="103">
        <f t="shared" si="216"/>
        <v>3323.9377396585396</v>
      </c>
      <c r="AE31" s="103">
        <f t="shared" si="217"/>
        <v>3423.6558718482961</v>
      </c>
      <c r="AF31" s="103">
        <f t="shared" si="218"/>
        <v>3526.3655480037451</v>
      </c>
      <c r="AG31" s="103">
        <f t="shared" si="219"/>
        <v>3632.1565144438573</v>
      </c>
      <c r="AH31" s="103">
        <f t="shared" si="220"/>
        <v>3741.121209877173</v>
      </c>
      <c r="AI31" s="103">
        <f t="shared" si="221"/>
        <v>3853.3548461734881</v>
      </c>
      <c r="AJ31" s="103">
        <f t="shared" si="222"/>
        <v>3968.9554915586928</v>
      </c>
      <c r="AK31" s="103">
        <f t="shared" si="223"/>
        <v>4088.0241563054537</v>
      </c>
      <c r="AL31" s="103">
        <f t="shared" si="224"/>
        <v>4210.6648809946173</v>
      </c>
      <c r="AM31" s="103">
        <f t="shared" si="225"/>
        <v>4336.9848274244559</v>
      </c>
      <c r="AN31" s="103">
        <f t="shared" si="226"/>
        <v>4467.0943722471893</v>
      </c>
    </row>
    <row r="32" spans="2:40" s="16" customFormat="1" ht="21" customHeight="1" x14ac:dyDescent="0.2">
      <c r="B32" s="8" t="s">
        <v>129</v>
      </c>
      <c r="C32" s="101">
        <v>0.03</v>
      </c>
      <c r="D32" s="14"/>
      <c r="E32" s="102">
        <v>350</v>
      </c>
      <c r="F32" s="103">
        <f t="shared" si="192"/>
        <v>360.5</v>
      </c>
      <c r="G32" s="103">
        <f t="shared" si="193"/>
        <v>371.315</v>
      </c>
      <c r="H32" s="103">
        <f t="shared" si="194"/>
        <v>382.45445000000001</v>
      </c>
      <c r="I32" s="103">
        <f t="shared" si="195"/>
        <v>393.92808350000001</v>
      </c>
      <c r="J32" s="103">
        <f t="shared" si="196"/>
        <v>405.745926005</v>
      </c>
      <c r="K32" s="103">
        <f t="shared" si="197"/>
        <v>417.91830378514999</v>
      </c>
      <c r="L32" s="103">
        <f t="shared" si="198"/>
        <v>430.45585289870451</v>
      </c>
      <c r="M32" s="103">
        <f t="shared" si="199"/>
        <v>443.36952848566563</v>
      </c>
      <c r="N32" s="103">
        <f t="shared" si="200"/>
        <v>456.6706143402356</v>
      </c>
      <c r="O32" s="103">
        <f t="shared" si="201"/>
        <v>470.37073277044266</v>
      </c>
      <c r="P32" s="103">
        <f t="shared" si="202"/>
        <v>484.48185475355592</v>
      </c>
      <c r="Q32" s="103">
        <f t="shared" si="203"/>
        <v>499.01631039616262</v>
      </c>
      <c r="R32" s="103">
        <f t="shared" si="204"/>
        <v>513.98679970804756</v>
      </c>
      <c r="S32" s="103">
        <f t="shared" si="205"/>
        <v>529.40640369928894</v>
      </c>
      <c r="T32" s="103">
        <f t="shared" si="206"/>
        <v>545.28859581026768</v>
      </c>
      <c r="U32" s="103">
        <f t="shared" si="207"/>
        <v>561.64725368457573</v>
      </c>
      <c r="V32" s="103">
        <f t="shared" si="208"/>
        <v>578.49667129511306</v>
      </c>
      <c r="W32" s="103">
        <f t="shared" si="209"/>
        <v>595.85157143396646</v>
      </c>
      <c r="X32" s="103">
        <f t="shared" si="210"/>
        <v>613.7271185769855</v>
      </c>
      <c r="Y32" s="103">
        <f t="shared" si="211"/>
        <v>632.13893213429503</v>
      </c>
      <c r="Z32" s="103">
        <f t="shared" si="212"/>
        <v>651.10310009832392</v>
      </c>
      <c r="AA32" s="103">
        <f t="shared" si="213"/>
        <v>670.63619310127365</v>
      </c>
      <c r="AB32" s="103">
        <f t="shared" si="214"/>
        <v>690.75527889431191</v>
      </c>
      <c r="AC32" s="103">
        <f t="shared" si="215"/>
        <v>711.47793726114128</v>
      </c>
      <c r="AD32" s="103">
        <f t="shared" si="216"/>
        <v>732.82227537897552</v>
      </c>
      <c r="AE32" s="103">
        <f t="shared" si="217"/>
        <v>754.8069436403448</v>
      </c>
      <c r="AF32" s="103">
        <f t="shared" si="218"/>
        <v>777.4511519495552</v>
      </c>
      <c r="AG32" s="103">
        <f t="shared" si="219"/>
        <v>800.7746865080419</v>
      </c>
      <c r="AH32" s="103">
        <f t="shared" si="220"/>
        <v>824.7979271032832</v>
      </c>
      <c r="AI32" s="103">
        <f t="shared" si="221"/>
        <v>849.54186491638177</v>
      </c>
      <c r="AJ32" s="103">
        <f t="shared" si="222"/>
        <v>875.02812086387326</v>
      </c>
      <c r="AK32" s="103">
        <f t="shared" si="223"/>
        <v>901.27896448978947</v>
      </c>
      <c r="AL32" s="103">
        <f t="shared" si="224"/>
        <v>928.31733342448319</v>
      </c>
      <c r="AM32" s="103">
        <f t="shared" si="225"/>
        <v>956.16685342721769</v>
      </c>
      <c r="AN32" s="103">
        <f t="shared" si="226"/>
        <v>984.85185903003423</v>
      </c>
    </row>
    <row r="33" spans="2:40" s="16" customFormat="1" ht="21" customHeight="1" x14ac:dyDescent="0.2">
      <c r="B33" s="8" t="s">
        <v>130</v>
      </c>
      <c r="C33" s="101">
        <v>0.03</v>
      </c>
      <c r="D33" s="14"/>
      <c r="E33" s="102">
        <v>350</v>
      </c>
      <c r="F33" s="103">
        <f t="shared" si="192"/>
        <v>360.5</v>
      </c>
      <c r="G33" s="103">
        <f t="shared" si="193"/>
        <v>371.315</v>
      </c>
      <c r="H33" s="103">
        <f t="shared" si="194"/>
        <v>382.45445000000001</v>
      </c>
      <c r="I33" s="103">
        <f t="shared" si="195"/>
        <v>393.92808350000001</v>
      </c>
      <c r="J33" s="103">
        <f t="shared" si="196"/>
        <v>405.745926005</v>
      </c>
      <c r="K33" s="103">
        <f t="shared" si="197"/>
        <v>417.91830378514999</v>
      </c>
      <c r="L33" s="103">
        <f t="shared" si="198"/>
        <v>430.45585289870451</v>
      </c>
      <c r="M33" s="103">
        <f t="shared" si="199"/>
        <v>443.36952848566563</v>
      </c>
      <c r="N33" s="103">
        <f t="shared" si="200"/>
        <v>456.6706143402356</v>
      </c>
      <c r="O33" s="103">
        <f t="shared" si="201"/>
        <v>470.37073277044266</v>
      </c>
      <c r="P33" s="103">
        <f t="shared" si="202"/>
        <v>484.48185475355592</v>
      </c>
      <c r="Q33" s="103">
        <f t="shared" si="203"/>
        <v>499.01631039616262</v>
      </c>
      <c r="R33" s="103">
        <f t="shared" si="204"/>
        <v>513.98679970804756</v>
      </c>
      <c r="S33" s="103">
        <f t="shared" si="205"/>
        <v>529.40640369928894</v>
      </c>
      <c r="T33" s="103">
        <f t="shared" si="206"/>
        <v>545.28859581026768</v>
      </c>
      <c r="U33" s="103">
        <f t="shared" si="207"/>
        <v>561.64725368457573</v>
      </c>
      <c r="V33" s="103">
        <f t="shared" si="208"/>
        <v>578.49667129511306</v>
      </c>
      <c r="W33" s="103">
        <f t="shared" si="209"/>
        <v>595.85157143396646</v>
      </c>
      <c r="X33" s="103">
        <f t="shared" si="210"/>
        <v>613.7271185769855</v>
      </c>
      <c r="Y33" s="103">
        <f t="shared" si="211"/>
        <v>632.13893213429503</v>
      </c>
      <c r="Z33" s="103">
        <f t="shared" si="212"/>
        <v>651.10310009832392</v>
      </c>
      <c r="AA33" s="103">
        <f t="shared" si="213"/>
        <v>670.63619310127365</v>
      </c>
      <c r="AB33" s="103">
        <f t="shared" si="214"/>
        <v>690.75527889431191</v>
      </c>
      <c r="AC33" s="103">
        <f t="shared" si="215"/>
        <v>711.47793726114128</v>
      </c>
      <c r="AD33" s="103">
        <f t="shared" si="216"/>
        <v>732.82227537897552</v>
      </c>
      <c r="AE33" s="103">
        <f t="shared" si="217"/>
        <v>754.8069436403448</v>
      </c>
      <c r="AF33" s="103">
        <f t="shared" si="218"/>
        <v>777.4511519495552</v>
      </c>
      <c r="AG33" s="103">
        <f t="shared" si="219"/>
        <v>800.7746865080419</v>
      </c>
      <c r="AH33" s="103">
        <f t="shared" si="220"/>
        <v>824.7979271032832</v>
      </c>
      <c r="AI33" s="103">
        <f t="shared" si="221"/>
        <v>849.54186491638177</v>
      </c>
      <c r="AJ33" s="103">
        <f t="shared" si="222"/>
        <v>875.02812086387326</v>
      </c>
      <c r="AK33" s="103">
        <f t="shared" si="223"/>
        <v>901.27896448978947</v>
      </c>
      <c r="AL33" s="103">
        <f t="shared" si="224"/>
        <v>928.31733342448319</v>
      </c>
      <c r="AM33" s="103">
        <f t="shared" si="225"/>
        <v>956.16685342721769</v>
      </c>
      <c r="AN33" s="103">
        <f t="shared" si="226"/>
        <v>984.85185903003423</v>
      </c>
    </row>
    <row r="34" spans="2:40" s="16" customFormat="1" ht="21" customHeight="1" x14ac:dyDescent="0.2">
      <c r="B34" s="8" t="s">
        <v>131</v>
      </c>
      <c r="C34" s="101">
        <v>0.03</v>
      </c>
      <c r="D34" s="14"/>
      <c r="E34" s="102">
        <v>25</v>
      </c>
      <c r="F34" s="103">
        <f t="shared" si="192"/>
        <v>25.75</v>
      </c>
      <c r="G34" s="103">
        <f t="shared" si="193"/>
        <v>26.522500000000001</v>
      </c>
      <c r="H34" s="103">
        <f t="shared" si="194"/>
        <v>27.318175</v>
      </c>
      <c r="I34" s="103">
        <f t="shared" si="195"/>
        <v>28.137720250000001</v>
      </c>
      <c r="J34" s="103">
        <f t="shared" si="196"/>
        <v>28.981851857500001</v>
      </c>
      <c r="K34" s="103">
        <f t="shared" si="197"/>
        <v>29.851307413225001</v>
      </c>
      <c r="L34" s="103">
        <f t="shared" si="198"/>
        <v>30.74684663562175</v>
      </c>
      <c r="M34" s="103">
        <f t="shared" si="199"/>
        <v>31.669252034690405</v>
      </c>
      <c r="N34" s="103">
        <f t="shared" si="200"/>
        <v>32.619329595731116</v>
      </c>
      <c r="O34" s="103">
        <f t="shared" si="201"/>
        <v>33.597909483603054</v>
      </c>
      <c r="P34" s="103">
        <f t="shared" si="202"/>
        <v>34.605846768111149</v>
      </c>
      <c r="Q34" s="103">
        <f t="shared" si="203"/>
        <v>35.644022171154482</v>
      </c>
      <c r="R34" s="103">
        <f t="shared" si="204"/>
        <v>36.713342836289115</v>
      </c>
      <c r="S34" s="103">
        <f t="shared" si="205"/>
        <v>37.814743121377788</v>
      </c>
      <c r="T34" s="103">
        <f t="shared" si="206"/>
        <v>38.949185415019123</v>
      </c>
      <c r="U34" s="103">
        <f t="shared" si="207"/>
        <v>40.117660977469697</v>
      </c>
      <c r="V34" s="103">
        <f t="shared" si="208"/>
        <v>41.321190806793787</v>
      </c>
      <c r="W34" s="103">
        <f t="shared" si="209"/>
        <v>42.560826530997602</v>
      </c>
      <c r="X34" s="103">
        <f t="shared" si="210"/>
        <v>43.837651326927528</v>
      </c>
      <c r="Y34" s="103">
        <f t="shared" si="211"/>
        <v>45.152780866735355</v>
      </c>
      <c r="Z34" s="103">
        <f t="shared" si="212"/>
        <v>46.507364292737414</v>
      </c>
      <c r="AA34" s="103">
        <f t="shared" si="213"/>
        <v>47.902585221519537</v>
      </c>
      <c r="AB34" s="103">
        <f t="shared" si="214"/>
        <v>49.339662778165128</v>
      </c>
      <c r="AC34" s="103">
        <f t="shared" si="215"/>
        <v>50.819852661510083</v>
      </c>
      <c r="AD34" s="103">
        <f t="shared" si="216"/>
        <v>52.344448241355387</v>
      </c>
      <c r="AE34" s="103">
        <f t="shared" si="217"/>
        <v>53.914781688596051</v>
      </c>
      <c r="AF34" s="103">
        <f t="shared" si="218"/>
        <v>55.532225139253931</v>
      </c>
      <c r="AG34" s="103">
        <f t="shared" si="219"/>
        <v>57.198191893431549</v>
      </c>
      <c r="AH34" s="103">
        <f t="shared" si="220"/>
        <v>58.914137650234494</v>
      </c>
      <c r="AI34" s="103">
        <f t="shared" si="221"/>
        <v>60.681561779741529</v>
      </c>
      <c r="AJ34" s="103">
        <f t="shared" si="222"/>
        <v>62.502008633133777</v>
      </c>
      <c r="AK34" s="103">
        <f t="shared" si="223"/>
        <v>64.377068892127795</v>
      </c>
      <c r="AL34" s="103">
        <f t="shared" si="224"/>
        <v>66.308380958891632</v>
      </c>
      <c r="AM34" s="103">
        <f t="shared" si="225"/>
        <v>68.297632387658382</v>
      </c>
      <c r="AN34" s="103">
        <f t="shared" si="226"/>
        <v>70.346561359288131</v>
      </c>
    </row>
    <row r="35" spans="2:40" s="16" customFormat="1" ht="21" customHeight="1" x14ac:dyDescent="0.2">
      <c r="B35" s="8" t="s">
        <v>132</v>
      </c>
      <c r="C35" s="101">
        <v>0.03</v>
      </c>
      <c r="D35" s="14"/>
      <c r="E35" s="102">
        <v>0</v>
      </c>
      <c r="F35" s="103">
        <f t="shared" si="192"/>
        <v>0</v>
      </c>
      <c r="G35" s="103">
        <f t="shared" si="193"/>
        <v>0</v>
      </c>
      <c r="H35" s="103">
        <f t="shared" si="194"/>
        <v>0</v>
      </c>
      <c r="I35" s="103">
        <f t="shared" si="195"/>
        <v>0</v>
      </c>
      <c r="J35" s="103">
        <f t="shared" si="196"/>
        <v>0</v>
      </c>
      <c r="K35" s="103">
        <f t="shared" si="197"/>
        <v>0</v>
      </c>
      <c r="L35" s="103">
        <f t="shared" si="198"/>
        <v>0</v>
      </c>
      <c r="M35" s="103">
        <f t="shared" si="199"/>
        <v>0</v>
      </c>
      <c r="N35" s="103">
        <f t="shared" si="200"/>
        <v>0</v>
      </c>
      <c r="O35" s="103">
        <f t="shared" si="201"/>
        <v>0</v>
      </c>
      <c r="P35" s="103">
        <f t="shared" si="202"/>
        <v>0</v>
      </c>
      <c r="Q35" s="103">
        <f t="shared" si="203"/>
        <v>0</v>
      </c>
      <c r="R35" s="103">
        <f t="shared" si="204"/>
        <v>0</v>
      </c>
      <c r="S35" s="103">
        <f t="shared" si="205"/>
        <v>0</v>
      </c>
      <c r="T35" s="103">
        <f t="shared" si="206"/>
        <v>0</v>
      </c>
      <c r="U35" s="103">
        <f t="shared" si="207"/>
        <v>0</v>
      </c>
      <c r="V35" s="103">
        <f t="shared" si="208"/>
        <v>0</v>
      </c>
      <c r="W35" s="103">
        <f t="shared" si="209"/>
        <v>0</v>
      </c>
      <c r="X35" s="103">
        <f t="shared" si="210"/>
        <v>0</v>
      </c>
      <c r="Y35" s="103">
        <f t="shared" si="211"/>
        <v>0</v>
      </c>
      <c r="Z35" s="103">
        <f t="shared" si="212"/>
        <v>0</v>
      </c>
      <c r="AA35" s="103">
        <f t="shared" si="213"/>
        <v>0</v>
      </c>
      <c r="AB35" s="103">
        <f t="shared" si="214"/>
        <v>0</v>
      </c>
      <c r="AC35" s="103">
        <f t="shared" si="215"/>
        <v>0</v>
      </c>
      <c r="AD35" s="103">
        <f t="shared" si="216"/>
        <v>0</v>
      </c>
      <c r="AE35" s="103">
        <f t="shared" si="217"/>
        <v>0</v>
      </c>
      <c r="AF35" s="103">
        <f t="shared" si="218"/>
        <v>0</v>
      </c>
      <c r="AG35" s="103">
        <f t="shared" si="219"/>
        <v>0</v>
      </c>
      <c r="AH35" s="103">
        <f t="shared" si="220"/>
        <v>0</v>
      </c>
      <c r="AI35" s="103">
        <f t="shared" si="221"/>
        <v>0</v>
      </c>
      <c r="AJ35" s="103">
        <f t="shared" si="222"/>
        <v>0</v>
      </c>
      <c r="AK35" s="103">
        <f t="shared" si="223"/>
        <v>0</v>
      </c>
      <c r="AL35" s="103">
        <f t="shared" si="224"/>
        <v>0</v>
      </c>
      <c r="AM35" s="103">
        <f t="shared" si="225"/>
        <v>0</v>
      </c>
      <c r="AN35" s="103">
        <f t="shared" si="226"/>
        <v>0</v>
      </c>
    </row>
    <row r="36" spans="2:40" s="16" customFormat="1" ht="21" customHeight="1" x14ac:dyDescent="0.2">
      <c r="B36" s="7" t="s">
        <v>149</v>
      </c>
      <c r="C36" s="27"/>
      <c r="D36" s="14"/>
      <c r="E36" s="104">
        <f t="shared" ref="E36:AN36" si="230">SUM(E35, E34, E33, E32, E31 + E30)</f>
        <v>4225</v>
      </c>
      <c r="F36" s="104">
        <f t="shared" ref="F36:AM36" si="231">SUM(F35, F34, F33, F32, F31 + F30)</f>
        <v>4351.75</v>
      </c>
      <c r="G36" s="104">
        <f t="shared" si="231"/>
        <v>4482.3024999999998</v>
      </c>
      <c r="H36" s="104">
        <f t="shared" si="231"/>
        <v>4208.3250750000007</v>
      </c>
      <c r="I36" s="104">
        <f t="shared" si="231"/>
        <v>3958.8040472500006</v>
      </c>
      <c r="J36" s="104">
        <f t="shared" si="231"/>
        <v>3731.8590510675003</v>
      </c>
      <c r="K36" s="104">
        <f t="shared" si="231"/>
        <v>3843.8148225995255</v>
      </c>
      <c r="L36" s="104">
        <f t="shared" si="231"/>
        <v>3959.1292672775116</v>
      </c>
      <c r="M36" s="104">
        <f t="shared" si="231"/>
        <v>4077.903145295837</v>
      </c>
      <c r="N36" s="104">
        <f t="shared" si="231"/>
        <v>4200.2402396547122</v>
      </c>
      <c r="O36" s="104">
        <f t="shared" si="231"/>
        <v>4326.2474468443534</v>
      </c>
      <c r="P36" s="104">
        <f t="shared" si="231"/>
        <v>4456.0348702496849</v>
      </c>
      <c r="Q36" s="104">
        <f t="shared" si="231"/>
        <v>4589.715916357175</v>
      </c>
      <c r="R36" s="104">
        <f t="shared" si="231"/>
        <v>4727.4073938478905</v>
      </c>
      <c r="S36" s="104">
        <f t="shared" si="231"/>
        <v>4869.2296156633274</v>
      </c>
      <c r="T36" s="104">
        <f t="shared" si="231"/>
        <v>5015.3065041332266</v>
      </c>
      <c r="U36" s="104">
        <f t="shared" si="231"/>
        <v>5165.7656992572238</v>
      </c>
      <c r="V36" s="104">
        <f t="shared" si="231"/>
        <v>4880.4797818347743</v>
      </c>
      <c r="W36" s="104">
        <f t="shared" si="231"/>
        <v>4621.8559979616648</v>
      </c>
      <c r="X36" s="104">
        <f t="shared" si="231"/>
        <v>4760.5116779005148</v>
      </c>
      <c r="Y36" s="104">
        <f t="shared" si="231"/>
        <v>4903.3270282375306</v>
      </c>
      <c r="Z36" s="104">
        <f t="shared" si="231"/>
        <v>5050.4268390846564</v>
      </c>
      <c r="AA36" s="104">
        <f t="shared" si="231"/>
        <v>4794.7511840517163</v>
      </c>
      <c r="AB36" s="104">
        <f t="shared" si="231"/>
        <v>4563.9803361842269</v>
      </c>
      <c r="AC36" s="104">
        <f t="shared" si="231"/>
        <v>4700.8997462697535</v>
      </c>
      <c r="AD36" s="104">
        <f t="shared" si="231"/>
        <v>4841.9267386578458</v>
      </c>
      <c r="AE36" s="104">
        <f t="shared" si="231"/>
        <v>4987.1845408175814</v>
      </c>
      <c r="AF36" s="104">
        <f t="shared" si="231"/>
        <v>5136.8000770421095</v>
      </c>
      <c r="AG36" s="104">
        <f t="shared" si="231"/>
        <v>5290.9040793533732</v>
      </c>
      <c r="AH36" s="104">
        <f t="shared" si="231"/>
        <v>5449.6312017339733</v>
      </c>
      <c r="AI36" s="104">
        <f t="shared" si="231"/>
        <v>5613.1201377859934</v>
      </c>
      <c r="AJ36" s="104">
        <f t="shared" si="231"/>
        <v>5781.5137419195726</v>
      </c>
      <c r="AK36" s="104">
        <f t="shared" si="231"/>
        <v>5954.9591541771606</v>
      </c>
      <c r="AL36" s="104">
        <f t="shared" si="231"/>
        <v>6133.6079288024757</v>
      </c>
      <c r="AM36" s="104">
        <f t="shared" si="231"/>
        <v>6317.6161666665503</v>
      </c>
      <c r="AN36" s="104">
        <f t="shared" si="230"/>
        <v>6507.1446516665455</v>
      </c>
    </row>
    <row r="37" spans="2:40" s="16" customFormat="1" ht="21" customHeight="1" x14ac:dyDescent="0.2">
      <c r="B37" s="8" t="s">
        <v>133</v>
      </c>
      <c r="C37" s="101">
        <v>0.03</v>
      </c>
      <c r="D37" s="14"/>
      <c r="E37" s="102">
        <v>0</v>
      </c>
      <c r="F37" s="102">
        <v>0</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row>
    <row r="38" spans="2:40" s="18" customFormat="1" ht="21" customHeight="1" x14ac:dyDescent="0.2">
      <c r="B38" s="7" t="s">
        <v>134</v>
      </c>
      <c r="C38" s="101">
        <v>0.03</v>
      </c>
      <c r="D38" s="19"/>
      <c r="E38" s="102">
        <v>0</v>
      </c>
      <c r="F38" s="103">
        <f t="shared" ref="F38:F42" si="232">E38*(1+$C38)</f>
        <v>0</v>
      </c>
      <c r="G38" s="103">
        <f t="shared" ref="G38:G42" si="233">F38*(1+$C38)</f>
        <v>0</v>
      </c>
      <c r="H38" s="103">
        <f t="shared" ref="H38:H42" si="234">G38*(1+$C38)</f>
        <v>0</v>
      </c>
      <c r="I38" s="103">
        <f t="shared" ref="I38:I42" si="235">H38*(1+$C38)</f>
        <v>0</v>
      </c>
      <c r="J38" s="103">
        <f t="shared" ref="J38:J42" si="236">I38*(1+$C38)</f>
        <v>0</v>
      </c>
      <c r="K38" s="103">
        <f t="shared" ref="K38:K42" si="237">J38*(1+$C38)</f>
        <v>0</v>
      </c>
      <c r="L38" s="103">
        <f t="shared" ref="L38:L42" si="238">K38*(1+$C38)</f>
        <v>0</v>
      </c>
      <c r="M38" s="103">
        <f t="shared" ref="M38:M42" si="239">L38*(1+$C38)</f>
        <v>0</v>
      </c>
      <c r="N38" s="103">
        <f t="shared" ref="N38:N42" si="240">M38*(1+$C38)</f>
        <v>0</v>
      </c>
      <c r="O38" s="103">
        <f t="shared" ref="O38:O42" si="241">N38*(1+$C38)</f>
        <v>0</v>
      </c>
      <c r="P38" s="103">
        <f t="shared" ref="P38:P42" si="242">O38*(1+$C38)</f>
        <v>0</v>
      </c>
      <c r="Q38" s="103">
        <f t="shared" ref="Q38:Q42" si="243">P38*(1+$C38)</f>
        <v>0</v>
      </c>
      <c r="R38" s="103">
        <f t="shared" ref="R38:R42" si="244">Q38*(1+$C38)</f>
        <v>0</v>
      </c>
      <c r="S38" s="103">
        <f t="shared" ref="S38:S42" si="245">R38*(1+$C38)</f>
        <v>0</v>
      </c>
      <c r="T38" s="103">
        <f t="shared" ref="T38:T42" si="246">S38*(1+$C38)</f>
        <v>0</v>
      </c>
      <c r="U38" s="103">
        <f t="shared" ref="U38:U42" si="247">T38*(1+$C38)</f>
        <v>0</v>
      </c>
      <c r="V38" s="103">
        <f t="shared" ref="V38:V42" si="248">U38*(1+$C38)</f>
        <v>0</v>
      </c>
      <c r="W38" s="103">
        <f t="shared" ref="W38:W42" si="249">V38*(1+$C38)</f>
        <v>0</v>
      </c>
      <c r="X38" s="103">
        <f t="shared" ref="X38:X42" si="250">W38*(1+$C38)</f>
        <v>0</v>
      </c>
      <c r="Y38" s="103">
        <f t="shared" ref="Y38:Y42" si="251">X38*(1+$C38)</f>
        <v>0</v>
      </c>
      <c r="Z38" s="103">
        <f t="shared" ref="Z38:Z42" si="252">Y38*(1+$C38)</f>
        <v>0</v>
      </c>
      <c r="AA38" s="103">
        <f t="shared" ref="AA38:AA42" si="253">Z38*(1+$C38)</f>
        <v>0</v>
      </c>
      <c r="AB38" s="103">
        <f t="shared" ref="AB38:AB42" si="254">AA38*(1+$C38)</f>
        <v>0</v>
      </c>
      <c r="AC38" s="103">
        <f t="shared" ref="AC38:AC42" si="255">AB38*(1+$C38)</f>
        <v>0</v>
      </c>
      <c r="AD38" s="103">
        <f t="shared" ref="AD38:AD42" si="256">AC38*(1+$C38)</f>
        <v>0</v>
      </c>
      <c r="AE38" s="103">
        <f t="shared" ref="AE38:AE42" si="257">AD38*(1+$C38)</f>
        <v>0</v>
      </c>
      <c r="AF38" s="103">
        <f t="shared" ref="AF38:AF42" si="258">AE38*(1+$C38)</f>
        <v>0</v>
      </c>
      <c r="AG38" s="103">
        <f t="shared" ref="AG38:AG42" si="259">AF38*(1+$C38)</f>
        <v>0</v>
      </c>
      <c r="AH38" s="103">
        <f t="shared" ref="AH38:AH42" si="260">AG38*(1+$C38)</f>
        <v>0</v>
      </c>
      <c r="AI38" s="103">
        <f t="shared" ref="AI38:AI42" si="261">AH38*(1+$C38)</f>
        <v>0</v>
      </c>
      <c r="AJ38" s="103">
        <f t="shared" ref="AJ38:AJ42" si="262">AI38*(1+$C38)</f>
        <v>0</v>
      </c>
      <c r="AK38" s="103">
        <f t="shared" ref="AK38:AK42" si="263">AJ38*(1+$C38)</f>
        <v>0</v>
      </c>
      <c r="AL38" s="103">
        <f t="shared" ref="AL38:AL42" si="264">AK38*(1+$C38)</f>
        <v>0</v>
      </c>
      <c r="AM38" s="103">
        <f t="shared" ref="AM38:AM42" si="265">AL38*(1+$C38)</f>
        <v>0</v>
      </c>
      <c r="AN38" s="103">
        <f t="shared" ref="AN38:AN42" si="266">AM38*(1+$C38)</f>
        <v>0</v>
      </c>
    </row>
    <row r="39" spans="2:40" s="16" customFormat="1" ht="21" customHeight="1" x14ac:dyDescent="0.2">
      <c r="B39" s="8" t="s">
        <v>135</v>
      </c>
      <c r="C39" s="101">
        <v>0.03</v>
      </c>
      <c r="D39" s="14"/>
      <c r="E39" s="102">
        <v>300</v>
      </c>
      <c r="F39" s="103">
        <f t="shared" si="232"/>
        <v>309</v>
      </c>
      <c r="G39" s="103">
        <f t="shared" si="233"/>
        <v>318.27</v>
      </c>
      <c r="H39" s="103">
        <f t="shared" si="234"/>
        <v>327.81810000000002</v>
      </c>
      <c r="I39" s="103">
        <f t="shared" si="235"/>
        <v>337.65264300000001</v>
      </c>
      <c r="J39" s="103">
        <f t="shared" si="236"/>
        <v>347.78222228999999</v>
      </c>
      <c r="K39" s="103">
        <f t="shared" si="237"/>
        <v>358.21568895870001</v>
      </c>
      <c r="L39" s="103">
        <f t="shared" si="238"/>
        <v>368.96215962746101</v>
      </c>
      <c r="M39" s="103">
        <f t="shared" si="239"/>
        <v>380.03102441628482</v>
      </c>
      <c r="N39" s="103">
        <f t="shared" si="240"/>
        <v>391.4319551487734</v>
      </c>
      <c r="O39" s="103">
        <f t="shared" si="241"/>
        <v>403.17491380323662</v>
      </c>
      <c r="P39" s="103">
        <f t="shared" si="242"/>
        <v>415.27016121733374</v>
      </c>
      <c r="Q39" s="103">
        <f t="shared" si="243"/>
        <v>427.72826605385376</v>
      </c>
      <c r="R39" s="103">
        <f t="shared" si="244"/>
        <v>440.56011403546938</v>
      </c>
      <c r="S39" s="103">
        <f t="shared" si="245"/>
        <v>453.77691745653345</v>
      </c>
      <c r="T39" s="103">
        <f t="shared" si="246"/>
        <v>467.39022498022945</v>
      </c>
      <c r="U39" s="103">
        <f t="shared" si="247"/>
        <v>481.41193172963636</v>
      </c>
      <c r="V39" s="103">
        <f t="shared" si="248"/>
        <v>495.85428968152547</v>
      </c>
      <c r="W39" s="103">
        <f t="shared" si="249"/>
        <v>510.72991837197122</v>
      </c>
      <c r="X39" s="103">
        <f t="shared" si="250"/>
        <v>526.05181592313033</v>
      </c>
      <c r="Y39" s="103">
        <f t="shared" si="251"/>
        <v>541.83337040082426</v>
      </c>
      <c r="Z39" s="103">
        <f t="shared" si="252"/>
        <v>558.08837151284899</v>
      </c>
      <c r="AA39" s="103">
        <f t="shared" si="253"/>
        <v>574.83102265823447</v>
      </c>
      <c r="AB39" s="103">
        <f t="shared" si="254"/>
        <v>592.07595333798156</v>
      </c>
      <c r="AC39" s="103">
        <f t="shared" si="255"/>
        <v>609.838231938121</v>
      </c>
      <c r="AD39" s="103">
        <f t="shared" si="256"/>
        <v>628.13337889626462</v>
      </c>
      <c r="AE39" s="103">
        <f t="shared" si="257"/>
        <v>646.97738026315255</v>
      </c>
      <c r="AF39" s="103">
        <f t="shared" si="258"/>
        <v>666.38670167104715</v>
      </c>
      <c r="AG39" s="103">
        <f t="shared" si="259"/>
        <v>686.37830272117856</v>
      </c>
      <c r="AH39" s="103">
        <f t="shared" si="260"/>
        <v>706.96965180281393</v>
      </c>
      <c r="AI39" s="103">
        <f t="shared" si="261"/>
        <v>728.1787413568984</v>
      </c>
      <c r="AJ39" s="103">
        <f t="shared" si="262"/>
        <v>750.0241035976054</v>
      </c>
      <c r="AK39" s="103">
        <f t="shared" si="263"/>
        <v>772.52482670553354</v>
      </c>
      <c r="AL39" s="103">
        <f t="shared" si="264"/>
        <v>795.70057150669959</v>
      </c>
      <c r="AM39" s="103">
        <f t="shared" si="265"/>
        <v>819.57158865190058</v>
      </c>
      <c r="AN39" s="103">
        <f t="shared" si="266"/>
        <v>844.15873631145757</v>
      </c>
    </row>
    <row r="40" spans="2:40" s="16" customFormat="1" ht="21" customHeight="1" x14ac:dyDescent="0.2">
      <c r="B40" s="8" t="s">
        <v>136</v>
      </c>
      <c r="C40" s="101">
        <v>0.03</v>
      </c>
      <c r="D40" s="14"/>
      <c r="E40" s="102">
        <v>200</v>
      </c>
      <c r="F40" s="103">
        <f t="shared" ref="F40:H40" si="267">E40*(0.92)</f>
        <v>184</v>
      </c>
      <c r="G40" s="103">
        <f t="shared" si="267"/>
        <v>169.28</v>
      </c>
      <c r="H40" s="103">
        <f t="shared" si="267"/>
        <v>155.73760000000001</v>
      </c>
      <c r="I40" s="103">
        <f t="shared" si="235"/>
        <v>160.40972800000003</v>
      </c>
      <c r="J40" s="103">
        <f t="shared" si="236"/>
        <v>165.22201984000003</v>
      </c>
      <c r="K40" s="103">
        <f t="shared" si="237"/>
        <v>170.17868043520002</v>
      </c>
      <c r="L40" s="103">
        <f t="shared" si="238"/>
        <v>175.28404084825604</v>
      </c>
      <c r="M40" s="103">
        <f t="shared" si="239"/>
        <v>180.54256207370372</v>
      </c>
      <c r="N40" s="103">
        <f t="shared" si="240"/>
        <v>185.95883893591483</v>
      </c>
      <c r="O40" s="103">
        <f t="shared" si="241"/>
        <v>191.53760410399227</v>
      </c>
      <c r="P40" s="103">
        <f t="shared" si="242"/>
        <v>197.28373222711204</v>
      </c>
      <c r="Q40" s="103">
        <f t="shared" si="243"/>
        <v>203.2022441939254</v>
      </c>
      <c r="R40" s="103">
        <f t="shared" si="244"/>
        <v>209.29831151974315</v>
      </c>
      <c r="S40" s="103">
        <f t="shared" si="245"/>
        <v>215.57726086533546</v>
      </c>
      <c r="T40" s="103">
        <f t="shared" si="246"/>
        <v>222.04457869129553</v>
      </c>
      <c r="U40" s="103">
        <f t="shared" si="247"/>
        <v>228.70591605203441</v>
      </c>
      <c r="V40" s="103">
        <f t="shared" si="248"/>
        <v>235.56709353359545</v>
      </c>
      <c r="W40" s="103">
        <f t="shared" si="249"/>
        <v>242.63410633960333</v>
      </c>
      <c r="X40" s="103">
        <f t="shared" si="250"/>
        <v>249.91312952979143</v>
      </c>
      <c r="Y40" s="103">
        <f t="shared" si="251"/>
        <v>257.41052341568519</v>
      </c>
      <c r="Z40" s="103">
        <f t="shared" si="252"/>
        <v>265.13283911815574</v>
      </c>
      <c r="AA40" s="103">
        <f t="shared" si="253"/>
        <v>273.0868242917004</v>
      </c>
      <c r="AB40" s="103">
        <f t="shared" si="254"/>
        <v>281.2794290204514</v>
      </c>
      <c r="AC40" s="103">
        <f t="shared" si="255"/>
        <v>289.71781189106497</v>
      </c>
      <c r="AD40" s="103">
        <f t="shared" si="256"/>
        <v>298.40934624779692</v>
      </c>
      <c r="AE40" s="103">
        <f t="shared" si="257"/>
        <v>307.36162663523083</v>
      </c>
      <c r="AF40" s="103">
        <f t="shared" si="258"/>
        <v>316.58247543428774</v>
      </c>
      <c r="AG40" s="103">
        <f t="shared" si="259"/>
        <v>326.07994969731641</v>
      </c>
      <c r="AH40" s="103">
        <f t="shared" si="260"/>
        <v>335.8623481882359</v>
      </c>
      <c r="AI40" s="103">
        <f t="shared" si="261"/>
        <v>345.93821863388297</v>
      </c>
      <c r="AJ40" s="103">
        <f t="shared" si="262"/>
        <v>356.31636519289947</v>
      </c>
      <c r="AK40" s="103">
        <f t="shared" si="263"/>
        <v>367.00585614868646</v>
      </c>
      <c r="AL40" s="103">
        <f t="shared" si="264"/>
        <v>378.01603183314705</v>
      </c>
      <c r="AM40" s="103">
        <f t="shared" si="265"/>
        <v>389.35651278814146</v>
      </c>
      <c r="AN40" s="103">
        <f t="shared" si="266"/>
        <v>401.03720817178572</v>
      </c>
    </row>
    <row r="41" spans="2:40" s="16" customFormat="1" ht="21" customHeight="1" x14ac:dyDescent="0.2">
      <c r="B41" s="8" t="s">
        <v>137</v>
      </c>
      <c r="C41" s="101">
        <v>0.03</v>
      </c>
      <c r="D41" s="14"/>
      <c r="E41" s="102">
        <v>200</v>
      </c>
      <c r="F41" s="103">
        <f t="shared" si="232"/>
        <v>206</v>
      </c>
      <c r="G41" s="103">
        <f t="shared" si="233"/>
        <v>212.18</v>
      </c>
      <c r="H41" s="103">
        <f t="shared" si="234"/>
        <v>218.5454</v>
      </c>
      <c r="I41" s="103">
        <f t="shared" si="235"/>
        <v>225.10176200000001</v>
      </c>
      <c r="J41" s="103">
        <f t="shared" si="236"/>
        <v>231.85481486</v>
      </c>
      <c r="K41" s="103">
        <f t="shared" si="237"/>
        <v>238.81045930580001</v>
      </c>
      <c r="L41" s="103">
        <f t="shared" si="238"/>
        <v>245.974773084974</v>
      </c>
      <c r="M41" s="103">
        <f t="shared" si="239"/>
        <v>253.35401627752324</v>
      </c>
      <c r="N41" s="103">
        <f t="shared" si="240"/>
        <v>260.95463676584893</v>
      </c>
      <c r="O41" s="103">
        <f t="shared" si="241"/>
        <v>268.78327586882443</v>
      </c>
      <c r="P41" s="103">
        <f t="shared" si="242"/>
        <v>276.8467741448892</v>
      </c>
      <c r="Q41" s="103">
        <f t="shared" si="243"/>
        <v>285.15217736923586</v>
      </c>
      <c r="R41" s="103">
        <f t="shared" si="244"/>
        <v>293.70674269031292</v>
      </c>
      <c r="S41" s="103">
        <f t="shared" si="245"/>
        <v>302.5179449710223</v>
      </c>
      <c r="T41" s="103">
        <f t="shared" si="246"/>
        <v>311.59348332015298</v>
      </c>
      <c r="U41" s="103">
        <f t="shared" si="247"/>
        <v>320.94128781975758</v>
      </c>
      <c r="V41" s="103">
        <f t="shared" si="248"/>
        <v>330.5695264543503</v>
      </c>
      <c r="W41" s="103">
        <f t="shared" si="249"/>
        <v>340.48661224798082</v>
      </c>
      <c r="X41" s="103">
        <f t="shared" si="250"/>
        <v>350.70121061542022</v>
      </c>
      <c r="Y41" s="103">
        <f t="shared" si="251"/>
        <v>361.22224693388284</v>
      </c>
      <c r="Z41" s="103">
        <f t="shared" si="252"/>
        <v>372.05891434189931</v>
      </c>
      <c r="AA41" s="103">
        <f t="shared" si="253"/>
        <v>383.2206817721563</v>
      </c>
      <c r="AB41" s="103">
        <f t="shared" si="254"/>
        <v>394.71730222532102</v>
      </c>
      <c r="AC41" s="103">
        <f t="shared" si="255"/>
        <v>406.55882129208067</v>
      </c>
      <c r="AD41" s="103">
        <f t="shared" si="256"/>
        <v>418.7555859308431</v>
      </c>
      <c r="AE41" s="103">
        <f t="shared" si="257"/>
        <v>431.31825350876841</v>
      </c>
      <c r="AF41" s="103">
        <f t="shared" si="258"/>
        <v>444.25780111403145</v>
      </c>
      <c r="AG41" s="103">
        <f t="shared" si="259"/>
        <v>457.58553514745239</v>
      </c>
      <c r="AH41" s="103">
        <f t="shared" si="260"/>
        <v>471.31310120187595</v>
      </c>
      <c r="AI41" s="103">
        <f t="shared" si="261"/>
        <v>485.45249423793223</v>
      </c>
      <c r="AJ41" s="103">
        <f t="shared" si="262"/>
        <v>500.01606906507021</v>
      </c>
      <c r="AK41" s="103">
        <f t="shared" si="263"/>
        <v>515.01655113702236</v>
      </c>
      <c r="AL41" s="103">
        <f t="shared" si="264"/>
        <v>530.46704767113306</v>
      </c>
      <c r="AM41" s="103">
        <f t="shared" si="265"/>
        <v>546.38105910126706</v>
      </c>
      <c r="AN41" s="103">
        <f t="shared" si="266"/>
        <v>562.77249087430505</v>
      </c>
    </row>
    <row r="42" spans="2:40" s="16" customFormat="1" ht="21" customHeight="1" x14ac:dyDescent="0.2">
      <c r="B42" s="7" t="s">
        <v>150</v>
      </c>
      <c r="C42" s="27"/>
      <c r="D42" s="14"/>
      <c r="E42" s="103">
        <f t="shared" ref="E42" si="268">SUM(E41, E40, E39 + E38)</f>
        <v>700</v>
      </c>
      <c r="F42" s="103">
        <f t="shared" si="232"/>
        <v>700</v>
      </c>
      <c r="G42" s="103">
        <f t="shared" si="233"/>
        <v>700</v>
      </c>
      <c r="H42" s="103">
        <f t="shared" si="234"/>
        <v>700</v>
      </c>
      <c r="I42" s="103">
        <f t="shared" si="235"/>
        <v>700</v>
      </c>
      <c r="J42" s="103">
        <f t="shared" si="236"/>
        <v>700</v>
      </c>
      <c r="K42" s="103">
        <f t="shared" si="237"/>
        <v>700</v>
      </c>
      <c r="L42" s="103">
        <f t="shared" si="238"/>
        <v>700</v>
      </c>
      <c r="M42" s="103">
        <f t="shared" si="239"/>
        <v>700</v>
      </c>
      <c r="N42" s="103">
        <f t="shared" si="240"/>
        <v>700</v>
      </c>
      <c r="O42" s="103">
        <f t="shared" si="241"/>
        <v>700</v>
      </c>
      <c r="P42" s="103">
        <f t="shared" si="242"/>
        <v>700</v>
      </c>
      <c r="Q42" s="103">
        <f t="shared" si="243"/>
        <v>700</v>
      </c>
      <c r="R42" s="103">
        <f t="shared" si="244"/>
        <v>700</v>
      </c>
      <c r="S42" s="103">
        <f t="shared" si="245"/>
        <v>700</v>
      </c>
      <c r="T42" s="103">
        <f t="shared" si="246"/>
        <v>700</v>
      </c>
      <c r="U42" s="103">
        <f t="shared" si="247"/>
        <v>700</v>
      </c>
      <c r="V42" s="103">
        <f t="shared" si="248"/>
        <v>700</v>
      </c>
      <c r="W42" s="103">
        <f t="shared" si="249"/>
        <v>700</v>
      </c>
      <c r="X42" s="103">
        <f t="shared" si="250"/>
        <v>700</v>
      </c>
      <c r="Y42" s="103">
        <f t="shared" si="251"/>
        <v>700</v>
      </c>
      <c r="Z42" s="103">
        <f t="shared" si="252"/>
        <v>700</v>
      </c>
      <c r="AA42" s="103">
        <f t="shared" si="253"/>
        <v>700</v>
      </c>
      <c r="AB42" s="103">
        <f t="shared" si="254"/>
        <v>700</v>
      </c>
      <c r="AC42" s="103">
        <f t="shared" si="255"/>
        <v>700</v>
      </c>
      <c r="AD42" s="103">
        <f t="shared" si="256"/>
        <v>700</v>
      </c>
      <c r="AE42" s="103">
        <f t="shared" si="257"/>
        <v>700</v>
      </c>
      <c r="AF42" s="103">
        <f t="shared" si="258"/>
        <v>700</v>
      </c>
      <c r="AG42" s="103">
        <f t="shared" si="259"/>
        <v>700</v>
      </c>
      <c r="AH42" s="103">
        <f t="shared" si="260"/>
        <v>700</v>
      </c>
      <c r="AI42" s="103">
        <f t="shared" si="261"/>
        <v>700</v>
      </c>
      <c r="AJ42" s="103">
        <f t="shared" si="262"/>
        <v>700</v>
      </c>
      <c r="AK42" s="103">
        <f t="shared" si="263"/>
        <v>700</v>
      </c>
      <c r="AL42" s="103">
        <f t="shared" si="264"/>
        <v>700</v>
      </c>
      <c r="AM42" s="103">
        <f t="shared" si="265"/>
        <v>700</v>
      </c>
      <c r="AN42" s="103">
        <f t="shared" si="266"/>
        <v>700</v>
      </c>
    </row>
    <row r="43" spans="2:40" s="16" customFormat="1" ht="21" customHeight="1" x14ac:dyDescent="0.2">
      <c r="B43" s="6" t="s">
        <v>151</v>
      </c>
      <c r="C43" s="26"/>
      <c r="D43" s="14"/>
      <c r="E43" s="104">
        <f t="shared" ref="E43:AN43" si="269">SUM(E41, E40, E39, E38, E37, E35, E34, E33, E32, E31, E30, E28, E27, E26, E25, E24, E22, E21, E20, E19, E18, E17, E16, E15, E14 + E13)</f>
        <v>10325</v>
      </c>
      <c r="F43" s="104">
        <f t="shared" ref="F43:AM43" si="270">SUM(F41, F40, F39, F38, F37, F35, F34, F33, F32, F31, F30, F28, F27, F26, F25, F24, F22, F21, F20, F19, F18, F17, F16, F15, F14 + F13)</f>
        <v>10612.75</v>
      </c>
      <c r="G43" s="104">
        <f t="shared" si="270"/>
        <v>10882.567500000001</v>
      </c>
      <c r="H43" s="104">
        <f t="shared" si="270"/>
        <v>10680.063875</v>
      </c>
      <c r="I43" s="104">
        <f t="shared" si="270"/>
        <v>10324.19508625</v>
      </c>
      <c r="J43" s="104">
        <f t="shared" si="270"/>
        <v>10011.751890237501</v>
      </c>
      <c r="K43" s="104">
        <f t="shared" si="270"/>
        <v>10312.104446944628</v>
      </c>
      <c r="L43" s="104">
        <f t="shared" si="270"/>
        <v>10621.467580352964</v>
      </c>
      <c r="M43" s="104">
        <f t="shared" si="270"/>
        <v>10669.539357370084</v>
      </c>
      <c r="N43" s="104">
        <f t="shared" si="270"/>
        <v>10740.699067729192</v>
      </c>
      <c r="O43" s="104">
        <f t="shared" si="270"/>
        <v>10833.907687028033</v>
      </c>
      <c r="P43" s="104">
        <f t="shared" si="270"/>
        <v>11073.096937606588</v>
      </c>
      <c r="Q43" s="104">
        <f t="shared" si="270"/>
        <v>11405.289845734786</v>
      </c>
      <c r="R43" s="104">
        <f t="shared" si="270"/>
        <v>11747.448541106829</v>
      </c>
      <c r="S43" s="104">
        <f t="shared" si="270"/>
        <v>11777.677721590211</v>
      </c>
      <c r="T43" s="104">
        <f t="shared" si="270"/>
        <v>11834.589319548082</v>
      </c>
      <c r="U43" s="104">
        <f t="shared" si="270"/>
        <v>12189.626999134525</v>
      </c>
      <c r="V43" s="104">
        <f t="shared" si="270"/>
        <v>12023.518620775503</v>
      </c>
      <c r="W43" s="104">
        <f t="shared" si="270"/>
        <v>11894.970766132355</v>
      </c>
      <c r="X43" s="104">
        <f t="shared" si="270"/>
        <v>12251.819889116328</v>
      </c>
      <c r="Y43" s="104">
        <f t="shared" si="270"/>
        <v>12619.374485789816</v>
      </c>
      <c r="Z43" s="104">
        <f t="shared" si="270"/>
        <v>12632.60771630391</v>
      </c>
      <c r="AA43" s="104">
        <f t="shared" si="270"/>
        <v>12268.277323852713</v>
      </c>
      <c r="AB43" s="104">
        <f t="shared" si="270"/>
        <v>12261.712260179253</v>
      </c>
      <c r="AC43" s="104">
        <f t="shared" si="270"/>
        <v>12284.10879525563</v>
      </c>
      <c r="AD43" s="104">
        <f t="shared" si="270"/>
        <v>12261.00567872138</v>
      </c>
      <c r="AE43" s="104">
        <f t="shared" si="270"/>
        <v>12560.932549544286</v>
      </c>
      <c r="AF43" s="104">
        <f t="shared" si="270"/>
        <v>12937.760526030614</v>
      </c>
      <c r="AG43" s="104">
        <f t="shared" si="270"/>
        <v>13048.062304080984</v>
      </c>
      <c r="AH43" s="104">
        <f t="shared" si="270"/>
        <v>13439.504173203413</v>
      </c>
      <c r="AI43" s="104">
        <f t="shared" si="270"/>
        <v>13513.598434207681</v>
      </c>
      <c r="AJ43" s="104">
        <f t="shared" si="270"/>
        <v>13919.006387233911</v>
      </c>
      <c r="AK43" s="104">
        <f t="shared" si="270"/>
        <v>14264.155526913415</v>
      </c>
      <c r="AL43" s="104">
        <f t="shared" si="270"/>
        <v>14404.395014516216</v>
      </c>
      <c r="AM43" s="104">
        <f t="shared" si="270"/>
        <v>14571.856501003471</v>
      </c>
      <c r="AN43" s="104">
        <f t="shared" si="269"/>
        <v>15009.012196033573</v>
      </c>
    </row>
    <row r="44" spans="2:40" s="18" customFormat="1" ht="21" customHeight="1" x14ac:dyDescent="0.2">
      <c r="B44" s="6" t="s">
        <v>138</v>
      </c>
      <c r="C44" s="26"/>
      <c r="D44" s="19"/>
      <c r="E44" s="105">
        <f t="shared" ref="E44:AN44" si="271">E12-E43</f>
        <v>-10325</v>
      </c>
      <c r="F44" s="105">
        <f t="shared" ref="F44:AM44" si="272">F12-F43</f>
        <v>-10612.75</v>
      </c>
      <c r="G44" s="105">
        <f t="shared" si="272"/>
        <v>-10882.567500000001</v>
      </c>
      <c r="H44" s="105">
        <f t="shared" si="272"/>
        <v>-10680.063875</v>
      </c>
      <c r="I44" s="105">
        <f t="shared" si="272"/>
        <v>-10324.19508625</v>
      </c>
      <c r="J44" s="105">
        <f t="shared" si="272"/>
        <v>-10011.751890237501</v>
      </c>
      <c r="K44" s="105">
        <f t="shared" si="272"/>
        <v>-10312.104446944628</v>
      </c>
      <c r="L44" s="105">
        <f t="shared" si="272"/>
        <v>-10621.467580352964</v>
      </c>
      <c r="M44" s="105">
        <f t="shared" si="272"/>
        <v>-10669.539357370084</v>
      </c>
      <c r="N44" s="105">
        <f t="shared" si="272"/>
        <v>-10740.699067729192</v>
      </c>
      <c r="O44" s="105">
        <f t="shared" si="272"/>
        <v>-10833.907687028033</v>
      </c>
      <c r="P44" s="105">
        <f t="shared" si="272"/>
        <v>-11073.096937606588</v>
      </c>
      <c r="Q44" s="105">
        <f t="shared" si="272"/>
        <v>-11405.289845734786</v>
      </c>
      <c r="R44" s="105">
        <f t="shared" si="272"/>
        <v>-11747.448541106829</v>
      </c>
      <c r="S44" s="105">
        <f t="shared" si="272"/>
        <v>-11777.677721590211</v>
      </c>
      <c r="T44" s="105">
        <f t="shared" si="272"/>
        <v>-11834.589319548082</v>
      </c>
      <c r="U44" s="105">
        <f t="shared" si="272"/>
        <v>-12189.626999134525</v>
      </c>
      <c r="V44" s="105">
        <f t="shared" si="272"/>
        <v>-12023.518620775503</v>
      </c>
      <c r="W44" s="105">
        <f t="shared" si="272"/>
        <v>-11894.970766132355</v>
      </c>
      <c r="X44" s="105">
        <f t="shared" si="272"/>
        <v>-12251.819889116328</v>
      </c>
      <c r="Y44" s="105">
        <f t="shared" si="272"/>
        <v>-12619.374485789816</v>
      </c>
      <c r="Z44" s="105">
        <f t="shared" si="272"/>
        <v>-12632.60771630391</v>
      </c>
      <c r="AA44" s="105">
        <f t="shared" si="272"/>
        <v>-12268.277323852713</v>
      </c>
      <c r="AB44" s="105">
        <f t="shared" si="272"/>
        <v>-12261.712260179253</v>
      </c>
      <c r="AC44" s="105">
        <f t="shared" si="272"/>
        <v>-12284.10879525563</v>
      </c>
      <c r="AD44" s="105">
        <f t="shared" si="272"/>
        <v>-12261.00567872138</v>
      </c>
      <c r="AE44" s="105">
        <f t="shared" si="272"/>
        <v>-12560.932549544286</v>
      </c>
      <c r="AF44" s="105">
        <f t="shared" si="272"/>
        <v>-12937.760526030614</v>
      </c>
      <c r="AG44" s="105">
        <f t="shared" si="272"/>
        <v>-13048.062304080984</v>
      </c>
      <c r="AH44" s="105">
        <f t="shared" si="272"/>
        <v>-13439.504173203413</v>
      </c>
      <c r="AI44" s="105">
        <f t="shared" si="272"/>
        <v>-13513.598434207681</v>
      </c>
      <c r="AJ44" s="105">
        <f t="shared" si="272"/>
        <v>-13919.006387233911</v>
      </c>
      <c r="AK44" s="105">
        <f t="shared" si="272"/>
        <v>-14264.155526913415</v>
      </c>
      <c r="AL44" s="105">
        <f t="shared" si="272"/>
        <v>-14404.395014516216</v>
      </c>
      <c r="AM44" s="105">
        <f t="shared" si="272"/>
        <v>-14571.856501003471</v>
      </c>
      <c r="AN44" s="105">
        <f t="shared" si="271"/>
        <v>-15009.012196033573</v>
      </c>
    </row>
    <row r="45" spans="2:40" s="16" customFormat="1" ht="21" customHeight="1" x14ac:dyDescent="0.2">
      <c r="B45" s="6" t="s">
        <v>58</v>
      </c>
      <c r="C45" s="101">
        <v>0.03</v>
      </c>
      <c r="D45" s="14"/>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2:40" s="16" customFormat="1" ht="21" customHeight="1" x14ac:dyDescent="0.2">
      <c r="B46" s="5" t="s">
        <v>139</v>
      </c>
      <c r="C46" s="101">
        <v>0.03</v>
      </c>
      <c r="D46" s="14"/>
      <c r="E46" s="102">
        <v>0</v>
      </c>
      <c r="F46" s="103">
        <f t="shared" ref="F46" si="273">E46*(1+$C46)</f>
        <v>0</v>
      </c>
      <c r="G46" s="103">
        <f t="shared" ref="G46" si="274">F46*(1+$C46)</f>
        <v>0</v>
      </c>
      <c r="H46" s="103">
        <f t="shared" ref="H46" si="275">G46*(1+$C46)</f>
        <v>0</v>
      </c>
      <c r="I46" s="103">
        <f t="shared" ref="I46" si="276">H46*(1+$C46)</f>
        <v>0</v>
      </c>
      <c r="J46" s="103">
        <f t="shared" ref="J46" si="277">I46*(1+$C46)</f>
        <v>0</v>
      </c>
      <c r="K46" s="103">
        <f t="shared" ref="K46" si="278">J46*(1+$C46)</f>
        <v>0</v>
      </c>
      <c r="L46" s="103">
        <f t="shared" ref="L46" si="279">K46*(1+$C46)</f>
        <v>0</v>
      </c>
      <c r="M46" s="103">
        <f t="shared" ref="M46" si="280">L46*(1+$C46)</f>
        <v>0</v>
      </c>
      <c r="N46" s="103">
        <f t="shared" ref="N46" si="281">M46*(1+$C46)</f>
        <v>0</v>
      </c>
      <c r="O46" s="103">
        <f t="shared" ref="O46" si="282">N46*(1+$C46)</f>
        <v>0</v>
      </c>
      <c r="P46" s="103">
        <f t="shared" ref="P46" si="283">O46*(1+$C46)</f>
        <v>0</v>
      </c>
      <c r="Q46" s="103">
        <f t="shared" ref="Q46" si="284">P46*(1+$C46)</f>
        <v>0</v>
      </c>
      <c r="R46" s="103">
        <f t="shared" ref="R46" si="285">Q46*(1+$C46)</f>
        <v>0</v>
      </c>
      <c r="S46" s="103">
        <f t="shared" ref="S46" si="286">R46*(1+$C46)</f>
        <v>0</v>
      </c>
      <c r="T46" s="103">
        <f t="shared" ref="T46" si="287">S46*(1+$C46)</f>
        <v>0</v>
      </c>
      <c r="U46" s="103">
        <f t="shared" ref="U46" si="288">T46*(1+$C46)</f>
        <v>0</v>
      </c>
      <c r="V46" s="103">
        <f t="shared" ref="V46" si="289">U46*(1+$C46)</f>
        <v>0</v>
      </c>
      <c r="W46" s="103">
        <f t="shared" ref="W46" si="290">V46*(1+$C46)</f>
        <v>0</v>
      </c>
      <c r="X46" s="103">
        <f t="shared" ref="X46" si="291">W46*(1+$C46)</f>
        <v>0</v>
      </c>
      <c r="Y46" s="103">
        <f t="shared" ref="Y46" si="292">X46*(1+$C46)</f>
        <v>0</v>
      </c>
      <c r="Z46" s="103">
        <f t="shared" ref="Z46" si="293">Y46*(1+$C46)</f>
        <v>0</v>
      </c>
      <c r="AA46" s="103">
        <f t="shared" ref="AA46" si="294">Z46*(1+$C46)</f>
        <v>0</v>
      </c>
      <c r="AB46" s="103">
        <f t="shared" ref="AB46" si="295">AA46*(1+$C46)</f>
        <v>0</v>
      </c>
      <c r="AC46" s="103">
        <f t="shared" ref="AC46" si="296">AB46*(1+$C46)</f>
        <v>0</v>
      </c>
      <c r="AD46" s="103">
        <f t="shared" ref="AD46" si="297">AC46*(1+$C46)</f>
        <v>0</v>
      </c>
      <c r="AE46" s="103">
        <f t="shared" ref="AE46" si="298">AD46*(1+$C46)</f>
        <v>0</v>
      </c>
      <c r="AF46" s="103">
        <f t="shared" ref="AF46" si="299">AE46*(1+$C46)</f>
        <v>0</v>
      </c>
      <c r="AG46" s="103">
        <f t="shared" ref="AG46" si="300">AF46*(1+$C46)</f>
        <v>0</v>
      </c>
      <c r="AH46" s="103">
        <f t="shared" ref="AH46" si="301">AG46*(1+$C46)</f>
        <v>0</v>
      </c>
      <c r="AI46" s="103">
        <f t="shared" ref="AI46" si="302">AH46*(1+$C46)</f>
        <v>0</v>
      </c>
      <c r="AJ46" s="103">
        <f t="shared" ref="AJ46" si="303">AI46*(1+$C46)</f>
        <v>0</v>
      </c>
      <c r="AK46" s="103">
        <f t="shared" ref="AK46" si="304">AJ46*(1+$C46)</f>
        <v>0</v>
      </c>
      <c r="AL46" s="103">
        <f t="shared" ref="AL46" si="305">AK46*(1+$C46)</f>
        <v>0</v>
      </c>
      <c r="AM46" s="103">
        <f t="shared" ref="AM46" si="306">AL46*(1+$C46)</f>
        <v>0</v>
      </c>
      <c r="AN46" s="103">
        <f t="shared" ref="AN46" si="307">AM46*(1+$C46)</f>
        <v>0</v>
      </c>
    </row>
    <row r="47" spans="2:40" s="16" customFormat="1" ht="21" customHeight="1" x14ac:dyDescent="0.2">
      <c r="B47" s="6" t="s">
        <v>152</v>
      </c>
      <c r="C47" s="26"/>
      <c r="D47" s="14"/>
      <c r="E47" s="104">
        <f t="shared" ref="E47:AM47" si="308">SUM(E46 + E45)</f>
        <v>0</v>
      </c>
      <c r="F47" s="104">
        <f t="shared" si="308"/>
        <v>0</v>
      </c>
      <c r="G47" s="104">
        <f t="shared" si="308"/>
        <v>0</v>
      </c>
      <c r="H47" s="104">
        <f t="shared" si="308"/>
        <v>0</v>
      </c>
      <c r="I47" s="104">
        <f t="shared" si="308"/>
        <v>0</v>
      </c>
      <c r="J47" s="104">
        <f t="shared" si="308"/>
        <v>0</v>
      </c>
      <c r="K47" s="104">
        <f t="shared" si="308"/>
        <v>0</v>
      </c>
      <c r="L47" s="104">
        <f t="shared" si="308"/>
        <v>0</v>
      </c>
      <c r="M47" s="104">
        <f t="shared" si="308"/>
        <v>0</v>
      </c>
      <c r="N47" s="104">
        <f t="shared" si="308"/>
        <v>0</v>
      </c>
      <c r="O47" s="104">
        <f t="shared" si="308"/>
        <v>0</v>
      </c>
      <c r="P47" s="104">
        <f t="shared" si="308"/>
        <v>0</v>
      </c>
      <c r="Q47" s="104">
        <f t="shared" si="308"/>
        <v>0</v>
      </c>
      <c r="R47" s="104">
        <f t="shared" si="308"/>
        <v>0</v>
      </c>
      <c r="S47" s="104">
        <f t="shared" si="308"/>
        <v>0</v>
      </c>
      <c r="T47" s="104">
        <f t="shared" si="308"/>
        <v>0</v>
      </c>
      <c r="U47" s="104">
        <f t="shared" si="308"/>
        <v>0</v>
      </c>
      <c r="V47" s="104">
        <f t="shared" si="308"/>
        <v>0</v>
      </c>
      <c r="W47" s="104">
        <f t="shared" si="308"/>
        <v>0</v>
      </c>
      <c r="X47" s="104">
        <f t="shared" si="308"/>
        <v>0</v>
      </c>
      <c r="Y47" s="104">
        <f t="shared" si="308"/>
        <v>0</v>
      </c>
      <c r="Z47" s="104">
        <f t="shared" si="308"/>
        <v>0</v>
      </c>
      <c r="AA47" s="104">
        <f t="shared" si="308"/>
        <v>0</v>
      </c>
      <c r="AB47" s="104">
        <f t="shared" si="308"/>
        <v>0</v>
      </c>
      <c r="AC47" s="104">
        <f t="shared" si="308"/>
        <v>0</v>
      </c>
      <c r="AD47" s="104">
        <f t="shared" si="308"/>
        <v>0</v>
      </c>
      <c r="AE47" s="104">
        <f t="shared" si="308"/>
        <v>0</v>
      </c>
      <c r="AF47" s="104">
        <f t="shared" si="308"/>
        <v>0</v>
      </c>
      <c r="AG47" s="104">
        <f t="shared" si="308"/>
        <v>0</v>
      </c>
      <c r="AH47" s="104">
        <f t="shared" si="308"/>
        <v>0</v>
      </c>
      <c r="AI47" s="104">
        <f t="shared" si="308"/>
        <v>0</v>
      </c>
      <c r="AJ47" s="104">
        <f t="shared" si="308"/>
        <v>0</v>
      </c>
      <c r="AK47" s="104">
        <f t="shared" si="308"/>
        <v>0</v>
      </c>
      <c r="AL47" s="104">
        <f t="shared" si="308"/>
        <v>0</v>
      </c>
      <c r="AM47" s="104">
        <f t="shared" si="308"/>
        <v>0</v>
      </c>
      <c r="AN47" s="104">
        <f t="shared" ref="AN47" si="309">SUM(AN46 + AN45)</f>
        <v>0</v>
      </c>
    </row>
    <row r="48" spans="2:40" s="16" customFormat="1" ht="21" customHeight="1" x14ac:dyDescent="0.2">
      <c r="B48" s="6" t="s">
        <v>59</v>
      </c>
      <c r="C48" s="101">
        <v>0.03</v>
      </c>
      <c r="D48" s="14"/>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row>
    <row r="49" spans="2:40" s="16" customFormat="1" ht="21" customHeight="1" x14ac:dyDescent="0.2">
      <c r="B49" s="5" t="s">
        <v>140</v>
      </c>
      <c r="C49" s="101">
        <v>0.03</v>
      </c>
      <c r="D49" s="14"/>
      <c r="E49" s="102">
        <v>0</v>
      </c>
      <c r="F49" s="102">
        <v>0</v>
      </c>
      <c r="G49" s="102">
        <v>0</v>
      </c>
      <c r="H49" s="102">
        <v>0</v>
      </c>
      <c r="I49" s="102">
        <v>0</v>
      </c>
      <c r="J49" s="102">
        <v>0</v>
      </c>
      <c r="K49" s="102">
        <v>0</v>
      </c>
      <c r="L49" s="102">
        <v>0</v>
      </c>
      <c r="M49" s="102">
        <v>0</v>
      </c>
      <c r="N49" s="102">
        <v>0</v>
      </c>
      <c r="O49" s="102">
        <v>0</v>
      </c>
      <c r="P49" s="102">
        <v>0</v>
      </c>
      <c r="Q49" s="102">
        <v>0</v>
      </c>
      <c r="R49" s="102">
        <v>0</v>
      </c>
      <c r="S49" s="102">
        <v>0</v>
      </c>
      <c r="T49" s="102">
        <v>0</v>
      </c>
      <c r="U49" s="102">
        <v>0</v>
      </c>
      <c r="V49" s="102">
        <v>0</v>
      </c>
      <c r="W49" s="102">
        <v>0</v>
      </c>
      <c r="X49" s="102">
        <v>0</v>
      </c>
      <c r="Y49" s="102">
        <v>0</v>
      </c>
      <c r="Z49" s="102">
        <v>0</v>
      </c>
      <c r="AA49" s="102">
        <v>0</v>
      </c>
      <c r="AB49" s="102">
        <v>0</v>
      </c>
      <c r="AC49" s="102">
        <v>0</v>
      </c>
      <c r="AD49" s="102">
        <v>0</v>
      </c>
      <c r="AE49" s="102">
        <v>0</v>
      </c>
      <c r="AF49" s="102">
        <v>0</v>
      </c>
      <c r="AG49" s="102">
        <v>0</v>
      </c>
      <c r="AH49" s="102">
        <v>0</v>
      </c>
      <c r="AI49" s="102">
        <v>0</v>
      </c>
      <c r="AJ49" s="102">
        <v>0</v>
      </c>
      <c r="AK49" s="102">
        <v>0</v>
      </c>
      <c r="AL49" s="102">
        <v>0</v>
      </c>
      <c r="AM49" s="102">
        <v>0</v>
      </c>
      <c r="AN49" s="102">
        <v>0</v>
      </c>
    </row>
    <row r="50" spans="2:40" s="16" customFormat="1" ht="21" customHeight="1" x14ac:dyDescent="0.2">
      <c r="B50" s="5" t="s">
        <v>60</v>
      </c>
      <c r="C50" s="101">
        <v>0.03</v>
      </c>
      <c r="D50" s="14"/>
      <c r="E50" s="102">
        <v>0</v>
      </c>
      <c r="F50" s="102">
        <v>0</v>
      </c>
      <c r="G50" s="102">
        <v>0</v>
      </c>
      <c r="H50" s="102">
        <v>0</v>
      </c>
      <c r="I50" s="102">
        <v>0</v>
      </c>
      <c r="J50" s="102">
        <v>0</v>
      </c>
      <c r="K50" s="102">
        <v>0</v>
      </c>
      <c r="L50" s="102">
        <v>0</v>
      </c>
      <c r="M50" s="102">
        <v>0</v>
      </c>
      <c r="N50" s="102">
        <v>0</v>
      </c>
      <c r="O50" s="102">
        <v>0</v>
      </c>
      <c r="P50" s="102">
        <v>0</v>
      </c>
      <c r="Q50" s="102">
        <v>0</v>
      </c>
      <c r="R50" s="102">
        <v>0</v>
      </c>
      <c r="S50" s="102">
        <v>0</v>
      </c>
      <c r="T50" s="102">
        <v>0</v>
      </c>
      <c r="U50" s="102">
        <v>0</v>
      </c>
      <c r="V50" s="102">
        <v>0</v>
      </c>
      <c r="W50" s="102">
        <v>0</v>
      </c>
      <c r="X50" s="102">
        <v>0</v>
      </c>
      <c r="Y50" s="102">
        <v>0</v>
      </c>
      <c r="Z50" s="102">
        <v>0</v>
      </c>
      <c r="AA50" s="102">
        <v>0</v>
      </c>
      <c r="AB50" s="102">
        <v>0</v>
      </c>
      <c r="AC50" s="102">
        <v>0</v>
      </c>
      <c r="AD50" s="102">
        <v>0</v>
      </c>
      <c r="AE50" s="102">
        <v>0</v>
      </c>
      <c r="AF50" s="102">
        <v>0</v>
      </c>
      <c r="AG50" s="102">
        <v>0</v>
      </c>
      <c r="AH50" s="102">
        <v>0</v>
      </c>
      <c r="AI50" s="102">
        <v>0</v>
      </c>
      <c r="AJ50" s="102">
        <v>0</v>
      </c>
      <c r="AK50" s="102">
        <v>0</v>
      </c>
      <c r="AL50" s="102">
        <v>0</v>
      </c>
      <c r="AM50" s="102">
        <v>0</v>
      </c>
      <c r="AN50" s="102">
        <v>0</v>
      </c>
    </row>
    <row r="51" spans="2:40" s="16" customFormat="1" ht="21" customHeight="1" x14ac:dyDescent="0.2">
      <c r="B51" s="6" t="s">
        <v>153</v>
      </c>
      <c r="C51" s="6"/>
      <c r="D51" s="14"/>
      <c r="E51" s="104">
        <f t="shared" ref="E51:AN51" si="310">SUM(E50, E49 + E48)</f>
        <v>0</v>
      </c>
      <c r="F51" s="104">
        <f t="shared" ref="F51:AM51" si="311">SUM(F50, F49 + F48)</f>
        <v>0</v>
      </c>
      <c r="G51" s="104">
        <f t="shared" si="311"/>
        <v>0</v>
      </c>
      <c r="H51" s="104">
        <f t="shared" si="311"/>
        <v>0</v>
      </c>
      <c r="I51" s="104">
        <f t="shared" si="311"/>
        <v>0</v>
      </c>
      <c r="J51" s="104">
        <f t="shared" si="311"/>
        <v>0</v>
      </c>
      <c r="K51" s="104">
        <f t="shared" si="311"/>
        <v>0</v>
      </c>
      <c r="L51" s="104">
        <f t="shared" si="311"/>
        <v>0</v>
      </c>
      <c r="M51" s="104">
        <f t="shared" si="311"/>
        <v>0</v>
      </c>
      <c r="N51" s="104">
        <f t="shared" si="311"/>
        <v>0</v>
      </c>
      <c r="O51" s="104">
        <f t="shared" si="311"/>
        <v>0</v>
      </c>
      <c r="P51" s="104">
        <f t="shared" si="311"/>
        <v>0</v>
      </c>
      <c r="Q51" s="104">
        <f t="shared" si="311"/>
        <v>0</v>
      </c>
      <c r="R51" s="104">
        <f t="shared" si="311"/>
        <v>0</v>
      </c>
      <c r="S51" s="104">
        <f t="shared" si="311"/>
        <v>0</v>
      </c>
      <c r="T51" s="104">
        <f t="shared" si="311"/>
        <v>0</v>
      </c>
      <c r="U51" s="104">
        <f t="shared" si="311"/>
        <v>0</v>
      </c>
      <c r="V51" s="104">
        <f t="shared" si="311"/>
        <v>0</v>
      </c>
      <c r="W51" s="104">
        <f t="shared" si="311"/>
        <v>0</v>
      </c>
      <c r="X51" s="104">
        <f t="shared" si="311"/>
        <v>0</v>
      </c>
      <c r="Y51" s="104">
        <f t="shared" si="311"/>
        <v>0</v>
      </c>
      <c r="Z51" s="104">
        <f t="shared" si="311"/>
        <v>0</v>
      </c>
      <c r="AA51" s="104">
        <f t="shared" si="311"/>
        <v>0</v>
      </c>
      <c r="AB51" s="104">
        <f t="shared" si="311"/>
        <v>0</v>
      </c>
      <c r="AC51" s="104">
        <f t="shared" si="311"/>
        <v>0</v>
      </c>
      <c r="AD51" s="104">
        <f t="shared" si="311"/>
        <v>0</v>
      </c>
      <c r="AE51" s="104">
        <f t="shared" si="311"/>
        <v>0</v>
      </c>
      <c r="AF51" s="104">
        <f t="shared" si="311"/>
        <v>0</v>
      </c>
      <c r="AG51" s="104">
        <f t="shared" si="311"/>
        <v>0</v>
      </c>
      <c r="AH51" s="104">
        <f t="shared" si="311"/>
        <v>0</v>
      </c>
      <c r="AI51" s="104">
        <f t="shared" si="311"/>
        <v>0</v>
      </c>
      <c r="AJ51" s="104">
        <f t="shared" si="311"/>
        <v>0</v>
      </c>
      <c r="AK51" s="104">
        <f t="shared" si="311"/>
        <v>0</v>
      </c>
      <c r="AL51" s="104">
        <f t="shared" si="311"/>
        <v>0</v>
      </c>
      <c r="AM51" s="104">
        <f t="shared" si="311"/>
        <v>0</v>
      </c>
      <c r="AN51" s="104">
        <f t="shared" si="310"/>
        <v>0</v>
      </c>
    </row>
    <row r="52" spans="2:40" s="18" customFormat="1" ht="21" customHeight="1" x14ac:dyDescent="0.2">
      <c r="B52" s="6" t="s">
        <v>61</v>
      </c>
      <c r="C52" s="6"/>
      <c r="D52" s="19"/>
      <c r="E52" s="105">
        <f t="shared" ref="E52:AN52" si="312">E47-E51</f>
        <v>0</v>
      </c>
      <c r="F52" s="105">
        <f t="shared" ref="F52:AM52" si="313">F47-F51</f>
        <v>0</v>
      </c>
      <c r="G52" s="105">
        <f t="shared" si="313"/>
        <v>0</v>
      </c>
      <c r="H52" s="105">
        <f t="shared" si="313"/>
        <v>0</v>
      </c>
      <c r="I52" s="105">
        <f t="shared" si="313"/>
        <v>0</v>
      </c>
      <c r="J52" s="105">
        <f t="shared" si="313"/>
        <v>0</v>
      </c>
      <c r="K52" s="105">
        <f t="shared" si="313"/>
        <v>0</v>
      </c>
      <c r="L52" s="105">
        <f t="shared" si="313"/>
        <v>0</v>
      </c>
      <c r="M52" s="105">
        <f t="shared" si="313"/>
        <v>0</v>
      </c>
      <c r="N52" s="105">
        <f t="shared" si="313"/>
        <v>0</v>
      </c>
      <c r="O52" s="105">
        <f t="shared" si="313"/>
        <v>0</v>
      </c>
      <c r="P52" s="105">
        <f t="shared" si="313"/>
        <v>0</v>
      </c>
      <c r="Q52" s="105">
        <f t="shared" si="313"/>
        <v>0</v>
      </c>
      <c r="R52" s="105">
        <f t="shared" si="313"/>
        <v>0</v>
      </c>
      <c r="S52" s="105">
        <f t="shared" si="313"/>
        <v>0</v>
      </c>
      <c r="T52" s="105">
        <f t="shared" si="313"/>
        <v>0</v>
      </c>
      <c r="U52" s="105">
        <f t="shared" si="313"/>
        <v>0</v>
      </c>
      <c r="V52" s="105">
        <f t="shared" si="313"/>
        <v>0</v>
      </c>
      <c r="W52" s="105">
        <f t="shared" si="313"/>
        <v>0</v>
      </c>
      <c r="X52" s="105">
        <f t="shared" si="313"/>
        <v>0</v>
      </c>
      <c r="Y52" s="105">
        <f t="shared" si="313"/>
        <v>0</v>
      </c>
      <c r="Z52" s="105">
        <f t="shared" si="313"/>
        <v>0</v>
      </c>
      <c r="AA52" s="105">
        <f t="shared" si="313"/>
        <v>0</v>
      </c>
      <c r="AB52" s="105">
        <f t="shared" si="313"/>
        <v>0</v>
      </c>
      <c r="AC52" s="105">
        <f t="shared" si="313"/>
        <v>0</v>
      </c>
      <c r="AD52" s="105">
        <f t="shared" si="313"/>
        <v>0</v>
      </c>
      <c r="AE52" s="105">
        <f t="shared" si="313"/>
        <v>0</v>
      </c>
      <c r="AF52" s="105">
        <f t="shared" si="313"/>
        <v>0</v>
      </c>
      <c r="AG52" s="105">
        <f t="shared" si="313"/>
        <v>0</v>
      </c>
      <c r="AH52" s="105">
        <f t="shared" si="313"/>
        <v>0</v>
      </c>
      <c r="AI52" s="105">
        <f t="shared" si="313"/>
        <v>0</v>
      </c>
      <c r="AJ52" s="105">
        <f t="shared" si="313"/>
        <v>0</v>
      </c>
      <c r="AK52" s="105">
        <f t="shared" si="313"/>
        <v>0</v>
      </c>
      <c r="AL52" s="105">
        <f t="shared" si="313"/>
        <v>0</v>
      </c>
      <c r="AM52" s="105">
        <f t="shared" si="313"/>
        <v>0</v>
      </c>
      <c r="AN52" s="105">
        <f t="shared" si="312"/>
        <v>0</v>
      </c>
    </row>
    <row r="53" spans="2:40" s="18" customFormat="1" ht="21" customHeight="1" x14ac:dyDescent="0.2">
      <c r="B53" s="6" t="s">
        <v>62</v>
      </c>
      <c r="C53" s="6"/>
      <c r="D53" s="19"/>
      <c r="E53" s="105">
        <f t="shared" ref="E53:AN53" si="314">E44+E52</f>
        <v>-10325</v>
      </c>
      <c r="F53" s="105">
        <f t="shared" ref="F53:AM53" si="315">F44+F52</f>
        <v>-10612.75</v>
      </c>
      <c r="G53" s="105">
        <f t="shared" si="315"/>
        <v>-10882.567500000001</v>
      </c>
      <c r="H53" s="105">
        <f t="shared" si="315"/>
        <v>-10680.063875</v>
      </c>
      <c r="I53" s="105">
        <f t="shared" si="315"/>
        <v>-10324.19508625</v>
      </c>
      <c r="J53" s="105">
        <f t="shared" si="315"/>
        <v>-10011.751890237501</v>
      </c>
      <c r="K53" s="105">
        <f t="shared" si="315"/>
        <v>-10312.104446944628</v>
      </c>
      <c r="L53" s="105">
        <f t="shared" si="315"/>
        <v>-10621.467580352964</v>
      </c>
      <c r="M53" s="105">
        <f t="shared" si="315"/>
        <v>-10669.539357370084</v>
      </c>
      <c r="N53" s="105">
        <f t="shared" si="315"/>
        <v>-10740.699067729192</v>
      </c>
      <c r="O53" s="105">
        <f t="shared" si="315"/>
        <v>-10833.907687028033</v>
      </c>
      <c r="P53" s="105">
        <f t="shared" si="315"/>
        <v>-11073.096937606588</v>
      </c>
      <c r="Q53" s="105">
        <f t="shared" si="315"/>
        <v>-11405.289845734786</v>
      </c>
      <c r="R53" s="105">
        <f t="shared" si="315"/>
        <v>-11747.448541106829</v>
      </c>
      <c r="S53" s="105">
        <f t="shared" si="315"/>
        <v>-11777.677721590211</v>
      </c>
      <c r="T53" s="105">
        <f t="shared" si="315"/>
        <v>-11834.589319548082</v>
      </c>
      <c r="U53" s="105">
        <f t="shared" si="315"/>
        <v>-12189.626999134525</v>
      </c>
      <c r="V53" s="105">
        <f t="shared" si="315"/>
        <v>-12023.518620775503</v>
      </c>
      <c r="W53" s="105">
        <f t="shared" si="315"/>
        <v>-11894.970766132355</v>
      </c>
      <c r="X53" s="105">
        <f t="shared" si="315"/>
        <v>-12251.819889116328</v>
      </c>
      <c r="Y53" s="105">
        <f t="shared" si="315"/>
        <v>-12619.374485789816</v>
      </c>
      <c r="Z53" s="105">
        <f t="shared" si="315"/>
        <v>-12632.60771630391</v>
      </c>
      <c r="AA53" s="105">
        <f t="shared" si="315"/>
        <v>-12268.277323852713</v>
      </c>
      <c r="AB53" s="105">
        <f t="shared" si="315"/>
        <v>-12261.712260179253</v>
      </c>
      <c r="AC53" s="105">
        <f t="shared" si="315"/>
        <v>-12284.10879525563</v>
      </c>
      <c r="AD53" s="105">
        <f t="shared" si="315"/>
        <v>-12261.00567872138</v>
      </c>
      <c r="AE53" s="105">
        <f t="shared" si="315"/>
        <v>-12560.932549544286</v>
      </c>
      <c r="AF53" s="105">
        <f t="shared" si="315"/>
        <v>-12937.760526030614</v>
      </c>
      <c r="AG53" s="105">
        <f t="shared" si="315"/>
        <v>-13048.062304080984</v>
      </c>
      <c r="AH53" s="105">
        <f t="shared" si="315"/>
        <v>-13439.504173203413</v>
      </c>
      <c r="AI53" s="105">
        <f t="shared" si="315"/>
        <v>-13513.598434207681</v>
      </c>
      <c r="AJ53" s="105">
        <f t="shared" si="315"/>
        <v>-13919.006387233911</v>
      </c>
      <c r="AK53" s="105">
        <f t="shared" si="315"/>
        <v>-14264.155526913415</v>
      </c>
      <c r="AL53" s="105">
        <f t="shared" si="315"/>
        <v>-14404.395014516216</v>
      </c>
      <c r="AM53" s="105">
        <f t="shared" si="315"/>
        <v>-14571.856501003471</v>
      </c>
      <c r="AN53" s="105">
        <f t="shared" si="314"/>
        <v>-15009.012196033573</v>
      </c>
    </row>
    <row r="267" spans="9946:10001" s="9" customFormat="1" ht="21" customHeight="1" x14ac:dyDescent="0.2">
      <c r="NSC267" s="107">
        <v>74</v>
      </c>
    </row>
    <row r="268" spans="9946:10001" s="9" customFormat="1" ht="21" customHeight="1" x14ac:dyDescent="0.2">
      <c r="NSC268" s="107">
        <v>75</v>
      </c>
    </row>
    <row r="269" spans="9946:10001" s="9" customFormat="1" ht="18" customHeight="1" x14ac:dyDescent="0.2">
      <c r="NSC269" s="107">
        <v>76</v>
      </c>
      <c r="NTO269" s="20"/>
    </row>
    <row r="270" spans="9946:10001" s="9" customFormat="1" ht="21" customHeight="1" x14ac:dyDescent="0.2">
      <c r="NSC270" s="107">
        <v>77</v>
      </c>
      <c r="NTO270" s="20"/>
    </row>
    <row r="271" spans="9946:10001" s="9" customFormat="1" ht="21" customHeight="1" x14ac:dyDescent="0.2">
      <c r="NSC271" s="107">
        <v>78</v>
      </c>
      <c r="NTO271" s="20"/>
    </row>
    <row r="272" spans="9946:10001" s="9" customFormat="1" ht="21" customHeight="1" x14ac:dyDescent="0.2">
      <c r="NRN272" s="9" t="s">
        <v>154</v>
      </c>
      <c r="NSC272" s="107">
        <v>79</v>
      </c>
      <c r="NSE272" s="9" t="s">
        <v>154</v>
      </c>
      <c r="NTO272" s="20"/>
      <c r="NTQ272" s="9" t="s">
        <v>154</v>
      </c>
    </row>
    <row r="273" spans="9946:10001" s="9" customFormat="1" ht="21" customHeight="1" x14ac:dyDescent="0.2">
      <c r="NRN273" s="9" t="s">
        <v>154</v>
      </c>
      <c r="NSC273" s="107">
        <v>80</v>
      </c>
      <c r="NSE273" s="9" t="s">
        <v>154</v>
      </c>
      <c r="NTO273" s="20"/>
      <c r="NTQ273" s="9" t="s">
        <v>154</v>
      </c>
    </row>
    <row r="274" spans="9946:10001" s="9" customFormat="1" ht="21" customHeight="1" x14ac:dyDescent="0.2">
      <c r="NRN274" s="9" t="s">
        <v>154</v>
      </c>
      <c r="NSC274" s="107">
        <v>81</v>
      </c>
      <c r="NSE274" s="9" t="s">
        <v>154</v>
      </c>
      <c r="NTO274" s="20"/>
      <c r="NTQ274" s="9" t="s">
        <v>154</v>
      </c>
    </row>
    <row r="275" spans="9946:10001" s="9" customFormat="1" ht="21" customHeight="1" x14ac:dyDescent="0.2">
      <c r="NRN275" s="9" t="s">
        <v>154</v>
      </c>
      <c r="NSC275" s="107">
        <v>82</v>
      </c>
      <c r="NSE275" s="9" t="s">
        <v>154</v>
      </c>
      <c r="NTO275" s="20"/>
      <c r="NTQ275" s="9" t="s">
        <v>154</v>
      </c>
    </row>
    <row r="276" spans="9946:10001" s="9" customFormat="1" ht="21" customHeight="1" x14ac:dyDescent="0.2">
      <c r="NRN276" s="9" t="s">
        <v>154</v>
      </c>
      <c r="NSC276" s="107">
        <v>83</v>
      </c>
      <c r="NSE276" s="9" t="s">
        <v>154</v>
      </c>
      <c r="NTO276" s="108">
        <v>74</v>
      </c>
      <c r="NTQ276" s="9" t="s">
        <v>154</v>
      </c>
    </row>
    <row r="277" spans="9946:10001" s="9" customFormat="1" ht="21" customHeight="1" x14ac:dyDescent="0.2">
      <c r="NRN277" s="9" t="s">
        <v>154</v>
      </c>
      <c r="NSC277" s="107">
        <v>84</v>
      </c>
      <c r="NSE277" s="9" t="s">
        <v>154</v>
      </c>
      <c r="NTO277" s="108">
        <v>75</v>
      </c>
      <c r="NTQ277" s="9" t="s">
        <v>154</v>
      </c>
    </row>
    <row r="278" spans="9946:10001" s="9" customFormat="1" ht="21" customHeight="1" x14ac:dyDescent="0.2">
      <c r="NSC278" s="107">
        <v>85</v>
      </c>
      <c r="NTO278" s="108">
        <v>76</v>
      </c>
    </row>
    <row r="279" spans="9946:10001" s="9" customFormat="1" ht="21" customHeight="1" x14ac:dyDescent="0.2">
      <c r="NRN279" s="9" t="s">
        <v>154</v>
      </c>
      <c r="NSC279" s="107">
        <v>86</v>
      </c>
      <c r="NSE279" s="9" t="s">
        <v>154</v>
      </c>
      <c r="NTO279" s="108">
        <v>77</v>
      </c>
      <c r="NTQ279" s="9" t="s">
        <v>154</v>
      </c>
    </row>
    <row r="280" spans="9946:10001" ht="21" customHeight="1" x14ac:dyDescent="0.2">
      <c r="NRN280" s="21" t="s">
        <v>154</v>
      </c>
      <c r="NSC280" s="109">
        <v>87</v>
      </c>
      <c r="NSE280" s="21" t="s">
        <v>154</v>
      </c>
      <c r="NTO280" s="108">
        <v>78</v>
      </c>
      <c r="NTQ280" s="21" t="s">
        <v>154</v>
      </c>
    </row>
    <row r="281" spans="9946:10001" ht="21" customHeight="1" x14ac:dyDescent="0.2">
      <c r="NRN281" s="21" t="s">
        <v>154</v>
      </c>
      <c r="NSC281" s="109">
        <v>88</v>
      </c>
      <c r="NSE281" s="21" t="s">
        <v>154</v>
      </c>
      <c r="NTO281" s="108">
        <v>79</v>
      </c>
      <c r="NTQ281" s="21" t="s">
        <v>154</v>
      </c>
    </row>
    <row r="282" spans="9946:10001" ht="21" customHeight="1" x14ac:dyDescent="0.2">
      <c r="NRN282" s="21" t="s">
        <v>154</v>
      </c>
      <c r="NSC282" s="109">
        <v>89</v>
      </c>
      <c r="NSE282" s="21" t="s">
        <v>154</v>
      </c>
      <c r="NTO282" s="108">
        <v>80</v>
      </c>
      <c r="NTQ282" s="21" t="s">
        <v>154</v>
      </c>
    </row>
    <row r="283" spans="9946:10001" ht="21" customHeight="1" x14ac:dyDescent="0.2">
      <c r="NRN283" s="21" t="s">
        <v>154</v>
      </c>
      <c r="NSC283" s="109">
        <v>90</v>
      </c>
      <c r="NSE283" s="21" t="s">
        <v>154</v>
      </c>
      <c r="NTO283" s="108">
        <v>81</v>
      </c>
      <c r="NTQ283" s="21" t="s">
        <v>154</v>
      </c>
    </row>
    <row r="284" spans="9946:10001" ht="21" customHeight="1" x14ac:dyDescent="0.2">
      <c r="NRN284" s="21" t="s">
        <v>155</v>
      </c>
      <c r="NSC284" s="109">
        <v>91</v>
      </c>
      <c r="NSE284" s="21" t="s">
        <v>155</v>
      </c>
      <c r="NTO284" s="108">
        <v>82</v>
      </c>
      <c r="NTQ284" s="21" t="s">
        <v>155</v>
      </c>
    </row>
    <row r="285" spans="9946:10001" ht="21" customHeight="1" x14ac:dyDescent="0.2">
      <c r="NSC285" s="109">
        <v>92</v>
      </c>
      <c r="NTO285" s="108">
        <v>83</v>
      </c>
    </row>
    <row r="286" spans="9946:10001" ht="21" customHeight="1" x14ac:dyDescent="0.2">
      <c r="NRN286" s="21" t="s">
        <v>154</v>
      </c>
      <c r="NSC286" s="109">
        <v>93</v>
      </c>
      <c r="NSE286" s="21" t="s">
        <v>154</v>
      </c>
      <c r="NTO286" s="108">
        <v>84</v>
      </c>
      <c r="NTQ286" s="21" t="s">
        <v>154</v>
      </c>
    </row>
    <row r="287" spans="9946:10001" ht="21" customHeight="1" x14ac:dyDescent="0.2">
      <c r="NRN287" s="21" t="s">
        <v>154</v>
      </c>
      <c r="NSC287" s="109">
        <v>94</v>
      </c>
      <c r="NSE287" s="21" t="s">
        <v>154</v>
      </c>
      <c r="NTO287" s="108">
        <v>85</v>
      </c>
      <c r="NTQ287" s="21" t="s">
        <v>154</v>
      </c>
    </row>
    <row r="288" spans="9946:10001" ht="21" customHeight="1" x14ac:dyDescent="0.2">
      <c r="NRN288" s="21" t="s">
        <v>154</v>
      </c>
      <c r="NSE288" s="21" t="s">
        <v>154</v>
      </c>
      <c r="NTO288" s="108">
        <v>86</v>
      </c>
      <c r="NTQ288" s="21" t="s">
        <v>154</v>
      </c>
    </row>
    <row r="289" spans="9946:10001" ht="21" customHeight="1" x14ac:dyDescent="0.2">
      <c r="NRN289" s="21" t="s">
        <v>154</v>
      </c>
      <c r="NSE289" s="21" t="s">
        <v>154</v>
      </c>
      <c r="NTO289" s="108">
        <v>87</v>
      </c>
      <c r="NTQ289" s="21" t="s">
        <v>154</v>
      </c>
    </row>
    <row r="290" spans="9946:10001" ht="21" customHeight="1" x14ac:dyDescent="0.2">
      <c r="NRN290" s="21" t="s">
        <v>155</v>
      </c>
      <c r="NSE290" s="21" t="s">
        <v>155</v>
      </c>
      <c r="NTO290" s="108">
        <v>88</v>
      </c>
      <c r="NTQ290" s="21" t="s">
        <v>155</v>
      </c>
    </row>
    <row r="291" spans="9946:10001" ht="21" customHeight="1" x14ac:dyDescent="0.2">
      <c r="NRN291" s="21" t="s">
        <v>154</v>
      </c>
      <c r="NSE291" s="21" t="s">
        <v>154</v>
      </c>
      <c r="NTO291" s="108">
        <v>89</v>
      </c>
      <c r="NTQ291" s="21" t="s">
        <v>154</v>
      </c>
    </row>
    <row r="292" spans="9946:10001" ht="21" customHeight="1" x14ac:dyDescent="0.2">
      <c r="NRN292" s="21" t="s">
        <v>154</v>
      </c>
      <c r="NSE292" s="21" t="s">
        <v>154</v>
      </c>
      <c r="NTO292" s="108">
        <v>90</v>
      </c>
      <c r="NTQ292" s="21" t="s">
        <v>154</v>
      </c>
    </row>
    <row r="293" spans="9946:10001" ht="21" customHeight="1" x14ac:dyDescent="0.2">
      <c r="NRN293" s="21" t="s">
        <v>154</v>
      </c>
      <c r="NSE293" s="21" t="s">
        <v>154</v>
      </c>
      <c r="NTO293" s="108">
        <v>91</v>
      </c>
      <c r="NTQ293" s="21" t="s">
        <v>154</v>
      </c>
    </row>
    <row r="294" spans="9946:10001" ht="21" customHeight="1" x14ac:dyDescent="0.2">
      <c r="NTO294" s="108">
        <v>92</v>
      </c>
    </row>
    <row r="295" spans="9946:10001" ht="21" customHeight="1" x14ac:dyDescent="0.2">
      <c r="NRN295" s="21" t="s">
        <v>154</v>
      </c>
      <c r="NSE295" s="21" t="s">
        <v>154</v>
      </c>
      <c r="NTO295" s="108">
        <v>93</v>
      </c>
      <c r="NTQ295" s="21" t="s">
        <v>154</v>
      </c>
    </row>
    <row r="296" spans="9946:10001" ht="21" customHeight="1" x14ac:dyDescent="0.2">
      <c r="NSE296" s="21" t="s">
        <v>154</v>
      </c>
      <c r="NTO296" s="108">
        <v>94</v>
      </c>
      <c r="NTQ296" s="21" t="s">
        <v>154</v>
      </c>
    </row>
    <row r="297" spans="9946:10001" ht="21" customHeight="1" x14ac:dyDescent="0.2">
      <c r="NSE297" s="21" t="s">
        <v>155</v>
      </c>
      <c r="NTO297" s="108">
        <v>95</v>
      </c>
      <c r="NTQ297" s="21" t="s">
        <v>155</v>
      </c>
    </row>
    <row r="298" spans="9946:10001" ht="21" customHeight="1" x14ac:dyDescent="0.2">
      <c r="NTO298" s="108">
        <v>96</v>
      </c>
    </row>
    <row r="299" spans="9946:10001" ht="21" customHeight="1" x14ac:dyDescent="0.2">
      <c r="NTO299" s="108">
        <v>97</v>
      </c>
    </row>
    <row r="300" spans="9946:10001" ht="21" customHeight="1" x14ac:dyDescent="0.2">
      <c r="NTO300" s="108">
        <v>98</v>
      </c>
    </row>
    <row r="301" spans="9946:10001" ht="21" customHeight="1" x14ac:dyDescent="0.2">
      <c r="NTO301" s="108">
        <v>99</v>
      </c>
    </row>
    <row r="302" spans="9946:10001" ht="21" customHeight="1" x14ac:dyDescent="0.2">
      <c r="NTO302" s="108">
        <v>100</v>
      </c>
    </row>
    <row r="303" spans="9946:10001" ht="21" customHeight="1" x14ac:dyDescent="0.2">
      <c r="NTO303" s="108">
        <v>101</v>
      </c>
    </row>
    <row r="304" spans="9946:10001" ht="21" customHeight="1" x14ac:dyDescent="0.2">
      <c r="NTO304" s="108">
        <v>102</v>
      </c>
    </row>
  </sheetData>
  <dataConsolidate/>
  <dataValidations count="1">
    <dataValidation type="list" allowBlank="1" showInputMessage="1" showErrorMessage="1" sqref="E4" xr:uid="{06761DFD-42CB-4DD5-AF14-AD9888627DAF}">
      <formula1>"1/31/2021,1/31/2022,1/31/2023,1/31/2024,1/31/2025,1/31/2026,1/31/2027"</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6E895-679B-42CC-87F6-AE3E7DE597F0}">
  <sheetPr>
    <tabColor theme="4" tint="0.79998168889431442"/>
    <outlinePr summaryBelow="0" summaryRight="0"/>
  </sheetPr>
  <dimension ref="A1:NTQ304"/>
  <sheetViews>
    <sheetView showGridLines="0" zoomScaleNormal="100" workbookViewId="0">
      <pane xSplit="4" ySplit="4" topLeftCell="E5" activePane="bottomRight" state="frozen"/>
      <selection activeCell="E49" sqref="E49"/>
      <selection pane="topRight" activeCell="E49" sqref="E49"/>
      <selection pane="bottomLeft" activeCell="E49" sqref="E49"/>
      <selection pane="bottomRight" activeCell="E49" sqref="E49"/>
    </sheetView>
  </sheetViews>
  <sheetFormatPr baseColWidth="10" defaultColWidth="9.140625" defaultRowHeight="15" x14ac:dyDescent="0.2"/>
  <cols>
    <col min="1" max="1" width="2.42578125" customWidth="1"/>
    <col min="2" max="2" width="42.28515625" style="2" customWidth="1"/>
    <col min="3" max="3" width="7.7109375" style="2" bestFit="1" customWidth="1"/>
    <col min="4" max="4" width="2.7109375" customWidth="1"/>
    <col min="5" max="5" width="12.42578125" style="21" customWidth="1"/>
    <col min="6" max="40" width="13.28515625" style="21" customWidth="1"/>
    <col min="41" max="9998" width="9.140625" style="21"/>
    <col min="9999" max="9999" width="9.140625" style="20"/>
    <col min="10000" max="16384" width="9.140625" style="21"/>
  </cols>
  <sheetData>
    <row r="1" spans="1:40" customFormat="1" ht="21" customHeight="1" x14ac:dyDescent="0.2">
      <c r="A1" s="10" t="s">
        <v>141</v>
      </c>
      <c r="B1" s="2"/>
      <c r="C1" s="2"/>
    </row>
    <row r="2" spans="1:40" customFormat="1" ht="21" customHeight="1" x14ac:dyDescent="0.2">
      <c r="A2" s="11" t="s">
        <v>142</v>
      </c>
      <c r="B2" s="2"/>
      <c r="C2" s="2"/>
    </row>
    <row r="3" spans="1:40" customFormat="1" x14ac:dyDescent="0.2">
      <c r="A3" t="s">
        <v>15</v>
      </c>
      <c r="B3" s="2"/>
      <c r="C3" s="2"/>
    </row>
    <row r="4" spans="1:40" s="12" customFormat="1" ht="16" x14ac:dyDescent="0.2">
      <c r="B4" s="3"/>
      <c r="C4" s="98" t="s">
        <v>144</v>
      </c>
      <c r="E4" s="99">
        <v>44957</v>
      </c>
      <c r="F4" s="100">
        <f t="shared" ref="F4" si="0">EOMONTH(E4,1)</f>
        <v>44985</v>
      </c>
      <c r="G4" s="100">
        <f t="shared" ref="G4" si="1">EOMONTH(F4,1)</f>
        <v>45016</v>
      </c>
      <c r="H4" s="100">
        <f t="shared" ref="H4" si="2">EOMONTH(G4,1)</f>
        <v>45046</v>
      </c>
      <c r="I4" s="100">
        <f t="shared" ref="I4" si="3">EOMONTH(H4,1)</f>
        <v>45077</v>
      </c>
      <c r="J4" s="100">
        <f t="shared" ref="J4" si="4">EOMONTH(I4,1)</f>
        <v>45107</v>
      </c>
      <c r="K4" s="100">
        <f t="shared" ref="K4" si="5">EOMONTH(J4,1)</f>
        <v>45138</v>
      </c>
      <c r="L4" s="100">
        <f t="shared" ref="L4" si="6">EOMONTH(K4,1)</f>
        <v>45169</v>
      </c>
      <c r="M4" s="100">
        <f t="shared" ref="M4" si="7">EOMONTH(L4,1)</f>
        <v>45199</v>
      </c>
      <c r="N4" s="100">
        <f t="shared" ref="N4" si="8">EOMONTH(M4,1)</f>
        <v>45230</v>
      </c>
      <c r="O4" s="100">
        <f t="shared" ref="O4" si="9">EOMONTH(N4,1)</f>
        <v>45260</v>
      </c>
      <c r="P4" s="100">
        <f t="shared" ref="P4" si="10">EOMONTH(O4,1)</f>
        <v>45291</v>
      </c>
      <c r="Q4" s="100">
        <f t="shared" ref="Q4" si="11">EOMONTH(P4,1)</f>
        <v>45322</v>
      </c>
      <c r="R4" s="100">
        <f t="shared" ref="R4" si="12">EOMONTH(Q4,1)</f>
        <v>45351</v>
      </c>
      <c r="S4" s="100">
        <f t="shared" ref="S4" si="13">EOMONTH(R4,1)</f>
        <v>45382</v>
      </c>
      <c r="T4" s="100">
        <f t="shared" ref="T4" si="14">EOMONTH(S4,1)</f>
        <v>45412</v>
      </c>
      <c r="U4" s="100">
        <f t="shared" ref="U4" si="15">EOMONTH(T4,1)</f>
        <v>45443</v>
      </c>
      <c r="V4" s="100">
        <f t="shared" ref="V4" si="16">EOMONTH(U4,1)</f>
        <v>45473</v>
      </c>
      <c r="W4" s="100">
        <f t="shared" ref="W4" si="17">EOMONTH(V4,1)</f>
        <v>45504</v>
      </c>
      <c r="X4" s="100">
        <f t="shared" ref="X4" si="18">EOMONTH(W4,1)</f>
        <v>45535</v>
      </c>
      <c r="Y4" s="100">
        <f t="shared" ref="Y4" si="19">EOMONTH(X4,1)</f>
        <v>45565</v>
      </c>
      <c r="Z4" s="100">
        <f t="shared" ref="Z4" si="20">EOMONTH(Y4,1)</f>
        <v>45596</v>
      </c>
      <c r="AA4" s="100">
        <f t="shared" ref="AA4" si="21">EOMONTH(Z4,1)</f>
        <v>45626</v>
      </c>
      <c r="AB4" s="100">
        <f t="shared" ref="AB4" si="22">EOMONTH(AA4,1)</f>
        <v>45657</v>
      </c>
      <c r="AC4" s="100">
        <f t="shared" ref="AC4" si="23">EOMONTH(AB4,1)</f>
        <v>45688</v>
      </c>
      <c r="AD4" s="100">
        <f t="shared" ref="AD4" si="24">EOMONTH(AC4,1)</f>
        <v>45716</v>
      </c>
      <c r="AE4" s="100">
        <f t="shared" ref="AE4" si="25">EOMONTH(AD4,1)</f>
        <v>45747</v>
      </c>
      <c r="AF4" s="100">
        <f t="shared" ref="AF4" si="26">EOMONTH(AE4,1)</f>
        <v>45777</v>
      </c>
      <c r="AG4" s="100">
        <f t="shared" ref="AG4" si="27">EOMONTH(AF4,1)</f>
        <v>45808</v>
      </c>
      <c r="AH4" s="100">
        <f t="shared" ref="AH4" si="28">EOMONTH(AG4,1)</f>
        <v>45838</v>
      </c>
      <c r="AI4" s="100">
        <f t="shared" ref="AI4" si="29">EOMONTH(AH4,1)</f>
        <v>45869</v>
      </c>
      <c r="AJ4" s="100">
        <f t="shared" ref="AJ4" si="30">EOMONTH(AI4,1)</f>
        <v>45900</v>
      </c>
      <c r="AK4" s="100">
        <f t="shared" ref="AK4" si="31">EOMONTH(AJ4,1)</f>
        <v>45930</v>
      </c>
      <c r="AL4" s="100">
        <f t="shared" ref="AL4" si="32">EOMONTH(AK4,1)</f>
        <v>45961</v>
      </c>
      <c r="AM4" s="100">
        <f t="shared" ref="AM4" si="33">EOMONTH(AL4,1)</f>
        <v>45991</v>
      </c>
      <c r="AN4" s="100">
        <f t="shared" ref="AN4" si="34">EOMONTH(AM4,1)</f>
        <v>46022</v>
      </c>
    </row>
    <row r="5" spans="1:40" s="16" customFormat="1" ht="21" customHeight="1" x14ac:dyDescent="0.2">
      <c r="A5" s="13"/>
      <c r="B5" s="4" t="s">
        <v>30</v>
      </c>
      <c r="C5" s="4"/>
      <c r="D5" s="14"/>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row>
    <row r="6" spans="1:40" s="16" customFormat="1" ht="21" customHeight="1" x14ac:dyDescent="0.2">
      <c r="A6" s="13"/>
      <c r="B6" s="5" t="s">
        <v>92</v>
      </c>
      <c r="C6" s="101">
        <v>0.1</v>
      </c>
      <c r="D6" s="14"/>
      <c r="E6" s="102">
        <v>0</v>
      </c>
      <c r="F6" s="102">
        <v>0</v>
      </c>
      <c r="G6" s="102">
        <v>0</v>
      </c>
      <c r="H6" s="102">
        <v>0</v>
      </c>
      <c r="I6" s="102">
        <v>0</v>
      </c>
      <c r="J6" s="102">
        <v>0</v>
      </c>
      <c r="K6" s="102">
        <v>0</v>
      </c>
      <c r="L6" s="102">
        <v>0</v>
      </c>
      <c r="M6" s="102">
        <v>0</v>
      </c>
      <c r="N6" s="102">
        <v>0</v>
      </c>
      <c r="O6" s="102">
        <v>0</v>
      </c>
      <c r="P6" s="102">
        <v>0</v>
      </c>
      <c r="Q6" s="102">
        <v>0</v>
      </c>
      <c r="R6" s="102">
        <v>0</v>
      </c>
      <c r="S6" s="102">
        <v>0</v>
      </c>
      <c r="T6" s="102">
        <v>0</v>
      </c>
      <c r="U6" s="102">
        <v>0</v>
      </c>
      <c r="V6" s="102">
        <v>0</v>
      </c>
      <c r="W6" s="102">
        <v>0</v>
      </c>
      <c r="X6" s="102">
        <v>0</v>
      </c>
      <c r="Y6" s="102">
        <v>0</v>
      </c>
      <c r="Z6" s="102">
        <v>0</v>
      </c>
      <c r="AA6" s="102">
        <v>0</v>
      </c>
      <c r="AB6" s="102">
        <v>0</v>
      </c>
      <c r="AC6" s="102">
        <v>0</v>
      </c>
      <c r="AD6" s="102">
        <v>0</v>
      </c>
      <c r="AE6" s="102">
        <v>0</v>
      </c>
      <c r="AF6" s="102">
        <v>0</v>
      </c>
      <c r="AG6" s="102">
        <v>0</v>
      </c>
      <c r="AH6" s="102">
        <v>0</v>
      </c>
      <c r="AI6" s="102">
        <v>0</v>
      </c>
      <c r="AJ6" s="102">
        <v>0</v>
      </c>
      <c r="AK6" s="102">
        <v>0</v>
      </c>
      <c r="AL6" s="102">
        <v>0</v>
      </c>
      <c r="AM6" s="102">
        <v>0</v>
      </c>
      <c r="AN6" s="102">
        <v>0</v>
      </c>
    </row>
    <row r="7" spans="1:40" s="16" customFormat="1" ht="21" customHeight="1" x14ac:dyDescent="0.2">
      <c r="A7" s="13"/>
      <c r="B7" s="6" t="s">
        <v>145</v>
      </c>
      <c r="C7" s="26"/>
      <c r="D7" s="14"/>
      <c r="E7" s="104">
        <f t="shared" ref="E7:AN7" si="35">SUM(E6 + E5)</f>
        <v>0</v>
      </c>
      <c r="F7" s="104">
        <f t="shared" ref="F7:AM7" si="36">SUM(F6 + F5)</f>
        <v>0</v>
      </c>
      <c r="G7" s="104">
        <f t="shared" si="36"/>
        <v>0</v>
      </c>
      <c r="H7" s="104">
        <f t="shared" si="36"/>
        <v>0</v>
      </c>
      <c r="I7" s="104">
        <f t="shared" si="36"/>
        <v>0</v>
      </c>
      <c r="J7" s="104">
        <f t="shared" si="36"/>
        <v>0</v>
      </c>
      <c r="K7" s="104">
        <f t="shared" si="36"/>
        <v>0</v>
      </c>
      <c r="L7" s="104">
        <f t="shared" si="36"/>
        <v>0</v>
      </c>
      <c r="M7" s="104">
        <f t="shared" si="36"/>
        <v>0</v>
      </c>
      <c r="N7" s="104">
        <f t="shared" si="36"/>
        <v>0</v>
      </c>
      <c r="O7" s="104">
        <f t="shared" si="36"/>
        <v>0</v>
      </c>
      <c r="P7" s="104">
        <f t="shared" si="36"/>
        <v>0</v>
      </c>
      <c r="Q7" s="104">
        <f t="shared" si="36"/>
        <v>0</v>
      </c>
      <c r="R7" s="104">
        <f t="shared" si="36"/>
        <v>0</v>
      </c>
      <c r="S7" s="104">
        <f t="shared" si="36"/>
        <v>0</v>
      </c>
      <c r="T7" s="104">
        <f t="shared" si="36"/>
        <v>0</v>
      </c>
      <c r="U7" s="104">
        <f t="shared" si="36"/>
        <v>0</v>
      </c>
      <c r="V7" s="104">
        <f t="shared" si="36"/>
        <v>0</v>
      </c>
      <c r="W7" s="104">
        <f t="shared" si="36"/>
        <v>0</v>
      </c>
      <c r="X7" s="104">
        <f t="shared" si="36"/>
        <v>0</v>
      </c>
      <c r="Y7" s="104">
        <f t="shared" si="36"/>
        <v>0</v>
      </c>
      <c r="Z7" s="104">
        <f t="shared" si="36"/>
        <v>0</v>
      </c>
      <c r="AA7" s="104">
        <f t="shared" si="36"/>
        <v>0</v>
      </c>
      <c r="AB7" s="104">
        <f t="shared" si="36"/>
        <v>0</v>
      </c>
      <c r="AC7" s="104">
        <f t="shared" si="36"/>
        <v>0</v>
      </c>
      <c r="AD7" s="104">
        <f t="shared" si="36"/>
        <v>0</v>
      </c>
      <c r="AE7" s="104">
        <f t="shared" si="36"/>
        <v>0</v>
      </c>
      <c r="AF7" s="104">
        <f t="shared" si="36"/>
        <v>0</v>
      </c>
      <c r="AG7" s="104">
        <f t="shared" si="36"/>
        <v>0</v>
      </c>
      <c r="AH7" s="104">
        <f t="shared" si="36"/>
        <v>0</v>
      </c>
      <c r="AI7" s="104">
        <f t="shared" si="36"/>
        <v>0</v>
      </c>
      <c r="AJ7" s="104">
        <f t="shared" si="36"/>
        <v>0</v>
      </c>
      <c r="AK7" s="104">
        <f t="shared" si="36"/>
        <v>0</v>
      </c>
      <c r="AL7" s="104">
        <f t="shared" si="36"/>
        <v>0</v>
      </c>
      <c r="AM7" s="104">
        <f t="shared" si="36"/>
        <v>0</v>
      </c>
      <c r="AN7" s="104">
        <f t="shared" si="35"/>
        <v>0</v>
      </c>
    </row>
    <row r="8" spans="1:40" s="16" customFormat="1" ht="21" customHeight="1" x14ac:dyDescent="0.2">
      <c r="A8" s="13"/>
      <c r="B8" s="6" t="s">
        <v>41</v>
      </c>
      <c r="C8" s="26"/>
      <c r="D8" s="14"/>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row>
    <row r="9" spans="1:40" s="16" customFormat="1" ht="21" customHeight="1" x14ac:dyDescent="0.2">
      <c r="A9" s="13"/>
      <c r="B9" s="5" t="s">
        <v>96</v>
      </c>
      <c r="C9" s="101">
        <v>0.1</v>
      </c>
      <c r="D9" s="14"/>
      <c r="E9" s="102">
        <v>0</v>
      </c>
      <c r="F9" s="102">
        <v>0</v>
      </c>
      <c r="G9" s="102">
        <v>0</v>
      </c>
      <c r="H9" s="102">
        <v>0</v>
      </c>
      <c r="I9" s="102">
        <v>0</v>
      </c>
      <c r="J9" s="102">
        <v>0</v>
      </c>
      <c r="K9" s="102">
        <v>0</v>
      </c>
      <c r="L9" s="102">
        <v>0</v>
      </c>
      <c r="M9" s="102">
        <v>0</v>
      </c>
      <c r="N9" s="102">
        <v>0</v>
      </c>
      <c r="O9" s="102">
        <v>0</v>
      </c>
      <c r="P9" s="102">
        <v>0</v>
      </c>
      <c r="Q9" s="102">
        <v>0</v>
      </c>
      <c r="R9" s="102">
        <v>0</v>
      </c>
      <c r="S9" s="102">
        <v>0</v>
      </c>
      <c r="T9" s="102">
        <v>0</v>
      </c>
      <c r="U9" s="102">
        <v>0</v>
      </c>
      <c r="V9" s="102">
        <v>0</v>
      </c>
      <c r="W9" s="102">
        <v>0</v>
      </c>
      <c r="X9" s="102">
        <v>0</v>
      </c>
      <c r="Y9" s="102">
        <v>0</v>
      </c>
      <c r="Z9" s="102">
        <v>0</v>
      </c>
      <c r="AA9" s="102">
        <v>0</v>
      </c>
      <c r="AB9" s="102">
        <v>0</v>
      </c>
      <c r="AC9" s="102">
        <v>0</v>
      </c>
      <c r="AD9" s="102">
        <v>0</v>
      </c>
      <c r="AE9" s="102">
        <v>0</v>
      </c>
      <c r="AF9" s="102">
        <v>0</v>
      </c>
      <c r="AG9" s="102">
        <v>0</v>
      </c>
      <c r="AH9" s="102">
        <v>0</v>
      </c>
      <c r="AI9" s="102">
        <v>0</v>
      </c>
      <c r="AJ9" s="102">
        <v>0</v>
      </c>
      <c r="AK9" s="102">
        <v>0</v>
      </c>
      <c r="AL9" s="102">
        <v>0</v>
      </c>
      <c r="AM9" s="102">
        <v>0</v>
      </c>
      <c r="AN9" s="102">
        <v>0</v>
      </c>
    </row>
    <row r="10" spans="1:40" s="16" customFormat="1" ht="21" customHeight="1" x14ac:dyDescent="0.2">
      <c r="A10" s="13"/>
      <c r="B10" s="5" t="s">
        <v>98</v>
      </c>
      <c r="C10" s="101">
        <v>0.1</v>
      </c>
      <c r="D10" s="14"/>
      <c r="E10" s="102">
        <v>0</v>
      </c>
      <c r="F10" s="102">
        <v>0</v>
      </c>
      <c r="G10" s="102">
        <v>0</v>
      </c>
      <c r="H10" s="102">
        <v>0</v>
      </c>
      <c r="I10" s="102">
        <v>0</v>
      </c>
      <c r="J10" s="102">
        <v>0</v>
      </c>
      <c r="K10" s="102">
        <v>0</v>
      </c>
      <c r="L10" s="102">
        <v>0</v>
      </c>
      <c r="M10" s="102">
        <v>0</v>
      </c>
      <c r="N10" s="102">
        <v>0</v>
      </c>
      <c r="O10" s="102">
        <v>0</v>
      </c>
      <c r="P10" s="102">
        <v>0</v>
      </c>
      <c r="Q10" s="102">
        <v>0</v>
      </c>
      <c r="R10" s="102">
        <v>0</v>
      </c>
      <c r="S10" s="102">
        <v>0</v>
      </c>
      <c r="T10" s="102">
        <v>0</v>
      </c>
      <c r="U10" s="102">
        <v>0</v>
      </c>
      <c r="V10" s="102">
        <v>0</v>
      </c>
      <c r="W10" s="102">
        <v>0</v>
      </c>
      <c r="X10" s="102">
        <v>0</v>
      </c>
      <c r="Y10" s="102">
        <v>0</v>
      </c>
      <c r="Z10" s="102">
        <v>0</v>
      </c>
      <c r="AA10" s="102">
        <v>0</v>
      </c>
      <c r="AB10" s="102">
        <v>0</v>
      </c>
      <c r="AC10" s="102">
        <v>0</v>
      </c>
      <c r="AD10" s="102">
        <v>0</v>
      </c>
      <c r="AE10" s="102">
        <v>0</v>
      </c>
      <c r="AF10" s="102">
        <v>0</v>
      </c>
      <c r="AG10" s="102">
        <v>0</v>
      </c>
      <c r="AH10" s="102">
        <v>0</v>
      </c>
      <c r="AI10" s="102">
        <v>0</v>
      </c>
      <c r="AJ10" s="102">
        <v>0</v>
      </c>
      <c r="AK10" s="102">
        <v>0</v>
      </c>
      <c r="AL10" s="102">
        <v>0</v>
      </c>
      <c r="AM10" s="102">
        <v>0</v>
      </c>
      <c r="AN10" s="102">
        <v>0</v>
      </c>
    </row>
    <row r="11" spans="1:40" s="16" customFormat="1" ht="21" customHeight="1" x14ac:dyDescent="0.2">
      <c r="A11" s="13"/>
      <c r="B11" s="6" t="s">
        <v>146</v>
      </c>
      <c r="C11" s="26"/>
      <c r="D11" s="14"/>
      <c r="E11" s="104">
        <f t="shared" ref="E11:AN11" si="37">SUM(E10, E9 + E8)</f>
        <v>0</v>
      </c>
      <c r="F11" s="104">
        <f t="shared" ref="F11:AM11" si="38">SUM(F10, F9 + F8)</f>
        <v>0</v>
      </c>
      <c r="G11" s="104">
        <f t="shared" si="38"/>
        <v>0</v>
      </c>
      <c r="H11" s="104">
        <f t="shared" si="38"/>
        <v>0</v>
      </c>
      <c r="I11" s="104">
        <f t="shared" si="38"/>
        <v>0</v>
      </c>
      <c r="J11" s="104">
        <f t="shared" si="38"/>
        <v>0</v>
      </c>
      <c r="K11" s="104">
        <f t="shared" si="38"/>
        <v>0</v>
      </c>
      <c r="L11" s="104">
        <f t="shared" si="38"/>
        <v>0</v>
      </c>
      <c r="M11" s="104">
        <f t="shared" si="38"/>
        <v>0</v>
      </c>
      <c r="N11" s="104">
        <f t="shared" si="38"/>
        <v>0</v>
      </c>
      <c r="O11" s="104">
        <f t="shared" si="38"/>
        <v>0</v>
      </c>
      <c r="P11" s="104">
        <f t="shared" si="38"/>
        <v>0</v>
      </c>
      <c r="Q11" s="104">
        <f t="shared" si="38"/>
        <v>0</v>
      </c>
      <c r="R11" s="104">
        <f t="shared" si="38"/>
        <v>0</v>
      </c>
      <c r="S11" s="104">
        <f t="shared" si="38"/>
        <v>0</v>
      </c>
      <c r="T11" s="104">
        <f t="shared" si="38"/>
        <v>0</v>
      </c>
      <c r="U11" s="104">
        <f t="shared" si="38"/>
        <v>0</v>
      </c>
      <c r="V11" s="104">
        <f t="shared" si="38"/>
        <v>0</v>
      </c>
      <c r="W11" s="104">
        <f t="shared" si="38"/>
        <v>0</v>
      </c>
      <c r="X11" s="104">
        <f t="shared" si="38"/>
        <v>0</v>
      </c>
      <c r="Y11" s="104">
        <f t="shared" si="38"/>
        <v>0</v>
      </c>
      <c r="Z11" s="104">
        <f t="shared" si="38"/>
        <v>0</v>
      </c>
      <c r="AA11" s="104">
        <f t="shared" si="38"/>
        <v>0</v>
      </c>
      <c r="AB11" s="104">
        <f t="shared" si="38"/>
        <v>0</v>
      </c>
      <c r="AC11" s="104">
        <f t="shared" si="38"/>
        <v>0</v>
      </c>
      <c r="AD11" s="104">
        <f t="shared" si="38"/>
        <v>0</v>
      </c>
      <c r="AE11" s="104">
        <f t="shared" si="38"/>
        <v>0</v>
      </c>
      <c r="AF11" s="104">
        <f t="shared" si="38"/>
        <v>0</v>
      </c>
      <c r="AG11" s="104">
        <f t="shared" si="38"/>
        <v>0</v>
      </c>
      <c r="AH11" s="104">
        <f t="shared" si="38"/>
        <v>0</v>
      </c>
      <c r="AI11" s="104">
        <f t="shared" si="38"/>
        <v>0</v>
      </c>
      <c r="AJ11" s="104">
        <f t="shared" si="38"/>
        <v>0</v>
      </c>
      <c r="AK11" s="104">
        <f t="shared" si="38"/>
        <v>0</v>
      </c>
      <c r="AL11" s="104">
        <f t="shared" si="38"/>
        <v>0</v>
      </c>
      <c r="AM11" s="104">
        <f t="shared" si="38"/>
        <v>0</v>
      </c>
      <c r="AN11" s="104">
        <f t="shared" si="37"/>
        <v>0</v>
      </c>
    </row>
    <row r="12" spans="1:40" s="18" customFormat="1" ht="21" customHeight="1" x14ac:dyDescent="0.2">
      <c r="B12" s="6" t="s">
        <v>43</v>
      </c>
      <c r="C12" s="26"/>
      <c r="D12" s="19"/>
      <c r="E12" s="105">
        <f t="shared" ref="E12:AN12" si="39">E7-E11</f>
        <v>0</v>
      </c>
      <c r="F12" s="105">
        <f t="shared" ref="F12:AM12" si="40">F7-F11</f>
        <v>0</v>
      </c>
      <c r="G12" s="105">
        <f t="shared" si="40"/>
        <v>0</v>
      </c>
      <c r="H12" s="105">
        <f t="shared" si="40"/>
        <v>0</v>
      </c>
      <c r="I12" s="105">
        <f t="shared" si="40"/>
        <v>0</v>
      </c>
      <c r="J12" s="105">
        <f t="shared" si="40"/>
        <v>0</v>
      </c>
      <c r="K12" s="105">
        <f t="shared" si="40"/>
        <v>0</v>
      </c>
      <c r="L12" s="105">
        <f t="shared" si="40"/>
        <v>0</v>
      </c>
      <c r="M12" s="105">
        <f t="shared" si="40"/>
        <v>0</v>
      </c>
      <c r="N12" s="105">
        <f t="shared" si="40"/>
        <v>0</v>
      </c>
      <c r="O12" s="105">
        <f t="shared" si="40"/>
        <v>0</v>
      </c>
      <c r="P12" s="105">
        <f t="shared" si="40"/>
        <v>0</v>
      </c>
      <c r="Q12" s="105">
        <f t="shared" si="40"/>
        <v>0</v>
      </c>
      <c r="R12" s="105">
        <f t="shared" si="40"/>
        <v>0</v>
      </c>
      <c r="S12" s="105">
        <f t="shared" si="40"/>
        <v>0</v>
      </c>
      <c r="T12" s="105">
        <f t="shared" si="40"/>
        <v>0</v>
      </c>
      <c r="U12" s="105">
        <f t="shared" si="40"/>
        <v>0</v>
      </c>
      <c r="V12" s="105">
        <f t="shared" si="40"/>
        <v>0</v>
      </c>
      <c r="W12" s="105">
        <f t="shared" si="40"/>
        <v>0</v>
      </c>
      <c r="X12" s="105">
        <f t="shared" si="40"/>
        <v>0</v>
      </c>
      <c r="Y12" s="105">
        <f t="shared" si="40"/>
        <v>0</v>
      </c>
      <c r="Z12" s="105">
        <f t="shared" si="40"/>
        <v>0</v>
      </c>
      <c r="AA12" s="105">
        <f t="shared" si="40"/>
        <v>0</v>
      </c>
      <c r="AB12" s="105">
        <f t="shared" si="40"/>
        <v>0</v>
      </c>
      <c r="AC12" s="105">
        <f t="shared" si="40"/>
        <v>0</v>
      </c>
      <c r="AD12" s="105">
        <f t="shared" si="40"/>
        <v>0</v>
      </c>
      <c r="AE12" s="105">
        <f t="shared" si="40"/>
        <v>0</v>
      </c>
      <c r="AF12" s="105">
        <f t="shared" si="40"/>
        <v>0</v>
      </c>
      <c r="AG12" s="105">
        <f t="shared" si="40"/>
        <v>0</v>
      </c>
      <c r="AH12" s="105">
        <f t="shared" si="40"/>
        <v>0</v>
      </c>
      <c r="AI12" s="105">
        <f t="shared" si="40"/>
        <v>0</v>
      </c>
      <c r="AJ12" s="105">
        <f t="shared" si="40"/>
        <v>0</v>
      </c>
      <c r="AK12" s="105">
        <f t="shared" si="40"/>
        <v>0</v>
      </c>
      <c r="AL12" s="105">
        <f t="shared" si="40"/>
        <v>0</v>
      </c>
      <c r="AM12" s="105">
        <f t="shared" si="40"/>
        <v>0</v>
      </c>
      <c r="AN12" s="105">
        <f t="shared" si="39"/>
        <v>0</v>
      </c>
    </row>
    <row r="13" spans="1:40" s="16" customFormat="1" ht="21" customHeight="1" x14ac:dyDescent="0.2">
      <c r="A13" s="13"/>
      <c r="B13" s="6" t="s">
        <v>23</v>
      </c>
      <c r="C13" s="26"/>
      <c r="D13" s="14"/>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row>
    <row r="14" spans="1:40" s="16" customFormat="1" ht="21" customHeight="1" x14ac:dyDescent="0.2">
      <c r="B14" s="5" t="s">
        <v>49</v>
      </c>
      <c r="C14" s="101">
        <v>0.03</v>
      </c>
      <c r="D14" s="14"/>
      <c r="E14" s="102">
        <v>15000</v>
      </c>
      <c r="F14" s="103">
        <f>E14*(0.85)</f>
        <v>12750</v>
      </c>
      <c r="G14" s="103">
        <f t="shared" ref="G14" si="41">F14*(1+$C14)</f>
        <v>13132.5</v>
      </c>
      <c r="H14" s="103">
        <f t="shared" ref="H14" si="42">G14*(1+$C14)</f>
        <v>13526.475</v>
      </c>
      <c r="I14" s="103">
        <f t="shared" ref="I14" si="43">H14*(1+$C14)</f>
        <v>13932.269250000001</v>
      </c>
      <c r="J14" s="103">
        <f t="shared" ref="J14" si="44">I14*(1+$C14)</f>
        <v>14350.237327500001</v>
      </c>
      <c r="K14" s="103">
        <f t="shared" ref="K14" si="45">J14*(1+$C14)</f>
        <v>14780.744447325002</v>
      </c>
      <c r="L14" s="103">
        <f t="shared" ref="L14" si="46">K14*(1+$C14)</f>
        <v>15224.166780744752</v>
      </c>
      <c r="M14" s="103">
        <f t="shared" ref="M14" si="47">L14*(1+$C14)</f>
        <v>15680.891784167095</v>
      </c>
      <c r="N14" s="103">
        <f t="shared" ref="N14:O14" si="48">M14*(0.85)</f>
        <v>13328.758016542031</v>
      </c>
      <c r="O14" s="103">
        <f t="shared" si="48"/>
        <v>11329.444314060725</v>
      </c>
      <c r="P14" s="103">
        <f t="shared" ref="P14" si="49">O14*(1+$C14)</f>
        <v>11669.327643482548</v>
      </c>
      <c r="Q14" s="103">
        <f t="shared" ref="Q14" si="50">P14*(1+$C14)</f>
        <v>12019.407472787025</v>
      </c>
      <c r="R14" s="103">
        <f t="shared" ref="R14" si="51">Q14*(1+$C14)</f>
        <v>12379.989696970635</v>
      </c>
      <c r="S14" s="103">
        <f t="shared" ref="S14" si="52">R14*(1+$C14)</f>
        <v>12751.389387879755</v>
      </c>
      <c r="T14" s="103">
        <f t="shared" ref="T14" si="53">S14*(1+$C14)</f>
        <v>13133.931069516148</v>
      </c>
      <c r="U14" s="103">
        <f t="shared" ref="U14:V14" si="54">T14*(0.85)</f>
        <v>11163.841409088725</v>
      </c>
      <c r="V14" s="103">
        <f t="shared" si="54"/>
        <v>9489.2651977254172</v>
      </c>
      <c r="W14" s="103">
        <f t="shared" ref="W14" si="55">V14*(1+$C14)</f>
        <v>9773.9431536571792</v>
      </c>
      <c r="X14" s="103">
        <f t="shared" ref="X14" si="56">W14*(1+$C14)</f>
        <v>10067.161448266896</v>
      </c>
      <c r="Y14" s="103">
        <f t="shared" ref="Y14" si="57">X14*(1+$C14)</f>
        <v>10369.176291714903</v>
      </c>
      <c r="Z14" s="103">
        <f t="shared" ref="Z14" si="58">Y14*(1+$C14)</f>
        <v>10680.251580466351</v>
      </c>
      <c r="AA14" s="103">
        <f t="shared" ref="AA14:AB14" si="59">Z14*(0.85)</f>
        <v>9078.2138433963974</v>
      </c>
      <c r="AB14" s="103">
        <f t="shared" si="59"/>
        <v>7716.4817668869373</v>
      </c>
      <c r="AC14" s="103">
        <f t="shared" ref="AC14" si="60">AB14*(1+$C14)</f>
        <v>7947.9762198935459</v>
      </c>
      <c r="AD14" s="103">
        <f t="shared" ref="AD14" si="61">AC14*(1+$C14)</f>
        <v>8186.4155064903525</v>
      </c>
      <c r="AE14" s="103">
        <f t="shared" ref="AE14" si="62">AD14*(1+$C14)</f>
        <v>8432.0079716850632</v>
      </c>
      <c r="AF14" s="103">
        <f t="shared" ref="AF14:AG14" si="63">AE14*(0.85)</f>
        <v>7167.2067759323036</v>
      </c>
      <c r="AG14" s="103">
        <f t="shared" si="63"/>
        <v>6092.1257595424577</v>
      </c>
      <c r="AH14" s="103">
        <f t="shared" ref="AH14" si="64">AG14*(1+$C14)</f>
        <v>6274.8895323287315</v>
      </c>
      <c r="AI14" s="103">
        <f t="shared" ref="AI14" si="65">AH14*(1+$C14)</f>
        <v>6463.136218298594</v>
      </c>
      <c r="AJ14" s="103">
        <f t="shared" ref="AJ14" si="66">AI14*(1+$C14)</f>
        <v>6657.0303048475516</v>
      </c>
      <c r="AK14" s="103">
        <f t="shared" ref="AK14" si="67">AJ14*(1+$C14)</f>
        <v>6856.7412139929784</v>
      </c>
      <c r="AL14" s="103">
        <f t="shared" ref="AL14" si="68">AK14*(1+$C14)</f>
        <v>7062.4434504127676</v>
      </c>
      <c r="AM14" s="103">
        <f t="shared" ref="AM14:AN14" si="69">AL14*(0.85)</f>
        <v>6003.0769328508522</v>
      </c>
      <c r="AN14" s="103">
        <f t="shared" si="69"/>
        <v>5102.6153929232241</v>
      </c>
    </row>
    <row r="15" spans="1:40" s="16" customFormat="1" ht="21" customHeight="1" x14ac:dyDescent="0.2">
      <c r="B15" s="5" t="s">
        <v>106</v>
      </c>
      <c r="C15" s="101">
        <v>0.03</v>
      </c>
      <c r="D15" s="14"/>
      <c r="E15" s="102">
        <v>0</v>
      </c>
      <c r="F15" s="102">
        <v>0</v>
      </c>
      <c r="G15" s="102">
        <v>0</v>
      </c>
      <c r="H15" s="102">
        <v>0</v>
      </c>
      <c r="I15" s="102">
        <v>0</v>
      </c>
      <c r="J15" s="102">
        <v>0</v>
      </c>
      <c r="K15" s="102">
        <v>0</v>
      </c>
      <c r="L15" s="102">
        <v>0</v>
      </c>
      <c r="M15" s="102">
        <v>0</v>
      </c>
      <c r="N15" s="102">
        <v>0</v>
      </c>
      <c r="O15" s="102">
        <v>0</v>
      </c>
      <c r="P15" s="102">
        <v>0</v>
      </c>
      <c r="Q15" s="102">
        <v>0</v>
      </c>
      <c r="R15" s="102">
        <v>0</v>
      </c>
      <c r="S15" s="102">
        <v>0</v>
      </c>
      <c r="T15" s="102">
        <v>0</v>
      </c>
      <c r="U15" s="102">
        <v>0</v>
      </c>
      <c r="V15" s="102">
        <v>0</v>
      </c>
      <c r="W15" s="102">
        <v>0</v>
      </c>
      <c r="X15" s="102">
        <v>0</v>
      </c>
      <c r="Y15" s="102">
        <v>0</v>
      </c>
      <c r="Z15" s="102">
        <v>0</v>
      </c>
      <c r="AA15" s="102">
        <v>0</v>
      </c>
      <c r="AB15" s="102">
        <v>0</v>
      </c>
      <c r="AC15" s="102">
        <v>0</v>
      </c>
      <c r="AD15" s="102">
        <v>0</v>
      </c>
      <c r="AE15" s="102">
        <v>0</v>
      </c>
      <c r="AF15" s="102">
        <v>0</v>
      </c>
      <c r="AG15" s="102">
        <v>0</v>
      </c>
      <c r="AH15" s="102">
        <v>0</v>
      </c>
      <c r="AI15" s="102">
        <v>0</v>
      </c>
      <c r="AJ15" s="102">
        <v>0</v>
      </c>
      <c r="AK15" s="102">
        <v>0</v>
      </c>
      <c r="AL15" s="102">
        <v>0</v>
      </c>
      <c r="AM15" s="102">
        <v>0</v>
      </c>
      <c r="AN15" s="102">
        <v>0</v>
      </c>
    </row>
    <row r="16" spans="1:40" s="16" customFormat="1" ht="21" customHeight="1" x14ac:dyDescent="0.2">
      <c r="B16" s="5" t="s">
        <v>51</v>
      </c>
      <c r="C16" s="101">
        <v>0.03</v>
      </c>
      <c r="D16" s="14"/>
      <c r="E16" s="102">
        <v>5000</v>
      </c>
      <c r="F16" s="103">
        <f t="shared" ref="F16:F17" si="70">E16*(1+$C16)</f>
        <v>5150</v>
      </c>
      <c r="G16" s="103">
        <f t="shared" ref="G16" si="71">F16*(1+$C16)</f>
        <v>5304.5</v>
      </c>
      <c r="H16" s="103">
        <f>G16*(0.9)</f>
        <v>4774.05</v>
      </c>
      <c r="I16" s="103">
        <f t="shared" ref="I16:I17" si="72">H16*(1+$C16)</f>
        <v>4917.2715000000007</v>
      </c>
      <c r="J16" s="103">
        <f t="shared" ref="J16" si="73">I16*(1+$C16)</f>
        <v>5064.7896450000007</v>
      </c>
      <c r="K16" s="103">
        <f t="shared" ref="K16:K17" si="74">J16*(1+$C16)</f>
        <v>5216.7333343500013</v>
      </c>
      <c r="L16" s="103">
        <f t="shared" ref="L16:L17" si="75">K16*(1+$C16)</f>
        <v>5373.2353343805016</v>
      </c>
      <c r="M16" s="103">
        <f t="shared" ref="M16:M17" si="76">L16*(1+$C16)</f>
        <v>5534.4323944119169</v>
      </c>
      <c r="N16" s="103">
        <f t="shared" ref="N16:N17" si="77">M16*(1+$C16)</f>
        <v>5700.4653662442743</v>
      </c>
      <c r="O16" s="103">
        <f>N16*(0.9)</f>
        <v>5130.4188296198472</v>
      </c>
      <c r="P16" s="103">
        <f t="shared" ref="P16:P17" si="78">O16*(1+$C16)</f>
        <v>5284.3313945084428</v>
      </c>
      <c r="Q16" s="103">
        <f t="shared" ref="Q16:Q17" si="79">P16*(1+$C16)</f>
        <v>5442.8613363436962</v>
      </c>
      <c r="R16" s="103">
        <f t="shared" ref="R16:R17" si="80">Q16*(1+$C16)</f>
        <v>5606.1471764340076</v>
      </c>
      <c r="S16" s="103">
        <f t="shared" ref="S16:T16" si="81">R16*(0.9)</f>
        <v>5045.5324587906071</v>
      </c>
      <c r="T16" s="103">
        <f t="shared" si="81"/>
        <v>4540.9792129115467</v>
      </c>
      <c r="U16" s="103">
        <f t="shared" ref="U16:U17" si="82">T16*(1+$C16)</f>
        <v>4677.2085892988935</v>
      </c>
      <c r="V16" s="103">
        <f t="shared" ref="V16:V17" si="83">U16*(1+$C16)</f>
        <v>4817.5248469778608</v>
      </c>
      <c r="W16" s="103">
        <f t="shared" ref="W16:W17" si="84">V16*(1+$C16)</f>
        <v>4962.050592387197</v>
      </c>
      <c r="X16" s="103">
        <f t="shared" ref="X16:Y16" si="85">W16*(0.9)</f>
        <v>4465.8455331484774</v>
      </c>
      <c r="Y16" s="103">
        <f t="shared" si="85"/>
        <v>4019.2609798336298</v>
      </c>
      <c r="Z16" s="103">
        <f t="shared" ref="Z16:Z17" si="86">Y16*(1+$C16)</f>
        <v>4139.8388092286386</v>
      </c>
      <c r="AA16" s="103">
        <f t="shared" ref="AA16:AA17" si="87">Z16*(1+$C16)</f>
        <v>4264.0339735054977</v>
      </c>
      <c r="AB16" s="103">
        <f t="shared" ref="AB16:AB17" si="88">AA16*(1+$C16)</f>
        <v>4391.9549927106627</v>
      </c>
      <c r="AC16" s="103">
        <f t="shared" ref="AC16" si="89">AB16*(1+$C16)</f>
        <v>4523.7136424919827</v>
      </c>
      <c r="AD16" s="103">
        <f t="shared" ref="AD16:AE16" si="90">AC16*(0.9)</f>
        <v>4071.3422782427847</v>
      </c>
      <c r="AE16" s="103">
        <f t="shared" si="90"/>
        <v>3664.2080504185064</v>
      </c>
      <c r="AF16" s="103">
        <f t="shared" ref="AF16:AF17" si="91">AE16*(1+$C16)</f>
        <v>3774.1342919310619</v>
      </c>
      <c r="AG16" s="103">
        <f t="shared" ref="AG16:AG17" si="92">AF16*(1+$C16)</f>
        <v>3887.3583206889939</v>
      </c>
      <c r="AH16" s="103">
        <f t="shared" ref="AH16:AI16" si="93">AG16*(0.9)</f>
        <v>3498.6224886200944</v>
      </c>
      <c r="AI16" s="103">
        <f t="shared" si="93"/>
        <v>3148.7602397580849</v>
      </c>
      <c r="AJ16" s="103">
        <f t="shared" ref="AJ16:AJ17" si="94">AI16*(1+$C16)</f>
        <v>3243.2230469508277</v>
      </c>
      <c r="AK16" s="103">
        <f t="shared" ref="AK16:AK17" si="95">AJ16*(1+$C16)</f>
        <v>3340.5197383593527</v>
      </c>
      <c r="AL16" s="103">
        <f t="shared" ref="AL16:AL17" si="96">AK16*(1+$C16)</f>
        <v>3440.7353305101333</v>
      </c>
      <c r="AM16" s="103">
        <f>AL16*(0.9)</f>
        <v>3096.66179745912</v>
      </c>
      <c r="AN16" s="103">
        <f t="shared" ref="AN16:AN20" si="97">AM16*(1+$C16)</f>
        <v>3189.5616513828936</v>
      </c>
    </row>
    <row r="17" spans="2:40" s="16" customFormat="1" ht="21" customHeight="1" x14ac:dyDescent="0.2">
      <c r="B17" s="5" t="s">
        <v>110</v>
      </c>
      <c r="C17" s="101">
        <v>0.03</v>
      </c>
      <c r="D17" s="14"/>
      <c r="E17" s="102">
        <v>2500</v>
      </c>
      <c r="F17" s="103">
        <f t="shared" si="70"/>
        <v>2575</v>
      </c>
      <c r="G17" s="103">
        <f>F17*(0.9)</f>
        <v>2317.5</v>
      </c>
      <c r="H17" s="103">
        <f t="shared" ref="H17" si="98">G17*(1+$C17)</f>
        <v>2387.0250000000001</v>
      </c>
      <c r="I17" s="103">
        <f t="shared" si="72"/>
        <v>2458.6357500000004</v>
      </c>
      <c r="J17" s="103">
        <f>I17*(0.9)</f>
        <v>2212.7721750000005</v>
      </c>
      <c r="K17" s="103">
        <f t="shared" si="74"/>
        <v>2279.1553402500008</v>
      </c>
      <c r="L17" s="103">
        <f t="shared" si="75"/>
        <v>2347.530000457501</v>
      </c>
      <c r="M17" s="103">
        <f t="shared" si="76"/>
        <v>2417.955900471226</v>
      </c>
      <c r="N17" s="103">
        <f t="shared" si="77"/>
        <v>2490.4945774853627</v>
      </c>
      <c r="O17" s="103">
        <f t="shared" ref="O17" si="99">N17*(1+$C17)</f>
        <v>2565.2094148099236</v>
      </c>
      <c r="P17" s="103">
        <f t="shared" si="78"/>
        <v>2642.1656972542214</v>
      </c>
      <c r="Q17" s="103">
        <f t="shared" si="79"/>
        <v>2721.4306681718481</v>
      </c>
      <c r="R17" s="103">
        <f t="shared" si="80"/>
        <v>2803.0735882170038</v>
      </c>
      <c r="S17" s="103">
        <f>R17*(0.9)</f>
        <v>2522.7662293953035</v>
      </c>
      <c r="T17" s="103">
        <f t="shared" ref="T17" si="100">S17*(1+$C17)</f>
        <v>2598.4492162771626</v>
      </c>
      <c r="U17" s="103">
        <f t="shared" si="82"/>
        <v>2676.4026927654777</v>
      </c>
      <c r="V17" s="103">
        <f t="shared" si="83"/>
        <v>2756.6947735484423</v>
      </c>
      <c r="W17" s="103">
        <f t="shared" si="84"/>
        <v>2839.3956167548959</v>
      </c>
      <c r="X17" s="103">
        <f t="shared" ref="X17:Y17" si="101">W17*(0.9)</f>
        <v>2555.4560550794063</v>
      </c>
      <c r="Y17" s="103">
        <f t="shared" si="101"/>
        <v>2299.9104495714655</v>
      </c>
      <c r="Z17" s="103">
        <f t="shared" si="86"/>
        <v>2368.9077630586094</v>
      </c>
      <c r="AA17" s="103">
        <f t="shared" si="87"/>
        <v>2439.9749959503679</v>
      </c>
      <c r="AB17" s="103">
        <f t="shared" si="88"/>
        <v>2513.1742458288791</v>
      </c>
      <c r="AC17" s="103">
        <f t="shared" ref="AC17:AD17" si="102">AB17*(0.9)</f>
        <v>2261.8568212459913</v>
      </c>
      <c r="AD17" s="103">
        <f t="shared" si="102"/>
        <v>2035.6711391213923</v>
      </c>
      <c r="AE17" s="103">
        <f t="shared" ref="AE17" si="103">AD17*(1+$C17)</f>
        <v>2096.7412732950343</v>
      </c>
      <c r="AF17" s="103">
        <f t="shared" si="91"/>
        <v>2159.6435114938854</v>
      </c>
      <c r="AG17" s="103">
        <f t="shared" si="92"/>
        <v>2224.4328168387019</v>
      </c>
      <c r="AH17" s="103">
        <f t="shared" ref="AH17" si="104">AG17*(1+$C17)</f>
        <v>2291.1658013438632</v>
      </c>
      <c r="AI17" s="103">
        <f>AH17*(0.9)</f>
        <v>2062.0492212094769</v>
      </c>
      <c r="AJ17" s="103">
        <f t="shared" si="94"/>
        <v>2123.9106978457612</v>
      </c>
      <c r="AK17" s="103">
        <f t="shared" si="95"/>
        <v>2187.628018781134</v>
      </c>
      <c r="AL17" s="103">
        <f t="shared" si="96"/>
        <v>2253.2568593445681</v>
      </c>
      <c r="AM17" s="103">
        <f t="shared" ref="AM17" si="105">AL17*(1+$C17)</f>
        <v>2320.8545651249051</v>
      </c>
      <c r="AN17" s="103">
        <f>AM17*(0.9)</f>
        <v>2088.7691086124146</v>
      </c>
    </row>
    <row r="18" spans="2:40" s="16" customFormat="1" ht="21" customHeight="1" x14ac:dyDescent="0.2">
      <c r="B18" s="5" t="s">
        <v>112</v>
      </c>
      <c r="C18" s="101">
        <v>0.03</v>
      </c>
      <c r="D18" s="14"/>
      <c r="E18" s="102">
        <v>0</v>
      </c>
      <c r="F18" s="102">
        <v>0</v>
      </c>
      <c r="G18" s="102">
        <v>0</v>
      </c>
      <c r="H18" s="102">
        <v>0</v>
      </c>
      <c r="I18" s="102">
        <v>0</v>
      </c>
      <c r="J18" s="102">
        <v>0</v>
      </c>
      <c r="K18" s="102">
        <v>0</v>
      </c>
      <c r="L18" s="102">
        <v>0</v>
      </c>
      <c r="M18" s="102">
        <v>0</v>
      </c>
      <c r="N18" s="102">
        <v>0</v>
      </c>
      <c r="O18" s="102">
        <v>0</v>
      </c>
      <c r="P18" s="102">
        <v>0</v>
      </c>
      <c r="Q18" s="102">
        <v>0</v>
      </c>
      <c r="R18" s="102">
        <v>0</v>
      </c>
      <c r="S18" s="102">
        <v>0</v>
      </c>
      <c r="T18" s="102">
        <v>0</v>
      </c>
      <c r="U18" s="102">
        <v>0</v>
      </c>
      <c r="V18" s="102">
        <v>0</v>
      </c>
      <c r="W18" s="102">
        <v>0</v>
      </c>
      <c r="X18" s="102">
        <v>0</v>
      </c>
      <c r="Y18" s="102">
        <v>0</v>
      </c>
      <c r="Z18" s="102">
        <v>0</v>
      </c>
      <c r="AA18" s="102">
        <v>0</v>
      </c>
      <c r="AB18" s="102">
        <v>0</v>
      </c>
      <c r="AC18" s="102">
        <v>0</v>
      </c>
      <c r="AD18" s="102">
        <v>0</v>
      </c>
      <c r="AE18" s="102">
        <v>0</v>
      </c>
      <c r="AF18" s="102">
        <v>0</v>
      </c>
      <c r="AG18" s="102">
        <v>0</v>
      </c>
      <c r="AH18" s="102">
        <v>0</v>
      </c>
      <c r="AI18" s="102">
        <v>0</v>
      </c>
      <c r="AJ18" s="102">
        <v>0</v>
      </c>
      <c r="AK18" s="102">
        <v>0</v>
      </c>
      <c r="AL18" s="102">
        <v>0</v>
      </c>
      <c r="AM18" s="102">
        <v>0</v>
      </c>
      <c r="AN18" s="102">
        <v>0</v>
      </c>
    </row>
    <row r="19" spans="2:40" s="18" customFormat="1" ht="21" customHeight="1" x14ac:dyDescent="0.2">
      <c r="B19" s="7" t="s">
        <v>114</v>
      </c>
      <c r="C19" s="101">
        <v>0.03</v>
      </c>
      <c r="D19" s="19"/>
      <c r="E19" s="102">
        <v>0</v>
      </c>
      <c r="F19" s="103">
        <f t="shared" ref="F19:F20" si="106">E19*(1+$C19)</f>
        <v>0</v>
      </c>
      <c r="G19" s="103">
        <f t="shared" ref="G19:G20" si="107">F19*(1+$C19)</f>
        <v>0</v>
      </c>
      <c r="H19" s="103">
        <f t="shared" ref="H19:H20" si="108">G19*(1+$C19)</f>
        <v>0</v>
      </c>
      <c r="I19" s="103">
        <f t="shared" ref="I19:I20" si="109">H19*(1+$C19)</f>
        <v>0</v>
      </c>
      <c r="J19" s="103">
        <f t="shared" ref="J19:J20" si="110">I19*(1+$C19)</f>
        <v>0</v>
      </c>
      <c r="K19" s="103">
        <f t="shared" ref="K19:K20" si="111">J19*(1+$C19)</f>
        <v>0</v>
      </c>
      <c r="L19" s="103">
        <f t="shared" ref="L19:L20" si="112">K19*(1+$C19)</f>
        <v>0</v>
      </c>
      <c r="M19" s="103">
        <f t="shared" ref="M19:M20" si="113">L19*(1+$C19)</f>
        <v>0</v>
      </c>
      <c r="N19" s="103">
        <f t="shared" ref="N19:N20" si="114">M19*(1+$C19)</f>
        <v>0</v>
      </c>
      <c r="O19" s="103">
        <f t="shared" ref="O19:O20" si="115">N19*(1+$C19)</f>
        <v>0</v>
      </c>
      <c r="P19" s="103">
        <f t="shared" ref="P19:P20" si="116">O19*(1+$C19)</f>
        <v>0</v>
      </c>
      <c r="Q19" s="103">
        <f t="shared" ref="Q19:Q20" si="117">P19*(1+$C19)</f>
        <v>0</v>
      </c>
      <c r="R19" s="103">
        <f t="shared" ref="R19:R20" si="118">Q19*(1+$C19)</f>
        <v>0</v>
      </c>
      <c r="S19" s="103">
        <f t="shared" ref="S19:S20" si="119">R19*(1+$C19)</f>
        <v>0</v>
      </c>
      <c r="T19" s="103">
        <f t="shared" ref="T19:T20" si="120">S19*(1+$C19)</f>
        <v>0</v>
      </c>
      <c r="U19" s="103">
        <f t="shared" ref="U19:U20" si="121">T19*(1+$C19)</f>
        <v>0</v>
      </c>
      <c r="V19" s="103">
        <f t="shared" ref="V19:V20" si="122">U19*(1+$C19)</f>
        <v>0</v>
      </c>
      <c r="W19" s="103">
        <f t="shared" ref="W19:W20" si="123">V19*(1+$C19)</f>
        <v>0</v>
      </c>
      <c r="X19" s="103">
        <f t="shared" ref="X19:X20" si="124">W19*(1+$C19)</f>
        <v>0</v>
      </c>
      <c r="Y19" s="103">
        <f t="shared" ref="Y19:Y20" si="125">X19*(1+$C19)</f>
        <v>0</v>
      </c>
      <c r="Z19" s="103">
        <f t="shared" ref="Z19:Z20" si="126">Y19*(1+$C19)</f>
        <v>0</v>
      </c>
      <c r="AA19" s="103">
        <f t="shared" ref="AA19:AA20" si="127">Z19*(1+$C19)</f>
        <v>0</v>
      </c>
      <c r="AB19" s="103">
        <f t="shared" ref="AB19:AB20" si="128">AA19*(1+$C19)</f>
        <v>0</v>
      </c>
      <c r="AC19" s="103">
        <f t="shared" ref="AC19:AC20" si="129">AB19*(1+$C19)</f>
        <v>0</v>
      </c>
      <c r="AD19" s="103">
        <f t="shared" ref="AD19:AD20" si="130">AC19*(1+$C19)</f>
        <v>0</v>
      </c>
      <c r="AE19" s="103">
        <f t="shared" ref="AE19:AE20" si="131">AD19*(1+$C19)</f>
        <v>0</v>
      </c>
      <c r="AF19" s="103">
        <f t="shared" ref="AF19:AF20" si="132">AE19*(1+$C19)</f>
        <v>0</v>
      </c>
      <c r="AG19" s="103">
        <f t="shared" ref="AG19:AG20" si="133">AF19*(1+$C19)</f>
        <v>0</v>
      </c>
      <c r="AH19" s="103">
        <f t="shared" ref="AH19:AH20" si="134">AG19*(1+$C19)</f>
        <v>0</v>
      </c>
      <c r="AI19" s="103">
        <f t="shared" ref="AI19:AI20" si="135">AH19*(1+$C19)</f>
        <v>0</v>
      </c>
      <c r="AJ19" s="103">
        <f t="shared" ref="AJ19:AJ20" si="136">AI19*(1+$C19)</f>
        <v>0</v>
      </c>
      <c r="AK19" s="103">
        <f t="shared" ref="AK19:AK20" si="137">AJ19*(1+$C19)</f>
        <v>0</v>
      </c>
      <c r="AL19" s="103">
        <f t="shared" ref="AL19:AL20" si="138">AK19*(1+$C19)</f>
        <v>0</v>
      </c>
      <c r="AM19" s="103">
        <f t="shared" ref="AM19:AM20" si="139">AL19*(1+$C19)</f>
        <v>0</v>
      </c>
      <c r="AN19" s="103">
        <f t="shared" si="97"/>
        <v>0</v>
      </c>
    </row>
    <row r="20" spans="2:40" s="16" customFormat="1" ht="21" customHeight="1" x14ac:dyDescent="0.2">
      <c r="B20" s="8" t="s">
        <v>116</v>
      </c>
      <c r="C20" s="101">
        <v>0.03</v>
      </c>
      <c r="D20" s="14"/>
      <c r="E20" s="102">
        <v>650</v>
      </c>
      <c r="F20" s="103">
        <f t="shared" si="106"/>
        <v>669.5</v>
      </c>
      <c r="G20" s="103">
        <f t="shared" si="107"/>
        <v>689.58500000000004</v>
      </c>
      <c r="H20" s="103">
        <f t="shared" si="108"/>
        <v>710.27255000000002</v>
      </c>
      <c r="I20" s="103">
        <f t="shared" si="109"/>
        <v>731.58072650000008</v>
      </c>
      <c r="J20" s="103">
        <f t="shared" si="110"/>
        <v>753.52814829500005</v>
      </c>
      <c r="K20" s="103">
        <f t="shared" si="111"/>
        <v>776.13399274385006</v>
      </c>
      <c r="L20" s="103">
        <f t="shared" si="112"/>
        <v>799.41801252616563</v>
      </c>
      <c r="M20" s="103">
        <f t="shared" si="113"/>
        <v>823.40055290195062</v>
      </c>
      <c r="N20" s="103">
        <f t="shared" si="114"/>
        <v>848.10256948900917</v>
      </c>
      <c r="O20" s="103">
        <f t="shared" si="115"/>
        <v>873.54564657367951</v>
      </c>
      <c r="P20" s="103">
        <f t="shared" si="116"/>
        <v>899.75201597088994</v>
      </c>
      <c r="Q20" s="103">
        <f t="shared" si="117"/>
        <v>926.74457645001667</v>
      </c>
      <c r="R20" s="103">
        <f t="shared" si="118"/>
        <v>954.54691374351717</v>
      </c>
      <c r="S20" s="103">
        <f t="shared" si="119"/>
        <v>983.18332115582268</v>
      </c>
      <c r="T20" s="103">
        <f t="shared" si="120"/>
        <v>1012.6788207904974</v>
      </c>
      <c r="U20" s="103">
        <f t="shared" si="121"/>
        <v>1043.0591854142124</v>
      </c>
      <c r="V20" s="103">
        <f t="shared" si="122"/>
        <v>1074.3509609766388</v>
      </c>
      <c r="W20" s="103">
        <f t="shared" si="123"/>
        <v>1106.581489805938</v>
      </c>
      <c r="X20" s="103">
        <f t="shared" si="124"/>
        <v>1139.7789345001161</v>
      </c>
      <c r="Y20" s="103">
        <f t="shared" si="125"/>
        <v>1173.9723025351195</v>
      </c>
      <c r="Z20" s="103">
        <f t="shared" si="126"/>
        <v>1209.191471611173</v>
      </c>
      <c r="AA20" s="103">
        <f t="shared" si="127"/>
        <v>1245.4672157595082</v>
      </c>
      <c r="AB20" s="103">
        <f t="shared" si="128"/>
        <v>1282.8312322322936</v>
      </c>
      <c r="AC20" s="103">
        <f t="shared" si="129"/>
        <v>1321.3161691992625</v>
      </c>
      <c r="AD20" s="103">
        <f t="shared" si="130"/>
        <v>1360.9556542752405</v>
      </c>
      <c r="AE20" s="103">
        <f t="shared" si="131"/>
        <v>1401.7843239034978</v>
      </c>
      <c r="AF20" s="103">
        <f t="shared" si="132"/>
        <v>1443.8378536206028</v>
      </c>
      <c r="AG20" s="103">
        <f t="shared" si="133"/>
        <v>1487.152989229221</v>
      </c>
      <c r="AH20" s="103">
        <f t="shared" si="134"/>
        <v>1531.7675789060977</v>
      </c>
      <c r="AI20" s="103">
        <f t="shared" si="135"/>
        <v>1577.7206062732807</v>
      </c>
      <c r="AJ20" s="103">
        <f t="shared" si="136"/>
        <v>1625.0522244614792</v>
      </c>
      <c r="AK20" s="103">
        <f t="shared" si="137"/>
        <v>1673.8037911953236</v>
      </c>
      <c r="AL20" s="103">
        <f t="shared" si="138"/>
        <v>1724.0179049311832</v>
      </c>
      <c r="AM20" s="103">
        <f t="shared" si="139"/>
        <v>1775.7384420791188</v>
      </c>
      <c r="AN20" s="103">
        <f t="shared" si="97"/>
        <v>1829.0105953414925</v>
      </c>
    </row>
    <row r="21" spans="2:40" s="16" customFormat="1" ht="21" customHeight="1" x14ac:dyDescent="0.2">
      <c r="B21" s="8" t="s">
        <v>118</v>
      </c>
      <c r="C21" s="101">
        <v>0.03</v>
      </c>
      <c r="D21" s="14"/>
      <c r="E21" s="102">
        <v>0</v>
      </c>
      <c r="F21" s="102">
        <v>0</v>
      </c>
      <c r="G21" s="102">
        <v>0</v>
      </c>
      <c r="H21" s="102">
        <v>0</v>
      </c>
      <c r="I21" s="102">
        <v>0</v>
      </c>
      <c r="J21" s="102">
        <v>0</v>
      </c>
      <c r="K21" s="102">
        <v>0</v>
      </c>
      <c r="L21" s="102">
        <v>0</v>
      </c>
      <c r="M21" s="102">
        <v>0</v>
      </c>
      <c r="N21" s="102">
        <v>0</v>
      </c>
      <c r="O21" s="102">
        <v>0</v>
      </c>
      <c r="P21" s="102">
        <v>0</v>
      </c>
      <c r="Q21" s="102">
        <v>0</v>
      </c>
      <c r="R21" s="102">
        <v>0</v>
      </c>
      <c r="S21" s="102">
        <v>0</v>
      </c>
      <c r="T21" s="102">
        <v>0</v>
      </c>
      <c r="U21" s="102">
        <v>0</v>
      </c>
      <c r="V21" s="102">
        <v>0</v>
      </c>
      <c r="W21" s="102">
        <v>0</v>
      </c>
      <c r="X21" s="102">
        <v>0</v>
      </c>
      <c r="Y21" s="102">
        <v>0</v>
      </c>
      <c r="Z21" s="102">
        <v>0</v>
      </c>
      <c r="AA21" s="102">
        <v>0</v>
      </c>
      <c r="AB21" s="102">
        <v>0</v>
      </c>
      <c r="AC21" s="102">
        <v>0</v>
      </c>
      <c r="AD21" s="102">
        <v>0</v>
      </c>
      <c r="AE21" s="102">
        <v>0</v>
      </c>
      <c r="AF21" s="102">
        <v>0</v>
      </c>
      <c r="AG21" s="102">
        <v>0</v>
      </c>
      <c r="AH21" s="102">
        <v>0</v>
      </c>
      <c r="AI21" s="102">
        <v>0</v>
      </c>
      <c r="AJ21" s="102">
        <v>0</v>
      </c>
      <c r="AK21" s="102">
        <v>0</v>
      </c>
      <c r="AL21" s="102">
        <v>0</v>
      </c>
      <c r="AM21" s="102">
        <v>0</v>
      </c>
      <c r="AN21" s="102">
        <v>0</v>
      </c>
    </row>
    <row r="22" spans="2:40" s="16" customFormat="1" ht="21" customHeight="1" x14ac:dyDescent="0.2">
      <c r="B22" s="8" t="s">
        <v>120</v>
      </c>
      <c r="C22" s="101">
        <v>0.03</v>
      </c>
      <c r="D22" s="14"/>
      <c r="E22" s="102">
        <v>0</v>
      </c>
      <c r="F22" s="102">
        <v>0</v>
      </c>
      <c r="G22" s="102">
        <v>0</v>
      </c>
      <c r="H22" s="102">
        <v>0</v>
      </c>
      <c r="I22" s="102">
        <v>0</v>
      </c>
      <c r="J22" s="102">
        <v>0</v>
      </c>
      <c r="K22" s="102">
        <v>0</v>
      </c>
      <c r="L22" s="102">
        <v>0</v>
      </c>
      <c r="M22" s="102">
        <v>0</v>
      </c>
      <c r="N22" s="102">
        <v>0</v>
      </c>
      <c r="O22" s="102">
        <v>0</v>
      </c>
      <c r="P22" s="102">
        <v>0</v>
      </c>
      <c r="Q22" s="102">
        <v>0</v>
      </c>
      <c r="R22" s="102">
        <v>0</v>
      </c>
      <c r="S22" s="102">
        <v>0</v>
      </c>
      <c r="T22" s="102">
        <v>0</v>
      </c>
      <c r="U22" s="102">
        <v>0</v>
      </c>
      <c r="V22" s="102">
        <v>0</v>
      </c>
      <c r="W22" s="102">
        <v>0</v>
      </c>
      <c r="X22" s="102">
        <v>0</v>
      </c>
      <c r="Y22" s="102">
        <v>0</v>
      </c>
      <c r="Z22" s="102">
        <v>0</v>
      </c>
      <c r="AA22" s="102">
        <v>0</v>
      </c>
      <c r="AB22" s="102">
        <v>0</v>
      </c>
      <c r="AC22" s="102">
        <v>0</v>
      </c>
      <c r="AD22" s="102">
        <v>0</v>
      </c>
      <c r="AE22" s="102">
        <v>0</v>
      </c>
      <c r="AF22" s="102">
        <v>0</v>
      </c>
      <c r="AG22" s="102">
        <v>0</v>
      </c>
      <c r="AH22" s="102">
        <v>0</v>
      </c>
      <c r="AI22" s="102">
        <v>0</v>
      </c>
      <c r="AJ22" s="102">
        <v>0</v>
      </c>
      <c r="AK22" s="102">
        <v>0</v>
      </c>
      <c r="AL22" s="102">
        <v>0</v>
      </c>
      <c r="AM22" s="102">
        <v>0</v>
      </c>
      <c r="AN22" s="102">
        <v>0</v>
      </c>
    </row>
    <row r="23" spans="2:40" s="16" customFormat="1" ht="21" customHeight="1" x14ac:dyDescent="0.2">
      <c r="B23" s="7" t="s">
        <v>147</v>
      </c>
      <c r="C23" s="27"/>
      <c r="D23" s="14"/>
      <c r="E23" s="104">
        <f t="shared" ref="E23:AN23" si="140">SUM(E22, E21, E20 + E19)</f>
        <v>650</v>
      </c>
      <c r="F23" s="104">
        <f t="shared" ref="F23:AM23" si="141">SUM(F22, F21, F20 + F19)</f>
        <v>669.5</v>
      </c>
      <c r="G23" s="104">
        <f t="shared" si="141"/>
        <v>689.58500000000004</v>
      </c>
      <c r="H23" s="104">
        <f t="shared" si="141"/>
        <v>710.27255000000002</v>
      </c>
      <c r="I23" s="104">
        <f t="shared" si="141"/>
        <v>731.58072650000008</v>
      </c>
      <c r="J23" s="104">
        <f t="shared" si="141"/>
        <v>753.52814829500005</v>
      </c>
      <c r="K23" s="104">
        <f t="shared" si="141"/>
        <v>776.13399274385006</v>
      </c>
      <c r="L23" s="104">
        <f t="shared" si="141"/>
        <v>799.41801252616563</v>
      </c>
      <c r="M23" s="104">
        <f t="shared" si="141"/>
        <v>823.40055290195062</v>
      </c>
      <c r="N23" s="104">
        <f t="shared" si="141"/>
        <v>848.10256948900917</v>
      </c>
      <c r="O23" s="104">
        <f t="shared" si="141"/>
        <v>873.54564657367951</v>
      </c>
      <c r="P23" s="104">
        <f t="shared" si="141"/>
        <v>899.75201597088994</v>
      </c>
      <c r="Q23" s="104">
        <f t="shared" si="141"/>
        <v>926.74457645001667</v>
      </c>
      <c r="R23" s="104">
        <f t="shared" si="141"/>
        <v>954.54691374351717</v>
      </c>
      <c r="S23" s="104">
        <f t="shared" si="141"/>
        <v>983.18332115582268</v>
      </c>
      <c r="T23" s="104">
        <f t="shared" si="141"/>
        <v>1012.6788207904974</v>
      </c>
      <c r="U23" s="104">
        <f t="shared" si="141"/>
        <v>1043.0591854142124</v>
      </c>
      <c r="V23" s="104">
        <f t="shared" si="141"/>
        <v>1074.3509609766388</v>
      </c>
      <c r="W23" s="104">
        <f t="shared" si="141"/>
        <v>1106.581489805938</v>
      </c>
      <c r="X23" s="104">
        <f t="shared" si="141"/>
        <v>1139.7789345001161</v>
      </c>
      <c r="Y23" s="104">
        <f t="shared" si="141"/>
        <v>1173.9723025351195</v>
      </c>
      <c r="Z23" s="104">
        <f t="shared" si="141"/>
        <v>1209.191471611173</v>
      </c>
      <c r="AA23" s="104">
        <f t="shared" si="141"/>
        <v>1245.4672157595082</v>
      </c>
      <c r="AB23" s="104">
        <f t="shared" si="141"/>
        <v>1282.8312322322936</v>
      </c>
      <c r="AC23" s="104">
        <f t="shared" si="141"/>
        <v>1321.3161691992625</v>
      </c>
      <c r="AD23" s="104">
        <f t="shared" si="141"/>
        <v>1360.9556542752405</v>
      </c>
      <c r="AE23" s="104">
        <f t="shared" si="141"/>
        <v>1401.7843239034978</v>
      </c>
      <c r="AF23" s="104">
        <f t="shared" si="141"/>
        <v>1443.8378536206028</v>
      </c>
      <c r="AG23" s="104">
        <f t="shared" si="141"/>
        <v>1487.152989229221</v>
      </c>
      <c r="AH23" s="104">
        <f t="shared" si="141"/>
        <v>1531.7675789060977</v>
      </c>
      <c r="AI23" s="104">
        <f t="shared" si="141"/>
        <v>1577.7206062732807</v>
      </c>
      <c r="AJ23" s="104">
        <f t="shared" si="141"/>
        <v>1625.0522244614792</v>
      </c>
      <c r="AK23" s="104">
        <f t="shared" si="141"/>
        <v>1673.8037911953236</v>
      </c>
      <c r="AL23" s="104">
        <f t="shared" si="141"/>
        <v>1724.0179049311832</v>
      </c>
      <c r="AM23" s="104">
        <f t="shared" si="141"/>
        <v>1775.7384420791188</v>
      </c>
      <c r="AN23" s="104">
        <f t="shared" si="140"/>
        <v>1829.0105953414925</v>
      </c>
    </row>
    <row r="24" spans="2:40" s="18" customFormat="1" ht="21" customHeight="1" x14ac:dyDescent="0.2">
      <c r="B24" s="7" t="s">
        <v>122</v>
      </c>
      <c r="C24" s="27"/>
      <c r="D24" s="19"/>
      <c r="E24" s="102">
        <v>0</v>
      </c>
      <c r="F24" s="103">
        <f t="shared" ref="F24" si="142">E24*(1+$C24)</f>
        <v>0</v>
      </c>
      <c r="G24" s="103">
        <f t="shared" ref="G24" si="143">F24*(1+$C24)</f>
        <v>0</v>
      </c>
      <c r="H24" s="103">
        <f t="shared" ref="H24" si="144">G24*(1+$C24)</f>
        <v>0</v>
      </c>
      <c r="I24" s="103">
        <f t="shared" ref="I24" si="145">H24*(1+$C24)</f>
        <v>0</v>
      </c>
      <c r="J24" s="103">
        <f t="shared" ref="J24" si="146">I24*(1+$C24)</f>
        <v>0</v>
      </c>
      <c r="K24" s="103">
        <f t="shared" ref="K24" si="147">J24*(1+$C24)</f>
        <v>0</v>
      </c>
      <c r="L24" s="103">
        <f t="shared" ref="L24" si="148">K24*(1+$C24)</f>
        <v>0</v>
      </c>
      <c r="M24" s="103">
        <f t="shared" ref="M24" si="149">L24*(1+$C24)</f>
        <v>0</v>
      </c>
      <c r="N24" s="103">
        <f t="shared" ref="N24" si="150">M24*(1+$C24)</f>
        <v>0</v>
      </c>
      <c r="O24" s="103">
        <f t="shared" ref="O24" si="151">N24*(1+$C24)</f>
        <v>0</v>
      </c>
      <c r="P24" s="103">
        <f t="shared" ref="P24" si="152">O24*(1+$C24)</f>
        <v>0</v>
      </c>
      <c r="Q24" s="103">
        <f t="shared" ref="Q24" si="153">P24*(1+$C24)</f>
        <v>0</v>
      </c>
      <c r="R24" s="103">
        <f t="shared" ref="R24" si="154">Q24*(1+$C24)</f>
        <v>0</v>
      </c>
      <c r="S24" s="103">
        <f t="shared" ref="S24" si="155">R24*(1+$C24)</f>
        <v>0</v>
      </c>
      <c r="T24" s="103">
        <f t="shared" ref="T24" si="156">S24*(1+$C24)</f>
        <v>0</v>
      </c>
      <c r="U24" s="103">
        <f t="shared" ref="U24" si="157">T24*(1+$C24)</f>
        <v>0</v>
      </c>
      <c r="V24" s="103">
        <f t="shared" ref="V24" si="158">U24*(1+$C24)</f>
        <v>0</v>
      </c>
      <c r="W24" s="103">
        <f t="shared" ref="W24" si="159">V24*(1+$C24)</f>
        <v>0</v>
      </c>
      <c r="X24" s="103">
        <f t="shared" ref="X24" si="160">W24*(1+$C24)</f>
        <v>0</v>
      </c>
      <c r="Y24" s="103">
        <f t="shared" ref="Y24" si="161">X24*(1+$C24)</f>
        <v>0</v>
      </c>
      <c r="Z24" s="103">
        <f t="shared" ref="Z24" si="162">Y24*(1+$C24)</f>
        <v>0</v>
      </c>
      <c r="AA24" s="103">
        <f t="shared" ref="AA24" si="163">Z24*(1+$C24)</f>
        <v>0</v>
      </c>
      <c r="AB24" s="103">
        <f t="shared" ref="AB24" si="164">AA24*(1+$C24)</f>
        <v>0</v>
      </c>
      <c r="AC24" s="103">
        <f t="shared" ref="AC24" si="165">AB24*(1+$C24)</f>
        <v>0</v>
      </c>
      <c r="AD24" s="103">
        <f t="shared" ref="AD24" si="166">AC24*(1+$C24)</f>
        <v>0</v>
      </c>
      <c r="AE24" s="103">
        <f t="shared" ref="AE24" si="167">AD24*(1+$C24)</f>
        <v>0</v>
      </c>
      <c r="AF24" s="103">
        <f t="shared" ref="AF24" si="168">AE24*(1+$C24)</f>
        <v>0</v>
      </c>
      <c r="AG24" s="103">
        <f t="shared" ref="AG24" si="169">AF24*(1+$C24)</f>
        <v>0</v>
      </c>
      <c r="AH24" s="103">
        <f t="shared" ref="AH24" si="170">AG24*(1+$C24)</f>
        <v>0</v>
      </c>
      <c r="AI24" s="103">
        <f t="shared" ref="AI24" si="171">AH24*(1+$C24)</f>
        <v>0</v>
      </c>
      <c r="AJ24" s="103">
        <f t="shared" ref="AJ24" si="172">AI24*(1+$C24)</f>
        <v>0</v>
      </c>
      <c r="AK24" s="103">
        <f t="shared" ref="AK24" si="173">AJ24*(1+$C24)</f>
        <v>0</v>
      </c>
      <c r="AL24" s="103">
        <f t="shared" ref="AL24" si="174">AK24*(1+$C24)</f>
        <v>0</v>
      </c>
      <c r="AM24" s="103">
        <f t="shared" ref="AM24" si="175">AL24*(1+$C24)</f>
        <v>0</v>
      </c>
      <c r="AN24" s="103">
        <f t="shared" ref="AN24:AN28" si="176">AM24*(1+$C24)</f>
        <v>0</v>
      </c>
    </row>
    <row r="25" spans="2:40" s="16" customFormat="1" ht="21" customHeight="1" x14ac:dyDescent="0.2">
      <c r="B25" s="8" t="s">
        <v>123</v>
      </c>
      <c r="C25" s="101">
        <v>0.03</v>
      </c>
      <c r="D25" s="14"/>
      <c r="E25" s="102">
        <v>0</v>
      </c>
      <c r="F25" s="102">
        <v>0</v>
      </c>
      <c r="G25" s="102">
        <v>0</v>
      </c>
      <c r="H25" s="102">
        <v>0</v>
      </c>
      <c r="I25" s="102">
        <v>0</v>
      </c>
      <c r="J25" s="102">
        <v>0</v>
      </c>
      <c r="K25" s="102">
        <v>0</v>
      </c>
      <c r="L25" s="102">
        <v>0</v>
      </c>
      <c r="M25" s="102">
        <v>0</v>
      </c>
      <c r="N25" s="102">
        <v>0</v>
      </c>
      <c r="O25" s="102">
        <v>0</v>
      </c>
      <c r="P25" s="102">
        <v>0</v>
      </c>
      <c r="Q25" s="102">
        <v>0</v>
      </c>
      <c r="R25" s="102">
        <v>0</v>
      </c>
      <c r="S25" s="102">
        <v>0</v>
      </c>
      <c r="T25" s="102">
        <v>0</v>
      </c>
      <c r="U25" s="102">
        <v>0</v>
      </c>
      <c r="V25" s="102">
        <v>0</v>
      </c>
      <c r="W25" s="102">
        <v>0</v>
      </c>
      <c r="X25" s="102">
        <v>0</v>
      </c>
      <c r="Y25" s="102">
        <v>0</v>
      </c>
      <c r="Z25" s="102">
        <v>0</v>
      </c>
      <c r="AA25" s="102">
        <v>0</v>
      </c>
      <c r="AB25" s="102">
        <v>0</v>
      </c>
      <c r="AC25" s="102">
        <v>0</v>
      </c>
      <c r="AD25" s="102">
        <v>0</v>
      </c>
      <c r="AE25" s="102">
        <v>0</v>
      </c>
      <c r="AF25" s="102">
        <v>0</v>
      </c>
      <c r="AG25" s="102">
        <v>0</v>
      </c>
      <c r="AH25" s="102">
        <v>0</v>
      </c>
      <c r="AI25" s="102">
        <v>0</v>
      </c>
      <c r="AJ25" s="102">
        <v>0</v>
      </c>
      <c r="AK25" s="102">
        <v>0</v>
      </c>
      <c r="AL25" s="102">
        <v>0</v>
      </c>
      <c r="AM25" s="102">
        <v>0</v>
      </c>
      <c r="AN25" s="102">
        <v>0</v>
      </c>
    </row>
    <row r="26" spans="2:40" s="16" customFormat="1" ht="21" customHeight="1" x14ac:dyDescent="0.2">
      <c r="B26" s="8" t="s">
        <v>124</v>
      </c>
      <c r="C26" s="101">
        <v>0.03</v>
      </c>
      <c r="D26" s="14"/>
      <c r="E26" s="102">
        <v>0</v>
      </c>
      <c r="F26" s="103">
        <f t="shared" ref="F26" si="177">E26*(1+$C26)</f>
        <v>0</v>
      </c>
      <c r="G26" s="103">
        <f t="shared" ref="G26" si="178">F26*(1+$C26)</f>
        <v>0</v>
      </c>
      <c r="H26" s="103">
        <f t="shared" ref="H26" si="179">G26*(1+$C26)</f>
        <v>0</v>
      </c>
      <c r="I26" s="103">
        <f t="shared" ref="I26" si="180">H26*(1+$C26)</f>
        <v>0</v>
      </c>
      <c r="J26" s="103">
        <f t="shared" ref="J26" si="181">I26*(1+$C26)</f>
        <v>0</v>
      </c>
      <c r="K26" s="103">
        <f t="shared" ref="K26" si="182">J26*(1+$C26)</f>
        <v>0</v>
      </c>
      <c r="L26" s="103">
        <f t="shared" ref="L26" si="183">K26*(1+$C26)</f>
        <v>0</v>
      </c>
      <c r="M26" s="103">
        <f t="shared" ref="M26" si="184">L26*(1+$C26)</f>
        <v>0</v>
      </c>
      <c r="N26" s="103">
        <f t="shared" ref="N26" si="185">M26*(1+$C26)</f>
        <v>0</v>
      </c>
      <c r="O26" s="103">
        <f t="shared" ref="O26" si="186">N26*(1+$C26)</f>
        <v>0</v>
      </c>
      <c r="P26" s="103">
        <f t="shared" ref="P26" si="187">O26*(1+$C26)</f>
        <v>0</v>
      </c>
      <c r="Q26" s="103">
        <f t="shared" ref="Q26" si="188">P26*(1+$C26)</f>
        <v>0</v>
      </c>
      <c r="R26" s="103">
        <f t="shared" ref="R26" si="189">Q26*(1+$C26)</f>
        <v>0</v>
      </c>
      <c r="S26" s="103">
        <f t="shared" ref="S26" si="190">R26*(1+$C26)</f>
        <v>0</v>
      </c>
      <c r="T26" s="103">
        <f t="shared" ref="T26" si="191">S26*(1+$C26)</f>
        <v>0</v>
      </c>
      <c r="U26" s="103">
        <f t="shared" ref="U26" si="192">T26*(1+$C26)</f>
        <v>0</v>
      </c>
      <c r="V26" s="103">
        <f t="shared" ref="V26" si="193">U26*(1+$C26)</f>
        <v>0</v>
      </c>
      <c r="W26" s="103">
        <f t="shared" ref="W26" si="194">V26*(1+$C26)</f>
        <v>0</v>
      </c>
      <c r="X26" s="103">
        <f t="shared" ref="X26" si="195">W26*(1+$C26)</f>
        <v>0</v>
      </c>
      <c r="Y26" s="103">
        <f t="shared" ref="Y26" si="196">X26*(1+$C26)</f>
        <v>0</v>
      </c>
      <c r="Z26" s="103">
        <f t="shared" ref="Z26" si="197">Y26*(1+$C26)</f>
        <v>0</v>
      </c>
      <c r="AA26" s="103">
        <f t="shared" ref="AA26" si="198">Z26*(1+$C26)</f>
        <v>0</v>
      </c>
      <c r="AB26" s="103">
        <f t="shared" ref="AB26" si="199">AA26*(1+$C26)</f>
        <v>0</v>
      </c>
      <c r="AC26" s="103">
        <f t="shared" ref="AC26" si="200">AB26*(1+$C26)</f>
        <v>0</v>
      </c>
      <c r="AD26" s="103">
        <f t="shared" ref="AD26" si="201">AC26*(1+$C26)</f>
        <v>0</v>
      </c>
      <c r="AE26" s="103">
        <f t="shared" ref="AE26" si="202">AD26*(1+$C26)</f>
        <v>0</v>
      </c>
      <c r="AF26" s="103">
        <f t="shared" ref="AF26" si="203">AE26*(1+$C26)</f>
        <v>0</v>
      </c>
      <c r="AG26" s="103">
        <f t="shared" ref="AG26" si="204">AF26*(1+$C26)</f>
        <v>0</v>
      </c>
      <c r="AH26" s="103">
        <f t="shared" ref="AH26" si="205">AG26*(1+$C26)</f>
        <v>0</v>
      </c>
      <c r="AI26" s="103">
        <f t="shared" ref="AI26" si="206">AH26*(1+$C26)</f>
        <v>0</v>
      </c>
      <c r="AJ26" s="103">
        <f t="shared" ref="AJ26" si="207">AI26*(1+$C26)</f>
        <v>0</v>
      </c>
      <c r="AK26" s="103">
        <f t="shared" ref="AK26" si="208">AJ26*(1+$C26)</f>
        <v>0</v>
      </c>
      <c r="AL26" s="103">
        <f t="shared" ref="AL26" si="209">AK26*(1+$C26)</f>
        <v>0</v>
      </c>
      <c r="AM26" s="103">
        <f t="shared" ref="AM26" si="210">AL26*(1+$C26)</f>
        <v>0</v>
      </c>
      <c r="AN26" s="103">
        <f t="shared" si="176"/>
        <v>0</v>
      </c>
    </row>
    <row r="27" spans="2:40" s="16" customFormat="1" ht="21" customHeight="1" x14ac:dyDescent="0.2">
      <c r="B27" s="8" t="s">
        <v>125</v>
      </c>
      <c r="C27" s="101">
        <v>0.03</v>
      </c>
      <c r="D27" s="14"/>
      <c r="E27" s="102">
        <v>0</v>
      </c>
      <c r="F27" s="102">
        <v>0</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row>
    <row r="28" spans="2:40" s="16" customFormat="1" ht="21" customHeight="1" x14ac:dyDescent="0.2">
      <c r="B28" s="8" t="s">
        <v>126</v>
      </c>
      <c r="C28" s="101">
        <v>0.03</v>
      </c>
      <c r="D28" s="14"/>
      <c r="E28" s="102">
        <v>1000</v>
      </c>
      <c r="F28" s="103">
        <f t="shared" ref="F28" si="211">E28*(1+$C28)</f>
        <v>1030</v>
      </c>
      <c r="G28" s="103">
        <f t="shared" ref="G28" si="212">F28*(1+$C28)</f>
        <v>1060.9000000000001</v>
      </c>
      <c r="H28" s="103">
        <f t="shared" ref="H28" si="213">G28*(1+$C28)</f>
        <v>1092.7270000000001</v>
      </c>
      <c r="I28" s="103">
        <f>H28*(0.9)</f>
        <v>983.4543000000001</v>
      </c>
      <c r="J28" s="103">
        <f t="shared" ref="J28" si="214">I28*(1+$C28)</f>
        <v>1012.9579290000001</v>
      </c>
      <c r="K28" s="103">
        <f t="shared" ref="K28" si="215">J28*(1+$C28)</f>
        <v>1043.3466668700003</v>
      </c>
      <c r="L28" s="103">
        <f t="shared" ref="L28" si="216">K28*(1+$C28)</f>
        <v>1074.6470668761003</v>
      </c>
      <c r="M28" s="103">
        <f t="shared" ref="M28" si="217">L28*(1+$C28)</f>
        <v>1106.8864788823835</v>
      </c>
      <c r="N28" s="103">
        <f t="shared" ref="N28" si="218">M28*(1+$C28)</f>
        <v>1140.093073248855</v>
      </c>
      <c r="O28" s="103">
        <f t="shared" ref="O28" si="219">N28*(1+$C28)</f>
        <v>1174.2958654463207</v>
      </c>
      <c r="P28" s="103">
        <f t="shared" ref="P28" si="220">O28*(1+$C28)</f>
        <v>1209.5247414097103</v>
      </c>
      <c r="Q28" s="103">
        <f t="shared" ref="Q28" si="221">P28*(1+$C28)</f>
        <v>1245.8104836520015</v>
      </c>
      <c r="R28" s="103">
        <f>Q28*(0.9)</f>
        <v>1121.2294352868014</v>
      </c>
      <c r="S28" s="103">
        <f t="shared" ref="S28" si="222">R28*(1+$C28)</f>
        <v>1154.8663183454055</v>
      </c>
      <c r="T28" s="103">
        <f t="shared" ref="T28" si="223">S28*(1+$C28)</f>
        <v>1189.5123078957677</v>
      </c>
      <c r="U28" s="103">
        <f t="shared" ref="U28" si="224">T28*(1+$C28)</f>
        <v>1225.1976771326408</v>
      </c>
      <c r="V28" s="103">
        <f t="shared" ref="V28" si="225">U28*(1+$C28)</f>
        <v>1261.95360744662</v>
      </c>
      <c r="W28" s="103">
        <f t="shared" ref="W28" si="226">V28*(1+$C28)</f>
        <v>1299.8122156700188</v>
      </c>
      <c r="X28" s="103">
        <f t="shared" ref="X28" si="227">W28*(1+$C28)</f>
        <v>1338.8065821401194</v>
      </c>
      <c r="Y28" s="103">
        <f t="shared" ref="Y28" si="228">X28*(1+$C28)</f>
        <v>1378.9707796043231</v>
      </c>
      <c r="Z28" s="103">
        <f t="shared" ref="Z28" si="229">Y28*(1+$C28)</f>
        <v>1420.3399029924528</v>
      </c>
      <c r="AA28" s="103">
        <f>Z28*(0.9)</f>
        <v>1278.3059126932076</v>
      </c>
      <c r="AB28" s="103">
        <f t="shared" ref="AB28" si="230">AA28*(1+$C28)</f>
        <v>1316.6550900740037</v>
      </c>
      <c r="AC28" s="103">
        <f t="shared" ref="AC28" si="231">AB28*(1+$C28)</f>
        <v>1356.1547427762239</v>
      </c>
      <c r="AD28" s="103">
        <f t="shared" ref="AD28" si="232">AC28*(1+$C28)</f>
        <v>1396.8393850595107</v>
      </c>
      <c r="AE28" s="103">
        <f t="shared" ref="AE28" si="233">AD28*(1+$C28)</f>
        <v>1438.744566611296</v>
      </c>
      <c r="AF28" s="103">
        <f t="shared" ref="AF28" si="234">AE28*(1+$C28)</f>
        <v>1481.906903609635</v>
      </c>
      <c r="AG28" s="103">
        <f>AF28*(0.9)</f>
        <v>1333.7162132486715</v>
      </c>
      <c r="AH28" s="103">
        <f t="shared" ref="AH28" si="235">AG28*(1+$C28)</f>
        <v>1373.7276996461317</v>
      </c>
      <c r="AI28" s="103">
        <f t="shared" ref="AI28" si="236">AH28*(1+$C28)</f>
        <v>1414.9395306355157</v>
      </c>
      <c r="AJ28" s="103">
        <f t="shared" ref="AJ28" si="237">AI28*(1+$C28)</f>
        <v>1457.3877165545812</v>
      </c>
      <c r="AK28" s="103">
        <f t="shared" ref="AK28" si="238">AJ28*(1+$C28)</f>
        <v>1501.1093480512186</v>
      </c>
      <c r="AL28" s="103">
        <f t="shared" ref="AL28" si="239">AK28*(1+$C28)</f>
        <v>1546.1426284927552</v>
      </c>
      <c r="AM28" s="103">
        <f>AL28*(0.9)</f>
        <v>1391.5283656434797</v>
      </c>
      <c r="AN28" s="103">
        <f t="shared" si="176"/>
        <v>1433.2742166127841</v>
      </c>
    </row>
    <row r="29" spans="2:40" s="16" customFormat="1" ht="21" customHeight="1" x14ac:dyDescent="0.2">
      <c r="B29" s="7" t="s">
        <v>148</v>
      </c>
      <c r="C29" s="27"/>
      <c r="D29" s="14"/>
      <c r="E29" s="104">
        <f t="shared" ref="E29:AN29" si="240">SUM(E28, E27, E26, E25 + E24)</f>
        <v>1000</v>
      </c>
      <c r="F29" s="104">
        <f t="shared" ref="F29:AM29" si="241">SUM(F28, F27, F26, F25 + F24)</f>
        <v>1030</v>
      </c>
      <c r="G29" s="104">
        <f t="shared" si="241"/>
        <v>1060.9000000000001</v>
      </c>
      <c r="H29" s="104">
        <f t="shared" si="241"/>
        <v>1092.7270000000001</v>
      </c>
      <c r="I29" s="104">
        <f t="shared" si="241"/>
        <v>983.4543000000001</v>
      </c>
      <c r="J29" s="104">
        <f t="shared" si="241"/>
        <v>1012.9579290000001</v>
      </c>
      <c r="K29" s="104">
        <f t="shared" si="241"/>
        <v>1043.3466668700003</v>
      </c>
      <c r="L29" s="104">
        <f t="shared" si="241"/>
        <v>1074.6470668761003</v>
      </c>
      <c r="M29" s="104">
        <f t="shared" si="241"/>
        <v>1106.8864788823835</v>
      </c>
      <c r="N29" s="104">
        <f t="shared" si="241"/>
        <v>1140.093073248855</v>
      </c>
      <c r="O29" s="104">
        <f t="shared" si="241"/>
        <v>1174.2958654463207</v>
      </c>
      <c r="P29" s="104">
        <f t="shared" si="241"/>
        <v>1209.5247414097103</v>
      </c>
      <c r="Q29" s="104">
        <f t="shared" si="241"/>
        <v>1245.8104836520015</v>
      </c>
      <c r="R29" s="104">
        <f t="shared" si="241"/>
        <v>1121.2294352868014</v>
      </c>
      <c r="S29" s="104">
        <f t="shared" si="241"/>
        <v>1154.8663183454055</v>
      </c>
      <c r="T29" s="104">
        <f t="shared" si="241"/>
        <v>1189.5123078957677</v>
      </c>
      <c r="U29" s="104">
        <f t="shared" si="241"/>
        <v>1225.1976771326408</v>
      </c>
      <c r="V29" s="104">
        <f t="shared" si="241"/>
        <v>1261.95360744662</v>
      </c>
      <c r="W29" s="104">
        <f t="shared" si="241"/>
        <v>1299.8122156700188</v>
      </c>
      <c r="X29" s="104">
        <f t="shared" si="241"/>
        <v>1338.8065821401194</v>
      </c>
      <c r="Y29" s="104">
        <f t="shared" si="241"/>
        <v>1378.9707796043231</v>
      </c>
      <c r="Z29" s="104">
        <f t="shared" si="241"/>
        <v>1420.3399029924528</v>
      </c>
      <c r="AA29" s="104">
        <f t="shared" si="241"/>
        <v>1278.3059126932076</v>
      </c>
      <c r="AB29" s="104">
        <f t="shared" si="241"/>
        <v>1316.6550900740037</v>
      </c>
      <c r="AC29" s="104">
        <f t="shared" si="241"/>
        <v>1356.1547427762239</v>
      </c>
      <c r="AD29" s="104">
        <f t="shared" si="241"/>
        <v>1396.8393850595107</v>
      </c>
      <c r="AE29" s="104">
        <f t="shared" si="241"/>
        <v>1438.744566611296</v>
      </c>
      <c r="AF29" s="104">
        <f t="shared" si="241"/>
        <v>1481.906903609635</v>
      </c>
      <c r="AG29" s="104">
        <f t="shared" si="241"/>
        <v>1333.7162132486715</v>
      </c>
      <c r="AH29" s="104">
        <f t="shared" si="241"/>
        <v>1373.7276996461317</v>
      </c>
      <c r="AI29" s="104">
        <f t="shared" si="241"/>
        <v>1414.9395306355157</v>
      </c>
      <c r="AJ29" s="104">
        <f t="shared" si="241"/>
        <v>1457.3877165545812</v>
      </c>
      <c r="AK29" s="104">
        <f t="shared" si="241"/>
        <v>1501.1093480512186</v>
      </c>
      <c r="AL29" s="104">
        <f t="shared" si="241"/>
        <v>1546.1426284927552</v>
      </c>
      <c r="AM29" s="104">
        <f t="shared" si="241"/>
        <v>1391.5283656434797</v>
      </c>
      <c r="AN29" s="104">
        <f t="shared" si="240"/>
        <v>1433.2742166127841</v>
      </c>
    </row>
    <row r="30" spans="2:40" s="18" customFormat="1" ht="21" customHeight="1" x14ac:dyDescent="0.2">
      <c r="B30" s="7" t="s">
        <v>127</v>
      </c>
      <c r="C30" s="101">
        <v>0.03</v>
      </c>
      <c r="D30" s="19"/>
      <c r="E30" s="102">
        <v>0</v>
      </c>
      <c r="F30" s="103">
        <f t="shared" ref="F30:F35" si="242">E30*(1+$C30)</f>
        <v>0</v>
      </c>
      <c r="G30" s="103">
        <f t="shared" ref="G30:G35" si="243">F30*(1+$C30)</f>
        <v>0</v>
      </c>
      <c r="H30" s="103">
        <f t="shared" ref="H30:H35" si="244">G30*(1+$C30)</f>
        <v>0</v>
      </c>
      <c r="I30" s="103">
        <f t="shared" ref="I30:I35" si="245">H30*(1+$C30)</f>
        <v>0</v>
      </c>
      <c r="J30" s="103">
        <f t="shared" ref="J30:J35" si="246">I30*(1+$C30)</f>
        <v>0</v>
      </c>
      <c r="K30" s="103">
        <f t="shared" ref="K30:K35" si="247">J30*(1+$C30)</f>
        <v>0</v>
      </c>
      <c r="L30" s="103">
        <f t="shared" ref="L30:L35" si="248">K30*(1+$C30)</f>
        <v>0</v>
      </c>
      <c r="M30" s="103">
        <f t="shared" ref="M30:M35" si="249">L30*(1+$C30)</f>
        <v>0</v>
      </c>
      <c r="N30" s="103">
        <f t="shared" ref="N30:N35" si="250">M30*(1+$C30)</f>
        <v>0</v>
      </c>
      <c r="O30" s="103">
        <f t="shared" ref="O30:O35" si="251">N30*(1+$C30)</f>
        <v>0</v>
      </c>
      <c r="P30" s="103">
        <f t="shared" ref="P30:P35" si="252">O30*(1+$C30)</f>
        <v>0</v>
      </c>
      <c r="Q30" s="103">
        <f t="shared" ref="Q30:Q35" si="253">P30*(1+$C30)</f>
        <v>0</v>
      </c>
      <c r="R30" s="103">
        <f t="shared" ref="R30:R35" si="254">Q30*(1+$C30)</f>
        <v>0</v>
      </c>
      <c r="S30" s="103">
        <f t="shared" ref="S30:S35" si="255">R30*(1+$C30)</f>
        <v>0</v>
      </c>
      <c r="T30" s="103">
        <f t="shared" ref="T30:T35" si="256">S30*(1+$C30)</f>
        <v>0</v>
      </c>
      <c r="U30" s="103">
        <f t="shared" ref="U30:U35" si="257">T30*(1+$C30)</f>
        <v>0</v>
      </c>
      <c r="V30" s="103">
        <f t="shared" ref="V30:V35" si="258">U30*(1+$C30)</f>
        <v>0</v>
      </c>
      <c r="W30" s="103">
        <f t="shared" ref="W30:W35" si="259">V30*(1+$C30)</f>
        <v>0</v>
      </c>
      <c r="X30" s="103">
        <f t="shared" ref="X30:X35" si="260">W30*(1+$C30)</f>
        <v>0</v>
      </c>
      <c r="Y30" s="103">
        <f t="shared" ref="Y30:Y35" si="261">X30*(1+$C30)</f>
        <v>0</v>
      </c>
      <c r="Z30" s="103">
        <f t="shared" ref="Z30:Z35" si="262">Y30*(1+$C30)</f>
        <v>0</v>
      </c>
      <c r="AA30" s="103">
        <f t="shared" ref="AA30:AA35" si="263">Z30*(1+$C30)</f>
        <v>0</v>
      </c>
      <c r="AB30" s="103">
        <f t="shared" ref="AB30:AB35" si="264">AA30*(1+$C30)</f>
        <v>0</v>
      </c>
      <c r="AC30" s="103">
        <f t="shared" ref="AC30:AC35" si="265">AB30*(1+$C30)</f>
        <v>0</v>
      </c>
      <c r="AD30" s="103">
        <f t="shared" ref="AD30:AD35" si="266">AC30*(1+$C30)</f>
        <v>0</v>
      </c>
      <c r="AE30" s="103">
        <f t="shared" ref="AE30:AE35" si="267">AD30*(1+$C30)</f>
        <v>0</v>
      </c>
      <c r="AF30" s="103">
        <f t="shared" ref="AF30:AF35" si="268">AE30*(1+$C30)</f>
        <v>0</v>
      </c>
      <c r="AG30" s="103">
        <f t="shared" ref="AG30:AG35" si="269">AF30*(1+$C30)</f>
        <v>0</v>
      </c>
      <c r="AH30" s="103">
        <f t="shared" ref="AH30:AH35" si="270">AG30*(1+$C30)</f>
        <v>0</v>
      </c>
      <c r="AI30" s="103">
        <f t="shared" ref="AI30:AI35" si="271">AH30*(1+$C30)</f>
        <v>0</v>
      </c>
      <c r="AJ30" s="103">
        <f t="shared" ref="AJ30:AJ35" si="272">AI30*(1+$C30)</f>
        <v>0</v>
      </c>
      <c r="AK30" s="103">
        <f t="shared" ref="AK30:AK35" si="273">AJ30*(1+$C30)</f>
        <v>0</v>
      </c>
      <c r="AL30" s="103">
        <f t="shared" ref="AL30:AL35" si="274">AK30*(1+$C30)</f>
        <v>0</v>
      </c>
      <c r="AM30" s="103">
        <f t="shared" ref="AM30:AM35" si="275">AL30*(1+$C30)</f>
        <v>0</v>
      </c>
      <c r="AN30" s="103">
        <f t="shared" ref="AN30:AN35" si="276">AM30*(1+$C30)</f>
        <v>0</v>
      </c>
    </row>
    <row r="31" spans="2:40" s="16" customFormat="1" ht="21" customHeight="1" x14ac:dyDescent="0.2">
      <c r="B31" s="8" t="s">
        <v>128</v>
      </c>
      <c r="C31" s="101">
        <v>0.03</v>
      </c>
      <c r="D31" s="14"/>
      <c r="E31" s="102">
        <v>15000</v>
      </c>
      <c r="F31" s="103">
        <f t="shared" si="242"/>
        <v>15450</v>
      </c>
      <c r="G31" s="103">
        <f>F31*(0.7)</f>
        <v>10815</v>
      </c>
      <c r="H31" s="103">
        <f t="shared" si="244"/>
        <v>11139.45</v>
      </c>
      <c r="I31" s="103">
        <f t="shared" si="245"/>
        <v>11473.633500000002</v>
      </c>
      <c r="J31" s="103">
        <f t="shared" si="246"/>
        <v>11817.842505000002</v>
      </c>
      <c r="K31" s="103">
        <f t="shared" si="247"/>
        <v>12172.377780150002</v>
      </c>
      <c r="L31" s="103">
        <f t="shared" si="248"/>
        <v>12537.549113554502</v>
      </c>
      <c r="M31" s="103">
        <f t="shared" si="249"/>
        <v>12913.675586961137</v>
      </c>
      <c r="N31" s="103">
        <f>M31*(0.7)</f>
        <v>9039.5729108727955</v>
      </c>
      <c r="O31" s="103">
        <f t="shared" si="251"/>
        <v>9310.7600981989799</v>
      </c>
      <c r="P31" s="103">
        <f t="shared" si="252"/>
        <v>9590.0829011449496</v>
      </c>
      <c r="Q31" s="103">
        <f t="shared" si="253"/>
        <v>9877.785388179298</v>
      </c>
      <c r="R31" s="103">
        <f t="shared" si="254"/>
        <v>10174.118949824677</v>
      </c>
      <c r="S31" s="103">
        <f t="shared" si="255"/>
        <v>10479.342518319418</v>
      </c>
      <c r="T31" s="103">
        <f t="shared" si="256"/>
        <v>10793.722793869001</v>
      </c>
      <c r="U31" s="103">
        <f t="shared" si="257"/>
        <v>11117.534477685071</v>
      </c>
      <c r="V31" s="103">
        <f t="shared" si="258"/>
        <v>11451.060512015623</v>
      </c>
      <c r="W31" s="103">
        <f t="shared" si="259"/>
        <v>11794.592327376093</v>
      </c>
      <c r="X31" s="103">
        <f>W31*(0.7)</f>
        <v>8256.2146291632653</v>
      </c>
      <c r="Y31" s="103">
        <f t="shared" si="261"/>
        <v>8503.9010680381634</v>
      </c>
      <c r="Z31" s="103">
        <f t="shared" si="262"/>
        <v>8759.0181000793091</v>
      </c>
      <c r="AA31" s="103">
        <f t="shared" si="263"/>
        <v>9021.7886430816889</v>
      </c>
      <c r="AB31" s="103">
        <f t="shared" si="264"/>
        <v>9292.4423023741401</v>
      </c>
      <c r="AC31" s="103">
        <f t="shared" si="265"/>
        <v>9571.2155714453638</v>
      </c>
      <c r="AD31" s="103">
        <f t="shared" si="266"/>
        <v>9858.3520385887241</v>
      </c>
      <c r="AE31" s="103">
        <f t="shared" si="267"/>
        <v>10154.102599746386</v>
      </c>
      <c r="AF31" s="103">
        <f t="shared" si="268"/>
        <v>10458.725677738777</v>
      </c>
      <c r="AG31" s="103">
        <f t="shared" si="269"/>
        <v>10772.48744807094</v>
      </c>
      <c r="AH31" s="103">
        <f t="shared" si="270"/>
        <v>11095.662071513068</v>
      </c>
      <c r="AI31" s="103">
        <f>AH31*(0.7)</f>
        <v>7766.9634500591474</v>
      </c>
      <c r="AJ31" s="103">
        <f t="shared" si="272"/>
        <v>7999.9723535609219</v>
      </c>
      <c r="AK31" s="103">
        <f t="shared" si="273"/>
        <v>8239.9715241677495</v>
      </c>
      <c r="AL31" s="103">
        <f t="shared" si="274"/>
        <v>8487.1706698927828</v>
      </c>
      <c r="AM31" s="103">
        <f t="shared" si="275"/>
        <v>8741.7857899895662</v>
      </c>
      <c r="AN31" s="103">
        <f>AM31*(0.7)</f>
        <v>6119.2500529926956</v>
      </c>
    </row>
    <row r="32" spans="2:40" s="16" customFormat="1" ht="21" customHeight="1" x14ac:dyDescent="0.2">
      <c r="B32" s="8" t="s">
        <v>129</v>
      </c>
      <c r="C32" s="101">
        <v>0.03</v>
      </c>
      <c r="D32" s="14"/>
      <c r="E32" s="102">
        <v>1500</v>
      </c>
      <c r="F32" s="103">
        <f t="shared" si="242"/>
        <v>1545</v>
      </c>
      <c r="G32" s="103">
        <f t="shared" si="243"/>
        <v>1591.3500000000001</v>
      </c>
      <c r="H32" s="103">
        <f t="shared" si="244"/>
        <v>1639.0905000000002</v>
      </c>
      <c r="I32" s="103">
        <f>H32*(0.7)</f>
        <v>1147.3633500000001</v>
      </c>
      <c r="J32" s="103">
        <f t="shared" si="246"/>
        <v>1181.7842505000001</v>
      </c>
      <c r="K32" s="103">
        <f t="shared" si="247"/>
        <v>1217.2377780150002</v>
      </c>
      <c r="L32" s="103">
        <f t="shared" si="248"/>
        <v>1253.7549113554503</v>
      </c>
      <c r="M32" s="103">
        <f t="shared" si="249"/>
        <v>1291.3675586961137</v>
      </c>
      <c r="N32" s="103">
        <f>M32*(0.7)</f>
        <v>903.9572910872796</v>
      </c>
      <c r="O32" s="103">
        <f t="shared" si="251"/>
        <v>931.07600981989799</v>
      </c>
      <c r="P32" s="103">
        <f t="shared" si="252"/>
        <v>959.00829011449491</v>
      </c>
      <c r="Q32" s="103">
        <f t="shared" si="253"/>
        <v>987.77853881792976</v>
      </c>
      <c r="R32" s="103">
        <f t="shared" si="254"/>
        <v>1017.4118949824676</v>
      </c>
      <c r="S32" s="103">
        <f t="shared" si="255"/>
        <v>1047.9342518319418</v>
      </c>
      <c r="T32" s="103">
        <f t="shared" si="256"/>
        <v>1079.3722793869001</v>
      </c>
      <c r="U32" s="103">
        <f>T32*(0.7)</f>
        <v>755.56059557083006</v>
      </c>
      <c r="V32" s="103">
        <f t="shared" si="258"/>
        <v>778.22741343795497</v>
      </c>
      <c r="W32" s="103">
        <f t="shared" si="259"/>
        <v>801.57423584109358</v>
      </c>
      <c r="X32" s="103">
        <f>W32*(0.7)</f>
        <v>561.1019650887655</v>
      </c>
      <c r="Y32" s="103">
        <f t="shared" si="261"/>
        <v>577.93502404142851</v>
      </c>
      <c r="Z32" s="103">
        <f t="shared" si="262"/>
        <v>595.2730747626714</v>
      </c>
      <c r="AA32" s="103">
        <f t="shared" si="263"/>
        <v>613.13126700555154</v>
      </c>
      <c r="AB32" s="103">
        <f t="shared" si="264"/>
        <v>631.52520501571814</v>
      </c>
      <c r="AC32" s="103">
        <f t="shared" si="265"/>
        <v>650.47096116618968</v>
      </c>
      <c r="AD32" s="103">
        <f t="shared" si="266"/>
        <v>669.98509000117542</v>
      </c>
      <c r="AE32" s="103">
        <f t="shared" si="267"/>
        <v>690.08464270121067</v>
      </c>
      <c r="AF32" s="103">
        <f t="shared" si="268"/>
        <v>710.78718198224703</v>
      </c>
      <c r="AG32" s="103">
        <f t="shared" si="269"/>
        <v>732.11079744171445</v>
      </c>
      <c r="AH32" s="103">
        <f t="shared" si="270"/>
        <v>754.07412136496589</v>
      </c>
      <c r="AI32" s="103">
        <f t="shared" si="271"/>
        <v>776.69634500591485</v>
      </c>
      <c r="AJ32" s="103">
        <f t="shared" si="272"/>
        <v>799.99723535609235</v>
      </c>
      <c r="AK32" s="103">
        <f t="shared" si="273"/>
        <v>823.99715241677518</v>
      </c>
      <c r="AL32" s="103">
        <f t="shared" si="274"/>
        <v>848.71706698927846</v>
      </c>
      <c r="AM32" s="103">
        <f t="shared" si="275"/>
        <v>874.17857899895682</v>
      </c>
      <c r="AN32" s="103">
        <f t="shared" si="276"/>
        <v>900.40393636892554</v>
      </c>
    </row>
    <row r="33" spans="2:40" s="16" customFormat="1" ht="21" customHeight="1" x14ac:dyDescent="0.2">
      <c r="B33" s="8" t="s">
        <v>130</v>
      </c>
      <c r="C33" s="101">
        <v>0.03</v>
      </c>
      <c r="D33" s="14"/>
      <c r="E33" s="102">
        <v>1450</v>
      </c>
      <c r="F33" s="103">
        <f t="shared" si="242"/>
        <v>1493.5</v>
      </c>
      <c r="G33" s="103">
        <f t="shared" si="243"/>
        <v>1538.3050000000001</v>
      </c>
      <c r="H33" s="103">
        <f t="shared" si="244"/>
        <v>1584.45415</v>
      </c>
      <c r="I33" s="103">
        <f t="shared" si="245"/>
        <v>1631.9877745000001</v>
      </c>
      <c r="J33" s="103">
        <f t="shared" si="246"/>
        <v>1680.9474077350001</v>
      </c>
      <c r="K33" s="103">
        <f>J33*(0.7)</f>
        <v>1176.6631854145</v>
      </c>
      <c r="L33" s="103">
        <f t="shared" si="248"/>
        <v>1211.9630809769351</v>
      </c>
      <c r="M33" s="103">
        <f t="shared" si="249"/>
        <v>1248.3219734062432</v>
      </c>
      <c r="N33" s="103">
        <f t="shared" si="250"/>
        <v>1285.7716326084305</v>
      </c>
      <c r="O33" s="103">
        <f t="shared" si="251"/>
        <v>1324.3447815866834</v>
      </c>
      <c r="P33" s="103">
        <f>O33*(0.7)</f>
        <v>927.04134711067832</v>
      </c>
      <c r="Q33" s="103">
        <f t="shared" si="253"/>
        <v>954.85258752399864</v>
      </c>
      <c r="R33" s="103">
        <f t="shared" si="254"/>
        <v>983.4981651497186</v>
      </c>
      <c r="S33" s="103">
        <f t="shared" si="255"/>
        <v>1013.0031101042102</v>
      </c>
      <c r="T33" s="103">
        <f t="shared" si="256"/>
        <v>1043.3932034073366</v>
      </c>
      <c r="U33" s="103">
        <f>T33*(0.7)</f>
        <v>730.37524238513561</v>
      </c>
      <c r="V33" s="103">
        <f t="shared" si="258"/>
        <v>752.28649965668967</v>
      </c>
      <c r="W33" s="103">
        <f t="shared" si="259"/>
        <v>774.8550946463904</v>
      </c>
      <c r="X33" s="103">
        <f t="shared" si="260"/>
        <v>798.10074748578211</v>
      </c>
      <c r="Y33" s="103">
        <f>X33*(0.7)</f>
        <v>558.67052324004749</v>
      </c>
      <c r="Z33" s="103">
        <f t="shared" si="262"/>
        <v>575.43063893724889</v>
      </c>
      <c r="AA33" s="103">
        <f t="shared" si="263"/>
        <v>592.69355810536638</v>
      </c>
      <c r="AB33" s="103">
        <f t="shared" si="264"/>
        <v>610.47436484852733</v>
      </c>
      <c r="AC33" s="103">
        <f t="shared" si="265"/>
        <v>628.78859579398318</v>
      </c>
      <c r="AD33" s="103">
        <f t="shared" si="266"/>
        <v>647.65225366780271</v>
      </c>
      <c r="AE33" s="103">
        <f t="shared" si="267"/>
        <v>667.08182127783687</v>
      </c>
      <c r="AF33" s="103">
        <f t="shared" si="268"/>
        <v>687.09427591617202</v>
      </c>
      <c r="AG33" s="103">
        <f t="shared" si="269"/>
        <v>707.70710419365719</v>
      </c>
      <c r="AH33" s="103">
        <f t="shared" si="270"/>
        <v>728.93831731946693</v>
      </c>
      <c r="AI33" s="103">
        <f t="shared" si="271"/>
        <v>750.80646683905093</v>
      </c>
      <c r="AJ33" s="103">
        <f t="shared" si="272"/>
        <v>773.33066084422251</v>
      </c>
      <c r="AK33" s="103">
        <f t="shared" si="273"/>
        <v>796.53058066954918</v>
      </c>
      <c r="AL33" s="103">
        <f t="shared" si="274"/>
        <v>820.42649808963563</v>
      </c>
      <c r="AM33" s="103">
        <f t="shared" si="275"/>
        <v>845.03929303232474</v>
      </c>
      <c r="AN33" s="103">
        <f t="shared" si="276"/>
        <v>870.39047182329455</v>
      </c>
    </row>
    <row r="34" spans="2:40" s="16" customFormat="1" ht="21" customHeight="1" x14ac:dyDescent="0.2">
      <c r="B34" s="8" t="s">
        <v>131</v>
      </c>
      <c r="C34" s="101">
        <v>0.03</v>
      </c>
      <c r="D34" s="14"/>
      <c r="E34" s="102">
        <v>50</v>
      </c>
      <c r="F34" s="103">
        <f t="shared" si="242"/>
        <v>51.5</v>
      </c>
      <c r="G34" s="103">
        <f t="shared" si="243"/>
        <v>53.045000000000002</v>
      </c>
      <c r="H34" s="103">
        <f t="shared" si="244"/>
        <v>54.63635</v>
      </c>
      <c r="I34" s="103">
        <f t="shared" si="245"/>
        <v>56.275440500000002</v>
      </c>
      <c r="J34" s="103">
        <f t="shared" si="246"/>
        <v>57.963703715000001</v>
      </c>
      <c r="K34" s="103">
        <f t="shared" si="247"/>
        <v>59.702614826450002</v>
      </c>
      <c r="L34" s="103">
        <f t="shared" si="248"/>
        <v>61.493693271243501</v>
      </c>
      <c r="M34" s="103">
        <f t="shared" si="249"/>
        <v>63.338504069380811</v>
      </c>
      <c r="N34" s="103">
        <f t="shared" si="250"/>
        <v>65.238659191462233</v>
      </c>
      <c r="O34" s="103">
        <f t="shared" si="251"/>
        <v>67.195818967206108</v>
      </c>
      <c r="P34" s="103">
        <f t="shared" si="252"/>
        <v>69.211693536222299</v>
      </c>
      <c r="Q34" s="103">
        <f t="shared" si="253"/>
        <v>71.288044342308964</v>
      </c>
      <c r="R34" s="103">
        <f t="shared" si="254"/>
        <v>73.42668567257823</v>
      </c>
      <c r="S34" s="103">
        <f t="shared" si="255"/>
        <v>75.629486242755576</v>
      </c>
      <c r="T34" s="103">
        <f t="shared" si="256"/>
        <v>77.898370830038246</v>
      </c>
      <c r="U34" s="103">
        <f t="shared" si="257"/>
        <v>80.235321954939394</v>
      </c>
      <c r="V34" s="103">
        <f t="shared" si="258"/>
        <v>82.642381613587574</v>
      </c>
      <c r="W34" s="103">
        <f t="shared" si="259"/>
        <v>85.121653061995204</v>
      </c>
      <c r="X34" s="103">
        <f t="shared" si="260"/>
        <v>87.675302653855056</v>
      </c>
      <c r="Y34" s="103">
        <f t="shared" si="261"/>
        <v>90.305561733470711</v>
      </c>
      <c r="Z34" s="103">
        <f t="shared" si="262"/>
        <v>93.014728585474828</v>
      </c>
      <c r="AA34" s="103">
        <f t="shared" si="263"/>
        <v>95.805170443039074</v>
      </c>
      <c r="AB34" s="103">
        <f t="shared" si="264"/>
        <v>98.679325556330255</v>
      </c>
      <c r="AC34" s="103">
        <f t="shared" si="265"/>
        <v>101.63970532302017</v>
      </c>
      <c r="AD34" s="103">
        <f t="shared" si="266"/>
        <v>104.68889648271077</v>
      </c>
      <c r="AE34" s="103">
        <f t="shared" si="267"/>
        <v>107.8295633771921</v>
      </c>
      <c r="AF34" s="103">
        <f t="shared" si="268"/>
        <v>111.06445027850786</v>
      </c>
      <c r="AG34" s="103">
        <f t="shared" si="269"/>
        <v>114.3963837868631</v>
      </c>
      <c r="AH34" s="103">
        <f t="shared" si="270"/>
        <v>117.82827530046899</v>
      </c>
      <c r="AI34" s="103">
        <f t="shared" si="271"/>
        <v>121.36312355948306</v>
      </c>
      <c r="AJ34" s="103">
        <f t="shared" si="272"/>
        <v>125.00401726626755</v>
      </c>
      <c r="AK34" s="103">
        <f t="shared" si="273"/>
        <v>128.75413778425559</v>
      </c>
      <c r="AL34" s="103">
        <f t="shared" si="274"/>
        <v>132.61676191778326</v>
      </c>
      <c r="AM34" s="103">
        <f t="shared" si="275"/>
        <v>136.59526477531676</v>
      </c>
      <c r="AN34" s="103">
        <f t="shared" si="276"/>
        <v>140.69312271857626</v>
      </c>
    </row>
    <row r="35" spans="2:40" s="16" customFormat="1" ht="21" customHeight="1" x14ac:dyDescent="0.2">
      <c r="B35" s="8" t="s">
        <v>132</v>
      </c>
      <c r="C35" s="101">
        <v>0.03</v>
      </c>
      <c r="D35" s="14"/>
      <c r="E35" s="102">
        <v>0</v>
      </c>
      <c r="F35" s="103">
        <f t="shared" si="242"/>
        <v>0</v>
      </c>
      <c r="G35" s="103">
        <f t="shared" si="243"/>
        <v>0</v>
      </c>
      <c r="H35" s="103">
        <f t="shared" si="244"/>
        <v>0</v>
      </c>
      <c r="I35" s="103">
        <f t="shared" si="245"/>
        <v>0</v>
      </c>
      <c r="J35" s="103">
        <f t="shared" si="246"/>
        <v>0</v>
      </c>
      <c r="K35" s="103">
        <f t="shared" si="247"/>
        <v>0</v>
      </c>
      <c r="L35" s="103">
        <f t="shared" si="248"/>
        <v>0</v>
      </c>
      <c r="M35" s="103">
        <f t="shared" si="249"/>
        <v>0</v>
      </c>
      <c r="N35" s="103">
        <f t="shared" si="250"/>
        <v>0</v>
      </c>
      <c r="O35" s="103">
        <f t="shared" si="251"/>
        <v>0</v>
      </c>
      <c r="P35" s="103">
        <f t="shared" si="252"/>
        <v>0</v>
      </c>
      <c r="Q35" s="103">
        <f t="shared" si="253"/>
        <v>0</v>
      </c>
      <c r="R35" s="103">
        <f t="shared" si="254"/>
        <v>0</v>
      </c>
      <c r="S35" s="103">
        <f t="shared" si="255"/>
        <v>0</v>
      </c>
      <c r="T35" s="103">
        <f t="shared" si="256"/>
        <v>0</v>
      </c>
      <c r="U35" s="103">
        <f t="shared" si="257"/>
        <v>0</v>
      </c>
      <c r="V35" s="103">
        <f t="shared" si="258"/>
        <v>0</v>
      </c>
      <c r="W35" s="103">
        <f t="shared" si="259"/>
        <v>0</v>
      </c>
      <c r="X35" s="103">
        <f t="shared" si="260"/>
        <v>0</v>
      </c>
      <c r="Y35" s="103">
        <f t="shared" si="261"/>
        <v>0</v>
      </c>
      <c r="Z35" s="103">
        <f t="shared" si="262"/>
        <v>0</v>
      </c>
      <c r="AA35" s="103">
        <f t="shared" si="263"/>
        <v>0</v>
      </c>
      <c r="AB35" s="103">
        <f t="shared" si="264"/>
        <v>0</v>
      </c>
      <c r="AC35" s="103">
        <f t="shared" si="265"/>
        <v>0</v>
      </c>
      <c r="AD35" s="103">
        <f t="shared" si="266"/>
        <v>0</v>
      </c>
      <c r="AE35" s="103">
        <f t="shared" si="267"/>
        <v>0</v>
      </c>
      <c r="AF35" s="103">
        <f t="shared" si="268"/>
        <v>0</v>
      </c>
      <c r="AG35" s="103">
        <f t="shared" si="269"/>
        <v>0</v>
      </c>
      <c r="AH35" s="103">
        <f t="shared" si="270"/>
        <v>0</v>
      </c>
      <c r="AI35" s="103">
        <f t="shared" si="271"/>
        <v>0</v>
      </c>
      <c r="AJ35" s="103">
        <f t="shared" si="272"/>
        <v>0</v>
      </c>
      <c r="AK35" s="103">
        <f t="shared" si="273"/>
        <v>0</v>
      </c>
      <c r="AL35" s="103">
        <f t="shared" si="274"/>
        <v>0</v>
      </c>
      <c r="AM35" s="103">
        <f t="shared" si="275"/>
        <v>0</v>
      </c>
      <c r="AN35" s="103">
        <f t="shared" si="276"/>
        <v>0</v>
      </c>
    </row>
    <row r="36" spans="2:40" s="16" customFormat="1" ht="21" customHeight="1" x14ac:dyDescent="0.2">
      <c r="B36" s="7" t="s">
        <v>149</v>
      </c>
      <c r="C36" s="27"/>
      <c r="D36" s="14"/>
      <c r="E36" s="104">
        <f t="shared" ref="E36:AN36" si="277">SUM(E35, E34, E33, E32, E31 + E30)</f>
        <v>18000</v>
      </c>
      <c r="F36" s="104">
        <f t="shared" ref="F36:AM36" si="278">SUM(F35, F34, F33, F32, F31 + F30)</f>
        <v>18540</v>
      </c>
      <c r="G36" s="104">
        <f t="shared" si="278"/>
        <v>13997.7</v>
      </c>
      <c r="H36" s="104">
        <f t="shared" si="278"/>
        <v>14417.631000000001</v>
      </c>
      <c r="I36" s="104">
        <f t="shared" si="278"/>
        <v>14309.260065000002</v>
      </c>
      <c r="J36" s="104">
        <f t="shared" si="278"/>
        <v>14738.537866950002</v>
      </c>
      <c r="K36" s="104">
        <f t="shared" si="278"/>
        <v>14625.981358405952</v>
      </c>
      <c r="L36" s="104">
        <f t="shared" si="278"/>
        <v>15064.760799158132</v>
      </c>
      <c r="M36" s="104">
        <f t="shared" si="278"/>
        <v>15516.703623132875</v>
      </c>
      <c r="N36" s="104">
        <f t="shared" si="278"/>
        <v>11294.540493759967</v>
      </c>
      <c r="O36" s="104">
        <f t="shared" si="278"/>
        <v>11633.376708572767</v>
      </c>
      <c r="P36" s="104">
        <f t="shared" si="278"/>
        <v>11545.344231906345</v>
      </c>
      <c r="Q36" s="104">
        <f t="shared" si="278"/>
        <v>11891.704558863536</v>
      </c>
      <c r="R36" s="104">
        <f t="shared" si="278"/>
        <v>12248.45569562944</v>
      </c>
      <c r="S36" s="104">
        <f t="shared" si="278"/>
        <v>12615.909366498325</v>
      </c>
      <c r="T36" s="104">
        <f t="shared" si="278"/>
        <v>12994.386647493277</v>
      </c>
      <c r="U36" s="104">
        <f t="shared" si="278"/>
        <v>12683.705637595976</v>
      </c>
      <c r="V36" s="104">
        <f t="shared" si="278"/>
        <v>13064.216806723856</v>
      </c>
      <c r="W36" s="104">
        <f t="shared" si="278"/>
        <v>13456.143310925572</v>
      </c>
      <c r="X36" s="104">
        <f t="shared" si="278"/>
        <v>9703.0926443916687</v>
      </c>
      <c r="Y36" s="104">
        <f t="shared" si="278"/>
        <v>9730.8121770531106</v>
      </c>
      <c r="Z36" s="104">
        <f t="shared" si="278"/>
        <v>10022.736542364704</v>
      </c>
      <c r="AA36" s="104">
        <f t="shared" si="278"/>
        <v>10323.418638635645</v>
      </c>
      <c r="AB36" s="104">
        <f t="shared" si="278"/>
        <v>10633.121197794717</v>
      </c>
      <c r="AC36" s="104">
        <f t="shared" si="278"/>
        <v>10952.114833728556</v>
      </c>
      <c r="AD36" s="104">
        <f t="shared" si="278"/>
        <v>11280.678278740414</v>
      </c>
      <c r="AE36" s="104">
        <f t="shared" si="278"/>
        <v>11619.098627102625</v>
      </c>
      <c r="AF36" s="104">
        <f t="shared" si="278"/>
        <v>11967.671585915705</v>
      </c>
      <c r="AG36" s="104">
        <f t="shared" si="278"/>
        <v>12326.701733493175</v>
      </c>
      <c r="AH36" s="104">
        <f t="shared" si="278"/>
        <v>12696.502785497971</v>
      </c>
      <c r="AI36" s="104">
        <f t="shared" si="278"/>
        <v>9415.8293854635958</v>
      </c>
      <c r="AJ36" s="104">
        <f t="shared" si="278"/>
        <v>9698.3042670275045</v>
      </c>
      <c r="AK36" s="104">
        <f t="shared" si="278"/>
        <v>9989.2533950383295</v>
      </c>
      <c r="AL36" s="104">
        <f t="shared" si="278"/>
        <v>10288.93099688948</v>
      </c>
      <c r="AM36" s="104">
        <f t="shared" si="278"/>
        <v>10597.598926796165</v>
      </c>
      <c r="AN36" s="104">
        <f t="shared" si="277"/>
        <v>8030.7375839034921</v>
      </c>
    </row>
    <row r="37" spans="2:40" s="16" customFormat="1" ht="21" customHeight="1" x14ac:dyDescent="0.2">
      <c r="B37" s="8" t="s">
        <v>133</v>
      </c>
      <c r="C37" s="101">
        <v>0.03</v>
      </c>
      <c r="D37" s="14"/>
      <c r="E37" s="102">
        <v>0</v>
      </c>
      <c r="F37" s="102">
        <v>0</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row>
    <row r="38" spans="2:40" s="18" customFormat="1" ht="21" customHeight="1" x14ac:dyDescent="0.2">
      <c r="B38" s="7" t="s">
        <v>134</v>
      </c>
      <c r="C38" s="101">
        <v>0.03</v>
      </c>
      <c r="D38" s="19"/>
      <c r="E38" s="102">
        <v>0</v>
      </c>
      <c r="F38" s="103">
        <f t="shared" ref="F38:F42" si="279">E38*(1+$C38)</f>
        <v>0</v>
      </c>
      <c r="G38" s="103">
        <f t="shared" ref="G38:G42" si="280">F38*(1+$C38)</f>
        <v>0</v>
      </c>
      <c r="H38" s="103">
        <f t="shared" ref="H38:H42" si="281">G38*(1+$C38)</f>
        <v>0</v>
      </c>
      <c r="I38" s="103">
        <f t="shared" ref="I38:I42" si="282">H38*(1+$C38)</f>
        <v>0</v>
      </c>
      <c r="J38" s="103">
        <f t="shared" ref="J38:J42" si="283">I38*(1+$C38)</f>
        <v>0</v>
      </c>
      <c r="K38" s="103">
        <f t="shared" ref="K38:K42" si="284">J38*(1+$C38)</f>
        <v>0</v>
      </c>
      <c r="L38" s="103">
        <f t="shared" ref="L38:L42" si="285">K38*(1+$C38)</f>
        <v>0</v>
      </c>
      <c r="M38" s="103">
        <f t="shared" ref="M38:M42" si="286">L38*(1+$C38)</f>
        <v>0</v>
      </c>
      <c r="N38" s="103">
        <f t="shared" ref="N38:N42" si="287">M38*(1+$C38)</f>
        <v>0</v>
      </c>
      <c r="O38" s="103">
        <f t="shared" ref="O38:O42" si="288">N38*(1+$C38)</f>
        <v>0</v>
      </c>
      <c r="P38" s="103">
        <f t="shared" ref="P38:P42" si="289">O38*(1+$C38)</f>
        <v>0</v>
      </c>
      <c r="Q38" s="103">
        <f t="shared" ref="Q38:Q42" si="290">P38*(1+$C38)</f>
        <v>0</v>
      </c>
      <c r="R38" s="103">
        <f t="shared" ref="R38:R42" si="291">Q38*(1+$C38)</f>
        <v>0</v>
      </c>
      <c r="S38" s="103">
        <f t="shared" ref="S38:S42" si="292">R38*(1+$C38)</f>
        <v>0</v>
      </c>
      <c r="T38" s="103">
        <f t="shared" ref="T38:T42" si="293">S38*(1+$C38)</f>
        <v>0</v>
      </c>
      <c r="U38" s="103">
        <f t="shared" ref="U38:U42" si="294">T38*(1+$C38)</f>
        <v>0</v>
      </c>
      <c r="V38" s="103">
        <f t="shared" ref="V38:V42" si="295">U38*(1+$C38)</f>
        <v>0</v>
      </c>
      <c r="W38" s="103">
        <f t="shared" ref="W38:W42" si="296">V38*(1+$C38)</f>
        <v>0</v>
      </c>
      <c r="X38" s="103">
        <f t="shared" ref="X38:X42" si="297">W38*(1+$C38)</f>
        <v>0</v>
      </c>
      <c r="Y38" s="103">
        <f t="shared" ref="Y38:Y42" si="298">X38*(1+$C38)</f>
        <v>0</v>
      </c>
      <c r="Z38" s="103">
        <f t="shared" ref="Z38:Z42" si="299">Y38*(1+$C38)</f>
        <v>0</v>
      </c>
      <c r="AA38" s="103">
        <f t="shared" ref="AA38:AA42" si="300">Z38*(1+$C38)</f>
        <v>0</v>
      </c>
      <c r="AB38" s="103">
        <f t="shared" ref="AB38:AB42" si="301">AA38*(1+$C38)</f>
        <v>0</v>
      </c>
      <c r="AC38" s="103">
        <f t="shared" ref="AC38:AC42" si="302">AB38*(1+$C38)</f>
        <v>0</v>
      </c>
      <c r="AD38" s="103">
        <f t="shared" ref="AD38:AD42" si="303">AC38*(1+$C38)</f>
        <v>0</v>
      </c>
      <c r="AE38" s="103">
        <f t="shared" ref="AE38:AE42" si="304">AD38*(1+$C38)</f>
        <v>0</v>
      </c>
      <c r="AF38" s="103">
        <f t="shared" ref="AF38:AF42" si="305">AE38*(1+$C38)</f>
        <v>0</v>
      </c>
      <c r="AG38" s="103">
        <f t="shared" ref="AG38:AG42" si="306">AF38*(1+$C38)</f>
        <v>0</v>
      </c>
      <c r="AH38" s="103">
        <f t="shared" ref="AH38:AH42" si="307">AG38*(1+$C38)</f>
        <v>0</v>
      </c>
      <c r="AI38" s="103">
        <f t="shared" ref="AI38:AI42" si="308">AH38*(1+$C38)</f>
        <v>0</v>
      </c>
      <c r="AJ38" s="103">
        <f t="shared" ref="AJ38:AJ42" si="309">AI38*(1+$C38)</f>
        <v>0</v>
      </c>
      <c r="AK38" s="103">
        <f t="shared" ref="AK38:AK42" si="310">AJ38*(1+$C38)</f>
        <v>0</v>
      </c>
      <c r="AL38" s="103">
        <f t="shared" ref="AL38:AL42" si="311">AK38*(1+$C38)</f>
        <v>0</v>
      </c>
      <c r="AM38" s="103">
        <f t="shared" ref="AM38:AM42" si="312">AL38*(1+$C38)</f>
        <v>0</v>
      </c>
      <c r="AN38" s="103">
        <f t="shared" ref="AN38:AN42" si="313">AM38*(1+$C38)</f>
        <v>0</v>
      </c>
    </row>
    <row r="39" spans="2:40" s="16" customFormat="1" ht="21" customHeight="1" x14ac:dyDescent="0.2">
      <c r="B39" s="8" t="s">
        <v>135</v>
      </c>
      <c r="C39" s="101">
        <v>0.03</v>
      </c>
      <c r="D39" s="14"/>
      <c r="E39" s="102">
        <v>850</v>
      </c>
      <c r="F39" s="103">
        <f t="shared" si="279"/>
        <v>875.5</v>
      </c>
      <c r="G39" s="103">
        <f t="shared" si="280"/>
        <v>901.76499999999999</v>
      </c>
      <c r="H39" s="103">
        <f t="shared" si="281"/>
        <v>928.81795</v>
      </c>
      <c r="I39" s="103">
        <f t="shared" si="282"/>
        <v>956.68248849999998</v>
      </c>
      <c r="J39" s="103">
        <f t="shared" si="283"/>
        <v>985.38296315499997</v>
      </c>
      <c r="K39" s="103">
        <f t="shared" si="284"/>
        <v>1014.94445204965</v>
      </c>
      <c r="L39" s="103">
        <f t="shared" si="285"/>
        <v>1045.3927856111395</v>
      </c>
      <c r="M39" s="103">
        <f t="shared" si="286"/>
        <v>1076.7545691794737</v>
      </c>
      <c r="N39" s="103">
        <f t="shared" si="287"/>
        <v>1109.0572062548579</v>
      </c>
      <c r="O39" s="103">
        <f t="shared" si="288"/>
        <v>1142.3289224425037</v>
      </c>
      <c r="P39" s="103">
        <f t="shared" si="289"/>
        <v>1176.5987901157787</v>
      </c>
      <c r="Q39" s="103">
        <f t="shared" si="290"/>
        <v>1211.8967538192521</v>
      </c>
      <c r="R39" s="103">
        <f t="shared" si="291"/>
        <v>1248.2536564338297</v>
      </c>
      <c r="S39" s="103">
        <f t="shared" si="292"/>
        <v>1285.7012661268448</v>
      </c>
      <c r="T39" s="103">
        <f t="shared" si="293"/>
        <v>1324.2723041106501</v>
      </c>
      <c r="U39" s="103">
        <f t="shared" si="294"/>
        <v>1364.0004732339696</v>
      </c>
      <c r="V39" s="103">
        <f t="shared" si="295"/>
        <v>1404.9204874309887</v>
      </c>
      <c r="W39" s="103">
        <f t="shared" si="296"/>
        <v>1447.0681020539184</v>
      </c>
      <c r="X39" s="103">
        <f t="shared" si="297"/>
        <v>1490.4801451155361</v>
      </c>
      <c r="Y39" s="103">
        <f t="shared" si="298"/>
        <v>1535.1945494690021</v>
      </c>
      <c r="Z39" s="103">
        <f t="shared" si="299"/>
        <v>1581.2503859530723</v>
      </c>
      <c r="AA39" s="103">
        <f t="shared" si="300"/>
        <v>1628.6878975316645</v>
      </c>
      <c r="AB39" s="103">
        <f t="shared" si="301"/>
        <v>1677.5485344576146</v>
      </c>
      <c r="AC39" s="103">
        <f t="shared" si="302"/>
        <v>1727.8749904913429</v>
      </c>
      <c r="AD39" s="103">
        <f t="shared" si="303"/>
        <v>1779.7112402060832</v>
      </c>
      <c r="AE39" s="103">
        <f t="shared" si="304"/>
        <v>1833.1025774122656</v>
      </c>
      <c r="AF39" s="103">
        <f t="shared" si="305"/>
        <v>1888.0956547346336</v>
      </c>
      <c r="AG39" s="103">
        <f t="shared" si="306"/>
        <v>1944.7385243766728</v>
      </c>
      <c r="AH39" s="103">
        <f t="shared" si="307"/>
        <v>2003.080680107973</v>
      </c>
      <c r="AI39" s="103">
        <f t="shared" si="308"/>
        <v>2063.1731005112124</v>
      </c>
      <c r="AJ39" s="103">
        <f t="shared" si="309"/>
        <v>2125.068293526549</v>
      </c>
      <c r="AK39" s="103">
        <f t="shared" si="310"/>
        <v>2188.8203423323457</v>
      </c>
      <c r="AL39" s="103">
        <f t="shared" si="311"/>
        <v>2254.4849526023163</v>
      </c>
      <c r="AM39" s="103">
        <f t="shared" si="312"/>
        <v>2322.1195011803857</v>
      </c>
      <c r="AN39" s="103">
        <f t="shared" si="313"/>
        <v>2391.7830862157971</v>
      </c>
    </row>
    <row r="40" spans="2:40" s="16" customFormat="1" ht="21" customHeight="1" x14ac:dyDescent="0.2">
      <c r="B40" s="8" t="s">
        <v>136</v>
      </c>
      <c r="C40" s="101">
        <v>0.03</v>
      </c>
      <c r="D40" s="14"/>
      <c r="E40" s="102">
        <v>600</v>
      </c>
      <c r="F40" s="103">
        <f t="shared" si="279"/>
        <v>618</v>
      </c>
      <c r="G40" s="103">
        <f t="shared" si="280"/>
        <v>636.54</v>
      </c>
      <c r="H40" s="103">
        <f t="shared" si="281"/>
        <v>655.63620000000003</v>
      </c>
      <c r="I40" s="103">
        <f t="shared" si="282"/>
        <v>675.30528600000002</v>
      </c>
      <c r="J40" s="103">
        <f t="shared" si="283"/>
        <v>695.56444457999999</v>
      </c>
      <c r="K40" s="103">
        <f t="shared" si="284"/>
        <v>716.43137791740003</v>
      </c>
      <c r="L40" s="103">
        <f t="shared" si="285"/>
        <v>737.92431925492201</v>
      </c>
      <c r="M40" s="103">
        <f t="shared" si="286"/>
        <v>760.06204883256964</v>
      </c>
      <c r="N40" s="103">
        <f t="shared" si="287"/>
        <v>782.86391029754679</v>
      </c>
      <c r="O40" s="103">
        <f t="shared" si="288"/>
        <v>806.34982760647324</v>
      </c>
      <c r="P40" s="103">
        <f t="shared" si="289"/>
        <v>830.54032243466747</v>
      </c>
      <c r="Q40" s="103">
        <f t="shared" si="290"/>
        <v>855.45653210770752</v>
      </c>
      <c r="R40" s="103">
        <f t="shared" si="291"/>
        <v>881.12022807093877</v>
      </c>
      <c r="S40" s="103">
        <f t="shared" si="292"/>
        <v>907.55383491306691</v>
      </c>
      <c r="T40" s="103">
        <f t="shared" si="293"/>
        <v>934.7804499604589</v>
      </c>
      <c r="U40" s="103">
        <f t="shared" si="294"/>
        <v>962.82386345927273</v>
      </c>
      <c r="V40" s="103">
        <f t="shared" si="295"/>
        <v>991.70857936305094</v>
      </c>
      <c r="W40" s="103">
        <f t="shared" si="296"/>
        <v>1021.4598367439424</v>
      </c>
      <c r="X40" s="103">
        <f t="shared" si="297"/>
        <v>1052.1036318462607</v>
      </c>
      <c r="Y40" s="103">
        <f t="shared" si="298"/>
        <v>1083.6667408016485</v>
      </c>
      <c r="Z40" s="103">
        <f t="shared" si="299"/>
        <v>1116.176743025698</v>
      </c>
      <c r="AA40" s="103">
        <f t="shared" si="300"/>
        <v>1149.6620453164689</v>
      </c>
      <c r="AB40" s="103">
        <f t="shared" si="301"/>
        <v>1184.1519066759631</v>
      </c>
      <c r="AC40" s="103">
        <f t="shared" si="302"/>
        <v>1219.676463876242</v>
      </c>
      <c r="AD40" s="103">
        <f t="shared" si="303"/>
        <v>1256.2667577925292</v>
      </c>
      <c r="AE40" s="103">
        <f t="shared" si="304"/>
        <v>1293.9547605263051</v>
      </c>
      <c r="AF40" s="103">
        <f t="shared" si="305"/>
        <v>1332.7734033420943</v>
      </c>
      <c r="AG40" s="103">
        <f t="shared" si="306"/>
        <v>1372.7566054423571</v>
      </c>
      <c r="AH40" s="103">
        <f t="shared" si="307"/>
        <v>1413.9393036056279</v>
      </c>
      <c r="AI40" s="103">
        <f t="shared" si="308"/>
        <v>1456.3574827137968</v>
      </c>
      <c r="AJ40" s="103">
        <f t="shared" si="309"/>
        <v>1500.0482071952108</v>
      </c>
      <c r="AK40" s="103">
        <f t="shared" si="310"/>
        <v>1545.0496534110671</v>
      </c>
      <c r="AL40" s="103">
        <f t="shared" si="311"/>
        <v>1591.4011430133992</v>
      </c>
      <c r="AM40" s="103">
        <f t="shared" si="312"/>
        <v>1639.1431773038012</v>
      </c>
      <c r="AN40" s="103">
        <f t="shared" si="313"/>
        <v>1688.3174726229151</v>
      </c>
    </row>
    <row r="41" spans="2:40" s="16" customFormat="1" ht="21" customHeight="1" x14ac:dyDescent="0.2">
      <c r="B41" s="8" t="s">
        <v>137</v>
      </c>
      <c r="C41" s="101">
        <v>0.03</v>
      </c>
      <c r="D41" s="14"/>
      <c r="E41" s="102">
        <v>250</v>
      </c>
      <c r="F41" s="103">
        <f t="shared" si="279"/>
        <v>257.5</v>
      </c>
      <c r="G41" s="103">
        <f t="shared" si="280"/>
        <v>265.22500000000002</v>
      </c>
      <c r="H41" s="103">
        <f t="shared" si="281"/>
        <v>273.18175000000002</v>
      </c>
      <c r="I41" s="103">
        <f t="shared" si="282"/>
        <v>281.37720250000001</v>
      </c>
      <c r="J41" s="103">
        <f t="shared" si="283"/>
        <v>289.81851857500004</v>
      </c>
      <c r="K41" s="103">
        <f t="shared" si="284"/>
        <v>298.51307413225004</v>
      </c>
      <c r="L41" s="103">
        <f t="shared" si="285"/>
        <v>307.46846635621756</v>
      </c>
      <c r="M41" s="103">
        <f t="shared" si="286"/>
        <v>316.69252034690408</v>
      </c>
      <c r="N41" s="103">
        <f t="shared" si="287"/>
        <v>326.19329595731119</v>
      </c>
      <c r="O41" s="103">
        <f t="shared" si="288"/>
        <v>335.97909483603053</v>
      </c>
      <c r="P41" s="103">
        <f t="shared" si="289"/>
        <v>346.05846768111144</v>
      </c>
      <c r="Q41" s="103">
        <f t="shared" si="290"/>
        <v>356.44022171154478</v>
      </c>
      <c r="R41" s="103">
        <f t="shared" si="291"/>
        <v>367.13342836289115</v>
      </c>
      <c r="S41" s="103">
        <f t="shared" si="292"/>
        <v>378.14743121377791</v>
      </c>
      <c r="T41" s="103">
        <f t="shared" si="293"/>
        <v>389.49185415019127</v>
      </c>
      <c r="U41" s="103">
        <f t="shared" si="294"/>
        <v>401.176609774697</v>
      </c>
      <c r="V41" s="103">
        <f t="shared" si="295"/>
        <v>413.21190806793794</v>
      </c>
      <c r="W41" s="103">
        <f t="shared" si="296"/>
        <v>425.6082653099761</v>
      </c>
      <c r="X41" s="103">
        <f t="shared" si="297"/>
        <v>438.37651326927539</v>
      </c>
      <c r="Y41" s="103">
        <f t="shared" si="298"/>
        <v>451.52780866735367</v>
      </c>
      <c r="Z41" s="103">
        <f t="shared" si="299"/>
        <v>465.07364292737429</v>
      </c>
      <c r="AA41" s="103">
        <f t="shared" si="300"/>
        <v>479.02585221519553</v>
      </c>
      <c r="AB41" s="103">
        <f t="shared" si="301"/>
        <v>493.39662778165143</v>
      </c>
      <c r="AC41" s="103">
        <f t="shared" si="302"/>
        <v>508.198526615101</v>
      </c>
      <c r="AD41" s="103">
        <f t="shared" si="303"/>
        <v>523.44448241355406</v>
      </c>
      <c r="AE41" s="103">
        <f t="shared" si="304"/>
        <v>539.14781688596065</v>
      </c>
      <c r="AF41" s="103">
        <f t="shared" si="305"/>
        <v>555.32225139253944</v>
      </c>
      <c r="AG41" s="103">
        <f t="shared" si="306"/>
        <v>571.98191893431567</v>
      </c>
      <c r="AH41" s="103">
        <f t="shared" si="307"/>
        <v>589.14137650234511</v>
      </c>
      <c r="AI41" s="103">
        <f t="shared" si="308"/>
        <v>606.81561779741548</v>
      </c>
      <c r="AJ41" s="103">
        <f t="shared" si="309"/>
        <v>625.02008633133801</v>
      </c>
      <c r="AK41" s="103">
        <f t="shared" si="310"/>
        <v>643.77068892127818</v>
      </c>
      <c r="AL41" s="103">
        <f t="shared" si="311"/>
        <v>663.08380958891655</v>
      </c>
      <c r="AM41" s="103">
        <f t="shared" si="312"/>
        <v>682.97632387658405</v>
      </c>
      <c r="AN41" s="103">
        <f t="shared" si="313"/>
        <v>703.4656135928816</v>
      </c>
    </row>
    <row r="42" spans="2:40" s="50" customFormat="1" ht="21" customHeight="1" x14ac:dyDescent="0.2">
      <c r="B42" s="34" t="s">
        <v>150</v>
      </c>
      <c r="C42" s="34"/>
      <c r="D42" s="35"/>
      <c r="E42" s="110">
        <f t="shared" ref="E42" si="314">SUM(E41, E40, E39 + E38)</f>
        <v>1700</v>
      </c>
      <c r="F42" s="110">
        <f t="shared" si="279"/>
        <v>1700</v>
      </c>
      <c r="G42" s="110">
        <f t="shared" si="280"/>
        <v>1700</v>
      </c>
      <c r="H42" s="110">
        <f t="shared" si="281"/>
        <v>1700</v>
      </c>
      <c r="I42" s="110">
        <f t="shared" si="282"/>
        <v>1700</v>
      </c>
      <c r="J42" s="110">
        <f t="shared" si="283"/>
        <v>1700</v>
      </c>
      <c r="K42" s="110">
        <f t="shared" si="284"/>
        <v>1700</v>
      </c>
      <c r="L42" s="110">
        <f t="shared" si="285"/>
        <v>1700</v>
      </c>
      <c r="M42" s="110">
        <f t="shared" si="286"/>
        <v>1700</v>
      </c>
      <c r="N42" s="110">
        <f t="shared" si="287"/>
        <v>1700</v>
      </c>
      <c r="O42" s="110">
        <f t="shared" si="288"/>
        <v>1700</v>
      </c>
      <c r="P42" s="110">
        <f t="shared" si="289"/>
        <v>1700</v>
      </c>
      <c r="Q42" s="110">
        <f t="shared" si="290"/>
        <v>1700</v>
      </c>
      <c r="R42" s="110">
        <f t="shared" si="291"/>
        <v>1700</v>
      </c>
      <c r="S42" s="110">
        <f t="shared" si="292"/>
        <v>1700</v>
      </c>
      <c r="T42" s="110">
        <f t="shared" si="293"/>
        <v>1700</v>
      </c>
      <c r="U42" s="110">
        <f t="shared" si="294"/>
        <v>1700</v>
      </c>
      <c r="V42" s="110">
        <f t="shared" si="295"/>
        <v>1700</v>
      </c>
      <c r="W42" s="110">
        <f t="shared" si="296"/>
        <v>1700</v>
      </c>
      <c r="X42" s="110">
        <f t="shared" si="297"/>
        <v>1700</v>
      </c>
      <c r="Y42" s="110">
        <f t="shared" si="298"/>
        <v>1700</v>
      </c>
      <c r="Z42" s="110">
        <f t="shared" si="299"/>
        <v>1700</v>
      </c>
      <c r="AA42" s="110">
        <f t="shared" si="300"/>
        <v>1700</v>
      </c>
      <c r="AB42" s="110">
        <f t="shared" si="301"/>
        <v>1700</v>
      </c>
      <c r="AC42" s="110">
        <f t="shared" si="302"/>
        <v>1700</v>
      </c>
      <c r="AD42" s="110">
        <f t="shared" si="303"/>
        <v>1700</v>
      </c>
      <c r="AE42" s="110">
        <f t="shared" si="304"/>
        <v>1700</v>
      </c>
      <c r="AF42" s="110">
        <f t="shared" si="305"/>
        <v>1700</v>
      </c>
      <c r="AG42" s="110">
        <f t="shared" si="306"/>
        <v>1700</v>
      </c>
      <c r="AH42" s="110">
        <f t="shared" si="307"/>
        <v>1700</v>
      </c>
      <c r="AI42" s="110">
        <f t="shared" si="308"/>
        <v>1700</v>
      </c>
      <c r="AJ42" s="110">
        <f t="shared" si="309"/>
        <v>1700</v>
      </c>
      <c r="AK42" s="110">
        <f t="shared" si="310"/>
        <v>1700</v>
      </c>
      <c r="AL42" s="110">
        <f t="shared" si="311"/>
        <v>1700</v>
      </c>
      <c r="AM42" s="110">
        <f t="shared" si="312"/>
        <v>1700</v>
      </c>
      <c r="AN42" s="110">
        <f t="shared" si="313"/>
        <v>1700</v>
      </c>
    </row>
    <row r="43" spans="2:40" s="16" customFormat="1" ht="21" customHeight="1" x14ac:dyDescent="0.2">
      <c r="B43" s="6" t="s">
        <v>151</v>
      </c>
      <c r="C43" s="26"/>
      <c r="D43" s="14"/>
      <c r="E43" s="104">
        <f t="shared" ref="E43:AN43" si="315">SUM(E41, E40, E39, E38, E37, E35, E34, E33, E32, E31, E30, E28, E27, E26, E25, E24, E22, E21, E20, E19, E18, E17, E16, E15, E14 + E13)</f>
        <v>43850</v>
      </c>
      <c r="F43" s="104">
        <f t="shared" ref="F43:AM43" si="316">SUM(F41, F40, F39, F38, F37, F35, F34, F33, F32, F31, F30, F28, F27, F26, F25, F24, F22, F21, F20, F19, F18, F17, F16, F15, F14 + F13)</f>
        <v>42465.5</v>
      </c>
      <c r="G43" s="104">
        <f t="shared" si="316"/>
        <v>38306.214999999997</v>
      </c>
      <c r="H43" s="104">
        <f t="shared" si="316"/>
        <v>38765.816450000006</v>
      </c>
      <c r="I43" s="104">
        <f t="shared" si="316"/>
        <v>39245.836568500003</v>
      </c>
      <c r="J43" s="104">
        <f t="shared" si="316"/>
        <v>40103.589018055005</v>
      </c>
      <c r="K43" s="104">
        <f t="shared" si="316"/>
        <v>40751.984044044104</v>
      </c>
      <c r="L43" s="104">
        <f t="shared" si="316"/>
        <v>41974.543565365428</v>
      </c>
      <c r="M43" s="104">
        <f t="shared" si="316"/>
        <v>43233.779872326399</v>
      </c>
      <c r="N43" s="104">
        <f t="shared" si="316"/>
        <v>37020.568509279212</v>
      </c>
      <c r="O43" s="104">
        <f t="shared" si="316"/>
        <v>34990.948623968274</v>
      </c>
      <c r="P43" s="104">
        <f t="shared" si="316"/>
        <v>35603.643304763711</v>
      </c>
      <c r="Q43" s="104">
        <f t="shared" si="316"/>
        <v>36671.752603906629</v>
      </c>
      <c r="R43" s="104">
        <f t="shared" si="316"/>
        <v>37609.949819149071</v>
      </c>
      <c r="S43" s="104">
        <f t="shared" si="316"/>
        <v>37645.049614318908</v>
      </c>
      <c r="T43" s="104">
        <f t="shared" si="316"/>
        <v>38118.481883105698</v>
      </c>
      <c r="U43" s="104">
        <f t="shared" si="316"/>
        <v>36197.416137763867</v>
      </c>
      <c r="V43" s="104">
        <f t="shared" si="316"/>
        <v>35273.847168260807</v>
      </c>
      <c r="W43" s="104">
        <f t="shared" si="316"/>
        <v>36332.062583308638</v>
      </c>
      <c r="X43" s="104">
        <f t="shared" si="316"/>
        <v>32251.101487757755</v>
      </c>
      <c r="Y43" s="104">
        <f t="shared" si="316"/>
        <v>32042.492079250555</v>
      </c>
      <c r="Z43" s="104">
        <f t="shared" si="316"/>
        <v>33003.766841628072</v>
      </c>
      <c r="AA43" s="104">
        <f t="shared" si="316"/>
        <v>31886.790375003955</v>
      </c>
      <c r="AB43" s="104">
        <f t="shared" si="316"/>
        <v>31209.31559444272</v>
      </c>
      <c r="AC43" s="104">
        <f t="shared" si="316"/>
        <v>31818.882410318245</v>
      </c>
      <c r="AD43" s="104">
        <f t="shared" si="316"/>
        <v>31891.324722341862</v>
      </c>
      <c r="AE43" s="104">
        <f t="shared" si="316"/>
        <v>32318.789967840556</v>
      </c>
      <c r="AF43" s="104">
        <f t="shared" si="316"/>
        <v>31770.592231972463</v>
      </c>
      <c r="AG43" s="104">
        <f t="shared" si="316"/>
        <v>31240.964881794564</v>
      </c>
      <c r="AH43" s="104">
        <f t="shared" si="316"/>
        <v>31672.837246558836</v>
      </c>
      <c r="AI43" s="104">
        <f t="shared" si="316"/>
        <v>28208.781402660974</v>
      </c>
      <c r="AJ43" s="104">
        <f t="shared" si="316"/>
        <v>29055.044844740802</v>
      </c>
      <c r="AK43" s="104">
        <f t="shared" si="316"/>
        <v>29926.696190083028</v>
      </c>
      <c r="AL43" s="104">
        <f t="shared" si="316"/>
        <v>30824.497075785523</v>
      </c>
      <c r="AM43" s="104">
        <f t="shared" si="316"/>
        <v>29829.698032314416</v>
      </c>
      <c r="AN43" s="104">
        <f t="shared" si="315"/>
        <v>26457.534721207896</v>
      </c>
    </row>
    <row r="44" spans="2:40" s="18" customFormat="1" ht="21" customHeight="1" x14ac:dyDescent="0.2">
      <c r="B44" s="6" t="s">
        <v>138</v>
      </c>
      <c r="C44" s="26"/>
      <c r="D44" s="19"/>
      <c r="E44" s="105">
        <f t="shared" ref="E44:AN44" si="317">E12-E43</f>
        <v>-43850</v>
      </c>
      <c r="F44" s="105">
        <f t="shared" ref="F44:AM44" si="318">F12-F43</f>
        <v>-42465.5</v>
      </c>
      <c r="G44" s="105">
        <f t="shared" si="318"/>
        <v>-38306.214999999997</v>
      </c>
      <c r="H44" s="105">
        <f t="shared" si="318"/>
        <v>-38765.816450000006</v>
      </c>
      <c r="I44" s="105">
        <f t="shared" si="318"/>
        <v>-39245.836568500003</v>
      </c>
      <c r="J44" s="105">
        <f t="shared" si="318"/>
        <v>-40103.589018055005</v>
      </c>
      <c r="K44" s="105">
        <f t="shared" si="318"/>
        <v>-40751.984044044104</v>
      </c>
      <c r="L44" s="105">
        <f t="shared" si="318"/>
        <v>-41974.543565365428</v>
      </c>
      <c r="M44" s="105">
        <f t="shared" si="318"/>
        <v>-43233.779872326399</v>
      </c>
      <c r="N44" s="105">
        <f t="shared" si="318"/>
        <v>-37020.568509279212</v>
      </c>
      <c r="O44" s="105">
        <f t="shared" si="318"/>
        <v>-34990.948623968274</v>
      </c>
      <c r="P44" s="105">
        <f t="shared" si="318"/>
        <v>-35603.643304763711</v>
      </c>
      <c r="Q44" s="105">
        <f t="shared" si="318"/>
        <v>-36671.752603906629</v>
      </c>
      <c r="R44" s="105">
        <f t="shared" si="318"/>
        <v>-37609.949819149071</v>
      </c>
      <c r="S44" s="105">
        <f t="shared" si="318"/>
        <v>-37645.049614318908</v>
      </c>
      <c r="T44" s="105">
        <f t="shared" si="318"/>
        <v>-38118.481883105698</v>
      </c>
      <c r="U44" s="105">
        <f t="shared" si="318"/>
        <v>-36197.416137763867</v>
      </c>
      <c r="V44" s="105">
        <f t="shared" si="318"/>
        <v>-35273.847168260807</v>
      </c>
      <c r="W44" s="105">
        <f t="shared" si="318"/>
        <v>-36332.062583308638</v>
      </c>
      <c r="X44" s="105">
        <f t="shared" si="318"/>
        <v>-32251.101487757755</v>
      </c>
      <c r="Y44" s="105">
        <f t="shared" si="318"/>
        <v>-32042.492079250555</v>
      </c>
      <c r="Z44" s="105">
        <f t="shared" si="318"/>
        <v>-33003.766841628072</v>
      </c>
      <c r="AA44" s="105">
        <f t="shared" si="318"/>
        <v>-31886.790375003955</v>
      </c>
      <c r="AB44" s="105">
        <f t="shared" si="318"/>
        <v>-31209.31559444272</v>
      </c>
      <c r="AC44" s="105">
        <f t="shared" si="318"/>
        <v>-31818.882410318245</v>
      </c>
      <c r="AD44" s="105">
        <f t="shared" si="318"/>
        <v>-31891.324722341862</v>
      </c>
      <c r="AE44" s="105">
        <f t="shared" si="318"/>
        <v>-32318.789967840556</v>
      </c>
      <c r="AF44" s="105">
        <f t="shared" si="318"/>
        <v>-31770.592231972463</v>
      </c>
      <c r="AG44" s="105">
        <f t="shared" si="318"/>
        <v>-31240.964881794564</v>
      </c>
      <c r="AH44" s="105">
        <f t="shared" si="318"/>
        <v>-31672.837246558836</v>
      </c>
      <c r="AI44" s="105">
        <f t="shared" si="318"/>
        <v>-28208.781402660974</v>
      </c>
      <c r="AJ44" s="105">
        <f t="shared" si="318"/>
        <v>-29055.044844740802</v>
      </c>
      <c r="AK44" s="105">
        <f t="shared" si="318"/>
        <v>-29926.696190083028</v>
      </c>
      <c r="AL44" s="105">
        <f t="shared" si="318"/>
        <v>-30824.497075785523</v>
      </c>
      <c r="AM44" s="105">
        <f t="shared" si="318"/>
        <v>-29829.698032314416</v>
      </c>
      <c r="AN44" s="105">
        <f t="shared" si="317"/>
        <v>-26457.534721207896</v>
      </c>
    </row>
    <row r="45" spans="2:40" s="16" customFormat="1" ht="21" customHeight="1" x14ac:dyDescent="0.2">
      <c r="B45" s="6" t="s">
        <v>58</v>
      </c>
      <c r="C45" s="101">
        <v>0.1</v>
      </c>
      <c r="D45" s="14"/>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2:40" s="16" customFormat="1" ht="21" customHeight="1" x14ac:dyDescent="0.2">
      <c r="B46" s="5" t="s">
        <v>139</v>
      </c>
      <c r="C46" s="101">
        <v>0.1</v>
      </c>
      <c r="D46" s="14"/>
      <c r="E46" s="102">
        <v>0</v>
      </c>
      <c r="F46" s="103">
        <f t="shared" ref="F46" si="319">E46*(1+$C46)</f>
        <v>0</v>
      </c>
      <c r="G46" s="103">
        <f t="shared" ref="G46" si="320">F46*(1+$C46)</f>
        <v>0</v>
      </c>
      <c r="H46" s="103">
        <f t="shared" ref="H46" si="321">G46*(1+$C46)</f>
        <v>0</v>
      </c>
      <c r="I46" s="103">
        <f t="shared" ref="I46" si="322">H46*(1+$C46)</f>
        <v>0</v>
      </c>
      <c r="J46" s="103">
        <f t="shared" ref="J46" si="323">I46*(1+$C46)</f>
        <v>0</v>
      </c>
      <c r="K46" s="103">
        <f t="shared" ref="K46" si="324">J46*(1+$C46)</f>
        <v>0</v>
      </c>
      <c r="L46" s="103">
        <f t="shared" ref="L46" si="325">K46*(1+$C46)</f>
        <v>0</v>
      </c>
      <c r="M46" s="103">
        <f t="shared" ref="M46" si="326">L46*(1+$C46)</f>
        <v>0</v>
      </c>
      <c r="N46" s="103">
        <f t="shared" ref="N46" si="327">M46*(1+$C46)</f>
        <v>0</v>
      </c>
      <c r="O46" s="103">
        <f t="shared" ref="O46" si="328">N46*(1+$C46)</f>
        <v>0</v>
      </c>
      <c r="P46" s="103">
        <f t="shared" ref="P46" si="329">O46*(1+$C46)</f>
        <v>0</v>
      </c>
      <c r="Q46" s="103">
        <f t="shared" ref="Q46" si="330">P46*(1+$C46)</f>
        <v>0</v>
      </c>
      <c r="R46" s="103">
        <f t="shared" ref="R46" si="331">Q46*(1+$C46)</f>
        <v>0</v>
      </c>
      <c r="S46" s="103">
        <f t="shared" ref="S46" si="332">R46*(1+$C46)</f>
        <v>0</v>
      </c>
      <c r="T46" s="103">
        <f t="shared" ref="T46" si="333">S46*(1+$C46)</f>
        <v>0</v>
      </c>
      <c r="U46" s="103">
        <f t="shared" ref="U46" si="334">T46*(1+$C46)</f>
        <v>0</v>
      </c>
      <c r="V46" s="103">
        <f t="shared" ref="V46" si="335">U46*(1+$C46)</f>
        <v>0</v>
      </c>
      <c r="W46" s="103">
        <f t="shared" ref="W46" si="336">V46*(1+$C46)</f>
        <v>0</v>
      </c>
      <c r="X46" s="103">
        <f t="shared" ref="X46" si="337">W46*(1+$C46)</f>
        <v>0</v>
      </c>
      <c r="Y46" s="103">
        <f t="shared" ref="Y46" si="338">X46*(1+$C46)</f>
        <v>0</v>
      </c>
      <c r="Z46" s="103">
        <f t="shared" ref="Z46" si="339">Y46*(1+$C46)</f>
        <v>0</v>
      </c>
      <c r="AA46" s="103">
        <f t="shared" ref="AA46" si="340">Z46*(1+$C46)</f>
        <v>0</v>
      </c>
      <c r="AB46" s="103">
        <f t="shared" ref="AB46" si="341">AA46*(1+$C46)</f>
        <v>0</v>
      </c>
      <c r="AC46" s="103">
        <f t="shared" ref="AC46" si="342">AB46*(1+$C46)</f>
        <v>0</v>
      </c>
      <c r="AD46" s="103">
        <f t="shared" ref="AD46" si="343">AC46*(1+$C46)</f>
        <v>0</v>
      </c>
      <c r="AE46" s="103">
        <f t="shared" ref="AE46" si="344">AD46*(1+$C46)</f>
        <v>0</v>
      </c>
      <c r="AF46" s="103">
        <f t="shared" ref="AF46" si="345">AE46*(1+$C46)</f>
        <v>0</v>
      </c>
      <c r="AG46" s="103">
        <f t="shared" ref="AG46" si="346">AF46*(1+$C46)</f>
        <v>0</v>
      </c>
      <c r="AH46" s="103">
        <f t="shared" ref="AH46" si="347">AG46*(1+$C46)</f>
        <v>0</v>
      </c>
      <c r="AI46" s="103">
        <f t="shared" ref="AI46" si="348">AH46*(1+$C46)</f>
        <v>0</v>
      </c>
      <c r="AJ46" s="103">
        <f t="shared" ref="AJ46" si="349">AI46*(1+$C46)</f>
        <v>0</v>
      </c>
      <c r="AK46" s="103">
        <f t="shared" ref="AK46" si="350">AJ46*(1+$C46)</f>
        <v>0</v>
      </c>
      <c r="AL46" s="103">
        <f t="shared" ref="AL46" si="351">AK46*(1+$C46)</f>
        <v>0</v>
      </c>
      <c r="AM46" s="103">
        <f t="shared" ref="AM46" si="352">AL46*(1+$C46)</f>
        <v>0</v>
      </c>
      <c r="AN46" s="103">
        <f t="shared" ref="AN46" si="353">AM46*(1+$C46)</f>
        <v>0</v>
      </c>
    </row>
    <row r="47" spans="2:40" s="16" customFormat="1" ht="21" customHeight="1" x14ac:dyDescent="0.2">
      <c r="B47" s="6" t="s">
        <v>152</v>
      </c>
      <c r="C47" s="26"/>
      <c r="D47" s="14"/>
      <c r="E47" s="104">
        <f t="shared" ref="E47:AM47" si="354">SUM(E46 + E45)</f>
        <v>0</v>
      </c>
      <c r="F47" s="104">
        <f t="shared" si="354"/>
        <v>0</v>
      </c>
      <c r="G47" s="104">
        <f t="shared" si="354"/>
        <v>0</v>
      </c>
      <c r="H47" s="104">
        <f t="shared" si="354"/>
        <v>0</v>
      </c>
      <c r="I47" s="104">
        <f t="shared" si="354"/>
        <v>0</v>
      </c>
      <c r="J47" s="104">
        <f t="shared" si="354"/>
        <v>0</v>
      </c>
      <c r="K47" s="104">
        <f t="shared" si="354"/>
        <v>0</v>
      </c>
      <c r="L47" s="104">
        <f t="shared" si="354"/>
        <v>0</v>
      </c>
      <c r="M47" s="104">
        <f t="shared" si="354"/>
        <v>0</v>
      </c>
      <c r="N47" s="104">
        <f t="shared" si="354"/>
        <v>0</v>
      </c>
      <c r="O47" s="104">
        <f t="shared" si="354"/>
        <v>0</v>
      </c>
      <c r="P47" s="104">
        <f t="shared" si="354"/>
        <v>0</v>
      </c>
      <c r="Q47" s="104">
        <f t="shared" si="354"/>
        <v>0</v>
      </c>
      <c r="R47" s="104">
        <f t="shared" si="354"/>
        <v>0</v>
      </c>
      <c r="S47" s="104">
        <f t="shared" si="354"/>
        <v>0</v>
      </c>
      <c r="T47" s="104">
        <f t="shared" si="354"/>
        <v>0</v>
      </c>
      <c r="U47" s="104">
        <f t="shared" si="354"/>
        <v>0</v>
      </c>
      <c r="V47" s="104">
        <f t="shared" si="354"/>
        <v>0</v>
      </c>
      <c r="W47" s="104">
        <f t="shared" si="354"/>
        <v>0</v>
      </c>
      <c r="X47" s="104">
        <f t="shared" si="354"/>
        <v>0</v>
      </c>
      <c r="Y47" s="104">
        <f t="shared" si="354"/>
        <v>0</v>
      </c>
      <c r="Z47" s="104">
        <f t="shared" si="354"/>
        <v>0</v>
      </c>
      <c r="AA47" s="104">
        <f t="shared" si="354"/>
        <v>0</v>
      </c>
      <c r="AB47" s="104">
        <f t="shared" si="354"/>
        <v>0</v>
      </c>
      <c r="AC47" s="104">
        <f t="shared" si="354"/>
        <v>0</v>
      </c>
      <c r="AD47" s="104">
        <f t="shared" si="354"/>
        <v>0</v>
      </c>
      <c r="AE47" s="104">
        <f t="shared" si="354"/>
        <v>0</v>
      </c>
      <c r="AF47" s="104">
        <f t="shared" si="354"/>
        <v>0</v>
      </c>
      <c r="AG47" s="104">
        <f t="shared" si="354"/>
        <v>0</v>
      </c>
      <c r="AH47" s="104">
        <f t="shared" si="354"/>
        <v>0</v>
      </c>
      <c r="AI47" s="104">
        <f t="shared" si="354"/>
        <v>0</v>
      </c>
      <c r="AJ47" s="104">
        <f t="shared" si="354"/>
        <v>0</v>
      </c>
      <c r="AK47" s="104">
        <f t="shared" si="354"/>
        <v>0</v>
      </c>
      <c r="AL47" s="104">
        <f t="shared" si="354"/>
        <v>0</v>
      </c>
      <c r="AM47" s="104">
        <f t="shared" si="354"/>
        <v>0</v>
      </c>
      <c r="AN47" s="104">
        <f t="shared" ref="AN47" si="355">SUM(AN46 + AN45)</f>
        <v>0</v>
      </c>
    </row>
    <row r="48" spans="2:40" s="16" customFormat="1" ht="21" customHeight="1" x14ac:dyDescent="0.2">
      <c r="B48" s="6" t="s">
        <v>59</v>
      </c>
      <c r="C48" s="101">
        <v>0.1</v>
      </c>
      <c r="D48" s="14"/>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row>
    <row r="49" spans="2:40" s="16" customFormat="1" ht="21" customHeight="1" x14ac:dyDescent="0.2">
      <c r="B49" s="5" t="s">
        <v>140</v>
      </c>
      <c r="C49" s="101">
        <v>0.1</v>
      </c>
      <c r="D49" s="14"/>
      <c r="E49" s="102">
        <v>0</v>
      </c>
      <c r="F49" s="102">
        <v>0</v>
      </c>
      <c r="G49" s="102">
        <v>0</v>
      </c>
      <c r="H49" s="102">
        <v>0</v>
      </c>
      <c r="I49" s="102">
        <v>0</v>
      </c>
      <c r="J49" s="102">
        <v>0</v>
      </c>
      <c r="K49" s="102">
        <v>0</v>
      </c>
      <c r="L49" s="102">
        <v>0</v>
      </c>
      <c r="M49" s="102">
        <v>0</v>
      </c>
      <c r="N49" s="102">
        <v>0</v>
      </c>
      <c r="O49" s="102">
        <v>0</v>
      </c>
      <c r="P49" s="102">
        <v>0</v>
      </c>
      <c r="Q49" s="102">
        <v>0</v>
      </c>
      <c r="R49" s="102">
        <v>0</v>
      </c>
      <c r="S49" s="102">
        <v>0</v>
      </c>
      <c r="T49" s="102">
        <v>0</v>
      </c>
      <c r="U49" s="102">
        <v>0</v>
      </c>
      <c r="V49" s="102">
        <v>0</v>
      </c>
      <c r="W49" s="102">
        <v>0</v>
      </c>
      <c r="X49" s="102">
        <v>0</v>
      </c>
      <c r="Y49" s="102">
        <v>0</v>
      </c>
      <c r="Z49" s="102">
        <v>0</v>
      </c>
      <c r="AA49" s="102">
        <v>0</v>
      </c>
      <c r="AB49" s="102">
        <v>0</v>
      </c>
      <c r="AC49" s="102">
        <v>0</v>
      </c>
      <c r="AD49" s="102">
        <v>0</v>
      </c>
      <c r="AE49" s="102">
        <v>0</v>
      </c>
      <c r="AF49" s="102">
        <v>0</v>
      </c>
      <c r="AG49" s="102">
        <v>0</v>
      </c>
      <c r="AH49" s="102">
        <v>0</v>
      </c>
      <c r="AI49" s="102">
        <v>0</v>
      </c>
      <c r="AJ49" s="102">
        <v>0</v>
      </c>
      <c r="AK49" s="102">
        <v>0</v>
      </c>
      <c r="AL49" s="102">
        <v>0</v>
      </c>
      <c r="AM49" s="102">
        <v>0</v>
      </c>
      <c r="AN49" s="102">
        <v>0</v>
      </c>
    </row>
    <row r="50" spans="2:40" s="16" customFormat="1" ht="21" customHeight="1" x14ac:dyDescent="0.2">
      <c r="B50" s="5" t="s">
        <v>60</v>
      </c>
      <c r="C50" s="101">
        <v>0.1</v>
      </c>
      <c r="D50" s="14"/>
      <c r="E50" s="102">
        <v>0</v>
      </c>
      <c r="F50" s="102">
        <v>0</v>
      </c>
      <c r="G50" s="102">
        <v>0</v>
      </c>
      <c r="H50" s="102">
        <v>0</v>
      </c>
      <c r="I50" s="102">
        <v>0</v>
      </c>
      <c r="J50" s="102">
        <v>0</v>
      </c>
      <c r="K50" s="102">
        <v>0</v>
      </c>
      <c r="L50" s="102">
        <v>0</v>
      </c>
      <c r="M50" s="102">
        <v>0</v>
      </c>
      <c r="N50" s="102">
        <v>0</v>
      </c>
      <c r="O50" s="102">
        <v>0</v>
      </c>
      <c r="P50" s="102">
        <v>0</v>
      </c>
      <c r="Q50" s="102">
        <v>0</v>
      </c>
      <c r="R50" s="102">
        <v>0</v>
      </c>
      <c r="S50" s="102">
        <v>0</v>
      </c>
      <c r="T50" s="102">
        <v>0</v>
      </c>
      <c r="U50" s="102">
        <v>0</v>
      </c>
      <c r="V50" s="102">
        <v>0</v>
      </c>
      <c r="W50" s="102">
        <v>0</v>
      </c>
      <c r="X50" s="102">
        <v>0</v>
      </c>
      <c r="Y50" s="102">
        <v>0</v>
      </c>
      <c r="Z50" s="102">
        <v>0</v>
      </c>
      <c r="AA50" s="102">
        <v>0</v>
      </c>
      <c r="AB50" s="102">
        <v>0</v>
      </c>
      <c r="AC50" s="102">
        <v>0</v>
      </c>
      <c r="AD50" s="102">
        <v>0</v>
      </c>
      <c r="AE50" s="102">
        <v>0</v>
      </c>
      <c r="AF50" s="102">
        <v>0</v>
      </c>
      <c r="AG50" s="102">
        <v>0</v>
      </c>
      <c r="AH50" s="102">
        <v>0</v>
      </c>
      <c r="AI50" s="102">
        <v>0</v>
      </c>
      <c r="AJ50" s="102">
        <v>0</v>
      </c>
      <c r="AK50" s="102">
        <v>0</v>
      </c>
      <c r="AL50" s="102">
        <v>0</v>
      </c>
      <c r="AM50" s="102">
        <v>0</v>
      </c>
      <c r="AN50" s="102">
        <v>0</v>
      </c>
    </row>
    <row r="51" spans="2:40" s="16" customFormat="1" ht="21" customHeight="1" x14ac:dyDescent="0.2">
      <c r="B51" s="6" t="s">
        <v>153</v>
      </c>
      <c r="C51" s="6"/>
      <c r="D51" s="14"/>
      <c r="E51" s="104">
        <f t="shared" ref="E51:AN51" si="356">SUM(E50, E49 + E48)</f>
        <v>0</v>
      </c>
      <c r="F51" s="104">
        <f t="shared" ref="F51:AM51" si="357">SUM(F50, F49 + F48)</f>
        <v>0</v>
      </c>
      <c r="G51" s="104">
        <f t="shared" si="357"/>
        <v>0</v>
      </c>
      <c r="H51" s="104">
        <f t="shared" si="357"/>
        <v>0</v>
      </c>
      <c r="I51" s="104">
        <f t="shared" si="357"/>
        <v>0</v>
      </c>
      <c r="J51" s="104">
        <f t="shared" si="357"/>
        <v>0</v>
      </c>
      <c r="K51" s="104">
        <f t="shared" si="357"/>
        <v>0</v>
      </c>
      <c r="L51" s="104">
        <f t="shared" si="357"/>
        <v>0</v>
      </c>
      <c r="M51" s="104">
        <f t="shared" si="357"/>
        <v>0</v>
      </c>
      <c r="N51" s="104">
        <f t="shared" si="357"/>
        <v>0</v>
      </c>
      <c r="O51" s="104">
        <f t="shared" si="357"/>
        <v>0</v>
      </c>
      <c r="P51" s="104">
        <f t="shared" si="357"/>
        <v>0</v>
      </c>
      <c r="Q51" s="104">
        <f t="shared" si="357"/>
        <v>0</v>
      </c>
      <c r="R51" s="104">
        <f t="shared" si="357"/>
        <v>0</v>
      </c>
      <c r="S51" s="104">
        <f t="shared" si="357"/>
        <v>0</v>
      </c>
      <c r="T51" s="104">
        <f t="shared" si="357"/>
        <v>0</v>
      </c>
      <c r="U51" s="104">
        <f t="shared" si="357"/>
        <v>0</v>
      </c>
      <c r="V51" s="104">
        <f t="shared" si="357"/>
        <v>0</v>
      </c>
      <c r="W51" s="104">
        <f t="shared" si="357"/>
        <v>0</v>
      </c>
      <c r="X51" s="104">
        <f t="shared" si="357"/>
        <v>0</v>
      </c>
      <c r="Y51" s="104">
        <f t="shared" si="357"/>
        <v>0</v>
      </c>
      <c r="Z51" s="104">
        <f t="shared" si="357"/>
        <v>0</v>
      </c>
      <c r="AA51" s="104">
        <f t="shared" si="357"/>
        <v>0</v>
      </c>
      <c r="AB51" s="104">
        <f t="shared" si="357"/>
        <v>0</v>
      </c>
      <c r="AC51" s="104">
        <f t="shared" si="357"/>
        <v>0</v>
      </c>
      <c r="AD51" s="104">
        <f t="shared" si="357"/>
        <v>0</v>
      </c>
      <c r="AE51" s="104">
        <f t="shared" si="357"/>
        <v>0</v>
      </c>
      <c r="AF51" s="104">
        <f t="shared" si="357"/>
        <v>0</v>
      </c>
      <c r="AG51" s="104">
        <f t="shared" si="357"/>
        <v>0</v>
      </c>
      <c r="AH51" s="104">
        <f t="shared" si="357"/>
        <v>0</v>
      </c>
      <c r="AI51" s="104">
        <f t="shared" si="357"/>
        <v>0</v>
      </c>
      <c r="AJ51" s="104">
        <f t="shared" si="357"/>
        <v>0</v>
      </c>
      <c r="AK51" s="104">
        <f t="shared" si="357"/>
        <v>0</v>
      </c>
      <c r="AL51" s="104">
        <f t="shared" si="357"/>
        <v>0</v>
      </c>
      <c r="AM51" s="104">
        <f t="shared" si="357"/>
        <v>0</v>
      </c>
      <c r="AN51" s="104">
        <f t="shared" si="356"/>
        <v>0</v>
      </c>
    </row>
    <row r="52" spans="2:40" s="18" customFormat="1" ht="21" customHeight="1" x14ac:dyDescent="0.2">
      <c r="B52" s="6" t="s">
        <v>61</v>
      </c>
      <c r="C52" s="6"/>
      <c r="D52" s="19"/>
      <c r="E52" s="105">
        <f t="shared" ref="E52:AN52" si="358">E47-E51</f>
        <v>0</v>
      </c>
      <c r="F52" s="105">
        <f t="shared" ref="F52:AM52" si="359">F47-F51</f>
        <v>0</v>
      </c>
      <c r="G52" s="105">
        <f t="shared" si="359"/>
        <v>0</v>
      </c>
      <c r="H52" s="105">
        <f t="shared" si="359"/>
        <v>0</v>
      </c>
      <c r="I52" s="105">
        <f t="shared" si="359"/>
        <v>0</v>
      </c>
      <c r="J52" s="105">
        <f t="shared" si="359"/>
        <v>0</v>
      </c>
      <c r="K52" s="105">
        <f t="shared" si="359"/>
        <v>0</v>
      </c>
      <c r="L52" s="105">
        <f t="shared" si="359"/>
        <v>0</v>
      </c>
      <c r="M52" s="105">
        <f t="shared" si="359"/>
        <v>0</v>
      </c>
      <c r="N52" s="105">
        <f t="shared" si="359"/>
        <v>0</v>
      </c>
      <c r="O52" s="105">
        <f t="shared" si="359"/>
        <v>0</v>
      </c>
      <c r="P52" s="105">
        <f t="shared" si="359"/>
        <v>0</v>
      </c>
      <c r="Q52" s="105">
        <f t="shared" si="359"/>
        <v>0</v>
      </c>
      <c r="R52" s="105">
        <f t="shared" si="359"/>
        <v>0</v>
      </c>
      <c r="S52" s="105">
        <f t="shared" si="359"/>
        <v>0</v>
      </c>
      <c r="T52" s="105">
        <f t="shared" si="359"/>
        <v>0</v>
      </c>
      <c r="U52" s="105">
        <f t="shared" si="359"/>
        <v>0</v>
      </c>
      <c r="V52" s="105">
        <f t="shared" si="359"/>
        <v>0</v>
      </c>
      <c r="W52" s="105">
        <f t="shared" si="359"/>
        <v>0</v>
      </c>
      <c r="X52" s="105">
        <f t="shared" si="359"/>
        <v>0</v>
      </c>
      <c r="Y52" s="105">
        <f t="shared" si="359"/>
        <v>0</v>
      </c>
      <c r="Z52" s="105">
        <f t="shared" si="359"/>
        <v>0</v>
      </c>
      <c r="AA52" s="105">
        <f t="shared" si="359"/>
        <v>0</v>
      </c>
      <c r="AB52" s="105">
        <f t="shared" si="359"/>
        <v>0</v>
      </c>
      <c r="AC52" s="105">
        <f t="shared" si="359"/>
        <v>0</v>
      </c>
      <c r="AD52" s="105">
        <f t="shared" si="359"/>
        <v>0</v>
      </c>
      <c r="AE52" s="105">
        <f t="shared" si="359"/>
        <v>0</v>
      </c>
      <c r="AF52" s="105">
        <f t="shared" si="359"/>
        <v>0</v>
      </c>
      <c r="AG52" s="105">
        <f t="shared" si="359"/>
        <v>0</v>
      </c>
      <c r="AH52" s="105">
        <f t="shared" si="359"/>
        <v>0</v>
      </c>
      <c r="AI52" s="105">
        <f t="shared" si="359"/>
        <v>0</v>
      </c>
      <c r="AJ52" s="105">
        <f t="shared" si="359"/>
        <v>0</v>
      </c>
      <c r="AK52" s="105">
        <f t="shared" si="359"/>
        <v>0</v>
      </c>
      <c r="AL52" s="105">
        <f t="shared" si="359"/>
        <v>0</v>
      </c>
      <c r="AM52" s="105">
        <f t="shared" si="359"/>
        <v>0</v>
      </c>
      <c r="AN52" s="105">
        <f t="shared" si="358"/>
        <v>0</v>
      </c>
    </row>
    <row r="53" spans="2:40" s="18" customFormat="1" ht="21" customHeight="1" x14ac:dyDescent="0.2">
      <c r="B53" s="6" t="s">
        <v>62</v>
      </c>
      <c r="C53" s="6"/>
      <c r="D53" s="19"/>
      <c r="E53" s="105">
        <f t="shared" ref="E53:AN53" si="360">E44+E52</f>
        <v>-43850</v>
      </c>
      <c r="F53" s="105">
        <f t="shared" ref="F53:AM53" si="361">F44+F52</f>
        <v>-42465.5</v>
      </c>
      <c r="G53" s="105">
        <f t="shared" si="361"/>
        <v>-38306.214999999997</v>
      </c>
      <c r="H53" s="105">
        <f t="shared" si="361"/>
        <v>-38765.816450000006</v>
      </c>
      <c r="I53" s="105">
        <f t="shared" si="361"/>
        <v>-39245.836568500003</v>
      </c>
      <c r="J53" s="105">
        <f t="shared" si="361"/>
        <v>-40103.589018055005</v>
      </c>
      <c r="K53" s="105">
        <f t="shared" si="361"/>
        <v>-40751.984044044104</v>
      </c>
      <c r="L53" s="105">
        <f t="shared" si="361"/>
        <v>-41974.543565365428</v>
      </c>
      <c r="M53" s="105">
        <f t="shared" si="361"/>
        <v>-43233.779872326399</v>
      </c>
      <c r="N53" s="105">
        <f t="shared" si="361"/>
        <v>-37020.568509279212</v>
      </c>
      <c r="O53" s="105">
        <f t="shared" si="361"/>
        <v>-34990.948623968274</v>
      </c>
      <c r="P53" s="105">
        <f t="shared" si="361"/>
        <v>-35603.643304763711</v>
      </c>
      <c r="Q53" s="105">
        <f t="shared" si="361"/>
        <v>-36671.752603906629</v>
      </c>
      <c r="R53" s="105">
        <f t="shared" si="361"/>
        <v>-37609.949819149071</v>
      </c>
      <c r="S53" s="105">
        <f t="shared" si="361"/>
        <v>-37645.049614318908</v>
      </c>
      <c r="T53" s="105">
        <f t="shared" si="361"/>
        <v>-38118.481883105698</v>
      </c>
      <c r="U53" s="105">
        <f t="shared" si="361"/>
        <v>-36197.416137763867</v>
      </c>
      <c r="V53" s="105">
        <f t="shared" si="361"/>
        <v>-35273.847168260807</v>
      </c>
      <c r="W53" s="105">
        <f t="shared" si="361"/>
        <v>-36332.062583308638</v>
      </c>
      <c r="X53" s="105">
        <f t="shared" si="361"/>
        <v>-32251.101487757755</v>
      </c>
      <c r="Y53" s="105">
        <f t="shared" si="361"/>
        <v>-32042.492079250555</v>
      </c>
      <c r="Z53" s="105">
        <f t="shared" si="361"/>
        <v>-33003.766841628072</v>
      </c>
      <c r="AA53" s="105">
        <f t="shared" si="361"/>
        <v>-31886.790375003955</v>
      </c>
      <c r="AB53" s="105">
        <f t="shared" si="361"/>
        <v>-31209.31559444272</v>
      </c>
      <c r="AC53" s="105">
        <f t="shared" si="361"/>
        <v>-31818.882410318245</v>
      </c>
      <c r="AD53" s="105">
        <f t="shared" si="361"/>
        <v>-31891.324722341862</v>
      </c>
      <c r="AE53" s="105">
        <f t="shared" si="361"/>
        <v>-32318.789967840556</v>
      </c>
      <c r="AF53" s="105">
        <f t="shared" si="361"/>
        <v>-31770.592231972463</v>
      </c>
      <c r="AG53" s="105">
        <f t="shared" si="361"/>
        <v>-31240.964881794564</v>
      </c>
      <c r="AH53" s="105">
        <f t="shared" si="361"/>
        <v>-31672.837246558836</v>
      </c>
      <c r="AI53" s="105">
        <f t="shared" si="361"/>
        <v>-28208.781402660974</v>
      </c>
      <c r="AJ53" s="105">
        <f t="shared" si="361"/>
        <v>-29055.044844740802</v>
      </c>
      <c r="AK53" s="105">
        <f t="shared" si="361"/>
        <v>-29926.696190083028</v>
      </c>
      <c r="AL53" s="105">
        <f t="shared" si="361"/>
        <v>-30824.497075785523</v>
      </c>
      <c r="AM53" s="105">
        <f t="shared" si="361"/>
        <v>-29829.698032314416</v>
      </c>
      <c r="AN53" s="105">
        <f t="shared" si="360"/>
        <v>-26457.534721207896</v>
      </c>
    </row>
    <row r="267" spans="9946:10001" s="9" customFormat="1" ht="21" customHeight="1" x14ac:dyDescent="0.2">
      <c r="NSC267" s="107">
        <v>74</v>
      </c>
    </row>
    <row r="268" spans="9946:10001" s="9" customFormat="1" ht="21" customHeight="1" x14ac:dyDescent="0.2">
      <c r="NSC268" s="107">
        <v>75</v>
      </c>
    </row>
    <row r="269" spans="9946:10001" s="9" customFormat="1" ht="18" customHeight="1" x14ac:dyDescent="0.2">
      <c r="NSC269" s="107">
        <v>76</v>
      </c>
      <c r="NTO269" s="20"/>
    </row>
    <row r="270" spans="9946:10001" s="9" customFormat="1" ht="21" customHeight="1" x14ac:dyDescent="0.2">
      <c r="NSC270" s="107">
        <v>77</v>
      </c>
      <c r="NTO270" s="20"/>
    </row>
    <row r="271" spans="9946:10001" s="9" customFormat="1" ht="21" customHeight="1" x14ac:dyDescent="0.2">
      <c r="NSC271" s="107">
        <v>78</v>
      </c>
      <c r="NTO271" s="20"/>
    </row>
    <row r="272" spans="9946:10001" s="9" customFormat="1" ht="21" customHeight="1" x14ac:dyDescent="0.2">
      <c r="NRN272" s="9" t="s">
        <v>154</v>
      </c>
      <c r="NSC272" s="107">
        <v>79</v>
      </c>
      <c r="NSE272" s="9" t="s">
        <v>154</v>
      </c>
      <c r="NTO272" s="20"/>
      <c r="NTQ272" s="9" t="s">
        <v>154</v>
      </c>
    </row>
    <row r="273" spans="9946:10001" s="9" customFormat="1" ht="21" customHeight="1" x14ac:dyDescent="0.2">
      <c r="NRN273" s="9" t="s">
        <v>154</v>
      </c>
      <c r="NSC273" s="107">
        <v>80</v>
      </c>
      <c r="NSE273" s="9" t="s">
        <v>154</v>
      </c>
      <c r="NTO273" s="20"/>
      <c r="NTQ273" s="9" t="s">
        <v>154</v>
      </c>
    </row>
    <row r="274" spans="9946:10001" s="9" customFormat="1" ht="21" customHeight="1" x14ac:dyDescent="0.2">
      <c r="NRN274" s="9" t="s">
        <v>154</v>
      </c>
      <c r="NSC274" s="107">
        <v>81</v>
      </c>
      <c r="NSE274" s="9" t="s">
        <v>154</v>
      </c>
      <c r="NTO274" s="20"/>
      <c r="NTQ274" s="9" t="s">
        <v>154</v>
      </c>
    </row>
    <row r="275" spans="9946:10001" s="9" customFormat="1" ht="21" customHeight="1" x14ac:dyDescent="0.2">
      <c r="NRN275" s="9" t="s">
        <v>154</v>
      </c>
      <c r="NSC275" s="107">
        <v>82</v>
      </c>
      <c r="NSE275" s="9" t="s">
        <v>154</v>
      </c>
      <c r="NTO275" s="20"/>
      <c r="NTQ275" s="9" t="s">
        <v>154</v>
      </c>
    </row>
    <row r="276" spans="9946:10001" s="9" customFormat="1" ht="21" customHeight="1" x14ac:dyDescent="0.2">
      <c r="NRN276" s="9" t="s">
        <v>154</v>
      </c>
      <c r="NSC276" s="107">
        <v>83</v>
      </c>
      <c r="NSE276" s="9" t="s">
        <v>154</v>
      </c>
      <c r="NTO276" s="108">
        <v>74</v>
      </c>
      <c r="NTQ276" s="9" t="s">
        <v>154</v>
      </c>
    </row>
    <row r="277" spans="9946:10001" s="9" customFormat="1" ht="21" customHeight="1" x14ac:dyDescent="0.2">
      <c r="NRN277" s="9" t="s">
        <v>154</v>
      </c>
      <c r="NSC277" s="107">
        <v>84</v>
      </c>
      <c r="NSE277" s="9" t="s">
        <v>154</v>
      </c>
      <c r="NTO277" s="108">
        <v>75</v>
      </c>
      <c r="NTQ277" s="9" t="s">
        <v>154</v>
      </c>
    </row>
    <row r="278" spans="9946:10001" s="9" customFormat="1" ht="21" customHeight="1" x14ac:dyDescent="0.2">
      <c r="NSC278" s="107">
        <v>85</v>
      </c>
      <c r="NTO278" s="108">
        <v>76</v>
      </c>
    </row>
    <row r="279" spans="9946:10001" s="9" customFormat="1" ht="21" customHeight="1" x14ac:dyDescent="0.2">
      <c r="NRN279" s="9" t="s">
        <v>154</v>
      </c>
      <c r="NSC279" s="107">
        <v>86</v>
      </c>
      <c r="NSE279" s="9" t="s">
        <v>154</v>
      </c>
      <c r="NTO279" s="108">
        <v>77</v>
      </c>
      <c r="NTQ279" s="9" t="s">
        <v>154</v>
      </c>
    </row>
    <row r="280" spans="9946:10001" ht="21" customHeight="1" x14ac:dyDescent="0.2">
      <c r="NRN280" s="21" t="s">
        <v>154</v>
      </c>
      <c r="NSC280" s="109">
        <v>87</v>
      </c>
      <c r="NSE280" s="21" t="s">
        <v>154</v>
      </c>
      <c r="NTO280" s="108">
        <v>78</v>
      </c>
      <c r="NTQ280" s="21" t="s">
        <v>154</v>
      </c>
    </row>
    <row r="281" spans="9946:10001" ht="21" customHeight="1" x14ac:dyDescent="0.2">
      <c r="NRN281" s="21" t="s">
        <v>154</v>
      </c>
      <c r="NSC281" s="109">
        <v>88</v>
      </c>
      <c r="NSE281" s="21" t="s">
        <v>154</v>
      </c>
      <c r="NTO281" s="108">
        <v>79</v>
      </c>
      <c r="NTQ281" s="21" t="s">
        <v>154</v>
      </c>
    </row>
    <row r="282" spans="9946:10001" ht="21" customHeight="1" x14ac:dyDescent="0.2">
      <c r="NRN282" s="21" t="s">
        <v>154</v>
      </c>
      <c r="NSC282" s="109">
        <v>89</v>
      </c>
      <c r="NSE282" s="21" t="s">
        <v>154</v>
      </c>
      <c r="NTO282" s="108">
        <v>80</v>
      </c>
      <c r="NTQ282" s="21" t="s">
        <v>154</v>
      </c>
    </row>
    <row r="283" spans="9946:10001" ht="21" customHeight="1" x14ac:dyDescent="0.2">
      <c r="NRN283" s="21" t="s">
        <v>154</v>
      </c>
      <c r="NSC283" s="109">
        <v>90</v>
      </c>
      <c r="NSE283" s="21" t="s">
        <v>154</v>
      </c>
      <c r="NTO283" s="108">
        <v>81</v>
      </c>
      <c r="NTQ283" s="21" t="s">
        <v>154</v>
      </c>
    </row>
    <row r="284" spans="9946:10001" ht="21" customHeight="1" x14ac:dyDescent="0.2">
      <c r="NRN284" s="21" t="s">
        <v>155</v>
      </c>
      <c r="NSC284" s="109">
        <v>91</v>
      </c>
      <c r="NSE284" s="21" t="s">
        <v>155</v>
      </c>
      <c r="NTO284" s="108">
        <v>82</v>
      </c>
      <c r="NTQ284" s="21" t="s">
        <v>155</v>
      </c>
    </row>
    <row r="285" spans="9946:10001" ht="21" customHeight="1" x14ac:dyDescent="0.2">
      <c r="NSC285" s="109">
        <v>92</v>
      </c>
      <c r="NTO285" s="108">
        <v>83</v>
      </c>
    </row>
    <row r="286" spans="9946:10001" ht="21" customHeight="1" x14ac:dyDescent="0.2">
      <c r="NRN286" s="21" t="s">
        <v>154</v>
      </c>
      <c r="NSC286" s="109">
        <v>93</v>
      </c>
      <c r="NSE286" s="21" t="s">
        <v>154</v>
      </c>
      <c r="NTO286" s="108">
        <v>84</v>
      </c>
      <c r="NTQ286" s="21" t="s">
        <v>154</v>
      </c>
    </row>
    <row r="287" spans="9946:10001" ht="21" customHeight="1" x14ac:dyDescent="0.2">
      <c r="NRN287" s="21" t="s">
        <v>154</v>
      </c>
      <c r="NSC287" s="109">
        <v>94</v>
      </c>
      <c r="NSE287" s="21" t="s">
        <v>154</v>
      </c>
      <c r="NTO287" s="108">
        <v>85</v>
      </c>
      <c r="NTQ287" s="21" t="s">
        <v>154</v>
      </c>
    </row>
    <row r="288" spans="9946:10001" ht="21" customHeight="1" x14ac:dyDescent="0.2">
      <c r="NRN288" s="21" t="s">
        <v>154</v>
      </c>
      <c r="NSE288" s="21" t="s">
        <v>154</v>
      </c>
      <c r="NTO288" s="108">
        <v>86</v>
      </c>
      <c r="NTQ288" s="21" t="s">
        <v>154</v>
      </c>
    </row>
    <row r="289" spans="9946:10001" ht="21" customHeight="1" x14ac:dyDescent="0.2">
      <c r="NRN289" s="21" t="s">
        <v>154</v>
      </c>
      <c r="NSE289" s="21" t="s">
        <v>154</v>
      </c>
      <c r="NTO289" s="108">
        <v>87</v>
      </c>
      <c r="NTQ289" s="21" t="s">
        <v>154</v>
      </c>
    </row>
    <row r="290" spans="9946:10001" ht="21" customHeight="1" x14ac:dyDescent="0.2">
      <c r="NRN290" s="21" t="s">
        <v>155</v>
      </c>
      <c r="NSE290" s="21" t="s">
        <v>155</v>
      </c>
      <c r="NTO290" s="108">
        <v>88</v>
      </c>
      <c r="NTQ290" s="21" t="s">
        <v>155</v>
      </c>
    </row>
    <row r="291" spans="9946:10001" ht="21" customHeight="1" x14ac:dyDescent="0.2">
      <c r="NRN291" s="21" t="s">
        <v>154</v>
      </c>
      <c r="NSE291" s="21" t="s">
        <v>154</v>
      </c>
      <c r="NTO291" s="108">
        <v>89</v>
      </c>
      <c r="NTQ291" s="21" t="s">
        <v>154</v>
      </c>
    </row>
    <row r="292" spans="9946:10001" ht="21" customHeight="1" x14ac:dyDescent="0.2">
      <c r="NRN292" s="21" t="s">
        <v>154</v>
      </c>
      <c r="NSE292" s="21" t="s">
        <v>154</v>
      </c>
      <c r="NTO292" s="108">
        <v>90</v>
      </c>
      <c r="NTQ292" s="21" t="s">
        <v>154</v>
      </c>
    </row>
    <row r="293" spans="9946:10001" ht="21" customHeight="1" x14ac:dyDescent="0.2">
      <c r="NRN293" s="21" t="s">
        <v>154</v>
      </c>
      <c r="NSE293" s="21" t="s">
        <v>154</v>
      </c>
      <c r="NTO293" s="108">
        <v>91</v>
      </c>
      <c r="NTQ293" s="21" t="s">
        <v>154</v>
      </c>
    </row>
    <row r="294" spans="9946:10001" ht="21" customHeight="1" x14ac:dyDescent="0.2">
      <c r="NTO294" s="108">
        <v>92</v>
      </c>
    </row>
    <row r="295" spans="9946:10001" ht="21" customHeight="1" x14ac:dyDescent="0.2">
      <c r="NRN295" s="21" t="s">
        <v>154</v>
      </c>
      <c r="NSE295" s="21" t="s">
        <v>154</v>
      </c>
      <c r="NTO295" s="108">
        <v>93</v>
      </c>
      <c r="NTQ295" s="21" t="s">
        <v>154</v>
      </c>
    </row>
    <row r="296" spans="9946:10001" ht="21" customHeight="1" x14ac:dyDescent="0.2">
      <c r="NSE296" s="21" t="s">
        <v>154</v>
      </c>
      <c r="NTO296" s="108">
        <v>94</v>
      </c>
      <c r="NTQ296" s="21" t="s">
        <v>154</v>
      </c>
    </row>
    <row r="297" spans="9946:10001" ht="21" customHeight="1" x14ac:dyDescent="0.2">
      <c r="NSE297" s="21" t="s">
        <v>155</v>
      </c>
      <c r="NTO297" s="108">
        <v>95</v>
      </c>
      <c r="NTQ297" s="21" t="s">
        <v>155</v>
      </c>
    </row>
    <row r="298" spans="9946:10001" ht="21" customHeight="1" x14ac:dyDescent="0.2">
      <c r="NTO298" s="108">
        <v>96</v>
      </c>
    </row>
    <row r="299" spans="9946:10001" ht="21" customHeight="1" x14ac:dyDescent="0.2">
      <c r="NTO299" s="108">
        <v>97</v>
      </c>
    </row>
    <row r="300" spans="9946:10001" ht="21" customHeight="1" x14ac:dyDescent="0.2">
      <c r="NTO300" s="108">
        <v>98</v>
      </c>
    </row>
    <row r="301" spans="9946:10001" ht="21" customHeight="1" x14ac:dyDescent="0.2">
      <c r="NTO301" s="108">
        <v>99</v>
      </c>
    </row>
    <row r="302" spans="9946:10001" ht="21" customHeight="1" x14ac:dyDescent="0.2">
      <c r="NTO302" s="108">
        <v>100</v>
      </c>
    </row>
    <row r="303" spans="9946:10001" ht="21" customHeight="1" x14ac:dyDescent="0.2">
      <c r="NTO303" s="108">
        <v>101</v>
      </c>
    </row>
    <row r="304" spans="9946:10001" ht="21" customHeight="1" x14ac:dyDescent="0.2">
      <c r="NTO304" s="108">
        <v>102</v>
      </c>
    </row>
  </sheetData>
  <dataConsolidate/>
  <dataValidations count="1">
    <dataValidation type="list" allowBlank="1" showInputMessage="1" showErrorMessage="1" sqref="E4" xr:uid="{64FD22AB-DFED-4B63-9B23-509598BF402B}">
      <formula1>"1/31/2021,1/31/2022,1/31/2023,1/31/2024,1/31/2025,1/31/2026,1/31/2027"</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4C0E-CFA1-4747-8C3E-558D3F695E1B}">
  <sheetPr>
    <tabColor theme="6" tint="0.79998168889431442"/>
    <outlinePr summaryBelow="0" summaryRight="0"/>
  </sheetPr>
  <dimension ref="A1:NTQ304"/>
  <sheetViews>
    <sheetView showGridLines="0" zoomScaleNormal="100" workbookViewId="0">
      <pane xSplit="4" ySplit="4" topLeftCell="E5" activePane="bottomRight" state="frozen"/>
      <selection activeCell="E49" sqref="E49"/>
      <selection pane="topRight" activeCell="E49" sqref="E49"/>
      <selection pane="bottomLeft" activeCell="E49" sqref="E49"/>
      <selection pane="bottomRight" activeCell="E49" sqref="E49"/>
    </sheetView>
  </sheetViews>
  <sheetFormatPr baseColWidth="10" defaultColWidth="9.140625" defaultRowHeight="15" x14ac:dyDescent="0.2"/>
  <cols>
    <col min="1" max="1" width="2.42578125" customWidth="1"/>
    <col min="2" max="2" width="42.28515625" style="2" customWidth="1"/>
    <col min="3" max="3" width="7.7109375" style="2" bestFit="1" customWidth="1"/>
    <col min="4" max="4" width="2.7109375" customWidth="1"/>
    <col min="5" max="5" width="12.42578125" style="21" customWidth="1"/>
    <col min="6" max="40" width="13.28515625" style="21" customWidth="1"/>
    <col min="41" max="9998" width="9.140625" style="21"/>
    <col min="9999" max="9999" width="9.140625" style="20"/>
    <col min="10000" max="16384" width="9.140625" style="21"/>
  </cols>
  <sheetData>
    <row r="1" spans="1:40" customFormat="1" ht="21" customHeight="1" x14ac:dyDescent="0.2">
      <c r="A1" s="10" t="s">
        <v>141</v>
      </c>
      <c r="B1" s="2"/>
      <c r="C1" s="2"/>
    </row>
    <row r="2" spans="1:40" customFormat="1" ht="21" customHeight="1" x14ac:dyDescent="0.2">
      <c r="A2" s="11" t="s">
        <v>142</v>
      </c>
      <c r="B2" s="2"/>
      <c r="C2" s="2"/>
    </row>
    <row r="3" spans="1:40" customFormat="1" x14ac:dyDescent="0.2">
      <c r="A3" t="s">
        <v>143</v>
      </c>
      <c r="B3" s="2"/>
      <c r="C3" s="2"/>
    </row>
    <row r="4" spans="1:40" s="12" customFormat="1" ht="16" x14ac:dyDescent="0.2">
      <c r="B4" s="3"/>
      <c r="C4" s="98" t="s">
        <v>144</v>
      </c>
      <c r="E4" s="99">
        <v>44957</v>
      </c>
      <c r="F4" s="100">
        <f t="shared" ref="F4" si="0">EOMONTH(E4,1)</f>
        <v>44985</v>
      </c>
      <c r="G4" s="100">
        <f t="shared" ref="G4" si="1">EOMONTH(F4,1)</f>
        <v>45016</v>
      </c>
      <c r="H4" s="100">
        <f t="shared" ref="H4" si="2">EOMONTH(G4,1)</f>
        <v>45046</v>
      </c>
      <c r="I4" s="100">
        <f t="shared" ref="I4" si="3">EOMONTH(H4,1)</f>
        <v>45077</v>
      </c>
      <c r="J4" s="100">
        <f t="shared" ref="J4" si="4">EOMONTH(I4,1)</f>
        <v>45107</v>
      </c>
      <c r="K4" s="100">
        <f t="shared" ref="K4" si="5">EOMONTH(J4,1)</f>
        <v>45138</v>
      </c>
      <c r="L4" s="100">
        <f t="shared" ref="L4" si="6">EOMONTH(K4,1)</f>
        <v>45169</v>
      </c>
      <c r="M4" s="100">
        <f t="shared" ref="M4" si="7">EOMONTH(L4,1)</f>
        <v>45199</v>
      </c>
      <c r="N4" s="100">
        <f t="shared" ref="N4" si="8">EOMONTH(M4,1)</f>
        <v>45230</v>
      </c>
      <c r="O4" s="100">
        <f t="shared" ref="O4" si="9">EOMONTH(N4,1)</f>
        <v>45260</v>
      </c>
      <c r="P4" s="100">
        <f t="shared" ref="P4" si="10">EOMONTH(O4,1)</f>
        <v>45291</v>
      </c>
      <c r="Q4" s="100">
        <f t="shared" ref="Q4" si="11">EOMONTH(P4,1)</f>
        <v>45322</v>
      </c>
      <c r="R4" s="100">
        <f t="shared" ref="R4" si="12">EOMONTH(Q4,1)</f>
        <v>45351</v>
      </c>
      <c r="S4" s="100">
        <f t="shared" ref="S4" si="13">EOMONTH(R4,1)</f>
        <v>45382</v>
      </c>
      <c r="T4" s="100">
        <f t="shared" ref="T4" si="14">EOMONTH(S4,1)</f>
        <v>45412</v>
      </c>
      <c r="U4" s="100">
        <f t="shared" ref="U4" si="15">EOMONTH(T4,1)</f>
        <v>45443</v>
      </c>
      <c r="V4" s="100">
        <f t="shared" ref="V4" si="16">EOMONTH(U4,1)</f>
        <v>45473</v>
      </c>
      <c r="W4" s="100">
        <f t="shared" ref="W4" si="17">EOMONTH(V4,1)</f>
        <v>45504</v>
      </c>
      <c r="X4" s="100">
        <f t="shared" ref="X4" si="18">EOMONTH(W4,1)</f>
        <v>45535</v>
      </c>
      <c r="Y4" s="100">
        <f t="shared" ref="Y4" si="19">EOMONTH(X4,1)</f>
        <v>45565</v>
      </c>
      <c r="Z4" s="100">
        <f t="shared" ref="Z4" si="20">EOMONTH(Y4,1)</f>
        <v>45596</v>
      </c>
      <c r="AA4" s="100">
        <f t="shared" ref="AA4" si="21">EOMONTH(Z4,1)</f>
        <v>45626</v>
      </c>
      <c r="AB4" s="100">
        <f t="shared" ref="AB4" si="22">EOMONTH(AA4,1)</f>
        <v>45657</v>
      </c>
      <c r="AC4" s="100">
        <f t="shared" ref="AC4" si="23">EOMONTH(AB4,1)</f>
        <v>45688</v>
      </c>
      <c r="AD4" s="100">
        <f t="shared" ref="AD4" si="24">EOMONTH(AC4,1)</f>
        <v>45716</v>
      </c>
      <c r="AE4" s="100">
        <f t="shared" ref="AE4" si="25">EOMONTH(AD4,1)</f>
        <v>45747</v>
      </c>
      <c r="AF4" s="100">
        <f t="shared" ref="AF4" si="26">EOMONTH(AE4,1)</f>
        <v>45777</v>
      </c>
      <c r="AG4" s="100">
        <f t="shared" ref="AG4" si="27">EOMONTH(AF4,1)</f>
        <v>45808</v>
      </c>
      <c r="AH4" s="100">
        <f t="shared" ref="AH4" si="28">EOMONTH(AG4,1)</f>
        <v>45838</v>
      </c>
      <c r="AI4" s="100">
        <f t="shared" ref="AI4" si="29">EOMONTH(AH4,1)</f>
        <v>45869</v>
      </c>
      <c r="AJ4" s="100">
        <f t="shared" ref="AJ4" si="30">EOMONTH(AI4,1)</f>
        <v>45900</v>
      </c>
      <c r="AK4" s="100">
        <f t="shared" ref="AK4" si="31">EOMONTH(AJ4,1)</f>
        <v>45930</v>
      </c>
      <c r="AL4" s="100">
        <f t="shared" ref="AL4" si="32">EOMONTH(AK4,1)</f>
        <v>45961</v>
      </c>
      <c r="AM4" s="100">
        <f t="shared" ref="AM4" si="33">EOMONTH(AL4,1)</f>
        <v>45991</v>
      </c>
      <c r="AN4" s="100">
        <f t="shared" ref="AN4" si="34">EOMONTH(AM4,1)</f>
        <v>46022</v>
      </c>
    </row>
    <row r="5" spans="1:40" s="16" customFormat="1" ht="21" customHeight="1" x14ac:dyDescent="0.2">
      <c r="A5" s="13"/>
      <c r="B5" s="4" t="s">
        <v>30</v>
      </c>
      <c r="C5" s="4"/>
      <c r="D5" s="14"/>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row>
    <row r="6" spans="1:40" s="16" customFormat="1" ht="21" customHeight="1" x14ac:dyDescent="0.2">
      <c r="A6" s="13"/>
      <c r="B6" s="5" t="s">
        <v>92</v>
      </c>
      <c r="C6" s="101">
        <v>0.03</v>
      </c>
      <c r="D6" s="14"/>
      <c r="E6" s="102">
        <v>95000</v>
      </c>
      <c r="F6" s="103">
        <f t="shared" ref="F6" si="35">E6*(1+$C6)</f>
        <v>97850</v>
      </c>
      <c r="G6" s="103">
        <f>F6*(0.96)</f>
        <v>93936</v>
      </c>
      <c r="H6" s="103">
        <f t="shared" ref="H6" si="36">G6*(1+$C6)</f>
        <v>96754.08</v>
      </c>
      <c r="I6" s="103">
        <f t="shared" ref="I6" si="37">H6*(1+$C6)</f>
        <v>99656.702400000009</v>
      </c>
      <c r="J6" s="103">
        <f t="shared" ref="J6" si="38">I6*(1+$C6)</f>
        <v>102646.40347200001</v>
      </c>
      <c r="K6" s="103">
        <f t="shared" ref="K6" si="39">J6*(1+$C6)</f>
        <v>105725.79557616</v>
      </c>
      <c r="L6" s="103">
        <f>K6*(0.96)</f>
        <v>101496.7637531136</v>
      </c>
      <c r="M6" s="103">
        <f t="shared" ref="M6" si="40">L6*(1+$C6)</f>
        <v>104541.66666570702</v>
      </c>
      <c r="N6" s="103">
        <f t="shared" ref="N6" si="41">M6*(1+$C6)</f>
        <v>107677.91666567823</v>
      </c>
      <c r="O6" s="103">
        <f t="shared" ref="O6" si="42">N6*(1+$C6)</f>
        <v>110908.25416564858</v>
      </c>
      <c r="P6" s="103">
        <f>O6*(0.96)</f>
        <v>106471.92399902263</v>
      </c>
      <c r="Q6" s="103">
        <f t="shared" ref="Q6" si="43">P6*(1+$C6)</f>
        <v>109666.08171899332</v>
      </c>
      <c r="R6" s="103">
        <f t="shared" ref="R6" si="44">Q6*(1+$C6)</f>
        <v>112956.06417056311</v>
      </c>
      <c r="S6" s="103">
        <f t="shared" ref="S6" si="45">R6*(1+$C6)</f>
        <v>116344.74609568001</v>
      </c>
      <c r="T6" s="103">
        <f>S6*(0.96)</f>
        <v>111690.9562518528</v>
      </c>
      <c r="U6" s="103">
        <f t="shared" ref="U6" si="46">T6*(1+$C6)</f>
        <v>115041.68493940838</v>
      </c>
      <c r="V6" s="103">
        <f t="shared" ref="V6" si="47">U6*(1+$C6)</f>
        <v>118492.93548759064</v>
      </c>
      <c r="W6" s="103">
        <f t="shared" ref="W6" si="48">V6*(1+$C6)</f>
        <v>122047.72355221836</v>
      </c>
      <c r="X6" s="103">
        <f t="shared" ref="X6" si="49">W6*(1+$C6)</f>
        <v>125709.15525878491</v>
      </c>
      <c r="Y6" s="103">
        <f t="shared" ref="Y6" si="50">X6*(1+$C6)</f>
        <v>129480.42991654847</v>
      </c>
      <c r="Z6" s="103">
        <f t="shared" ref="Z6" si="51">Y6*(1+$C6)</f>
        <v>133364.84281404494</v>
      </c>
      <c r="AA6" s="103">
        <f t="shared" ref="AA6" si="52">Z6*(1+$C6)</f>
        <v>137365.78809846629</v>
      </c>
      <c r="AB6" s="103">
        <f>AA6*(0.96)</f>
        <v>131871.15657452765</v>
      </c>
      <c r="AC6" s="103">
        <f t="shared" ref="AC6" si="53">AB6*(1+$C6)</f>
        <v>135827.29127176348</v>
      </c>
      <c r="AD6" s="103">
        <f t="shared" ref="AD6" si="54">AC6*(1+$C6)</f>
        <v>139902.11000991639</v>
      </c>
      <c r="AE6" s="103">
        <f t="shared" ref="AE6" si="55">AD6*(1+$C6)</f>
        <v>144099.1733102139</v>
      </c>
      <c r="AF6" s="103">
        <f>AE6*(0.96)</f>
        <v>138335.20637780533</v>
      </c>
      <c r="AG6" s="103">
        <f t="shared" ref="AG6" si="56">AF6*(1+$C6)</f>
        <v>142485.26256913948</v>
      </c>
      <c r="AH6" s="103">
        <f t="shared" ref="AH6" si="57">AG6*(1+$C6)</f>
        <v>146759.82044621368</v>
      </c>
      <c r="AI6" s="103">
        <f>AH6*(0.96)</f>
        <v>140889.42762836511</v>
      </c>
      <c r="AJ6" s="103">
        <f t="shared" ref="AJ6" si="58">AI6*(1+$C6)</f>
        <v>145116.11045721607</v>
      </c>
      <c r="AK6" s="103">
        <f t="shared" ref="AK6" si="59">AJ6*(1+$C6)</f>
        <v>149469.59377093255</v>
      </c>
      <c r="AL6" s="103">
        <f t="shared" ref="AL6" si="60">AK6*(1+$C6)</f>
        <v>153953.68158406054</v>
      </c>
      <c r="AM6" s="103">
        <f>AL6*(0.96)</f>
        <v>147795.53432069812</v>
      </c>
      <c r="AN6" s="103">
        <f t="shared" ref="AN6" si="61">AM6*(1+$C6)</f>
        <v>152229.40035031908</v>
      </c>
    </row>
    <row r="7" spans="1:40" s="16" customFormat="1" ht="21" customHeight="1" x14ac:dyDescent="0.2">
      <c r="A7" s="13"/>
      <c r="B7" s="6" t="s">
        <v>145</v>
      </c>
      <c r="C7" s="26"/>
      <c r="D7" s="14"/>
      <c r="E7" s="104">
        <f t="shared" ref="E7" si="62">SUM(E6 + E5)</f>
        <v>95000</v>
      </c>
      <c r="F7" s="104">
        <f t="shared" ref="F7:AM7" si="63">SUM(F6 + F5)</f>
        <v>97850</v>
      </c>
      <c r="G7" s="104">
        <f t="shared" si="63"/>
        <v>93936</v>
      </c>
      <c r="H7" s="104">
        <f t="shared" si="63"/>
        <v>96754.08</v>
      </c>
      <c r="I7" s="104">
        <f t="shared" si="63"/>
        <v>99656.702400000009</v>
      </c>
      <c r="J7" s="104">
        <f t="shared" si="63"/>
        <v>102646.40347200001</v>
      </c>
      <c r="K7" s="104">
        <f t="shared" si="63"/>
        <v>105725.79557616</v>
      </c>
      <c r="L7" s="104">
        <f t="shared" si="63"/>
        <v>101496.7637531136</v>
      </c>
      <c r="M7" s="104">
        <f t="shared" si="63"/>
        <v>104541.66666570702</v>
      </c>
      <c r="N7" s="104">
        <f t="shared" si="63"/>
        <v>107677.91666567823</v>
      </c>
      <c r="O7" s="104">
        <f t="shared" si="63"/>
        <v>110908.25416564858</v>
      </c>
      <c r="P7" s="104">
        <f t="shared" si="63"/>
        <v>106471.92399902263</v>
      </c>
      <c r="Q7" s="104">
        <f t="shared" si="63"/>
        <v>109666.08171899332</v>
      </c>
      <c r="R7" s="104">
        <f t="shared" si="63"/>
        <v>112956.06417056311</v>
      </c>
      <c r="S7" s="104">
        <f t="shared" si="63"/>
        <v>116344.74609568001</v>
      </c>
      <c r="T7" s="104">
        <f t="shared" si="63"/>
        <v>111690.9562518528</v>
      </c>
      <c r="U7" s="104">
        <f t="shared" si="63"/>
        <v>115041.68493940838</v>
      </c>
      <c r="V7" s="104">
        <f t="shared" si="63"/>
        <v>118492.93548759064</v>
      </c>
      <c r="W7" s="104">
        <f t="shared" si="63"/>
        <v>122047.72355221836</v>
      </c>
      <c r="X7" s="104">
        <f t="shared" si="63"/>
        <v>125709.15525878491</v>
      </c>
      <c r="Y7" s="104">
        <f t="shared" si="63"/>
        <v>129480.42991654847</v>
      </c>
      <c r="Z7" s="104">
        <f t="shared" si="63"/>
        <v>133364.84281404494</v>
      </c>
      <c r="AA7" s="104">
        <f t="shared" si="63"/>
        <v>137365.78809846629</v>
      </c>
      <c r="AB7" s="104">
        <f t="shared" si="63"/>
        <v>131871.15657452765</v>
      </c>
      <c r="AC7" s="104">
        <f t="shared" si="63"/>
        <v>135827.29127176348</v>
      </c>
      <c r="AD7" s="104">
        <f t="shared" si="63"/>
        <v>139902.11000991639</v>
      </c>
      <c r="AE7" s="104">
        <f t="shared" si="63"/>
        <v>144099.1733102139</v>
      </c>
      <c r="AF7" s="104">
        <f t="shared" si="63"/>
        <v>138335.20637780533</v>
      </c>
      <c r="AG7" s="104">
        <f t="shared" si="63"/>
        <v>142485.26256913948</v>
      </c>
      <c r="AH7" s="104">
        <f t="shared" si="63"/>
        <v>146759.82044621368</v>
      </c>
      <c r="AI7" s="104">
        <f t="shared" si="63"/>
        <v>140889.42762836511</v>
      </c>
      <c r="AJ7" s="104">
        <f t="shared" si="63"/>
        <v>145116.11045721607</v>
      </c>
      <c r="AK7" s="104">
        <f t="shared" si="63"/>
        <v>149469.59377093255</v>
      </c>
      <c r="AL7" s="104">
        <f t="shared" si="63"/>
        <v>153953.68158406054</v>
      </c>
      <c r="AM7" s="104">
        <f t="shared" si="63"/>
        <v>147795.53432069812</v>
      </c>
      <c r="AN7" s="104">
        <f t="shared" ref="AN7" si="64">SUM(AN6 + AN5)</f>
        <v>152229.40035031908</v>
      </c>
    </row>
    <row r="8" spans="1:40" s="16" customFormat="1" ht="21" customHeight="1" x14ac:dyDescent="0.2">
      <c r="A8" s="13"/>
      <c r="B8" s="6" t="s">
        <v>41</v>
      </c>
      <c r="C8" s="26"/>
      <c r="D8" s="14"/>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row>
    <row r="9" spans="1:40" s="16" customFormat="1" ht="21" customHeight="1" x14ac:dyDescent="0.2">
      <c r="A9" s="13"/>
      <c r="B9" s="5" t="s">
        <v>96</v>
      </c>
      <c r="C9" s="101">
        <v>0.04</v>
      </c>
      <c r="D9" s="14"/>
      <c r="E9" s="102">
        <v>800</v>
      </c>
      <c r="F9" s="103">
        <f t="shared" ref="F9:F10" si="65">E9*(1+$C9)</f>
        <v>832</v>
      </c>
      <c r="G9" s="103">
        <f t="shared" ref="G9:G10" si="66">F9*(1+$C9)</f>
        <v>865.28</v>
      </c>
      <c r="H9" s="103">
        <f t="shared" ref="H9:H10" si="67">G9*(1+$C9)</f>
        <v>899.89120000000003</v>
      </c>
      <c r="I9" s="103">
        <f t="shared" ref="I9:I10" si="68">H9*(1+$C9)</f>
        <v>935.8868480000001</v>
      </c>
      <c r="J9" s="103">
        <f t="shared" ref="J9:J10" si="69">I9*(1+$C9)</f>
        <v>973.32232192000015</v>
      </c>
      <c r="K9" s="103">
        <f t="shared" ref="K9:K10" si="70">J9*(1+$C9)</f>
        <v>1012.2552147968001</v>
      </c>
      <c r="L9" s="103">
        <f t="shared" ref="L9:L10" si="71">K9*(1+$C9)</f>
        <v>1052.7454233886722</v>
      </c>
      <c r="M9" s="103">
        <f t="shared" ref="M9:M10" si="72">L9*(1+$C9)</f>
        <v>1094.855240324219</v>
      </c>
      <c r="N9" s="103">
        <f t="shared" ref="N9:N10" si="73">M9*(1+$C9)</f>
        <v>1138.6494499371879</v>
      </c>
      <c r="O9" s="103">
        <f t="shared" ref="O9:O10" si="74">N9*(1+$C9)</f>
        <v>1184.1954279346755</v>
      </c>
      <c r="P9" s="103">
        <f t="shared" ref="P9:P10" si="75">O9*(1+$C9)</f>
        <v>1231.5632450520627</v>
      </c>
      <c r="Q9" s="103">
        <f t="shared" ref="Q9:Q10" si="76">P9*(1+$C9)</f>
        <v>1280.8257748541453</v>
      </c>
      <c r="R9" s="103">
        <f t="shared" ref="R9:R10" si="77">Q9*(1+$C9)</f>
        <v>1332.0588058483111</v>
      </c>
      <c r="S9" s="103">
        <f t="shared" ref="S9:S10" si="78">R9*(1+$C9)</f>
        <v>1385.3411580822435</v>
      </c>
      <c r="T9" s="103">
        <f t="shared" ref="T9:T10" si="79">S9*(1+$C9)</f>
        <v>1440.7548044055334</v>
      </c>
      <c r="U9" s="103">
        <f t="shared" ref="U9:U10" si="80">T9*(1+$C9)</f>
        <v>1498.3849965817549</v>
      </c>
      <c r="V9" s="103">
        <f t="shared" ref="V9:V10" si="81">U9*(1+$C9)</f>
        <v>1558.3203964450252</v>
      </c>
      <c r="W9" s="103">
        <f t="shared" ref="W9:W10" si="82">V9*(1+$C9)</f>
        <v>1620.6532123028262</v>
      </c>
      <c r="X9" s="103">
        <f t="shared" ref="X9:X10" si="83">W9*(1+$C9)</f>
        <v>1685.4793407949394</v>
      </c>
      <c r="Y9" s="103">
        <f t="shared" ref="Y9:Y10" si="84">X9*(1+$C9)</f>
        <v>1752.8985144267369</v>
      </c>
      <c r="Z9" s="103">
        <f t="shared" ref="Z9:Z10" si="85">Y9*(1+$C9)</f>
        <v>1823.0144550038065</v>
      </c>
      <c r="AA9" s="103">
        <f t="shared" ref="AA9:AA10" si="86">Z9*(1+$C9)</f>
        <v>1895.9350332039587</v>
      </c>
      <c r="AB9" s="103">
        <f t="shared" ref="AB9:AB10" si="87">AA9*(1+$C9)</f>
        <v>1971.7724345321171</v>
      </c>
      <c r="AC9" s="103">
        <f t="shared" ref="AC9:AC10" si="88">AB9*(1+$C9)</f>
        <v>2050.6433319134021</v>
      </c>
      <c r="AD9" s="103">
        <f t="shared" ref="AD9:AD10" si="89">AC9*(1+$C9)</f>
        <v>2132.6690651899385</v>
      </c>
      <c r="AE9" s="103">
        <f t="shared" ref="AE9:AE10" si="90">AD9*(1+$C9)</f>
        <v>2217.9758277975361</v>
      </c>
      <c r="AF9" s="103">
        <f t="shared" ref="AF9:AF10" si="91">AE9*(1+$C9)</f>
        <v>2306.6948609094375</v>
      </c>
      <c r="AG9" s="103">
        <f t="shared" ref="AG9:AG10" si="92">AF9*(1+$C9)</f>
        <v>2398.9626553458152</v>
      </c>
      <c r="AH9" s="103">
        <f t="shared" ref="AH9:AH10" si="93">AG9*(1+$C9)</f>
        <v>2494.9211615596478</v>
      </c>
      <c r="AI9" s="103">
        <f t="shared" ref="AI9:AI10" si="94">AH9*(1+$C9)</f>
        <v>2594.7180080220337</v>
      </c>
      <c r="AJ9" s="103">
        <f t="shared" ref="AJ9:AJ10" si="95">AI9*(1+$C9)</f>
        <v>2698.5067283429153</v>
      </c>
      <c r="AK9" s="103">
        <f t="shared" ref="AK9:AK10" si="96">AJ9*(1+$C9)</f>
        <v>2806.4469974766321</v>
      </c>
      <c r="AL9" s="103">
        <f t="shared" ref="AL9:AL10" si="97">AK9*(1+$C9)</f>
        <v>2918.7048773756974</v>
      </c>
      <c r="AM9" s="103">
        <f t="shared" ref="AM9:AM10" si="98">AL9*(1+$C9)</f>
        <v>3035.4530724707256</v>
      </c>
      <c r="AN9" s="103">
        <f t="shared" ref="AN9:AN10" si="99">AM9*(1+$C9)</f>
        <v>3156.8711953695547</v>
      </c>
    </row>
    <row r="10" spans="1:40" s="16" customFormat="1" ht="21" customHeight="1" x14ac:dyDescent="0.2">
      <c r="A10" s="13"/>
      <c r="B10" s="5" t="s">
        <v>98</v>
      </c>
      <c r="C10" s="101">
        <v>0.04</v>
      </c>
      <c r="D10" s="14"/>
      <c r="E10" s="102">
        <v>250</v>
      </c>
      <c r="F10" s="103">
        <f t="shared" si="65"/>
        <v>260</v>
      </c>
      <c r="G10" s="103">
        <f t="shared" si="66"/>
        <v>270.40000000000003</v>
      </c>
      <c r="H10" s="103">
        <f t="shared" si="67"/>
        <v>281.21600000000007</v>
      </c>
      <c r="I10" s="103">
        <f t="shared" si="68"/>
        <v>292.46464000000009</v>
      </c>
      <c r="J10" s="103">
        <f t="shared" si="69"/>
        <v>304.16322560000009</v>
      </c>
      <c r="K10" s="103">
        <f t="shared" si="70"/>
        <v>316.32975462400009</v>
      </c>
      <c r="L10" s="103">
        <f t="shared" si="71"/>
        <v>328.9829448089601</v>
      </c>
      <c r="M10" s="103">
        <f t="shared" si="72"/>
        <v>342.14226260131852</v>
      </c>
      <c r="N10" s="103">
        <f t="shared" si="73"/>
        <v>355.82795310537125</v>
      </c>
      <c r="O10" s="103">
        <f t="shared" si="74"/>
        <v>370.0610712295861</v>
      </c>
      <c r="P10" s="103">
        <f t="shared" si="75"/>
        <v>384.86351407876958</v>
      </c>
      <c r="Q10" s="103">
        <f t="shared" si="76"/>
        <v>400.25805464192035</v>
      </c>
      <c r="R10" s="103">
        <f t="shared" si="77"/>
        <v>416.26837682759719</v>
      </c>
      <c r="S10" s="103">
        <f t="shared" si="78"/>
        <v>432.91911190070113</v>
      </c>
      <c r="T10" s="103">
        <f t="shared" si="79"/>
        <v>450.23587637672921</v>
      </c>
      <c r="U10" s="103">
        <f t="shared" si="80"/>
        <v>468.24531143179837</v>
      </c>
      <c r="V10" s="103">
        <f t="shared" si="81"/>
        <v>486.97512388907035</v>
      </c>
      <c r="W10" s="103">
        <f t="shared" si="82"/>
        <v>506.4541288446332</v>
      </c>
      <c r="X10" s="103">
        <f t="shared" si="83"/>
        <v>526.71229399841855</v>
      </c>
      <c r="Y10" s="103">
        <f t="shared" si="84"/>
        <v>547.78078575835525</v>
      </c>
      <c r="Z10" s="103">
        <f t="shared" si="85"/>
        <v>569.69201718868953</v>
      </c>
      <c r="AA10" s="103">
        <f t="shared" si="86"/>
        <v>592.47969787623708</v>
      </c>
      <c r="AB10" s="103">
        <f t="shared" si="87"/>
        <v>616.17888579128658</v>
      </c>
      <c r="AC10" s="103">
        <f t="shared" si="88"/>
        <v>640.8260412229381</v>
      </c>
      <c r="AD10" s="103">
        <f t="shared" si="89"/>
        <v>666.45908287185568</v>
      </c>
      <c r="AE10" s="103">
        <f t="shared" si="90"/>
        <v>693.11744618672992</v>
      </c>
      <c r="AF10" s="103">
        <f t="shared" si="91"/>
        <v>720.84214403419912</v>
      </c>
      <c r="AG10" s="103">
        <f t="shared" si="92"/>
        <v>749.6758297955671</v>
      </c>
      <c r="AH10" s="103">
        <f t="shared" si="93"/>
        <v>779.66286298738976</v>
      </c>
      <c r="AI10" s="103">
        <f t="shared" si="94"/>
        <v>810.84937750688539</v>
      </c>
      <c r="AJ10" s="103">
        <f t="shared" si="95"/>
        <v>843.28335260716085</v>
      </c>
      <c r="AK10" s="103">
        <f t="shared" si="96"/>
        <v>877.01468671144733</v>
      </c>
      <c r="AL10" s="103">
        <f t="shared" si="97"/>
        <v>912.09527417990523</v>
      </c>
      <c r="AM10" s="103">
        <f t="shared" si="98"/>
        <v>948.57908514710152</v>
      </c>
      <c r="AN10" s="103">
        <f t="shared" si="99"/>
        <v>986.52224855298562</v>
      </c>
    </row>
    <row r="11" spans="1:40" s="16" customFormat="1" ht="21" customHeight="1" x14ac:dyDescent="0.2">
      <c r="A11" s="13"/>
      <c r="B11" s="6" t="s">
        <v>146</v>
      </c>
      <c r="C11" s="26"/>
      <c r="D11" s="14"/>
      <c r="E11" s="104">
        <f t="shared" ref="E11:AN11" si="100">SUM(E10, E9 + E8)</f>
        <v>1050</v>
      </c>
      <c r="F11" s="104">
        <f t="shared" ref="F11:AM11" si="101">SUM(F10, F9 + F8)</f>
        <v>1092</v>
      </c>
      <c r="G11" s="104">
        <f t="shared" si="101"/>
        <v>1135.68</v>
      </c>
      <c r="H11" s="104">
        <f t="shared" si="101"/>
        <v>1181.1072000000001</v>
      </c>
      <c r="I11" s="104">
        <f t="shared" si="101"/>
        <v>1228.3514880000002</v>
      </c>
      <c r="J11" s="104">
        <f t="shared" si="101"/>
        <v>1277.4855475200002</v>
      </c>
      <c r="K11" s="104">
        <f t="shared" si="101"/>
        <v>1328.5849694208002</v>
      </c>
      <c r="L11" s="104">
        <f t="shared" si="101"/>
        <v>1381.7283681976323</v>
      </c>
      <c r="M11" s="104">
        <f t="shared" si="101"/>
        <v>1436.9975029255374</v>
      </c>
      <c r="N11" s="104">
        <f t="shared" si="101"/>
        <v>1494.4774030425592</v>
      </c>
      <c r="O11" s="104">
        <f t="shared" si="101"/>
        <v>1554.2564991642616</v>
      </c>
      <c r="P11" s="104">
        <f t="shared" si="101"/>
        <v>1616.4267591308324</v>
      </c>
      <c r="Q11" s="104">
        <f t="shared" si="101"/>
        <v>1681.0838294960656</v>
      </c>
      <c r="R11" s="104">
        <f t="shared" si="101"/>
        <v>1748.3271826759083</v>
      </c>
      <c r="S11" s="104">
        <f t="shared" si="101"/>
        <v>1818.2602699829447</v>
      </c>
      <c r="T11" s="104">
        <f t="shared" si="101"/>
        <v>1890.9906807822626</v>
      </c>
      <c r="U11" s="104">
        <f t="shared" si="101"/>
        <v>1966.6303080135533</v>
      </c>
      <c r="V11" s="104">
        <f t="shared" si="101"/>
        <v>2045.2955203340955</v>
      </c>
      <c r="W11" s="104">
        <f t="shared" si="101"/>
        <v>2127.1073411474595</v>
      </c>
      <c r="X11" s="104">
        <f t="shared" si="101"/>
        <v>2212.1916347933579</v>
      </c>
      <c r="Y11" s="104">
        <f t="shared" si="101"/>
        <v>2300.679300185092</v>
      </c>
      <c r="Z11" s="104">
        <f t="shared" si="101"/>
        <v>2392.7064721924962</v>
      </c>
      <c r="AA11" s="104">
        <f t="shared" si="101"/>
        <v>2488.4147310801959</v>
      </c>
      <c r="AB11" s="104">
        <f t="shared" si="101"/>
        <v>2587.9513203234037</v>
      </c>
      <c r="AC11" s="104">
        <f t="shared" si="101"/>
        <v>2691.4693731363404</v>
      </c>
      <c r="AD11" s="104">
        <f t="shared" si="101"/>
        <v>2799.128148061794</v>
      </c>
      <c r="AE11" s="104">
        <f t="shared" si="101"/>
        <v>2911.093273984266</v>
      </c>
      <c r="AF11" s="104">
        <f t="shared" si="101"/>
        <v>3027.5370049436365</v>
      </c>
      <c r="AG11" s="104">
        <f t="shared" si="101"/>
        <v>3148.6384851413823</v>
      </c>
      <c r="AH11" s="104">
        <f t="shared" si="101"/>
        <v>3274.5840245470376</v>
      </c>
      <c r="AI11" s="104">
        <f t="shared" si="101"/>
        <v>3405.5673855289192</v>
      </c>
      <c r="AJ11" s="104">
        <f t="shared" si="101"/>
        <v>3541.7900809500761</v>
      </c>
      <c r="AK11" s="104">
        <f t="shared" si="101"/>
        <v>3683.4616841880793</v>
      </c>
      <c r="AL11" s="104">
        <f t="shared" si="101"/>
        <v>3830.8001515556025</v>
      </c>
      <c r="AM11" s="104">
        <f t="shared" si="101"/>
        <v>3984.0321576178271</v>
      </c>
      <c r="AN11" s="104">
        <f t="shared" si="100"/>
        <v>4143.3934439225404</v>
      </c>
    </row>
    <row r="12" spans="1:40" s="18" customFormat="1" ht="21" customHeight="1" x14ac:dyDescent="0.2">
      <c r="B12" s="6" t="s">
        <v>43</v>
      </c>
      <c r="C12" s="26"/>
      <c r="D12" s="19"/>
      <c r="E12" s="105">
        <f t="shared" ref="E12:AN12" si="102">E7-E11</f>
        <v>93950</v>
      </c>
      <c r="F12" s="105">
        <f t="shared" ref="F12:AM12" si="103">F7-F11</f>
        <v>96758</v>
      </c>
      <c r="G12" s="105">
        <f t="shared" si="103"/>
        <v>92800.320000000007</v>
      </c>
      <c r="H12" s="105">
        <f t="shared" si="103"/>
        <v>95572.972800000003</v>
      </c>
      <c r="I12" s="105">
        <f t="shared" si="103"/>
        <v>98428.350912000009</v>
      </c>
      <c r="J12" s="105">
        <f t="shared" si="103"/>
        <v>101368.91792448</v>
      </c>
      <c r="K12" s="105">
        <f t="shared" si="103"/>
        <v>104397.2106067392</v>
      </c>
      <c r="L12" s="105">
        <f t="shared" si="103"/>
        <v>100115.03538491597</v>
      </c>
      <c r="M12" s="105">
        <f t="shared" si="103"/>
        <v>103104.66916278147</v>
      </c>
      <c r="N12" s="105">
        <f t="shared" si="103"/>
        <v>106183.43926263567</v>
      </c>
      <c r="O12" s="105">
        <f t="shared" si="103"/>
        <v>109353.99766648433</v>
      </c>
      <c r="P12" s="105">
        <f t="shared" si="103"/>
        <v>104855.4972398918</v>
      </c>
      <c r="Q12" s="105">
        <f t="shared" si="103"/>
        <v>107984.99788949724</v>
      </c>
      <c r="R12" s="105">
        <f t="shared" si="103"/>
        <v>111207.73698788721</v>
      </c>
      <c r="S12" s="105">
        <f t="shared" si="103"/>
        <v>114526.48582569706</v>
      </c>
      <c r="T12" s="105">
        <f t="shared" si="103"/>
        <v>109799.96557107053</v>
      </c>
      <c r="U12" s="105">
        <f t="shared" si="103"/>
        <v>113075.05463139483</v>
      </c>
      <c r="V12" s="105">
        <f t="shared" si="103"/>
        <v>116447.63996725655</v>
      </c>
      <c r="W12" s="105">
        <f t="shared" si="103"/>
        <v>119920.6162110709</v>
      </c>
      <c r="X12" s="105">
        <f t="shared" si="103"/>
        <v>123496.96362399156</v>
      </c>
      <c r="Y12" s="105">
        <f t="shared" si="103"/>
        <v>127179.75061636338</v>
      </c>
      <c r="Z12" s="105">
        <f t="shared" si="103"/>
        <v>130972.13634185244</v>
      </c>
      <c r="AA12" s="105">
        <f t="shared" si="103"/>
        <v>134877.37336738608</v>
      </c>
      <c r="AB12" s="105">
        <f t="shared" si="103"/>
        <v>129283.20525420424</v>
      </c>
      <c r="AC12" s="105">
        <f t="shared" si="103"/>
        <v>133135.82189862712</v>
      </c>
      <c r="AD12" s="105">
        <f t="shared" si="103"/>
        <v>137102.98186185458</v>
      </c>
      <c r="AE12" s="105">
        <f t="shared" si="103"/>
        <v>141188.08003622963</v>
      </c>
      <c r="AF12" s="105">
        <f t="shared" si="103"/>
        <v>135307.66937286168</v>
      </c>
      <c r="AG12" s="105">
        <f t="shared" si="103"/>
        <v>139336.62408399809</v>
      </c>
      <c r="AH12" s="105">
        <f t="shared" si="103"/>
        <v>143485.23642166663</v>
      </c>
      <c r="AI12" s="105">
        <f t="shared" si="103"/>
        <v>137483.86024283621</v>
      </c>
      <c r="AJ12" s="105">
        <f t="shared" si="103"/>
        <v>141574.320376266</v>
      </c>
      <c r="AK12" s="105">
        <f t="shared" si="103"/>
        <v>145786.13208674447</v>
      </c>
      <c r="AL12" s="105">
        <f t="shared" si="103"/>
        <v>150122.88143250495</v>
      </c>
      <c r="AM12" s="105">
        <f t="shared" si="103"/>
        <v>143811.50216308029</v>
      </c>
      <c r="AN12" s="105">
        <f t="shared" si="102"/>
        <v>148086.00690639653</v>
      </c>
    </row>
    <row r="13" spans="1:40" s="16" customFormat="1" ht="21" customHeight="1" x14ac:dyDescent="0.2">
      <c r="A13" s="13"/>
      <c r="B13" s="6" t="s">
        <v>23</v>
      </c>
      <c r="C13" s="26"/>
      <c r="D13" s="14"/>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row>
    <row r="14" spans="1:40" s="16" customFormat="1" ht="21" customHeight="1" x14ac:dyDescent="0.2">
      <c r="B14" s="5" t="s">
        <v>49</v>
      </c>
      <c r="C14" s="101">
        <v>0.04</v>
      </c>
      <c r="D14" s="14"/>
      <c r="E14" s="102">
        <v>0</v>
      </c>
      <c r="F14" s="102">
        <v>0</v>
      </c>
      <c r="G14" s="102">
        <v>0</v>
      </c>
      <c r="H14" s="102">
        <v>0</v>
      </c>
      <c r="I14" s="102">
        <v>0</v>
      </c>
      <c r="J14" s="102">
        <v>0</v>
      </c>
      <c r="K14" s="102">
        <v>0</v>
      </c>
      <c r="L14" s="102">
        <v>0</v>
      </c>
      <c r="M14" s="102">
        <v>0</v>
      </c>
      <c r="N14" s="102">
        <v>0</v>
      </c>
      <c r="O14" s="102">
        <v>0</v>
      </c>
      <c r="P14" s="102">
        <v>0</v>
      </c>
      <c r="Q14" s="102">
        <v>0</v>
      </c>
      <c r="R14" s="102">
        <v>0</v>
      </c>
      <c r="S14" s="102">
        <v>0</v>
      </c>
      <c r="T14" s="102">
        <v>0</v>
      </c>
      <c r="U14" s="102">
        <v>0</v>
      </c>
      <c r="V14" s="102">
        <v>0</v>
      </c>
      <c r="W14" s="102">
        <v>0</v>
      </c>
      <c r="X14" s="102">
        <v>0</v>
      </c>
      <c r="Y14" s="102">
        <v>0</v>
      </c>
      <c r="Z14" s="102">
        <v>0</v>
      </c>
      <c r="AA14" s="102">
        <v>0</v>
      </c>
      <c r="AB14" s="102">
        <v>0</v>
      </c>
      <c r="AC14" s="102">
        <v>0</v>
      </c>
      <c r="AD14" s="102">
        <v>0</v>
      </c>
      <c r="AE14" s="102">
        <v>0</v>
      </c>
      <c r="AF14" s="102">
        <v>0</v>
      </c>
      <c r="AG14" s="102">
        <v>0</v>
      </c>
      <c r="AH14" s="102">
        <v>0</v>
      </c>
      <c r="AI14" s="102">
        <v>0</v>
      </c>
      <c r="AJ14" s="102">
        <v>0</v>
      </c>
      <c r="AK14" s="102">
        <v>0</v>
      </c>
      <c r="AL14" s="102">
        <v>0</v>
      </c>
      <c r="AM14" s="102">
        <v>0</v>
      </c>
      <c r="AN14" s="102">
        <v>0</v>
      </c>
    </row>
    <row r="15" spans="1:40" s="16" customFormat="1" ht="21" customHeight="1" x14ac:dyDescent="0.2">
      <c r="B15" s="5" t="s">
        <v>106</v>
      </c>
      <c r="C15" s="101">
        <v>0.04</v>
      </c>
      <c r="D15" s="14"/>
      <c r="E15" s="102">
        <v>350</v>
      </c>
      <c r="F15" s="103">
        <f t="shared" ref="F15:F22" si="104">E15*(1+$C15)</f>
        <v>364</v>
      </c>
      <c r="G15" s="103">
        <f t="shared" ref="G15:G22" si="105">F15*(1+$C15)</f>
        <v>378.56</v>
      </c>
      <c r="H15" s="103">
        <f t="shared" ref="H15:H22" si="106">G15*(1+$C15)</f>
        <v>393.70240000000001</v>
      </c>
      <c r="I15" s="103">
        <f t="shared" ref="I15:I22" si="107">H15*(1+$C15)</f>
        <v>409.45049600000004</v>
      </c>
      <c r="J15" s="103">
        <f t="shared" ref="J15:J22" si="108">I15*(1+$C15)</f>
        <v>425.82851584000008</v>
      </c>
      <c r="K15" s="103">
        <f t="shared" ref="K15:K22" si="109">J15*(1+$C15)</f>
        <v>442.86165647360008</v>
      </c>
      <c r="L15" s="103">
        <f t="shared" ref="L15:L22" si="110">K15*(1+$C15)</f>
        <v>460.57612273254409</v>
      </c>
      <c r="M15" s="103">
        <f t="shared" ref="M15:M22" si="111">L15*(1+$C15)</f>
        <v>478.99916764184587</v>
      </c>
      <c r="N15" s="103">
        <f t="shared" ref="N15:N22" si="112">M15*(1+$C15)</f>
        <v>498.15913434751974</v>
      </c>
      <c r="O15" s="103">
        <f t="shared" ref="O15:O22" si="113">N15*(1+$C15)</f>
        <v>518.08549972142055</v>
      </c>
      <c r="P15" s="103">
        <f t="shared" ref="P15:P22" si="114">O15*(1+$C15)</f>
        <v>538.80891971027734</v>
      </c>
      <c r="Q15" s="103">
        <f t="shared" ref="Q15:Q22" si="115">P15*(1+$C15)</f>
        <v>560.36127649868843</v>
      </c>
      <c r="R15" s="103">
        <f t="shared" ref="R15:R22" si="116">Q15*(1+$C15)</f>
        <v>582.77572755863594</v>
      </c>
      <c r="S15" s="103">
        <f t="shared" ref="S15:S22" si="117">R15*(1+$C15)</f>
        <v>606.08675666098145</v>
      </c>
      <c r="T15" s="103">
        <f t="shared" ref="T15:T22" si="118">S15*(1+$C15)</f>
        <v>630.33022692742077</v>
      </c>
      <c r="U15" s="103">
        <f t="shared" ref="U15:U22" si="119">T15*(1+$C15)</f>
        <v>655.54343600451762</v>
      </c>
      <c r="V15" s="103">
        <f t="shared" ref="V15:V22" si="120">U15*(1+$C15)</f>
        <v>681.76517344469835</v>
      </c>
      <c r="W15" s="103">
        <f t="shared" ref="W15:W22" si="121">V15*(1+$C15)</f>
        <v>709.03578038248634</v>
      </c>
      <c r="X15" s="103">
        <f t="shared" ref="X15:X22" si="122">W15*(1+$C15)</f>
        <v>737.39721159778583</v>
      </c>
      <c r="Y15" s="103">
        <f t="shared" ref="Y15:Y22" si="123">X15*(1+$C15)</f>
        <v>766.89310006169728</v>
      </c>
      <c r="Z15" s="103">
        <f t="shared" ref="Z15:Z22" si="124">Y15*(1+$C15)</f>
        <v>797.56882406416526</v>
      </c>
      <c r="AA15" s="103">
        <f t="shared" ref="AA15:AA22" si="125">Z15*(1+$C15)</f>
        <v>829.47157702673189</v>
      </c>
      <c r="AB15" s="103">
        <f t="shared" ref="AB15:AB22" si="126">AA15*(1+$C15)</f>
        <v>862.65044010780116</v>
      </c>
      <c r="AC15" s="103">
        <f t="shared" ref="AC15:AC22" si="127">AB15*(1+$C15)</f>
        <v>897.15645771211325</v>
      </c>
      <c r="AD15" s="103">
        <f t="shared" ref="AD15:AD22" si="128">AC15*(1+$C15)</f>
        <v>933.04271602059782</v>
      </c>
      <c r="AE15" s="103">
        <f t="shared" ref="AE15:AE22" si="129">AD15*(1+$C15)</f>
        <v>970.36442466142182</v>
      </c>
      <c r="AF15" s="103">
        <f t="shared" ref="AF15:AF22" si="130">AE15*(1+$C15)</f>
        <v>1009.1790016478787</v>
      </c>
      <c r="AG15" s="103">
        <f t="shared" ref="AG15:AG22" si="131">AF15*(1+$C15)</f>
        <v>1049.5461617137939</v>
      </c>
      <c r="AH15" s="103">
        <f t="shared" ref="AH15:AH22" si="132">AG15*(1+$C15)</f>
        <v>1091.5280081823457</v>
      </c>
      <c r="AI15" s="103">
        <f t="shared" ref="AI15:AI22" si="133">AH15*(1+$C15)</f>
        <v>1135.1891285096397</v>
      </c>
      <c r="AJ15" s="103">
        <f t="shared" ref="AJ15:AJ22" si="134">AI15*(1+$C15)</f>
        <v>1180.5966936500254</v>
      </c>
      <c r="AK15" s="103">
        <f t="shared" ref="AK15:AK22" si="135">AJ15*(1+$C15)</f>
        <v>1227.8205613960265</v>
      </c>
      <c r="AL15" s="103">
        <f t="shared" ref="AL15:AL22" si="136">AK15*(1+$C15)</f>
        <v>1276.9333838518676</v>
      </c>
      <c r="AM15" s="103">
        <f t="shared" ref="AM15:AM22" si="137">AL15*(1+$C15)</f>
        <v>1328.0107192059422</v>
      </c>
      <c r="AN15" s="103">
        <f t="shared" ref="AN15:AN22" si="138">AM15*(1+$C15)</f>
        <v>1381.1311479741801</v>
      </c>
    </row>
    <row r="16" spans="1:40" s="16" customFormat="1" ht="21" customHeight="1" x14ac:dyDescent="0.2">
      <c r="B16" s="5" t="s">
        <v>51</v>
      </c>
      <c r="C16" s="101">
        <v>0.05</v>
      </c>
      <c r="D16" s="14"/>
      <c r="E16" s="102">
        <v>8000</v>
      </c>
      <c r="F16" s="103">
        <f t="shared" si="104"/>
        <v>8400</v>
      </c>
      <c r="G16" s="103">
        <f>F16*(0.95)</f>
        <v>7980</v>
      </c>
      <c r="H16" s="103">
        <f t="shared" si="106"/>
        <v>8379</v>
      </c>
      <c r="I16" s="103">
        <f t="shared" si="107"/>
        <v>8797.9500000000007</v>
      </c>
      <c r="J16" s="103">
        <f t="shared" si="108"/>
        <v>9237.8475000000017</v>
      </c>
      <c r="K16" s="103">
        <f t="shared" ref="K16:L16" si="139">J16*(0.95)</f>
        <v>8775.9551250000004</v>
      </c>
      <c r="L16" s="103">
        <f t="shared" si="139"/>
        <v>8337.1573687500004</v>
      </c>
      <c r="M16" s="103">
        <f t="shared" si="111"/>
        <v>8754.015237187501</v>
      </c>
      <c r="N16" s="103">
        <f t="shared" si="112"/>
        <v>9191.7159990468772</v>
      </c>
      <c r="O16" s="103">
        <f t="shared" ref="O16:P16" si="140">N16*(0.95)</f>
        <v>8732.1301990945321</v>
      </c>
      <c r="P16" s="103">
        <f t="shared" si="140"/>
        <v>8295.5236891398054</v>
      </c>
      <c r="Q16" s="103">
        <f t="shared" si="115"/>
        <v>8710.2998735967958</v>
      </c>
      <c r="R16" s="103">
        <f t="shared" si="116"/>
        <v>9145.8148672766365</v>
      </c>
      <c r="S16" s="103">
        <f t="shared" ref="S16:T16" si="141">R16*(0.95)</f>
        <v>8688.5241239128045</v>
      </c>
      <c r="T16" s="103">
        <f t="shared" si="141"/>
        <v>8254.097917717163</v>
      </c>
      <c r="U16" s="103">
        <f t="shared" si="119"/>
        <v>8666.8028136030207</v>
      </c>
      <c r="V16" s="103">
        <f t="shared" ref="V16:W16" si="142">U16*(0.95)</f>
        <v>8233.4626729228694</v>
      </c>
      <c r="W16" s="103">
        <f t="shared" si="142"/>
        <v>7821.7895392767259</v>
      </c>
      <c r="X16" s="103">
        <f t="shared" si="122"/>
        <v>8212.8790162405621</v>
      </c>
      <c r="Y16" s="103">
        <f t="shared" ref="Y16:Z16" si="143">X16*(0.95)</f>
        <v>7802.2350654285337</v>
      </c>
      <c r="Z16" s="103">
        <f t="shared" si="143"/>
        <v>7412.1233121571067</v>
      </c>
      <c r="AA16" s="103">
        <f t="shared" si="125"/>
        <v>7782.7294777649622</v>
      </c>
      <c r="AB16" s="103">
        <f t="shared" ref="AB16:AC16" si="144">AA16*(0.95)</f>
        <v>7393.5930038767137</v>
      </c>
      <c r="AC16" s="103">
        <f t="shared" si="144"/>
        <v>7023.9133536828776</v>
      </c>
      <c r="AD16" s="103">
        <f t="shared" si="128"/>
        <v>7375.1090213670223</v>
      </c>
      <c r="AE16" s="103">
        <f t="shared" ref="AE16:AF16" si="145">AD16*(0.95)</f>
        <v>7006.353570298671</v>
      </c>
      <c r="AF16" s="103">
        <f t="shared" si="145"/>
        <v>6656.0358917837375</v>
      </c>
      <c r="AG16" s="103">
        <f t="shared" si="131"/>
        <v>6988.8376863729245</v>
      </c>
      <c r="AH16" s="103">
        <f t="shared" si="132"/>
        <v>7338.2795706915713</v>
      </c>
      <c r="AI16" s="103">
        <f t="shared" si="133"/>
        <v>7705.19354922615</v>
      </c>
      <c r="AJ16" s="103">
        <f>AI16*(0.95)</f>
        <v>7319.9338717648425</v>
      </c>
      <c r="AK16" s="103">
        <f t="shared" si="135"/>
        <v>7685.9305653530846</v>
      </c>
      <c r="AL16" s="103">
        <f t="shared" si="136"/>
        <v>8070.2270936207387</v>
      </c>
      <c r="AM16" s="103">
        <f t="shared" si="137"/>
        <v>8473.7384483017759</v>
      </c>
      <c r="AN16" s="103">
        <f>AM16*(0.95)</f>
        <v>8050.0515258866862</v>
      </c>
    </row>
    <row r="17" spans="2:40" s="16" customFormat="1" ht="21" customHeight="1" x14ac:dyDescent="0.2">
      <c r="B17" s="5" t="s">
        <v>110</v>
      </c>
      <c r="C17" s="101">
        <v>0.04</v>
      </c>
      <c r="D17" s="14"/>
      <c r="E17" s="102">
        <v>6000</v>
      </c>
      <c r="F17" s="103">
        <f>E17*(0.9)</f>
        <v>5400</v>
      </c>
      <c r="G17" s="103">
        <f t="shared" si="105"/>
        <v>5616</v>
      </c>
      <c r="H17" s="103">
        <f t="shared" si="106"/>
        <v>5840.64</v>
      </c>
      <c r="I17" s="103">
        <f t="shared" si="107"/>
        <v>6074.2656000000006</v>
      </c>
      <c r="J17" s="103">
        <f t="shared" si="108"/>
        <v>6317.2362240000011</v>
      </c>
      <c r="K17" s="103">
        <f t="shared" si="109"/>
        <v>6569.9256729600011</v>
      </c>
      <c r="L17" s="103">
        <f>K17*(0.9)</f>
        <v>5912.9331056640012</v>
      </c>
      <c r="M17" s="103">
        <f t="shared" si="111"/>
        <v>6149.4504298905613</v>
      </c>
      <c r="N17" s="103">
        <f t="shared" si="112"/>
        <v>6395.428447086184</v>
      </c>
      <c r="O17" s="103">
        <f t="shared" si="113"/>
        <v>6651.2455849696316</v>
      </c>
      <c r="P17" s="103">
        <f t="shared" si="114"/>
        <v>6917.2954083684172</v>
      </c>
      <c r="Q17" s="103">
        <f t="shared" si="115"/>
        <v>7193.9872247031544</v>
      </c>
      <c r="R17" s="103">
        <f>Q17*(0.9)</f>
        <v>6474.5885022328393</v>
      </c>
      <c r="S17" s="103">
        <f t="shared" si="117"/>
        <v>6733.5720423221528</v>
      </c>
      <c r="T17" s="103">
        <f t="shared" si="118"/>
        <v>7002.9149240150391</v>
      </c>
      <c r="U17" s="103">
        <f t="shared" si="119"/>
        <v>7283.0315209756409</v>
      </c>
      <c r="V17" s="103">
        <f t="shared" si="120"/>
        <v>7574.3527818146667</v>
      </c>
      <c r="W17" s="103">
        <f t="shared" si="121"/>
        <v>7877.3268930872537</v>
      </c>
      <c r="X17" s="103">
        <f>W17*(0.9)</f>
        <v>7089.594203778528</v>
      </c>
      <c r="Y17" s="103">
        <f t="shared" si="123"/>
        <v>7373.1779719296692</v>
      </c>
      <c r="Z17" s="103">
        <f t="shared" si="124"/>
        <v>7668.1050908068564</v>
      </c>
      <c r="AA17" s="103">
        <f t="shared" si="125"/>
        <v>7974.8292944391305</v>
      </c>
      <c r="AB17" s="103">
        <f t="shared" si="126"/>
        <v>8293.8224662166958</v>
      </c>
      <c r="AC17" s="103">
        <f>AB17*(0.9)</f>
        <v>7464.4402195950261</v>
      </c>
      <c r="AD17" s="103">
        <f t="shared" si="128"/>
        <v>7763.0178283788273</v>
      </c>
      <c r="AE17" s="103">
        <f t="shared" si="129"/>
        <v>8073.5385415139808</v>
      </c>
      <c r="AF17" s="103">
        <f>AE17*(0.9)</f>
        <v>7266.1846873625827</v>
      </c>
      <c r="AG17" s="103">
        <f t="shared" si="131"/>
        <v>7556.8320748570859</v>
      </c>
      <c r="AH17" s="103">
        <f t="shared" si="132"/>
        <v>7859.1053578513693</v>
      </c>
      <c r="AI17" s="103">
        <f>AH17*(0.9)</f>
        <v>7073.1948220662325</v>
      </c>
      <c r="AJ17" s="103">
        <f t="shared" si="134"/>
        <v>7356.1226149488821</v>
      </c>
      <c r="AK17" s="103">
        <f t="shared" si="135"/>
        <v>7650.3675195468377</v>
      </c>
      <c r="AL17" s="103">
        <f t="shared" si="136"/>
        <v>7956.3822203287118</v>
      </c>
      <c r="AM17" s="103">
        <f t="shared" si="137"/>
        <v>8274.6375091418613</v>
      </c>
      <c r="AN17" s="103">
        <f t="shared" si="138"/>
        <v>8605.6230095075352</v>
      </c>
    </row>
    <row r="18" spans="2:40" s="16" customFormat="1" ht="21" customHeight="1" x14ac:dyDescent="0.2">
      <c r="B18" s="5" t="s">
        <v>112</v>
      </c>
      <c r="C18" s="101">
        <v>0.04</v>
      </c>
      <c r="D18" s="14"/>
      <c r="E18" s="102">
        <v>250</v>
      </c>
      <c r="F18" s="103">
        <f t="shared" si="104"/>
        <v>260</v>
      </c>
      <c r="G18" s="103">
        <f t="shared" si="105"/>
        <v>270.40000000000003</v>
      </c>
      <c r="H18" s="103">
        <f t="shared" si="106"/>
        <v>281.21600000000007</v>
      </c>
      <c r="I18" s="103">
        <f t="shared" si="107"/>
        <v>292.46464000000009</v>
      </c>
      <c r="J18" s="103">
        <f t="shared" si="108"/>
        <v>304.16322560000009</v>
      </c>
      <c r="K18" s="103">
        <f t="shared" si="109"/>
        <v>316.32975462400009</v>
      </c>
      <c r="L18" s="103">
        <f t="shared" si="110"/>
        <v>328.9829448089601</v>
      </c>
      <c r="M18" s="103">
        <f t="shared" si="111"/>
        <v>342.14226260131852</v>
      </c>
      <c r="N18" s="103">
        <f t="shared" si="112"/>
        <v>355.82795310537125</v>
      </c>
      <c r="O18" s="103">
        <f t="shared" si="113"/>
        <v>370.0610712295861</v>
      </c>
      <c r="P18" s="103">
        <f t="shared" si="114"/>
        <v>384.86351407876958</v>
      </c>
      <c r="Q18" s="103">
        <f t="shared" si="115"/>
        <v>400.25805464192035</v>
      </c>
      <c r="R18" s="103">
        <f t="shared" si="116"/>
        <v>416.26837682759719</v>
      </c>
      <c r="S18" s="103">
        <f t="shared" si="117"/>
        <v>432.91911190070113</v>
      </c>
      <c r="T18" s="103">
        <f t="shared" si="118"/>
        <v>450.23587637672921</v>
      </c>
      <c r="U18" s="103">
        <f t="shared" si="119"/>
        <v>468.24531143179837</v>
      </c>
      <c r="V18" s="103">
        <f t="shared" si="120"/>
        <v>486.97512388907035</v>
      </c>
      <c r="W18" s="103">
        <f t="shared" si="121"/>
        <v>506.4541288446332</v>
      </c>
      <c r="X18" s="103">
        <f t="shared" si="122"/>
        <v>526.71229399841855</v>
      </c>
      <c r="Y18" s="103">
        <f t="shared" si="123"/>
        <v>547.78078575835525</v>
      </c>
      <c r="Z18" s="103">
        <f t="shared" si="124"/>
        <v>569.69201718868953</v>
      </c>
      <c r="AA18" s="103">
        <f t="shared" si="125"/>
        <v>592.47969787623708</v>
      </c>
      <c r="AB18" s="103">
        <f t="shared" si="126"/>
        <v>616.17888579128658</v>
      </c>
      <c r="AC18" s="103">
        <f t="shared" si="127"/>
        <v>640.8260412229381</v>
      </c>
      <c r="AD18" s="103">
        <f t="shared" si="128"/>
        <v>666.45908287185568</v>
      </c>
      <c r="AE18" s="103">
        <f t="shared" si="129"/>
        <v>693.11744618672992</v>
      </c>
      <c r="AF18" s="103">
        <f t="shared" si="130"/>
        <v>720.84214403419912</v>
      </c>
      <c r="AG18" s="103">
        <f t="shared" si="131"/>
        <v>749.6758297955671</v>
      </c>
      <c r="AH18" s="103">
        <f t="shared" si="132"/>
        <v>779.66286298738976</v>
      </c>
      <c r="AI18" s="103">
        <f t="shared" si="133"/>
        <v>810.84937750688539</v>
      </c>
      <c r="AJ18" s="103">
        <f t="shared" si="134"/>
        <v>843.28335260716085</v>
      </c>
      <c r="AK18" s="103">
        <f t="shared" si="135"/>
        <v>877.01468671144733</v>
      </c>
      <c r="AL18" s="103">
        <f t="shared" si="136"/>
        <v>912.09527417990523</v>
      </c>
      <c r="AM18" s="103">
        <f t="shared" si="137"/>
        <v>948.57908514710152</v>
      </c>
      <c r="AN18" s="103">
        <f t="shared" si="138"/>
        <v>986.52224855298562</v>
      </c>
    </row>
    <row r="19" spans="2:40" s="18" customFormat="1" ht="21" customHeight="1" x14ac:dyDescent="0.2">
      <c r="B19" s="7" t="s">
        <v>114</v>
      </c>
      <c r="C19" s="101">
        <v>0.04</v>
      </c>
      <c r="D19" s="19"/>
      <c r="E19" s="102">
        <v>0</v>
      </c>
      <c r="F19" s="103">
        <f t="shared" si="104"/>
        <v>0</v>
      </c>
      <c r="G19" s="103">
        <f t="shared" si="105"/>
        <v>0</v>
      </c>
      <c r="H19" s="103">
        <f t="shared" si="106"/>
        <v>0</v>
      </c>
      <c r="I19" s="103">
        <f t="shared" si="107"/>
        <v>0</v>
      </c>
      <c r="J19" s="103">
        <f t="shared" si="108"/>
        <v>0</v>
      </c>
      <c r="K19" s="103">
        <f t="shared" si="109"/>
        <v>0</v>
      </c>
      <c r="L19" s="103">
        <f t="shared" si="110"/>
        <v>0</v>
      </c>
      <c r="M19" s="103">
        <f t="shared" si="111"/>
        <v>0</v>
      </c>
      <c r="N19" s="103">
        <f t="shared" si="112"/>
        <v>0</v>
      </c>
      <c r="O19" s="103">
        <f t="shared" si="113"/>
        <v>0</v>
      </c>
      <c r="P19" s="103">
        <f t="shared" si="114"/>
        <v>0</v>
      </c>
      <c r="Q19" s="103">
        <f t="shared" si="115"/>
        <v>0</v>
      </c>
      <c r="R19" s="103">
        <f t="shared" si="116"/>
        <v>0</v>
      </c>
      <c r="S19" s="103">
        <f t="shared" si="117"/>
        <v>0</v>
      </c>
      <c r="T19" s="103">
        <f t="shared" si="118"/>
        <v>0</v>
      </c>
      <c r="U19" s="103">
        <f t="shared" si="119"/>
        <v>0</v>
      </c>
      <c r="V19" s="103">
        <f t="shared" si="120"/>
        <v>0</v>
      </c>
      <c r="W19" s="103">
        <f t="shared" si="121"/>
        <v>0</v>
      </c>
      <c r="X19" s="103">
        <f t="shared" si="122"/>
        <v>0</v>
      </c>
      <c r="Y19" s="103">
        <f t="shared" si="123"/>
        <v>0</v>
      </c>
      <c r="Z19" s="103">
        <f t="shared" si="124"/>
        <v>0</v>
      </c>
      <c r="AA19" s="103">
        <f t="shared" si="125"/>
        <v>0</v>
      </c>
      <c r="AB19" s="103">
        <f t="shared" si="126"/>
        <v>0</v>
      </c>
      <c r="AC19" s="103">
        <f t="shared" si="127"/>
        <v>0</v>
      </c>
      <c r="AD19" s="103">
        <f t="shared" si="128"/>
        <v>0</v>
      </c>
      <c r="AE19" s="103">
        <f t="shared" si="129"/>
        <v>0</v>
      </c>
      <c r="AF19" s="103">
        <f t="shared" si="130"/>
        <v>0</v>
      </c>
      <c r="AG19" s="103">
        <f t="shared" si="131"/>
        <v>0</v>
      </c>
      <c r="AH19" s="103">
        <f t="shared" si="132"/>
        <v>0</v>
      </c>
      <c r="AI19" s="103">
        <f t="shared" si="133"/>
        <v>0</v>
      </c>
      <c r="AJ19" s="103">
        <f t="shared" si="134"/>
        <v>0</v>
      </c>
      <c r="AK19" s="103">
        <f t="shared" si="135"/>
        <v>0</v>
      </c>
      <c r="AL19" s="103">
        <f t="shared" si="136"/>
        <v>0</v>
      </c>
      <c r="AM19" s="103">
        <f t="shared" si="137"/>
        <v>0</v>
      </c>
      <c r="AN19" s="103">
        <f t="shared" si="138"/>
        <v>0</v>
      </c>
    </row>
    <row r="20" spans="2:40" s="16" customFormat="1" ht="21" customHeight="1" x14ac:dyDescent="0.2">
      <c r="B20" s="8" t="s">
        <v>116</v>
      </c>
      <c r="C20" s="101">
        <v>0.02</v>
      </c>
      <c r="D20" s="14"/>
      <c r="E20" s="102">
        <v>800</v>
      </c>
      <c r="F20" s="103">
        <f t="shared" si="104"/>
        <v>816</v>
      </c>
      <c r="G20" s="103">
        <f t="shared" si="105"/>
        <v>832.32</v>
      </c>
      <c r="H20" s="103">
        <f t="shared" si="106"/>
        <v>848.96640000000002</v>
      </c>
      <c r="I20" s="103">
        <f t="shared" si="107"/>
        <v>865.94572800000003</v>
      </c>
      <c r="J20" s="103">
        <f t="shared" si="108"/>
        <v>883.26464256000008</v>
      </c>
      <c r="K20" s="103">
        <f t="shared" si="109"/>
        <v>900.92993541120006</v>
      </c>
      <c r="L20" s="103">
        <f t="shared" si="110"/>
        <v>918.94853411942404</v>
      </c>
      <c r="M20" s="103">
        <f t="shared" si="111"/>
        <v>937.32750480181255</v>
      </c>
      <c r="N20" s="103">
        <f t="shared" si="112"/>
        <v>956.07405489784878</v>
      </c>
      <c r="O20" s="103">
        <f t="shared" si="113"/>
        <v>975.19553599580581</v>
      </c>
      <c r="P20" s="103">
        <f t="shared" si="114"/>
        <v>994.69944671572193</v>
      </c>
      <c r="Q20" s="103">
        <f t="shared" si="115"/>
        <v>1014.5934356500364</v>
      </c>
      <c r="R20" s="103">
        <f t="shared" si="116"/>
        <v>1034.8853043630372</v>
      </c>
      <c r="S20" s="103">
        <f t="shared" si="117"/>
        <v>1055.5830104502979</v>
      </c>
      <c r="T20" s="103">
        <f t="shared" si="118"/>
        <v>1076.6946706593039</v>
      </c>
      <c r="U20" s="103">
        <f t="shared" si="119"/>
        <v>1098.2285640724901</v>
      </c>
      <c r="V20" s="103">
        <f t="shared" si="120"/>
        <v>1120.1931353539401</v>
      </c>
      <c r="W20" s="103">
        <f t="shared" si="121"/>
        <v>1142.5969980610189</v>
      </c>
      <c r="X20" s="103">
        <f t="shared" si="122"/>
        <v>1165.4489380222392</v>
      </c>
      <c r="Y20" s="103">
        <f t="shared" si="123"/>
        <v>1188.7579167826841</v>
      </c>
      <c r="Z20" s="103">
        <f t="shared" si="124"/>
        <v>1212.5330751183378</v>
      </c>
      <c r="AA20" s="103">
        <f t="shared" si="125"/>
        <v>1236.7837366207045</v>
      </c>
      <c r="AB20" s="103">
        <f t="shared" si="126"/>
        <v>1261.5194113531186</v>
      </c>
      <c r="AC20" s="103">
        <f t="shared" si="127"/>
        <v>1286.7497995801809</v>
      </c>
      <c r="AD20" s="103">
        <f t="shared" si="128"/>
        <v>1312.4847955717846</v>
      </c>
      <c r="AE20" s="103">
        <f t="shared" si="129"/>
        <v>1338.7344914832204</v>
      </c>
      <c r="AF20" s="103">
        <f t="shared" si="130"/>
        <v>1365.5091813128847</v>
      </c>
      <c r="AG20" s="103">
        <f t="shared" si="131"/>
        <v>1392.8193649391424</v>
      </c>
      <c r="AH20" s="103">
        <f t="shared" si="132"/>
        <v>1420.6757522379253</v>
      </c>
      <c r="AI20" s="103">
        <f t="shared" si="133"/>
        <v>1449.0892672826837</v>
      </c>
      <c r="AJ20" s="103">
        <f t="shared" si="134"/>
        <v>1478.0710526283374</v>
      </c>
      <c r="AK20" s="103">
        <f t="shared" si="135"/>
        <v>1507.6324736809042</v>
      </c>
      <c r="AL20" s="103">
        <f t="shared" si="136"/>
        <v>1537.7851231545224</v>
      </c>
      <c r="AM20" s="103">
        <f t="shared" si="137"/>
        <v>1568.5408256176129</v>
      </c>
      <c r="AN20" s="103">
        <f t="shared" si="138"/>
        <v>1599.9116421299652</v>
      </c>
    </row>
    <row r="21" spans="2:40" s="16" customFormat="1" ht="21" customHeight="1" x14ac:dyDescent="0.2">
      <c r="B21" s="8" t="s">
        <v>118</v>
      </c>
      <c r="C21" s="101">
        <v>0.04</v>
      </c>
      <c r="D21" s="14"/>
      <c r="E21" s="102">
        <v>3500</v>
      </c>
      <c r="F21" s="103">
        <f>E21*(0.7)</f>
        <v>2450</v>
      </c>
      <c r="G21" s="103">
        <f t="shared" si="105"/>
        <v>2548</v>
      </c>
      <c r="H21" s="103">
        <f t="shared" si="106"/>
        <v>2649.92</v>
      </c>
      <c r="I21" s="103">
        <f t="shared" si="107"/>
        <v>2755.9168</v>
      </c>
      <c r="J21" s="103">
        <f t="shared" si="108"/>
        <v>2866.153472</v>
      </c>
      <c r="K21" s="103">
        <f>J21*(0.7)</f>
        <v>2006.3074303999999</v>
      </c>
      <c r="L21" s="103">
        <f t="shared" si="110"/>
        <v>2086.5597276160001</v>
      </c>
      <c r="M21" s="103">
        <f t="shared" si="111"/>
        <v>2170.02211672064</v>
      </c>
      <c r="N21" s="103">
        <f t="shared" si="112"/>
        <v>2256.8230013894658</v>
      </c>
      <c r="O21" s="103">
        <f t="shared" si="113"/>
        <v>2347.0959214450445</v>
      </c>
      <c r="P21" s="103">
        <f t="shared" si="114"/>
        <v>2440.9797583028462</v>
      </c>
      <c r="Q21" s="103">
        <f t="shared" si="115"/>
        <v>2538.6189486349604</v>
      </c>
      <c r="R21" s="103">
        <f t="shared" ref="R21:S21" si="146">Q21*(0.7)</f>
        <v>1777.0332640444722</v>
      </c>
      <c r="S21" s="103">
        <f t="shared" si="146"/>
        <v>1243.9232848311303</v>
      </c>
      <c r="T21" s="103">
        <f t="shared" si="118"/>
        <v>1293.6802162243755</v>
      </c>
      <c r="U21" s="103">
        <f t="shared" si="119"/>
        <v>1345.4274248733507</v>
      </c>
      <c r="V21" s="103">
        <f t="shared" si="120"/>
        <v>1399.2445218682847</v>
      </c>
      <c r="W21" s="103">
        <f t="shared" si="121"/>
        <v>1455.2143027430161</v>
      </c>
      <c r="X21" s="103">
        <f t="shared" si="122"/>
        <v>1513.4228748527369</v>
      </c>
      <c r="Y21" s="103">
        <f>X21*(0.7)</f>
        <v>1059.3960123969157</v>
      </c>
      <c r="Z21" s="103">
        <f t="shared" si="124"/>
        <v>1101.7718528927924</v>
      </c>
      <c r="AA21" s="103">
        <f t="shared" si="125"/>
        <v>1145.8427270085042</v>
      </c>
      <c r="AB21" s="103">
        <f t="shared" si="126"/>
        <v>1191.6764360888444</v>
      </c>
      <c r="AC21" s="103">
        <f>AB21*(0.7)</f>
        <v>834.17350526219104</v>
      </c>
      <c r="AD21" s="103">
        <f t="shared" si="128"/>
        <v>867.5404454726787</v>
      </c>
      <c r="AE21" s="103">
        <f t="shared" si="129"/>
        <v>902.24206329158585</v>
      </c>
      <c r="AF21" s="103">
        <f t="shared" si="130"/>
        <v>938.33174582324932</v>
      </c>
      <c r="AG21" s="103">
        <f>AF21*(0.7)</f>
        <v>656.83222207627443</v>
      </c>
      <c r="AH21" s="103">
        <f t="shared" si="132"/>
        <v>683.10551095932544</v>
      </c>
      <c r="AI21" s="103">
        <f t="shared" si="133"/>
        <v>710.42973139769845</v>
      </c>
      <c r="AJ21" s="103">
        <f>AI21*(0.7)</f>
        <v>497.30081197838888</v>
      </c>
      <c r="AK21" s="103">
        <f t="shared" si="135"/>
        <v>517.19284445752442</v>
      </c>
      <c r="AL21" s="103">
        <f t="shared" si="136"/>
        <v>537.88055823582545</v>
      </c>
      <c r="AM21" s="103">
        <f t="shared" si="137"/>
        <v>559.39578056525852</v>
      </c>
      <c r="AN21" s="103">
        <f>AM21*(0.7)</f>
        <v>391.57704639568095</v>
      </c>
    </row>
    <row r="22" spans="2:40" s="16" customFormat="1" ht="21" customHeight="1" x14ac:dyDescent="0.2">
      <c r="B22" s="8" t="s">
        <v>120</v>
      </c>
      <c r="C22" s="101">
        <v>0.04</v>
      </c>
      <c r="D22" s="14"/>
      <c r="E22" s="102">
        <v>350</v>
      </c>
      <c r="F22" s="103">
        <f t="shared" si="104"/>
        <v>364</v>
      </c>
      <c r="G22" s="103">
        <f t="shared" si="105"/>
        <v>378.56</v>
      </c>
      <c r="H22" s="103">
        <f t="shared" si="106"/>
        <v>393.70240000000001</v>
      </c>
      <c r="I22" s="103">
        <f t="shared" si="107"/>
        <v>409.45049600000004</v>
      </c>
      <c r="J22" s="103">
        <f t="shared" si="108"/>
        <v>425.82851584000008</v>
      </c>
      <c r="K22" s="103">
        <f t="shared" si="109"/>
        <v>442.86165647360008</v>
      </c>
      <c r="L22" s="103">
        <f t="shared" si="110"/>
        <v>460.57612273254409</v>
      </c>
      <c r="M22" s="103">
        <f t="shared" si="111"/>
        <v>478.99916764184587</v>
      </c>
      <c r="N22" s="103">
        <f t="shared" si="112"/>
        <v>498.15913434751974</v>
      </c>
      <c r="O22" s="103">
        <f t="shared" si="113"/>
        <v>518.08549972142055</v>
      </c>
      <c r="P22" s="103">
        <f t="shared" si="114"/>
        <v>538.80891971027734</v>
      </c>
      <c r="Q22" s="103">
        <f t="shared" si="115"/>
        <v>560.36127649868843</v>
      </c>
      <c r="R22" s="103">
        <f t="shared" si="116"/>
        <v>582.77572755863594</v>
      </c>
      <c r="S22" s="103">
        <f t="shared" si="117"/>
        <v>606.08675666098145</v>
      </c>
      <c r="T22" s="103">
        <f t="shared" si="118"/>
        <v>630.33022692742077</v>
      </c>
      <c r="U22" s="103">
        <f t="shared" si="119"/>
        <v>655.54343600451762</v>
      </c>
      <c r="V22" s="103">
        <f t="shared" si="120"/>
        <v>681.76517344469835</v>
      </c>
      <c r="W22" s="103">
        <f t="shared" si="121"/>
        <v>709.03578038248634</v>
      </c>
      <c r="X22" s="103">
        <f t="shared" si="122"/>
        <v>737.39721159778583</v>
      </c>
      <c r="Y22" s="103">
        <f t="shared" si="123"/>
        <v>766.89310006169728</v>
      </c>
      <c r="Z22" s="103">
        <f t="shared" si="124"/>
        <v>797.56882406416526</v>
      </c>
      <c r="AA22" s="103">
        <f t="shared" si="125"/>
        <v>829.47157702673189</v>
      </c>
      <c r="AB22" s="103">
        <f t="shared" si="126"/>
        <v>862.65044010780116</v>
      </c>
      <c r="AC22" s="103">
        <f t="shared" si="127"/>
        <v>897.15645771211325</v>
      </c>
      <c r="AD22" s="103">
        <f t="shared" si="128"/>
        <v>933.04271602059782</v>
      </c>
      <c r="AE22" s="103">
        <f t="shared" si="129"/>
        <v>970.36442466142182</v>
      </c>
      <c r="AF22" s="103">
        <f t="shared" si="130"/>
        <v>1009.1790016478787</v>
      </c>
      <c r="AG22" s="103">
        <f t="shared" si="131"/>
        <v>1049.5461617137939</v>
      </c>
      <c r="AH22" s="103">
        <f t="shared" si="132"/>
        <v>1091.5280081823457</v>
      </c>
      <c r="AI22" s="103">
        <f t="shared" si="133"/>
        <v>1135.1891285096397</v>
      </c>
      <c r="AJ22" s="103">
        <f t="shared" si="134"/>
        <v>1180.5966936500254</v>
      </c>
      <c r="AK22" s="103">
        <f t="shared" si="135"/>
        <v>1227.8205613960265</v>
      </c>
      <c r="AL22" s="103">
        <f t="shared" si="136"/>
        <v>1276.9333838518676</v>
      </c>
      <c r="AM22" s="103">
        <f t="shared" si="137"/>
        <v>1328.0107192059422</v>
      </c>
      <c r="AN22" s="103">
        <f t="shared" si="138"/>
        <v>1381.1311479741801</v>
      </c>
    </row>
    <row r="23" spans="2:40" s="16" customFormat="1" ht="21" customHeight="1" x14ac:dyDescent="0.2">
      <c r="B23" s="7" t="s">
        <v>147</v>
      </c>
      <c r="C23" s="27"/>
      <c r="D23" s="14"/>
      <c r="E23" s="104">
        <f t="shared" ref="E23:AN23" si="147">SUM(E22, E21, E20 + E19)</f>
        <v>4650</v>
      </c>
      <c r="F23" s="104">
        <f t="shared" ref="F23:AM23" si="148">SUM(F22, F21, F20 + F19)</f>
        <v>3630</v>
      </c>
      <c r="G23" s="104">
        <f t="shared" si="148"/>
        <v>3758.88</v>
      </c>
      <c r="H23" s="104">
        <f t="shared" si="148"/>
        <v>3892.5888000000004</v>
      </c>
      <c r="I23" s="104">
        <f t="shared" si="148"/>
        <v>4031.313024</v>
      </c>
      <c r="J23" s="104">
        <f t="shared" si="148"/>
        <v>4175.2466304</v>
      </c>
      <c r="K23" s="104">
        <f t="shared" si="148"/>
        <v>3350.0990222848</v>
      </c>
      <c r="L23" s="104">
        <f t="shared" si="148"/>
        <v>3466.0843844679684</v>
      </c>
      <c r="M23" s="104">
        <f t="shared" si="148"/>
        <v>3586.3487891642985</v>
      </c>
      <c r="N23" s="104">
        <f t="shared" si="148"/>
        <v>3711.0561906348344</v>
      </c>
      <c r="O23" s="104">
        <f t="shared" si="148"/>
        <v>3840.3769571622706</v>
      </c>
      <c r="P23" s="104">
        <f t="shared" si="148"/>
        <v>3974.4881247288454</v>
      </c>
      <c r="Q23" s="104">
        <f t="shared" si="148"/>
        <v>4113.5736607836852</v>
      </c>
      <c r="R23" s="104">
        <f t="shared" si="148"/>
        <v>3394.6942959661455</v>
      </c>
      <c r="S23" s="104">
        <f t="shared" si="148"/>
        <v>2905.5930519424096</v>
      </c>
      <c r="T23" s="104">
        <f t="shared" si="148"/>
        <v>3000.7051138111001</v>
      </c>
      <c r="U23" s="104">
        <f t="shared" si="148"/>
        <v>3099.1994249503587</v>
      </c>
      <c r="V23" s="104">
        <f t="shared" si="148"/>
        <v>3201.2028306669235</v>
      </c>
      <c r="W23" s="104">
        <f t="shared" si="148"/>
        <v>3306.8470811865213</v>
      </c>
      <c r="X23" s="104">
        <f t="shared" si="148"/>
        <v>3416.2690244727619</v>
      </c>
      <c r="Y23" s="104">
        <f t="shared" si="148"/>
        <v>3015.0470292412974</v>
      </c>
      <c r="Z23" s="104">
        <f t="shared" si="148"/>
        <v>3111.8737520752957</v>
      </c>
      <c r="AA23" s="104">
        <f t="shared" si="148"/>
        <v>3212.0980406559406</v>
      </c>
      <c r="AB23" s="104">
        <f t="shared" si="148"/>
        <v>3315.8462875497644</v>
      </c>
      <c r="AC23" s="104">
        <f t="shared" si="148"/>
        <v>3018.0797625544851</v>
      </c>
      <c r="AD23" s="104">
        <f t="shared" si="148"/>
        <v>3113.0679570650609</v>
      </c>
      <c r="AE23" s="104">
        <f t="shared" si="148"/>
        <v>3211.3409794362278</v>
      </c>
      <c r="AF23" s="104">
        <f t="shared" si="148"/>
        <v>3313.0199287840128</v>
      </c>
      <c r="AG23" s="104">
        <f t="shared" si="148"/>
        <v>3099.1977487292106</v>
      </c>
      <c r="AH23" s="104">
        <f t="shared" si="148"/>
        <v>3195.3092713795963</v>
      </c>
      <c r="AI23" s="104">
        <f t="shared" si="148"/>
        <v>3294.7081271900215</v>
      </c>
      <c r="AJ23" s="104">
        <f t="shared" si="148"/>
        <v>3155.9685582567517</v>
      </c>
      <c r="AK23" s="104">
        <f t="shared" si="148"/>
        <v>3252.6458795344552</v>
      </c>
      <c r="AL23" s="104">
        <f t="shared" si="148"/>
        <v>3352.5990652422151</v>
      </c>
      <c r="AM23" s="104">
        <f t="shared" si="148"/>
        <v>3455.9473253888136</v>
      </c>
      <c r="AN23" s="104">
        <f t="shared" si="147"/>
        <v>3372.6198364998263</v>
      </c>
    </row>
    <row r="24" spans="2:40" s="18" customFormat="1" ht="21" customHeight="1" x14ac:dyDescent="0.2">
      <c r="B24" s="7" t="s">
        <v>122</v>
      </c>
      <c r="C24" s="27"/>
      <c r="D24" s="19"/>
      <c r="E24" s="102">
        <v>0</v>
      </c>
      <c r="F24" s="103">
        <f t="shared" ref="F24:F27" si="149">E24*(1+$C24)</f>
        <v>0</v>
      </c>
      <c r="G24" s="103">
        <f t="shared" ref="G24:G28" si="150">F24*(1+$C24)</f>
        <v>0</v>
      </c>
      <c r="H24" s="103">
        <f t="shared" ref="H24:H28" si="151">G24*(1+$C24)</f>
        <v>0</v>
      </c>
      <c r="I24" s="103">
        <f t="shared" ref="I24:I28" si="152">H24*(1+$C24)</f>
        <v>0</v>
      </c>
      <c r="J24" s="103">
        <f t="shared" ref="J24:J28" si="153">I24*(1+$C24)</f>
        <v>0</v>
      </c>
      <c r="K24" s="103">
        <f t="shared" ref="K24:K28" si="154">J24*(1+$C24)</f>
        <v>0</v>
      </c>
      <c r="L24" s="103">
        <f t="shared" ref="L24:L28" si="155">K24*(1+$C24)</f>
        <v>0</v>
      </c>
      <c r="M24" s="103">
        <f t="shared" ref="M24:M27" si="156">L24*(1+$C24)</f>
        <v>0</v>
      </c>
      <c r="N24" s="103">
        <f t="shared" ref="N24:N28" si="157">M24*(1+$C24)</f>
        <v>0</v>
      </c>
      <c r="O24" s="103">
        <f t="shared" ref="O24:O28" si="158">N24*(1+$C24)</f>
        <v>0</v>
      </c>
      <c r="P24" s="103">
        <f t="shared" ref="P24:P28" si="159">O24*(1+$C24)</f>
        <v>0</v>
      </c>
      <c r="Q24" s="103">
        <f t="shared" ref="Q24:Q28" si="160">P24*(1+$C24)</f>
        <v>0</v>
      </c>
      <c r="R24" s="103">
        <f t="shared" ref="R24:R28" si="161">Q24*(1+$C24)</f>
        <v>0</v>
      </c>
      <c r="S24" s="103">
        <f t="shared" ref="S24:S28" si="162">R24*(1+$C24)</f>
        <v>0</v>
      </c>
      <c r="T24" s="103">
        <f t="shared" ref="T24:T28" si="163">S24*(1+$C24)</f>
        <v>0</v>
      </c>
      <c r="U24" s="103">
        <f t="shared" ref="U24:U28" si="164">T24*(1+$C24)</f>
        <v>0</v>
      </c>
      <c r="V24" s="103">
        <f t="shared" ref="V24:V28" si="165">U24*(1+$C24)</f>
        <v>0</v>
      </c>
      <c r="W24" s="103">
        <f t="shared" ref="W24:W28" si="166">V24*(1+$C24)</f>
        <v>0</v>
      </c>
      <c r="X24" s="103">
        <f t="shared" ref="X24:X27" si="167">W24*(1+$C24)</f>
        <v>0</v>
      </c>
      <c r="Y24" s="103">
        <f t="shared" ref="Y24:Y28" si="168">X24*(1+$C24)</f>
        <v>0</v>
      </c>
      <c r="Z24" s="103">
        <f t="shared" ref="Z24:Z28" si="169">Y24*(1+$C24)</f>
        <v>0</v>
      </c>
      <c r="AA24" s="103">
        <f t="shared" ref="AA24:AA28" si="170">Z24*(1+$C24)</f>
        <v>0</v>
      </c>
      <c r="AB24" s="103">
        <f t="shared" ref="AB24:AB28" si="171">AA24*(1+$C24)</f>
        <v>0</v>
      </c>
      <c r="AC24" s="103">
        <f t="shared" ref="AC24:AC28" si="172">AB24*(1+$C24)</f>
        <v>0</v>
      </c>
      <c r="AD24" s="103">
        <f t="shared" ref="AD24:AD28" si="173">AC24*(1+$C24)</f>
        <v>0</v>
      </c>
      <c r="AE24" s="103">
        <f t="shared" ref="AE24:AE28" si="174">AD24*(1+$C24)</f>
        <v>0</v>
      </c>
      <c r="AF24" s="103">
        <f t="shared" ref="AF24:AF27" si="175">AE24*(1+$C24)</f>
        <v>0</v>
      </c>
      <c r="AG24" s="103">
        <f t="shared" ref="AG24:AG28" si="176">AF24*(1+$C24)</f>
        <v>0</v>
      </c>
      <c r="AH24" s="103">
        <f t="shared" ref="AH24:AH28" si="177">AG24*(1+$C24)</f>
        <v>0</v>
      </c>
      <c r="AI24" s="103">
        <f t="shared" ref="AI24:AI28" si="178">AH24*(1+$C24)</f>
        <v>0</v>
      </c>
      <c r="AJ24" s="103">
        <f t="shared" ref="AJ24:AJ28" si="179">AI24*(1+$C24)</f>
        <v>0</v>
      </c>
      <c r="AK24" s="103">
        <f t="shared" ref="AK24:AK28" si="180">AJ24*(1+$C24)</f>
        <v>0</v>
      </c>
      <c r="AL24" s="103">
        <f t="shared" ref="AL24:AL28" si="181">AK24*(1+$C24)</f>
        <v>0</v>
      </c>
      <c r="AM24" s="103">
        <f t="shared" ref="AM24:AM28" si="182">AL24*(1+$C24)</f>
        <v>0</v>
      </c>
      <c r="AN24" s="103">
        <f t="shared" ref="AN24:AN28" si="183">AM24*(1+$C24)</f>
        <v>0</v>
      </c>
    </row>
    <row r="25" spans="2:40" s="16" customFormat="1" ht="21" customHeight="1" x14ac:dyDescent="0.2">
      <c r="B25" s="8" t="s">
        <v>123</v>
      </c>
      <c r="C25" s="101">
        <v>0.04</v>
      </c>
      <c r="D25" s="14"/>
      <c r="E25" s="102">
        <v>1000</v>
      </c>
      <c r="F25" s="103">
        <f t="shared" si="149"/>
        <v>1040</v>
      </c>
      <c r="G25" s="103">
        <f t="shared" si="150"/>
        <v>1081.6000000000001</v>
      </c>
      <c r="H25" s="103">
        <f t="shared" si="151"/>
        <v>1124.8640000000003</v>
      </c>
      <c r="I25" s="103">
        <f t="shared" si="152"/>
        <v>1169.8585600000004</v>
      </c>
      <c r="J25" s="103">
        <f t="shared" si="153"/>
        <v>1216.6529024000004</v>
      </c>
      <c r="K25" s="103">
        <f>J25*(0.7)</f>
        <v>851.65703168000016</v>
      </c>
      <c r="L25" s="103">
        <f t="shared" si="155"/>
        <v>885.72331294720016</v>
      </c>
      <c r="M25" s="103">
        <f t="shared" si="156"/>
        <v>921.15224546508819</v>
      </c>
      <c r="N25" s="103">
        <f t="shared" si="157"/>
        <v>957.99833528369174</v>
      </c>
      <c r="O25" s="103">
        <f t="shared" si="158"/>
        <v>996.31826869503948</v>
      </c>
      <c r="P25" s="103">
        <f t="shared" si="159"/>
        <v>1036.1709994428411</v>
      </c>
      <c r="Q25" s="103">
        <f t="shared" si="160"/>
        <v>1077.6178394205547</v>
      </c>
      <c r="R25" s="103">
        <f t="shared" si="161"/>
        <v>1120.7225529973769</v>
      </c>
      <c r="S25" s="103">
        <f t="shared" si="162"/>
        <v>1165.5514551172719</v>
      </c>
      <c r="T25" s="103">
        <f t="shared" si="163"/>
        <v>1212.1735133219629</v>
      </c>
      <c r="U25" s="103">
        <f t="shared" si="164"/>
        <v>1260.6604538548415</v>
      </c>
      <c r="V25" s="103">
        <f t="shared" si="165"/>
        <v>1311.0868720090352</v>
      </c>
      <c r="W25" s="103">
        <f t="shared" si="166"/>
        <v>1363.5303468893967</v>
      </c>
      <c r="X25" s="103">
        <f>W25*(0.7)</f>
        <v>954.47124282257766</v>
      </c>
      <c r="Y25" s="103">
        <f t="shared" si="168"/>
        <v>992.65009253548078</v>
      </c>
      <c r="Z25" s="103">
        <f t="shared" si="169"/>
        <v>1032.3560962369002</v>
      </c>
      <c r="AA25" s="103">
        <f t="shared" si="170"/>
        <v>1073.6503400863762</v>
      </c>
      <c r="AB25" s="103">
        <f t="shared" si="171"/>
        <v>1116.5963536898314</v>
      </c>
      <c r="AC25" s="103">
        <f t="shared" si="172"/>
        <v>1161.2602078374248</v>
      </c>
      <c r="AD25" s="103">
        <f>AC25*(0.7)</f>
        <v>812.88214548619726</v>
      </c>
      <c r="AE25" s="103">
        <f t="shared" si="174"/>
        <v>845.39743130564523</v>
      </c>
      <c r="AF25" s="103">
        <f t="shared" si="175"/>
        <v>879.21332855787102</v>
      </c>
      <c r="AG25" s="103">
        <f t="shared" si="176"/>
        <v>914.38186170018594</v>
      </c>
      <c r="AH25" s="103">
        <f t="shared" si="177"/>
        <v>950.95713616819341</v>
      </c>
      <c r="AI25" s="103">
        <f t="shared" si="178"/>
        <v>988.99542161492116</v>
      </c>
      <c r="AJ25" s="103">
        <f t="shared" si="179"/>
        <v>1028.555238479518</v>
      </c>
      <c r="AK25" s="103">
        <f>AJ25*(0.7)</f>
        <v>719.98866693566254</v>
      </c>
      <c r="AL25" s="103">
        <f t="shared" si="181"/>
        <v>748.78821361308906</v>
      </c>
      <c r="AM25" s="103">
        <f t="shared" si="182"/>
        <v>778.73974215761268</v>
      </c>
      <c r="AN25" s="103">
        <f t="shared" si="183"/>
        <v>809.88933184391726</v>
      </c>
    </row>
    <row r="26" spans="2:40" s="16" customFormat="1" ht="21" customHeight="1" x14ac:dyDescent="0.2">
      <c r="B26" s="8" t="s">
        <v>124</v>
      </c>
      <c r="C26" s="101">
        <v>0.02</v>
      </c>
      <c r="D26" s="14"/>
      <c r="E26" s="102">
        <v>0</v>
      </c>
      <c r="F26" s="103">
        <f t="shared" si="149"/>
        <v>0</v>
      </c>
      <c r="G26" s="103">
        <f t="shared" si="150"/>
        <v>0</v>
      </c>
      <c r="H26" s="103">
        <f t="shared" si="151"/>
        <v>0</v>
      </c>
      <c r="I26" s="103">
        <f t="shared" si="152"/>
        <v>0</v>
      </c>
      <c r="J26" s="103">
        <f t="shared" si="153"/>
        <v>0</v>
      </c>
      <c r="K26" s="103">
        <f t="shared" si="154"/>
        <v>0</v>
      </c>
      <c r="L26" s="103">
        <f t="shared" si="155"/>
        <v>0</v>
      </c>
      <c r="M26" s="103">
        <f t="shared" si="156"/>
        <v>0</v>
      </c>
      <c r="N26" s="103">
        <f t="shared" si="157"/>
        <v>0</v>
      </c>
      <c r="O26" s="103">
        <f t="shared" si="158"/>
        <v>0</v>
      </c>
      <c r="P26" s="103">
        <f t="shared" si="159"/>
        <v>0</v>
      </c>
      <c r="Q26" s="103">
        <f t="shared" si="160"/>
        <v>0</v>
      </c>
      <c r="R26" s="103">
        <f t="shared" si="161"/>
        <v>0</v>
      </c>
      <c r="S26" s="103">
        <f t="shared" si="162"/>
        <v>0</v>
      </c>
      <c r="T26" s="103">
        <f t="shared" si="163"/>
        <v>0</v>
      </c>
      <c r="U26" s="103">
        <f t="shared" si="164"/>
        <v>0</v>
      </c>
      <c r="V26" s="103">
        <f t="shared" si="165"/>
        <v>0</v>
      </c>
      <c r="W26" s="103">
        <f t="shared" si="166"/>
        <v>0</v>
      </c>
      <c r="X26" s="103">
        <f t="shared" si="167"/>
        <v>0</v>
      </c>
      <c r="Y26" s="103">
        <f t="shared" si="168"/>
        <v>0</v>
      </c>
      <c r="Z26" s="103">
        <f t="shared" si="169"/>
        <v>0</v>
      </c>
      <c r="AA26" s="103">
        <f t="shared" si="170"/>
        <v>0</v>
      </c>
      <c r="AB26" s="103">
        <f t="shared" si="171"/>
        <v>0</v>
      </c>
      <c r="AC26" s="103">
        <f t="shared" si="172"/>
        <v>0</v>
      </c>
      <c r="AD26" s="103">
        <f t="shared" si="173"/>
        <v>0</v>
      </c>
      <c r="AE26" s="103">
        <f t="shared" si="174"/>
        <v>0</v>
      </c>
      <c r="AF26" s="103">
        <f t="shared" si="175"/>
        <v>0</v>
      </c>
      <c r="AG26" s="103">
        <f t="shared" si="176"/>
        <v>0</v>
      </c>
      <c r="AH26" s="103">
        <f t="shared" si="177"/>
        <v>0</v>
      </c>
      <c r="AI26" s="103">
        <f t="shared" si="178"/>
        <v>0</v>
      </c>
      <c r="AJ26" s="103">
        <f t="shared" si="179"/>
        <v>0</v>
      </c>
      <c r="AK26" s="103">
        <f t="shared" si="180"/>
        <v>0</v>
      </c>
      <c r="AL26" s="103">
        <f t="shared" si="181"/>
        <v>0</v>
      </c>
      <c r="AM26" s="103">
        <f t="shared" si="182"/>
        <v>0</v>
      </c>
      <c r="AN26" s="103">
        <f t="shared" si="183"/>
        <v>0</v>
      </c>
    </row>
    <row r="27" spans="2:40" s="16" customFormat="1" ht="21" customHeight="1" x14ac:dyDescent="0.2">
      <c r="B27" s="8" t="s">
        <v>125</v>
      </c>
      <c r="C27" s="101">
        <v>0.02</v>
      </c>
      <c r="D27" s="14"/>
      <c r="E27" s="102">
        <v>1500</v>
      </c>
      <c r="F27" s="103">
        <f t="shared" si="149"/>
        <v>1530</v>
      </c>
      <c r="G27" s="103">
        <f t="shared" si="150"/>
        <v>1560.6000000000001</v>
      </c>
      <c r="H27" s="103">
        <f t="shared" si="151"/>
        <v>1591.8120000000001</v>
      </c>
      <c r="I27" s="103">
        <f t="shared" si="152"/>
        <v>1623.6482400000002</v>
      </c>
      <c r="J27" s="103">
        <f>I27*(0.7)</f>
        <v>1136.553768</v>
      </c>
      <c r="K27" s="103">
        <f t="shared" si="154"/>
        <v>1159.28484336</v>
      </c>
      <c r="L27" s="103">
        <f t="shared" si="155"/>
        <v>1182.4705402272</v>
      </c>
      <c r="M27" s="103">
        <f t="shared" si="156"/>
        <v>1206.119951031744</v>
      </c>
      <c r="N27" s="103">
        <f t="shared" si="157"/>
        <v>1230.2423500523789</v>
      </c>
      <c r="O27" s="103">
        <f t="shared" si="158"/>
        <v>1254.8471970534265</v>
      </c>
      <c r="P27" s="103">
        <f t="shared" si="159"/>
        <v>1279.944140994495</v>
      </c>
      <c r="Q27" s="103">
        <f>P27*(0.7)</f>
        <v>895.9608986961465</v>
      </c>
      <c r="R27" s="103">
        <f t="shared" si="161"/>
        <v>913.88011667006947</v>
      </c>
      <c r="S27" s="103">
        <f t="shared" si="162"/>
        <v>932.1577190034709</v>
      </c>
      <c r="T27" s="103">
        <f t="shared" si="163"/>
        <v>950.80087338354031</v>
      </c>
      <c r="U27" s="103">
        <f t="shared" si="164"/>
        <v>969.81689085121116</v>
      </c>
      <c r="V27" s="103">
        <f t="shared" si="165"/>
        <v>989.21322866823539</v>
      </c>
      <c r="W27" s="103">
        <f>V27*(0.7)</f>
        <v>692.44926006776473</v>
      </c>
      <c r="X27" s="103">
        <f t="shared" si="167"/>
        <v>706.29824526912</v>
      </c>
      <c r="Y27" s="103">
        <f t="shared" si="168"/>
        <v>720.42421017450238</v>
      </c>
      <c r="Z27" s="103">
        <f t="shared" si="169"/>
        <v>734.83269437799242</v>
      </c>
      <c r="AA27" s="103">
        <f>Z27*(0.7)</f>
        <v>514.38288606459469</v>
      </c>
      <c r="AB27" s="103">
        <f t="shared" si="171"/>
        <v>524.67054378588659</v>
      </c>
      <c r="AC27" s="103">
        <f t="shared" si="172"/>
        <v>535.16395466160429</v>
      </c>
      <c r="AD27" s="103">
        <f t="shared" si="173"/>
        <v>545.86723375483643</v>
      </c>
      <c r="AE27" s="103">
        <f t="shared" si="174"/>
        <v>556.78457842993316</v>
      </c>
      <c r="AF27" s="103">
        <f t="shared" si="175"/>
        <v>567.92026999853181</v>
      </c>
      <c r="AG27" s="103">
        <f t="shared" si="176"/>
        <v>579.2786753985024</v>
      </c>
      <c r="AH27" s="103">
        <f t="shared" si="177"/>
        <v>590.86424890647243</v>
      </c>
      <c r="AI27" s="103">
        <f t="shared" si="178"/>
        <v>602.68153388460189</v>
      </c>
      <c r="AJ27" s="103">
        <f t="shared" si="179"/>
        <v>614.7351645622939</v>
      </c>
      <c r="AK27" s="103">
        <f t="shared" si="180"/>
        <v>627.02986785353983</v>
      </c>
      <c r="AL27" s="103">
        <f t="shared" si="181"/>
        <v>639.57046521061068</v>
      </c>
      <c r="AM27" s="103">
        <f t="shared" si="182"/>
        <v>652.36187451482294</v>
      </c>
      <c r="AN27" s="103">
        <f t="shared" si="183"/>
        <v>665.40911200511937</v>
      </c>
    </row>
    <row r="28" spans="2:40" s="16" customFormat="1" ht="21" customHeight="1" x14ac:dyDescent="0.2">
      <c r="B28" s="8" t="s">
        <v>126</v>
      </c>
      <c r="C28" s="101">
        <v>0.04</v>
      </c>
      <c r="D28" s="14"/>
      <c r="E28" s="102">
        <v>2000</v>
      </c>
      <c r="F28" s="103">
        <f>E28*(0.6)</f>
        <v>1200</v>
      </c>
      <c r="G28" s="103">
        <f t="shared" si="150"/>
        <v>1248</v>
      </c>
      <c r="H28" s="103">
        <f t="shared" si="151"/>
        <v>1297.92</v>
      </c>
      <c r="I28" s="103">
        <f t="shared" si="152"/>
        <v>1349.8368</v>
      </c>
      <c r="J28" s="103">
        <f t="shared" si="153"/>
        <v>1403.8302720000002</v>
      </c>
      <c r="K28" s="103">
        <f t="shared" si="154"/>
        <v>1459.9834828800001</v>
      </c>
      <c r="L28" s="103">
        <f t="shared" si="155"/>
        <v>1518.3828221952001</v>
      </c>
      <c r="M28" s="103">
        <f>L28*(0.6)</f>
        <v>911.02969331712006</v>
      </c>
      <c r="N28" s="103">
        <f t="shared" si="157"/>
        <v>947.47088104980492</v>
      </c>
      <c r="O28" s="103">
        <f t="shared" si="158"/>
        <v>985.36971629179709</v>
      </c>
      <c r="P28" s="103">
        <f t="shared" si="159"/>
        <v>1024.7845049434691</v>
      </c>
      <c r="Q28" s="103">
        <f t="shared" si="160"/>
        <v>1065.7758851412079</v>
      </c>
      <c r="R28" s="103">
        <f t="shared" si="161"/>
        <v>1108.4069205468563</v>
      </c>
      <c r="S28" s="103">
        <f t="shared" si="162"/>
        <v>1152.7431973687305</v>
      </c>
      <c r="T28" s="103">
        <f t="shared" si="163"/>
        <v>1198.8529252634798</v>
      </c>
      <c r="U28" s="103">
        <f t="shared" si="164"/>
        <v>1246.8070422740191</v>
      </c>
      <c r="V28" s="103">
        <f t="shared" si="165"/>
        <v>1296.6793239649799</v>
      </c>
      <c r="W28" s="103">
        <f t="shared" si="166"/>
        <v>1348.5464969235791</v>
      </c>
      <c r="X28" s="103">
        <f>W28*(0.6)</f>
        <v>809.12789815414737</v>
      </c>
      <c r="Y28" s="103">
        <f t="shared" si="168"/>
        <v>841.49301408031329</v>
      </c>
      <c r="Z28" s="103">
        <f t="shared" si="169"/>
        <v>875.15273464352583</v>
      </c>
      <c r="AA28" s="103">
        <f t="shared" si="170"/>
        <v>910.1588440292669</v>
      </c>
      <c r="AB28" s="103">
        <f t="shared" si="171"/>
        <v>946.56519779043765</v>
      </c>
      <c r="AC28" s="103">
        <f t="shared" si="172"/>
        <v>984.42780570205514</v>
      </c>
      <c r="AD28" s="103">
        <f t="shared" si="173"/>
        <v>1023.8049179301374</v>
      </c>
      <c r="AE28" s="103">
        <f t="shared" si="174"/>
        <v>1064.7571146473429</v>
      </c>
      <c r="AF28" s="103">
        <f>AE28*(0.6)</f>
        <v>638.85426878840565</v>
      </c>
      <c r="AG28" s="103">
        <f t="shared" si="176"/>
        <v>664.40843953994192</v>
      </c>
      <c r="AH28" s="103">
        <f t="shared" si="177"/>
        <v>690.98477712153965</v>
      </c>
      <c r="AI28" s="103">
        <f t="shared" si="178"/>
        <v>718.62416820640124</v>
      </c>
      <c r="AJ28" s="103">
        <f t="shared" si="179"/>
        <v>747.36913493465727</v>
      </c>
      <c r="AK28" s="103">
        <f t="shared" si="180"/>
        <v>777.26390033204359</v>
      </c>
      <c r="AL28" s="103">
        <f t="shared" si="181"/>
        <v>808.35445634532539</v>
      </c>
      <c r="AM28" s="103">
        <f t="shared" si="182"/>
        <v>840.68863459913848</v>
      </c>
      <c r="AN28" s="103">
        <f t="shared" si="183"/>
        <v>874.31617998310401</v>
      </c>
    </row>
    <row r="29" spans="2:40" s="16" customFormat="1" ht="21" customHeight="1" x14ac:dyDescent="0.2">
      <c r="B29" s="7" t="s">
        <v>148</v>
      </c>
      <c r="C29" s="27"/>
      <c r="D29" s="14"/>
      <c r="E29" s="104">
        <f t="shared" ref="E29:AN29" si="184">SUM(E28, E27, E26, E25 + E24)</f>
        <v>4500</v>
      </c>
      <c r="F29" s="104">
        <f t="shared" ref="F29:AM29" si="185">SUM(F28, F27, F26, F25 + F24)</f>
        <v>3770</v>
      </c>
      <c r="G29" s="104">
        <f t="shared" si="185"/>
        <v>3890.2000000000007</v>
      </c>
      <c r="H29" s="104">
        <f t="shared" si="185"/>
        <v>4014.5960000000005</v>
      </c>
      <c r="I29" s="104">
        <f t="shared" si="185"/>
        <v>4143.3436000000011</v>
      </c>
      <c r="J29" s="104">
        <f t="shared" si="185"/>
        <v>3757.0369424</v>
      </c>
      <c r="K29" s="104">
        <f t="shared" si="185"/>
        <v>3470.9253579200004</v>
      </c>
      <c r="L29" s="104">
        <f t="shared" si="185"/>
        <v>3586.5766753696003</v>
      </c>
      <c r="M29" s="104">
        <f t="shared" si="185"/>
        <v>3038.3018898139521</v>
      </c>
      <c r="N29" s="104">
        <f t="shared" si="185"/>
        <v>3135.7115663858754</v>
      </c>
      <c r="O29" s="104">
        <f t="shared" si="185"/>
        <v>3236.535182040263</v>
      </c>
      <c r="P29" s="104">
        <f t="shared" si="185"/>
        <v>3340.8996453808049</v>
      </c>
      <c r="Q29" s="104">
        <f t="shared" si="185"/>
        <v>3039.3546232579092</v>
      </c>
      <c r="R29" s="104">
        <f t="shared" si="185"/>
        <v>3143.009590214303</v>
      </c>
      <c r="S29" s="104">
        <f t="shared" si="185"/>
        <v>3250.4523714894731</v>
      </c>
      <c r="T29" s="104">
        <f t="shared" si="185"/>
        <v>3361.8273119689829</v>
      </c>
      <c r="U29" s="104">
        <f t="shared" si="185"/>
        <v>3477.2843869800718</v>
      </c>
      <c r="V29" s="104">
        <f t="shared" si="185"/>
        <v>3596.9794246422503</v>
      </c>
      <c r="W29" s="104">
        <f t="shared" si="185"/>
        <v>3404.5261038807403</v>
      </c>
      <c r="X29" s="104">
        <f t="shared" si="185"/>
        <v>2469.8973862458452</v>
      </c>
      <c r="Y29" s="104">
        <f t="shared" si="185"/>
        <v>2554.5673167902964</v>
      </c>
      <c r="Z29" s="104">
        <f t="shared" si="185"/>
        <v>2642.3415252584182</v>
      </c>
      <c r="AA29" s="104">
        <f t="shared" si="185"/>
        <v>2498.1920701802378</v>
      </c>
      <c r="AB29" s="104">
        <f t="shared" si="185"/>
        <v>2587.8320952661556</v>
      </c>
      <c r="AC29" s="104">
        <f t="shared" si="185"/>
        <v>2680.8519682010842</v>
      </c>
      <c r="AD29" s="104">
        <f t="shared" si="185"/>
        <v>2382.5542971711711</v>
      </c>
      <c r="AE29" s="104">
        <f t="shared" si="185"/>
        <v>2466.9391243829214</v>
      </c>
      <c r="AF29" s="104">
        <f t="shared" si="185"/>
        <v>2085.9878673448084</v>
      </c>
      <c r="AG29" s="104">
        <f t="shared" si="185"/>
        <v>2158.0689766386304</v>
      </c>
      <c r="AH29" s="104">
        <f t="shared" si="185"/>
        <v>2232.8061621962056</v>
      </c>
      <c r="AI29" s="104">
        <f t="shared" si="185"/>
        <v>2310.3011237059245</v>
      </c>
      <c r="AJ29" s="104">
        <f t="shared" si="185"/>
        <v>2390.6595379764694</v>
      </c>
      <c r="AK29" s="104">
        <f t="shared" si="185"/>
        <v>2124.2824351212457</v>
      </c>
      <c r="AL29" s="104">
        <f t="shared" si="185"/>
        <v>2196.713135169025</v>
      </c>
      <c r="AM29" s="104">
        <f t="shared" si="185"/>
        <v>2271.7902512715741</v>
      </c>
      <c r="AN29" s="104">
        <f t="shared" si="184"/>
        <v>2349.6146238321408</v>
      </c>
    </row>
    <row r="30" spans="2:40" s="18" customFormat="1" ht="21" customHeight="1" x14ac:dyDescent="0.2">
      <c r="B30" s="7" t="s">
        <v>127</v>
      </c>
      <c r="C30" s="101">
        <v>0.04</v>
      </c>
      <c r="D30" s="19"/>
      <c r="E30" s="102">
        <v>0</v>
      </c>
      <c r="F30" s="103">
        <f t="shared" ref="F30:F35" si="186">E30*(1+$C30)</f>
        <v>0</v>
      </c>
      <c r="G30" s="103">
        <f t="shared" ref="G30:G35" si="187">F30*(1+$C30)</f>
        <v>0</v>
      </c>
      <c r="H30" s="103">
        <f t="shared" ref="H30:H35" si="188">G30*(1+$C30)</f>
        <v>0</v>
      </c>
      <c r="I30" s="103">
        <f t="shared" ref="I30:I35" si="189">H30*(1+$C30)</f>
        <v>0</v>
      </c>
      <c r="J30" s="103">
        <f t="shared" ref="J30:J35" si="190">I30*(1+$C30)</f>
        <v>0</v>
      </c>
      <c r="K30" s="103">
        <f t="shared" ref="K30:K35" si="191">J30*(1+$C30)</f>
        <v>0</v>
      </c>
      <c r="L30" s="103">
        <f t="shared" ref="L30:L35" si="192">K30*(1+$C30)</f>
        <v>0</v>
      </c>
      <c r="M30" s="103">
        <f t="shared" ref="M30:M35" si="193">L30*(1+$C30)</f>
        <v>0</v>
      </c>
      <c r="N30" s="103">
        <f t="shared" ref="N30:N35" si="194">M30*(1+$C30)</f>
        <v>0</v>
      </c>
      <c r="O30" s="103">
        <f t="shared" ref="O30:O35" si="195">N30*(1+$C30)</f>
        <v>0</v>
      </c>
      <c r="P30" s="103">
        <f t="shared" ref="P30:P35" si="196">O30*(1+$C30)</f>
        <v>0</v>
      </c>
      <c r="Q30" s="103">
        <f t="shared" ref="Q30:Q35" si="197">P30*(1+$C30)</f>
        <v>0</v>
      </c>
      <c r="R30" s="103">
        <f t="shared" ref="R30:R35" si="198">Q30*(1+$C30)</f>
        <v>0</v>
      </c>
      <c r="S30" s="103">
        <f t="shared" ref="S30:S35" si="199">R30*(1+$C30)</f>
        <v>0</v>
      </c>
      <c r="T30" s="103">
        <f t="shared" ref="T30:T35" si="200">S30*(1+$C30)</f>
        <v>0</v>
      </c>
      <c r="U30" s="103">
        <f t="shared" ref="U30:U35" si="201">T30*(1+$C30)</f>
        <v>0</v>
      </c>
      <c r="V30" s="103">
        <f t="shared" ref="V30:V35" si="202">U30*(1+$C30)</f>
        <v>0</v>
      </c>
      <c r="W30" s="103">
        <f t="shared" ref="W30:W35" si="203">V30*(1+$C30)</f>
        <v>0</v>
      </c>
      <c r="X30" s="103">
        <f t="shared" ref="X30:X35" si="204">W30*(1+$C30)</f>
        <v>0</v>
      </c>
      <c r="Y30" s="103">
        <f t="shared" ref="Y30:Y35" si="205">X30*(1+$C30)</f>
        <v>0</v>
      </c>
      <c r="Z30" s="103">
        <f t="shared" ref="Z30:Z35" si="206">Y30*(1+$C30)</f>
        <v>0</v>
      </c>
      <c r="AA30" s="103">
        <f t="shared" ref="AA30:AA35" si="207">Z30*(1+$C30)</f>
        <v>0</v>
      </c>
      <c r="AB30" s="103">
        <f t="shared" ref="AB30:AB35" si="208">AA30*(1+$C30)</f>
        <v>0</v>
      </c>
      <c r="AC30" s="103">
        <f t="shared" ref="AC30:AC35" si="209">AB30*(1+$C30)</f>
        <v>0</v>
      </c>
      <c r="AD30" s="103">
        <f t="shared" ref="AD30:AD35" si="210">AC30*(1+$C30)</f>
        <v>0</v>
      </c>
      <c r="AE30" s="103">
        <f t="shared" ref="AE30:AE35" si="211">AD30*(1+$C30)</f>
        <v>0</v>
      </c>
      <c r="AF30" s="103">
        <f t="shared" ref="AF30:AF35" si="212">AE30*(1+$C30)</f>
        <v>0</v>
      </c>
      <c r="AG30" s="103">
        <f t="shared" ref="AG30:AG35" si="213">AF30*(1+$C30)</f>
        <v>0</v>
      </c>
      <c r="AH30" s="103">
        <f t="shared" ref="AH30:AH35" si="214">AG30*(1+$C30)</f>
        <v>0</v>
      </c>
      <c r="AI30" s="103">
        <f t="shared" ref="AI30:AI35" si="215">AH30*(1+$C30)</f>
        <v>0</v>
      </c>
      <c r="AJ30" s="103">
        <f t="shared" ref="AJ30:AJ35" si="216">AI30*(1+$C30)</f>
        <v>0</v>
      </c>
      <c r="AK30" s="103">
        <f t="shared" ref="AK30:AK35" si="217">AJ30*(1+$C30)</f>
        <v>0</v>
      </c>
      <c r="AL30" s="103">
        <f t="shared" ref="AL30:AL35" si="218">AK30*(1+$C30)</f>
        <v>0</v>
      </c>
      <c r="AM30" s="103">
        <f t="shared" ref="AM30:AM35" si="219">AL30*(1+$C30)</f>
        <v>0</v>
      </c>
      <c r="AN30" s="103">
        <f t="shared" ref="AN30:AN35" si="220">AM30*(1+$C30)</f>
        <v>0</v>
      </c>
    </row>
    <row r="31" spans="2:40" s="16" customFormat="1" ht="21" customHeight="1" x14ac:dyDescent="0.2">
      <c r="B31" s="8" t="s">
        <v>128</v>
      </c>
      <c r="C31" s="101">
        <v>0.02</v>
      </c>
      <c r="D31" s="14"/>
      <c r="E31" s="102">
        <v>6500</v>
      </c>
      <c r="F31" s="103">
        <f t="shared" si="186"/>
        <v>6630</v>
      </c>
      <c r="G31" s="103">
        <f>F31*(0.9)</f>
        <v>5967</v>
      </c>
      <c r="H31" s="103">
        <f t="shared" si="188"/>
        <v>6086.34</v>
      </c>
      <c r="I31" s="103">
        <f t="shared" si="189"/>
        <v>6208.0668000000005</v>
      </c>
      <c r="J31" s="103">
        <f t="shared" si="190"/>
        <v>6332.2281360000006</v>
      </c>
      <c r="K31" s="103">
        <f t="shared" si="191"/>
        <v>6458.8726987200007</v>
      </c>
      <c r="L31" s="103">
        <f t="shared" si="192"/>
        <v>6588.0501526944008</v>
      </c>
      <c r="M31" s="103">
        <f>L31*(0.9)</f>
        <v>5929.2451374249613</v>
      </c>
      <c r="N31" s="103">
        <f t="shared" si="194"/>
        <v>6047.8300401734605</v>
      </c>
      <c r="O31" s="103">
        <f t="shared" si="195"/>
        <v>6168.7866409769294</v>
      </c>
      <c r="P31" s="103">
        <f t="shared" si="196"/>
        <v>6292.1623737964683</v>
      </c>
      <c r="Q31" s="103">
        <f t="shared" si="197"/>
        <v>6418.0056212723975</v>
      </c>
      <c r="R31" s="103">
        <f t="shared" si="198"/>
        <v>6546.3657336978458</v>
      </c>
      <c r="S31" s="103">
        <f t="shared" si="199"/>
        <v>6677.2930483718028</v>
      </c>
      <c r="T31" s="103">
        <f t="shared" si="200"/>
        <v>6810.8389093392389</v>
      </c>
      <c r="U31" s="103">
        <f t="shared" si="201"/>
        <v>6947.0556875260236</v>
      </c>
      <c r="V31" s="103">
        <f>U31*(0.9)</f>
        <v>6252.3501187734209</v>
      </c>
      <c r="W31" s="103">
        <f t="shared" si="203"/>
        <v>6377.3971211488897</v>
      </c>
      <c r="X31" s="103">
        <f t="shared" si="204"/>
        <v>6504.9450635718676</v>
      </c>
      <c r="Y31" s="103">
        <f t="shared" si="205"/>
        <v>6635.0439648433048</v>
      </c>
      <c r="Z31" s="103">
        <f t="shared" si="206"/>
        <v>6767.7448441401712</v>
      </c>
      <c r="AA31" s="103">
        <f t="shared" si="207"/>
        <v>6903.0997410229747</v>
      </c>
      <c r="AB31" s="103">
        <f t="shared" si="208"/>
        <v>7041.1617358434341</v>
      </c>
      <c r="AC31" s="103">
        <f>AB31*(0.9)</f>
        <v>6337.0455622590907</v>
      </c>
      <c r="AD31" s="103">
        <f t="shared" si="210"/>
        <v>6463.7864735042731</v>
      </c>
      <c r="AE31" s="103">
        <f t="shared" si="211"/>
        <v>6593.062202974359</v>
      </c>
      <c r="AF31" s="103">
        <f t="shared" si="212"/>
        <v>6724.9234470338461</v>
      </c>
      <c r="AG31" s="103">
        <f t="shared" si="213"/>
        <v>6859.4219159745235</v>
      </c>
      <c r="AH31" s="103">
        <f t="shared" si="214"/>
        <v>6996.6103542940136</v>
      </c>
      <c r="AI31" s="103">
        <f t="shared" si="215"/>
        <v>7136.5425613798943</v>
      </c>
      <c r="AJ31" s="103">
        <f t="shared" si="216"/>
        <v>7279.273412607492</v>
      </c>
      <c r="AK31" s="103">
        <f t="shared" si="217"/>
        <v>7424.8588808596423</v>
      </c>
      <c r="AL31" s="103">
        <f>AK31*(0.9)</f>
        <v>6682.3729927736786</v>
      </c>
      <c r="AM31" s="103">
        <f t="shared" si="219"/>
        <v>6816.0204526291518</v>
      </c>
      <c r="AN31" s="103">
        <f t="shared" si="220"/>
        <v>6952.3408616817351</v>
      </c>
    </row>
    <row r="32" spans="2:40" s="16" customFormat="1" ht="21" customHeight="1" x14ac:dyDescent="0.2">
      <c r="B32" s="8" t="s">
        <v>129</v>
      </c>
      <c r="C32" s="101">
        <v>0.02</v>
      </c>
      <c r="D32" s="14"/>
      <c r="E32" s="102">
        <v>918</v>
      </c>
      <c r="F32" s="103">
        <f t="shared" si="186"/>
        <v>936.36</v>
      </c>
      <c r="G32" s="103">
        <f t="shared" si="187"/>
        <v>955.08720000000005</v>
      </c>
      <c r="H32" s="103">
        <f t="shared" si="188"/>
        <v>974.18894400000011</v>
      </c>
      <c r="I32" s="103">
        <f t="shared" si="189"/>
        <v>993.67272288000015</v>
      </c>
      <c r="J32" s="103">
        <f t="shared" si="190"/>
        <v>1013.5461773376002</v>
      </c>
      <c r="K32" s="103">
        <f t="shared" si="191"/>
        <v>1033.8171008843522</v>
      </c>
      <c r="L32" s="103">
        <f t="shared" si="192"/>
        <v>1054.4934429020393</v>
      </c>
      <c r="M32" s="103">
        <f t="shared" si="193"/>
        <v>1075.5833117600801</v>
      </c>
      <c r="N32" s="103">
        <f t="shared" si="194"/>
        <v>1097.0949779952816</v>
      </c>
      <c r="O32" s="103">
        <f t="shared" si="195"/>
        <v>1119.0368775551872</v>
      </c>
      <c r="P32" s="103">
        <f t="shared" si="196"/>
        <v>1141.4176151062909</v>
      </c>
      <c r="Q32" s="103">
        <f t="shared" si="197"/>
        <v>1164.2459674084168</v>
      </c>
      <c r="R32" s="103">
        <f t="shared" si="198"/>
        <v>1187.5308867565852</v>
      </c>
      <c r="S32" s="103">
        <f t="shared" si="199"/>
        <v>1211.281504491717</v>
      </c>
      <c r="T32" s="103">
        <f t="shared" si="200"/>
        <v>1235.5071345815513</v>
      </c>
      <c r="U32" s="103">
        <f t="shared" si="201"/>
        <v>1260.2172772731824</v>
      </c>
      <c r="V32" s="103">
        <f t="shared" si="202"/>
        <v>1285.421622818646</v>
      </c>
      <c r="W32" s="103">
        <f t="shared" si="203"/>
        <v>1311.130055275019</v>
      </c>
      <c r="X32" s="103">
        <f t="shared" si="204"/>
        <v>1337.3526563805194</v>
      </c>
      <c r="Y32" s="103">
        <f t="shared" si="205"/>
        <v>1364.0997095081298</v>
      </c>
      <c r="Z32" s="103">
        <f t="shared" si="206"/>
        <v>1391.3817036982923</v>
      </c>
      <c r="AA32" s="103">
        <f t="shared" si="207"/>
        <v>1419.2093377722581</v>
      </c>
      <c r="AB32" s="103">
        <f t="shared" si="208"/>
        <v>1447.5935245277033</v>
      </c>
      <c r="AC32" s="103">
        <f t="shared" si="209"/>
        <v>1476.5453950182573</v>
      </c>
      <c r="AD32" s="103">
        <f t="shared" si="210"/>
        <v>1506.0763029186226</v>
      </c>
      <c r="AE32" s="103">
        <f t="shared" si="211"/>
        <v>1536.197828976995</v>
      </c>
      <c r="AF32" s="103">
        <f t="shared" si="212"/>
        <v>1566.9217855565348</v>
      </c>
      <c r="AG32" s="103">
        <f t="shared" si="213"/>
        <v>1598.2602212676654</v>
      </c>
      <c r="AH32" s="103">
        <f t="shared" si="214"/>
        <v>1630.2254256930187</v>
      </c>
      <c r="AI32" s="103">
        <f t="shared" si="215"/>
        <v>1662.829934206879</v>
      </c>
      <c r="AJ32" s="103">
        <f t="shared" si="216"/>
        <v>1696.0865328910165</v>
      </c>
      <c r="AK32" s="103">
        <f t="shared" si="217"/>
        <v>1730.0082635488368</v>
      </c>
      <c r="AL32" s="103">
        <f t="shared" si="218"/>
        <v>1764.6084288198135</v>
      </c>
      <c r="AM32" s="103">
        <f t="shared" si="219"/>
        <v>1799.9005973962098</v>
      </c>
      <c r="AN32" s="103">
        <f t="shared" si="220"/>
        <v>1835.898609344134</v>
      </c>
    </row>
    <row r="33" spans="2:40" s="16" customFormat="1" ht="21" customHeight="1" x14ac:dyDescent="0.2">
      <c r="B33" s="8" t="s">
        <v>130</v>
      </c>
      <c r="C33" s="101">
        <v>0.04</v>
      </c>
      <c r="D33" s="14"/>
      <c r="E33" s="102">
        <v>700</v>
      </c>
      <c r="F33" s="103">
        <f t="shared" si="186"/>
        <v>728</v>
      </c>
      <c r="G33" s="103">
        <f t="shared" si="187"/>
        <v>757.12</v>
      </c>
      <c r="H33" s="103">
        <f t="shared" si="188"/>
        <v>787.40480000000002</v>
      </c>
      <c r="I33" s="103">
        <f t="shared" si="189"/>
        <v>818.90099200000009</v>
      </c>
      <c r="J33" s="103">
        <f t="shared" si="190"/>
        <v>851.65703168000016</v>
      </c>
      <c r="K33" s="103">
        <f t="shared" si="191"/>
        <v>885.72331294720016</v>
      </c>
      <c r="L33" s="103">
        <f t="shared" si="192"/>
        <v>921.15224546508819</v>
      </c>
      <c r="M33" s="103">
        <f t="shared" si="193"/>
        <v>957.99833528369174</v>
      </c>
      <c r="N33" s="103">
        <f t="shared" si="194"/>
        <v>996.31826869503948</v>
      </c>
      <c r="O33" s="103">
        <f t="shared" si="195"/>
        <v>1036.1709994428411</v>
      </c>
      <c r="P33" s="103">
        <f t="shared" si="196"/>
        <v>1077.6178394205547</v>
      </c>
      <c r="Q33" s="103">
        <f t="shared" si="197"/>
        <v>1120.7225529973769</v>
      </c>
      <c r="R33" s="103">
        <f t="shared" si="198"/>
        <v>1165.5514551172719</v>
      </c>
      <c r="S33" s="103">
        <f t="shared" si="199"/>
        <v>1212.1735133219629</v>
      </c>
      <c r="T33" s="103">
        <f t="shared" si="200"/>
        <v>1260.6604538548415</v>
      </c>
      <c r="U33" s="103">
        <f t="shared" si="201"/>
        <v>1311.0868720090352</v>
      </c>
      <c r="V33" s="103">
        <f t="shared" si="202"/>
        <v>1363.5303468893967</v>
      </c>
      <c r="W33" s="103">
        <f t="shared" si="203"/>
        <v>1418.0715607649727</v>
      </c>
      <c r="X33" s="103">
        <f t="shared" si="204"/>
        <v>1474.7944231955717</v>
      </c>
      <c r="Y33" s="103">
        <f t="shared" si="205"/>
        <v>1533.7862001233946</v>
      </c>
      <c r="Z33" s="103">
        <f t="shared" si="206"/>
        <v>1595.1376481283305</v>
      </c>
      <c r="AA33" s="103">
        <f t="shared" si="207"/>
        <v>1658.9431540534638</v>
      </c>
      <c r="AB33" s="103">
        <f t="shared" si="208"/>
        <v>1725.3008802156023</v>
      </c>
      <c r="AC33" s="103">
        <f t="shared" si="209"/>
        <v>1794.3129154242265</v>
      </c>
      <c r="AD33" s="103">
        <f t="shared" si="210"/>
        <v>1866.0854320411956</v>
      </c>
      <c r="AE33" s="103">
        <f t="shared" si="211"/>
        <v>1940.7288493228436</v>
      </c>
      <c r="AF33" s="103">
        <f t="shared" si="212"/>
        <v>2018.3580032957575</v>
      </c>
      <c r="AG33" s="103">
        <f t="shared" si="213"/>
        <v>2099.0923234275879</v>
      </c>
      <c r="AH33" s="103">
        <f t="shared" si="214"/>
        <v>2183.0560163646915</v>
      </c>
      <c r="AI33" s="103">
        <f t="shared" si="215"/>
        <v>2270.3782570192793</v>
      </c>
      <c r="AJ33" s="103">
        <f t="shared" si="216"/>
        <v>2361.1933873000507</v>
      </c>
      <c r="AK33" s="103">
        <f t="shared" si="217"/>
        <v>2455.641122792053</v>
      </c>
      <c r="AL33" s="103">
        <f t="shared" si="218"/>
        <v>2553.8667677037351</v>
      </c>
      <c r="AM33" s="103">
        <f t="shared" si="219"/>
        <v>2656.0214384118844</v>
      </c>
      <c r="AN33" s="103">
        <f t="shared" si="220"/>
        <v>2762.2622959483601</v>
      </c>
    </row>
    <row r="34" spans="2:40" s="16" customFormat="1" ht="21" customHeight="1" x14ac:dyDescent="0.2">
      <c r="B34" s="8" t="s">
        <v>131</v>
      </c>
      <c r="C34" s="101">
        <v>0.04</v>
      </c>
      <c r="D34" s="14"/>
      <c r="E34" s="102">
        <v>57.375</v>
      </c>
      <c r="F34" s="103">
        <f t="shared" si="186"/>
        <v>59.67</v>
      </c>
      <c r="G34" s="103">
        <f t="shared" si="187"/>
        <v>62.056800000000003</v>
      </c>
      <c r="H34" s="103">
        <f t="shared" si="188"/>
        <v>64.539072000000004</v>
      </c>
      <c r="I34" s="103">
        <f t="shared" si="189"/>
        <v>67.120634880000011</v>
      </c>
      <c r="J34" s="103">
        <f t="shared" si="190"/>
        <v>69.805460275200019</v>
      </c>
      <c r="K34" s="103">
        <f t="shared" si="191"/>
        <v>72.597678686208027</v>
      </c>
      <c r="L34" s="103">
        <f t="shared" si="192"/>
        <v>75.50158583365635</v>
      </c>
      <c r="M34" s="103">
        <f t="shared" si="193"/>
        <v>78.521649267002601</v>
      </c>
      <c r="N34" s="103">
        <f t="shared" si="194"/>
        <v>81.662515237682712</v>
      </c>
      <c r="O34" s="103">
        <f t="shared" si="195"/>
        <v>84.92901584719003</v>
      </c>
      <c r="P34" s="103">
        <f t="shared" si="196"/>
        <v>88.326176481077638</v>
      </c>
      <c r="Q34" s="103">
        <f t="shared" si="197"/>
        <v>91.859223540320741</v>
      </c>
      <c r="R34" s="103">
        <f t="shared" si="198"/>
        <v>95.533592481933567</v>
      </c>
      <c r="S34" s="103">
        <f t="shared" si="199"/>
        <v>99.354936181210917</v>
      </c>
      <c r="T34" s="103">
        <f t="shared" si="200"/>
        <v>103.32913362845936</v>
      </c>
      <c r="U34" s="103">
        <f t="shared" si="201"/>
        <v>107.46229897359774</v>
      </c>
      <c r="V34" s="103">
        <f t="shared" si="202"/>
        <v>111.76079093254165</v>
      </c>
      <c r="W34" s="103">
        <f t="shared" si="203"/>
        <v>116.23122256984333</v>
      </c>
      <c r="X34" s="103">
        <f t="shared" si="204"/>
        <v>120.88047147263707</v>
      </c>
      <c r="Y34" s="103">
        <f t="shared" si="205"/>
        <v>125.71569033154256</v>
      </c>
      <c r="Z34" s="103">
        <f t="shared" si="206"/>
        <v>130.74431794480427</v>
      </c>
      <c r="AA34" s="103">
        <f t="shared" si="207"/>
        <v>135.97409066259644</v>
      </c>
      <c r="AB34" s="103">
        <f t="shared" si="208"/>
        <v>141.4130542891003</v>
      </c>
      <c r="AC34" s="103">
        <f t="shared" si="209"/>
        <v>147.06957646066431</v>
      </c>
      <c r="AD34" s="103">
        <f t="shared" si="210"/>
        <v>152.95235951909089</v>
      </c>
      <c r="AE34" s="103">
        <f t="shared" si="211"/>
        <v>159.07045389985453</v>
      </c>
      <c r="AF34" s="103">
        <f t="shared" si="212"/>
        <v>165.4332720558487</v>
      </c>
      <c r="AG34" s="103">
        <f t="shared" si="213"/>
        <v>172.05060293808265</v>
      </c>
      <c r="AH34" s="103">
        <f t="shared" si="214"/>
        <v>178.93262705560596</v>
      </c>
      <c r="AI34" s="103">
        <f t="shared" si="215"/>
        <v>186.0899321378302</v>
      </c>
      <c r="AJ34" s="103">
        <f t="shared" si="216"/>
        <v>193.53352942334342</v>
      </c>
      <c r="AK34" s="103">
        <f t="shared" si="217"/>
        <v>201.27487060027715</v>
      </c>
      <c r="AL34" s="103">
        <f t="shared" si="218"/>
        <v>209.32586542428825</v>
      </c>
      <c r="AM34" s="103">
        <f t="shared" si="219"/>
        <v>217.6989000412598</v>
      </c>
      <c r="AN34" s="103">
        <f t="shared" si="220"/>
        <v>226.40685604291019</v>
      </c>
    </row>
    <row r="35" spans="2:40" s="16" customFormat="1" ht="21" customHeight="1" x14ac:dyDescent="0.2">
      <c r="B35" s="8" t="s">
        <v>132</v>
      </c>
      <c r="C35" s="101">
        <v>0.04</v>
      </c>
      <c r="D35" s="14"/>
      <c r="E35" s="102">
        <v>0</v>
      </c>
      <c r="F35" s="103">
        <f t="shared" si="186"/>
        <v>0</v>
      </c>
      <c r="G35" s="103">
        <f t="shared" si="187"/>
        <v>0</v>
      </c>
      <c r="H35" s="103">
        <f t="shared" si="188"/>
        <v>0</v>
      </c>
      <c r="I35" s="103">
        <f t="shared" si="189"/>
        <v>0</v>
      </c>
      <c r="J35" s="103">
        <f t="shared" si="190"/>
        <v>0</v>
      </c>
      <c r="K35" s="103">
        <f t="shared" si="191"/>
        <v>0</v>
      </c>
      <c r="L35" s="103">
        <f t="shared" si="192"/>
        <v>0</v>
      </c>
      <c r="M35" s="103">
        <f t="shared" si="193"/>
        <v>0</v>
      </c>
      <c r="N35" s="103">
        <f t="shared" si="194"/>
        <v>0</v>
      </c>
      <c r="O35" s="103">
        <f t="shared" si="195"/>
        <v>0</v>
      </c>
      <c r="P35" s="103">
        <f t="shared" si="196"/>
        <v>0</v>
      </c>
      <c r="Q35" s="103">
        <f t="shared" si="197"/>
        <v>0</v>
      </c>
      <c r="R35" s="103">
        <f t="shared" si="198"/>
        <v>0</v>
      </c>
      <c r="S35" s="103">
        <f t="shared" si="199"/>
        <v>0</v>
      </c>
      <c r="T35" s="103">
        <f t="shared" si="200"/>
        <v>0</v>
      </c>
      <c r="U35" s="103">
        <f t="shared" si="201"/>
        <v>0</v>
      </c>
      <c r="V35" s="103">
        <f t="shared" si="202"/>
        <v>0</v>
      </c>
      <c r="W35" s="103">
        <f t="shared" si="203"/>
        <v>0</v>
      </c>
      <c r="X35" s="103">
        <f t="shared" si="204"/>
        <v>0</v>
      </c>
      <c r="Y35" s="103">
        <f t="shared" si="205"/>
        <v>0</v>
      </c>
      <c r="Z35" s="103">
        <f t="shared" si="206"/>
        <v>0</v>
      </c>
      <c r="AA35" s="103">
        <f t="shared" si="207"/>
        <v>0</v>
      </c>
      <c r="AB35" s="103">
        <f t="shared" si="208"/>
        <v>0</v>
      </c>
      <c r="AC35" s="103">
        <f t="shared" si="209"/>
        <v>0</v>
      </c>
      <c r="AD35" s="103">
        <f t="shared" si="210"/>
        <v>0</v>
      </c>
      <c r="AE35" s="103">
        <f t="shared" si="211"/>
        <v>0</v>
      </c>
      <c r="AF35" s="103">
        <f t="shared" si="212"/>
        <v>0</v>
      </c>
      <c r="AG35" s="103">
        <f t="shared" si="213"/>
        <v>0</v>
      </c>
      <c r="AH35" s="103">
        <f t="shared" si="214"/>
        <v>0</v>
      </c>
      <c r="AI35" s="103">
        <f t="shared" si="215"/>
        <v>0</v>
      </c>
      <c r="AJ35" s="103">
        <f t="shared" si="216"/>
        <v>0</v>
      </c>
      <c r="AK35" s="103">
        <f t="shared" si="217"/>
        <v>0</v>
      </c>
      <c r="AL35" s="103">
        <f t="shared" si="218"/>
        <v>0</v>
      </c>
      <c r="AM35" s="103">
        <f t="shared" si="219"/>
        <v>0</v>
      </c>
      <c r="AN35" s="103">
        <f t="shared" si="220"/>
        <v>0</v>
      </c>
    </row>
    <row r="36" spans="2:40" s="16" customFormat="1" ht="21" customHeight="1" x14ac:dyDescent="0.2">
      <c r="B36" s="7" t="s">
        <v>149</v>
      </c>
      <c r="C36" s="27"/>
      <c r="D36" s="14"/>
      <c r="E36" s="104">
        <f t="shared" ref="E36:AN36" si="221">SUM(E35, E34, E33, E32, E31 + E30)</f>
        <v>8175.375</v>
      </c>
      <c r="F36" s="104">
        <f t="shared" ref="F36:AM36" si="222">SUM(F35, F34, F33, F32, F31 + F30)</f>
        <v>8354.0300000000007</v>
      </c>
      <c r="G36" s="104">
        <f t="shared" si="222"/>
        <v>7741.2640000000001</v>
      </c>
      <c r="H36" s="104">
        <f t="shared" si="222"/>
        <v>7912.4728160000004</v>
      </c>
      <c r="I36" s="104">
        <f t="shared" si="222"/>
        <v>8087.761149760001</v>
      </c>
      <c r="J36" s="104">
        <f t="shared" si="222"/>
        <v>8267.2368052928014</v>
      </c>
      <c r="K36" s="104">
        <f t="shared" si="222"/>
        <v>8451.0107912377607</v>
      </c>
      <c r="L36" s="104">
        <f t="shared" si="222"/>
        <v>8639.1974268951853</v>
      </c>
      <c r="M36" s="104">
        <f t="shared" si="222"/>
        <v>8041.3484337357359</v>
      </c>
      <c r="N36" s="104">
        <f t="shared" si="222"/>
        <v>8222.9058021014644</v>
      </c>
      <c r="O36" s="104">
        <f t="shared" si="222"/>
        <v>8408.9235338221479</v>
      </c>
      <c r="P36" s="104">
        <f t="shared" si="222"/>
        <v>8599.5240048043925</v>
      </c>
      <c r="Q36" s="104">
        <f t="shared" si="222"/>
        <v>8794.833365218512</v>
      </c>
      <c r="R36" s="104">
        <f t="shared" si="222"/>
        <v>8994.9816680536369</v>
      </c>
      <c r="S36" s="104">
        <f t="shared" si="222"/>
        <v>9200.1030023666935</v>
      </c>
      <c r="T36" s="104">
        <f t="shared" si="222"/>
        <v>9410.3356314040902</v>
      </c>
      <c r="U36" s="104">
        <f t="shared" si="222"/>
        <v>9625.8221357818384</v>
      </c>
      <c r="V36" s="104">
        <f t="shared" si="222"/>
        <v>9013.0628794140048</v>
      </c>
      <c r="W36" s="104">
        <f t="shared" si="222"/>
        <v>9222.8299597587247</v>
      </c>
      <c r="X36" s="104">
        <f t="shared" si="222"/>
        <v>9437.9726146205958</v>
      </c>
      <c r="Y36" s="104">
        <f t="shared" si="222"/>
        <v>9658.6455648063711</v>
      </c>
      <c r="Z36" s="104">
        <f t="shared" si="222"/>
        <v>9885.0085139115981</v>
      </c>
      <c r="AA36" s="104">
        <f t="shared" si="222"/>
        <v>10117.226323511293</v>
      </c>
      <c r="AB36" s="104">
        <f t="shared" si="222"/>
        <v>10355.469194875841</v>
      </c>
      <c r="AC36" s="104">
        <f t="shared" si="222"/>
        <v>9754.9734491622385</v>
      </c>
      <c r="AD36" s="104">
        <f t="shared" si="222"/>
        <v>9988.9005679831826</v>
      </c>
      <c r="AE36" s="104">
        <f t="shared" si="222"/>
        <v>10229.059335174052</v>
      </c>
      <c r="AF36" s="104">
        <f t="shared" si="222"/>
        <v>10475.636507941987</v>
      </c>
      <c r="AG36" s="104">
        <f t="shared" si="222"/>
        <v>10728.825063607859</v>
      </c>
      <c r="AH36" s="104">
        <f t="shared" si="222"/>
        <v>10988.82442340733</v>
      </c>
      <c r="AI36" s="104">
        <f t="shared" si="222"/>
        <v>11255.840684743882</v>
      </c>
      <c r="AJ36" s="104">
        <f t="shared" si="222"/>
        <v>11530.086862221902</v>
      </c>
      <c r="AK36" s="104">
        <f t="shared" si="222"/>
        <v>11811.783137800809</v>
      </c>
      <c r="AL36" s="104">
        <f t="shared" si="222"/>
        <v>11210.174054721516</v>
      </c>
      <c r="AM36" s="104">
        <f t="shared" si="222"/>
        <v>11489.641388478507</v>
      </c>
      <c r="AN36" s="104">
        <f t="shared" si="221"/>
        <v>11776.908623017138</v>
      </c>
    </row>
    <row r="37" spans="2:40" s="16" customFormat="1" ht="21" customHeight="1" x14ac:dyDescent="0.2">
      <c r="B37" s="8" t="s">
        <v>133</v>
      </c>
      <c r="C37" s="101">
        <v>0.04</v>
      </c>
      <c r="D37" s="14"/>
      <c r="E37" s="102">
        <v>150</v>
      </c>
      <c r="F37" s="103">
        <f t="shared" ref="F37:F42" si="223">E37*(1+$C37)</f>
        <v>156</v>
      </c>
      <c r="G37" s="103">
        <f t="shared" ref="G37:G42" si="224">F37*(1+$C37)</f>
        <v>162.24</v>
      </c>
      <c r="H37" s="103">
        <f t="shared" ref="H37:H42" si="225">G37*(1+$C37)</f>
        <v>168.7296</v>
      </c>
      <c r="I37" s="103">
        <f t="shared" ref="I37:I42" si="226">H37*(1+$C37)</f>
        <v>175.47878400000002</v>
      </c>
      <c r="J37" s="103">
        <f t="shared" ref="J37:J42" si="227">I37*(1+$C37)</f>
        <v>182.49793536000001</v>
      </c>
      <c r="K37" s="103">
        <f t="shared" ref="K37:K42" si="228">J37*(1+$C37)</f>
        <v>189.79785277440001</v>
      </c>
      <c r="L37" s="103">
        <f t="shared" ref="L37:L42" si="229">K37*(1+$C37)</f>
        <v>197.38976688537602</v>
      </c>
      <c r="M37" s="103">
        <f t="shared" ref="M37:M42" si="230">L37*(1+$C37)</f>
        <v>205.28535756079106</v>
      </c>
      <c r="N37" s="103">
        <f t="shared" ref="N37:N42" si="231">M37*(1+$C37)</f>
        <v>213.4967718632227</v>
      </c>
      <c r="O37" s="103">
        <f t="shared" ref="O37:O42" si="232">N37*(1+$C37)</f>
        <v>222.03664273775163</v>
      </c>
      <c r="P37" s="103">
        <f t="shared" ref="P37:P42" si="233">O37*(1+$C37)</f>
        <v>230.91810844726172</v>
      </c>
      <c r="Q37" s="103">
        <f t="shared" ref="Q37:Q42" si="234">P37*(1+$C37)</f>
        <v>240.15483278515219</v>
      </c>
      <c r="R37" s="103">
        <f t="shared" ref="R37:R42" si="235">Q37*(1+$C37)</f>
        <v>249.76102609655828</v>
      </c>
      <c r="S37" s="103">
        <f t="shared" ref="S37:S42" si="236">R37*(1+$C37)</f>
        <v>259.75146714042063</v>
      </c>
      <c r="T37" s="103">
        <f t="shared" ref="T37:T42" si="237">S37*(1+$C37)</f>
        <v>270.14152582603748</v>
      </c>
      <c r="U37" s="103">
        <f t="shared" ref="U37:U42" si="238">T37*(1+$C37)</f>
        <v>280.94718685907901</v>
      </c>
      <c r="V37" s="103">
        <f t="shared" ref="V37:V42" si="239">U37*(1+$C37)</f>
        <v>292.18507433344217</v>
      </c>
      <c r="W37" s="103">
        <f t="shared" ref="W37:W42" si="240">V37*(1+$C37)</f>
        <v>303.8724773067799</v>
      </c>
      <c r="X37" s="103">
        <f t="shared" ref="X37:X42" si="241">W37*(1+$C37)</f>
        <v>316.02737639905109</v>
      </c>
      <c r="Y37" s="103">
        <f t="shared" ref="Y37:Y42" si="242">X37*(1+$C37)</f>
        <v>328.66847145501316</v>
      </c>
      <c r="Z37" s="103">
        <f t="shared" ref="Z37:Z42" si="243">Y37*(1+$C37)</f>
        <v>341.8152103132137</v>
      </c>
      <c r="AA37" s="103">
        <f t="shared" ref="AA37:AA42" si="244">Z37*(1+$C37)</f>
        <v>355.48781872574227</v>
      </c>
      <c r="AB37" s="103">
        <f t="shared" ref="AB37:AB42" si="245">AA37*(1+$C37)</f>
        <v>369.70733147477199</v>
      </c>
      <c r="AC37" s="103">
        <f t="shared" ref="AC37:AC42" si="246">AB37*(1+$C37)</f>
        <v>384.4956247337629</v>
      </c>
      <c r="AD37" s="103">
        <f t="shared" ref="AD37:AD42" si="247">AC37*(1+$C37)</f>
        <v>399.87544972311343</v>
      </c>
      <c r="AE37" s="103">
        <f t="shared" ref="AE37:AE42" si="248">AD37*(1+$C37)</f>
        <v>415.87046771203796</v>
      </c>
      <c r="AF37" s="103">
        <f t="shared" ref="AF37:AF42" si="249">AE37*(1+$C37)</f>
        <v>432.5052864205195</v>
      </c>
      <c r="AG37" s="103">
        <f t="shared" ref="AG37:AG42" si="250">AF37*(1+$C37)</f>
        <v>449.80549787734031</v>
      </c>
      <c r="AH37" s="103">
        <f t="shared" ref="AH37:AH42" si="251">AG37*(1+$C37)</f>
        <v>467.79771779243396</v>
      </c>
      <c r="AI37" s="103">
        <f t="shared" ref="AI37:AI42" si="252">AH37*(1+$C37)</f>
        <v>486.50962650413135</v>
      </c>
      <c r="AJ37" s="103">
        <f t="shared" ref="AJ37:AJ42" si="253">AI37*(1+$C37)</f>
        <v>505.97001156429661</v>
      </c>
      <c r="AK37" s="103">
        <f t="shared" ref="AK37:AK42" si="254">AJ37*(1+$C37)</f>
        <v>526.20881202686849</v>
      </c>
      <c r="AL37" s="103">
        <f t="shared" ref="AL37:AL42" si="255">AK37*(1+$C37)</f>
        <v>547.25716450794323</v>
      </c>
      <c r="AM37" s="103">
        <f t="shared" ref="AM37:AM42" si="256">AL37*(1+$C37)</f>
        <v>569.14745108826094</v>
      </c>
      <c r="AN37" s="103">
        <f t="shared" ref="AN37:AN42" si="257">AM37*(1+$C37)</f>
        <v>591.91334913179139</v>
      </c>
    </row>
    <row r="38" spans="2:40" s="18" customFormat="1" ht="21" customHeight="1" x14ac:dyDescent="0.2">
      <c r="B38" s="7" t="s">
        <v>134</v>
      </c>
      <c r="C38" s="101">
        <v>0.04</v>
      </c>
      <c r="D38" s="19"/>
      <c r="E38" s="102">
        <v>0</v>
      </c>
      <c r="F38" s="103">
        <f t="shared" si="223"/>
        <v>0</v>
      </c>
      <c r="G38" s="103">
        <f t="shared" si="224"/>
        <v>0</v>
      </c>
      <c r="H38" s="103">
        <f t="shared" si="225"/>
        <v>0</v>
      </c>
      <c r="I38" s="103">
        <f t="shared" si="226"/>
        <v>0</v>
      </c>
      <c r="J38" s="103">
        <f t="shared" si="227"/>
        <v>0</v>
      </c>
      <c r="K38" s="103">
        <f t="shared" si="228"/>
        <v>0</v>
      </c>
      <c r="L38" s="103">
        <f t="shared" si="229"/>
        <v>0</v>
      </c>
      <c r="M38" s="103">
        <f t="shared" si="230"/>
        <v>0</v>
      </c>
      <c r="N38" s="103">
        <f t="shared" si="231"/>
        <v>0</v>
      </c>
      <c r="O38" s="103">
        <f t="shared" si="232"/>
        <v>0</v>
      </c>
      <c r="P38" s="103">
        <f t="shared" si="233"/>
        <v>0</v>
      </c>
      <c r="Q38" s="103">
        <f t="shared" si="234"/>
        <v>0</v>
      </c>
      <c r="R38" s="103">
        <f t="shared" si="235"/>
        <v>0</v>
      </c>
      <c r="S38" s="103">
        <f t="shared" si="236"/>
        <v>0</v>
      </c>
      <c r="T38" s="103">
        <f t="shared" si="237"/>
        <v>0</v>
      </c>
      <c r="U38" s="103">
        <f t="shared" si="238"/>
        <v>0</v>
      </c>
      <c r="V38" s="103">
        <f t="shared" si="239"/>
        <v>0</v>
      </c>
      <c r="W38" s="103">
        <f t="shared" si="240"/>
        <v>0</v>
      </c>
      <c r="X38" s="103">
        <f t="shared" si="241"/>
        <v>0</v>
      </c>
      <c r="Y38" s="103">
        <f t="shared" si="242"/>
        <v>0</v>
      </c>
      <c r="Z38" s="103">
        <f t="shared" si="243"/>
        <v>0</v>
      </c>
      <c r="AA38" s="103">
        <f t="shared" si="244"/>
        <v>0</v>
      </c>
      <c r="AB38" s="103">
        <f t="shared" si="245"/>
        <v>0</v>
      </c>
      <c r="AC38" s="103">
        <f t="shared" si="246"/>
        <v>0</v>
      </c>
      <c r="AD38" s="103">
        <f t="shared" si="247"/>
        <v>0</v>
      </c>
      <c r="AE38" s="103">
        <f t="shared" si="248"/>
        <v>0</v>
      </c>
      <c r="AF38" s="103">
        <f t="shared" si="249"/>
        <v>0</v>
      </c>
      <c r="AG38" s="103">
        <f t="shared" si="250"/>
        <v>0</v>
      </c>
      <c r="AH38" s="103">
        <f t="shared" si="251"/>
        <v>0</v>
      </c>
      <c r="AI38" s="103">
        <f t="shared" si="252"/>
        <v>0</v>
      </c>
      <c r="AJ38" s="103">
        <f t="shared" si="253"/>
        <v>0</v>
      </c>
      <c r="AK38" s="103">
        <f t="shared" si="254"/>
        <v>0</v>
      </c>
      <c r="AL38" s="103">
        <f t="shared" si="255"/>
        <v>0</v>
      </c>
      <c r="AM38" s="103">
        <f t="shared" si="256"/>
        <v>0</v>
      </c>
      <c r="AN38" s="103">
        <f t="shared" si="257"/>
        <v>0</v>
      </c>
    </row>
    <row r="39" spans="2:40" s="16" customFormat="1" ht="21" customHeight="1" x14ac:dyDescent="0.2">
      <c r="B39" s="8" t="s">
        <v>135</v>
      </c>
      <c r="C39" s="101">
        <v>0.04</v>
      </c>
      <c r="D39" s="14"/>
      <c r="E39" s="102">
        <v>850</v>
      </c>
      <c r="F39" s="103">
        <f t="shared" si="223"/>
        <v>884</v>
      </c>
      <c r="G39" s="103">
        <f t="shared" si="224"/>
        <v>919.36</v>
      </c>
      <c r="H39" s="103">
        <f t="shared" si="225"/>
        <v>956.13440000000003</v>
      </c>
      <c r="I39" s="103">
        <f t="shared" si="226"/>
        <v>994.37977600000011</v>
      </c>
      <c r="J39" s="103">
        <f t="shared" si="227"/>
        <v>1034.1549670400002</v>
      </c>
      <c r="K39" s="103">
        <f t="shared" si="228"/>
        <v>1075.5211657216003</v>
      </c>
      <c r="L39" s="103">
        <f t="shared" si="229"/>
        <v>1118.5420123504643</v>
      </c>
      <c r="M39" s="103">
        <f t="shared" si="230"/>
        <v>1163.2836928444829</v>
      </c>
      <c r="N39" s="103">
        <f t="shared" si="231"/>
        <v>1209.8150405582621</v>
      </c>
      <c r="O39" s="103">
        <f t="shared" si="232"/>
        <v>1258.2076421805928</v>
      </c>
      <c r="P39" s="103">
        <f t="shared" si="233"/>
        <v>1308.5359478678165</v>
      </c>
      <c r="Q39" s="103">
        <f t="shared" si="234"/>
        <v>1360.8773857825292</v>
      </c>
      <c r="R39" s="103">
        <f t="shared" si="235"/>
        <v>1415.3124812138306</v>
      </c>
      <c r="S39" s="103">
        <f t="shared" si="236"/>
        <v>1471.9249804623839</v>
      </c>
      <c r="T39" s="103">
        <f t="shared" si="237"/>
        <v>1530.8019796808794</v>
      </c>
      <c r="U39" s="103">
        <f t="shared" si="238"/>
        <v>1592.0340588681147</v>
      </c>
      <c r="V39" s="103">
        <f t="shared" si="239"/>
        <v>1655.7154212228393</v>
      </c>
      <c r="W39" s="103">
        <f t="shared" si="240"/>
        <v>1721.9440380717529</v>
      </c>
      <c r="X39" s="103">
        <f t="shared" si="241"/>
        <v>1790.8217995946231</v>
      </c>
      <c r="Y39" s="103">
        <f t="shared" si="242"/>
        <v>1862.4546715784081</v>
      </c>
      <c r="Z39" s="103">
        <f t="shared" si="243"/>
        <v>1936.9528584415445</v>
      </c>
      <c r="AA39" s="103">
        <f t="shared" si="244"/>
        <v>2014.4309727792065</v>
      </c>
      <c r="AB39" s="103">
        <f t="shared" si="245"/>
        <v>2095.008211690375</v>
      </c>
      <c r="AC39" s="103">
        <f t="shared" si="246"/>
        <v>2178.8085401579901</v>
      </c>
      <c r="AD39" s="103">
        <f t="shared" si="247"/>
        <v>2265.9608817643098</v>
      </c>
      <c r="AE39" s="103">
        <f t="shared" si="248"/>
        <v>2356.599317034882</v>
      </c>
      <c r="AF39" s="103">
        <f t="shared" si="249"/>
        <v>2450.8632897162774</v>
      </c>
      <c r="AG39" s="103">
        <f t="shared" si="250"/>
        <v>2548.8978213049286</v>
      </c>
      <c r="AH39" s="103">
        <f t="shared" si="251"/>
        <v>2650.8537341571259</v>
      </c>
      <c r="AI39" s="103">
        <f t="shared" si="252"/>
        <v>2756.8878835234109</v>
      </c>
      <c r="AJ39" s="103">
        <f t="shared" si="253"/>
        <v>2867.1633988643475</v>
      </c>
      <c r="AK39" s="103">
        <f t="shared" si="254"/>
        <v>2981.8499348189216</v>
      </c>
      <c r="AL39" s="103">
        <f t="shared" si="255"/>
        <v>3101.1239322116785</v>
      </c>
      <c r="AM39" s="103">
        <f t="shared" si="256"/>
        <v>3225.1688895001457</v>
      </c>
      <c r="AN39" s="103">
        <f t="shared" si="257"/>
        <v>3354.1756450801518</v>
      </c>
    </row>
    <row r="40" spans="2:40" s="16" customFormat="1" ht="21" customHeight="1" x14ac:dyDescent="0.2">
      <c r="B40" s="8" t="s">
        <v>136</v>
      </c>
      <c r="C40" s="101">
        <v>0.02</v>
      </c>
      <c r="D40" s="14"/>
      <c r="E40" s="102">
        <v>600</v>
      </c>
      <c r="F40" s="103">
        <f t="shared" si="223"/>
        <v>612</v>
      </c>
      <c r="G40" s="103">
        <f t="shared" si="224"/>
        <v>624.24</v>
      </c>
      <c r="H40" s="103">
        <f t="shared" si="225"/>
        <v>636.72480000000007</v>
      </c>
      <c r="I40" s="103">
        <f t="shared" si="226"/>
        <v>649.45929600000011</v>
      </c>
      <c r="J40" s="103">
        <f t="shared" si="227"/>
        <v>662.44848192000018</v>
      </c>
      <c r="K40" s="103">
        <f t="shared" si="228"/>
        <v>675.69745155840019</v>
      </c>
      <c r="L40" s="103">
        <f t="shared" si="229"/>
        <v>689.21140058956826</v>
      </c>
      <c r="M40" s="103">
        <f t="shared" si="230"/>
        <v>702.99562860135961</v>
      </c>
      <c r="N40" s="103">
        <f t="shared" si="231"/>
        <v>717.05554117338681</v>
      </c>
      <c r="O40" s="103">
        <f t="shared" si="232"/>
        <v>731.39665199685453</v>
      </c>
      <c r="P40" s="103">
        <f t="shared" si="233"/>
        <v>746.02458503679168</v>
      </c>
      <c r="Q40" s="103">
        <f t="shared" si="234"/>
        <v>760.94507673752753</v>
      </c>
      <c r="R40" s="103">
        <f t="shared" si="235"/>
        <v>776.16397827227809</v>
      </c>
      <c r="S40" s="103">
        <f t="shared" si="236"/>
        <v>791.68725783772368</v>
      </c>
      <c r="T40" s="103">
        <f t="shared" si="237"/>
        <v>807.52100299447818</v>
      </c>
      <c r="U40" s="103">
        <f t="shared" si="238"/>
        <v>823.67142305436778</v>
      </c>
      <c r="V40" s="103">
        <f t="shared" si="239"/>
        <v>840.14485151545512</v>
      </c>
      <c r="W40" s="103">
        <f t="shared" si="240"/>
        <v>856.94774854576428</v>
      </c>
      <c r="X40" s="103">
        <f t="shared" si="241"/>
        <v>874.08670351667956</v>
      </c>
      <c r="Y40" s="103">
        <f t="shared" si="242"/>
        <v>891.56843758701314</v>
      </c>
      <c r="Z40" s="103">
        <f t="shared" si="243"/>
        <v>909.39980633875336</v>
      </c>
      <c r="AA40" s="103">
        <f t="shared" si="244"/>
        <v>927.5878024655284</v>
      </c>
      <c r="AB40" s="103">
        <f t="shared" si="245"/>
        <v>946.139558514839</v>
      </c>
      <c r="AC40" s="103">
        <f t="shared" si="246"/>
        <v>965.06234968513581</v>
      </c>
      <c r="AD40" s="103">
        <f t="shared" si="247"/>
        <v>984.36359667883858</v>
      </c>
      <c r="AE40" s="103">
        <f t="shared" si="248"/>
        <v>1004.0508686124153</v>
      </c>
      <c r="AF40" s="103">
        <f t="shared" si="249"/>
        <v>1024.1318859846638</v>
      </c>
      <c r="AG40" s="103">
        <f t="shared" si="250"/>
        <v>1044.614523704357</v>
      </c>
      <c r="AH40" s="103">
        <f t="shared" si="251"/>
        <v>1065.5068141784441</v>
      </c>
      <c r="AI40" s="103">
        <f t="shared" si="252"/>
        <v>1086.816950462013</v>
      </c>
      <c r="AJ40" s="103">
        <f t="shared" si="253"/>
        <v>1108.5532894712533</v>
      </c>
      <c r="AK40" s="103">
        <f t="shared" si="254"/>
        <v>1130.7243552606783</v>
      </c>
      <c r="AL40" s="103">
        <f t="shared" si="255"/>
        <v>1153.3388423658919</v>
      </c>
      <c r="AM40" s="103">
        <f t="shared" si="256"/>
        <v>1176.4056192132098</v>
      </c>
      <c r="AN40" s="103">
        <f t="shared" si="257"/>
        <v>1199.933731597474</v>
      </c>
    </row>
    <row r="41" spans="2:40" s="16" customFormat="1" ht="21" customHeight="1" x14ac:dyDescent="0.2">
      <c r="B41" s="8" t="s">
        <v>137</v>
      </c>
      <c r="C41" s="101">
        <v>0.02</v>
      </c>
      <c r="D41" s="14"/>
      <c r="E41" s="102">
        <v>250</v>
      </c>
      <c r="F41" s="103">
        <f t="shared" si="223"/>
        <v>255</v>
      </c>
      <c r="G41" s="103">
        <f t="shared" si="224"/>
        <v>260.10000000000002</v>
      </c>
      <c r="H41" s="103">
        <f t="shared" si="225"/>
        <v>265.30200000000002</v>
      </c>
      <c r="I41" s="103">
        <f t="shared" si="226"/>
        <v>270.60804000000002</v>
      </c>
      <c r="J41" s="103">
        <f t="shared" si="227"/>
        <v>276.0202008</v>
      </c>
      <c r="K41" s="103">
        <f t="shared" si="228"/>
        <v>281.54060481599998</v>
      </c>
      <c r="L41" s="103">
        <f t="shared" si="229"/>
        <v>287.17141691232001</v>
      </c>
      <c r="M41" s="103">
        <f t="shared" si="230"/>
        <v>292.91484525056643</v>
      </c>
      <c r="N41" s="103">
        <f t="shared" si="231"/>
        <v>298.77314215557777</v>
      </c>
      <c r="O41" s="103">
        <f t="shared" si="232"/>
        <v>304.74860499868936</v>
      </c>
      <c r="P41" s="103">
        <f t="shared" si="233"/>
        <v>310.84357709866316</v>
      </c>
      <c r="Q41" s="103">
        <f t="shared" si="234"/>
        <v>317.06044864063642</v>
      </c>
      <c r="R41" s="103">
        <f t="shared" si="235"/>
        <v>323.40165761344917</v>
      </c>
      <c r="S41" s="103">
        <f t="shared" si="236"/>
        <v>329.86969076571819</v>
      </c>
      <c r="T41" s="103">
        <f t="shared" si="237"/>
        <v>336.46708458103257</v>
      </c>
      <c r="U41" s="103">
        <f t="shared" si="238"/>
        <v>343.19642627265324</v>
      </c>
      <c r="V41" s="103">
        <f t="shared" si="239"/>
        <v>350.06035479810629</v>
      </c>
      <c r="W41" s="103">
        <f t="shared" si="240"/>
        <v>357.0615618940684</v>
      </c>
      <c r="X41" s="103">
        <f t="shared" si="241"/>
        <v>364.20279313194976</v>
      </c>
      <c r="Y41" s="103">
        <f t="shared" si="242"/>
        <v>371.48684899458874</v>
      </c>
      <c r="Z41" s="103">
        <f t="shared" si="243"/>
        <v>378.91658597448054</v>
      </c>
      <c r="AA41" s="103">
        <f t="shared" si="244"/>
        <v>386.49491769397014</v>
      </c>
      <c r="AB41" s="103">
        <f t="shared" si="245"/>
        <v>394.22481604784957</v>
      </c>
      <c r="AC41" s="103">
        <f t="shared" si="246"/>
        <v>402.10931236880657</v>
      </c>
      <c r="AD41" s="103">
        <f t="shared" si="247"/>
        <v>410.15149861618272</v>
      </c>
      <c r="AE41" s="103">
        <f t="shared" si="248"/>
        <v>418.35452858850635</v>
      </c>
      <c r="AF41" s="103">
        <f t="shared" si="249"/>
        <v>426.72161916027648</v>
      </c>
      <c r="AG41" s="103">
        <f t="shared" si="250"/>
        <v>435.25605154348199</v>
      </c>
      <c r="AH41" s="103">
        <f t="shared" si="251"/>
        <v>443.96117257435162</v>
      </c>
      <c r="AI41" s="103">
        <f t="shared" si="252"/>
        <v>452.84039602583869</v>
      </c>
      <c r="AJ41" s="103">
        <f t="shared" si="253"/>
        <v>461.89720394635549</v>
      </c>
      <c r="AK41" s="103">
        <f t="shared" si="254"/>
        <v>471.1351480252826</v>
      </c>
      <c r="AL41" s="103">
        <f t="shared" si="255"/>
        <v>480.55785098578826</v>
      </c>
      <c r="AM41" s="103">
        <f t="shared" si="256"/>
        <v>490.16900800550405</v>
      </c>
      <c r="AN41" s="103">
        <f t="shared" si="257"/>
        <v>499.97238816561412</v>
      </c>
    </row>
    <row r="42" spans="2:40" s="50" customFormat="1" ht="21" customHeight="1" x14ac:dyDescent="0.2">
      <c r="B42" s="34" t="s">
        <v>150</v>
      </c>
      <c r="C42" s="34"/>
      <c r="D42" s="35"/>
      <c r="E42" s="110">
        <f t="shared" ref="E42" si="258">SUM(E41, E40, E39 + E38)</f>
        <v>1700</v>
      </c>
      <c r="F42" s="110">
        <f t="shared" si="223"/>
        <v>1700</v>
      </c>
      <c r="G42" s="110">
        <f t="shared" si="224"/>
        <v>1700</v>
      </c>
      <c r="H42" s="110">
        <f t="shared" si="225"/>
        <v>1700</v>
      </c>
      <c r="I42" s="110">
        <f t="shared" si="226"/>
        <v>1700</v>
      </c>
      <c r="J42" s="110">
        <f t="shared" si="227"/>
        <v>1700</v>
      </c>
      <c r="K42" s="110">
        <f t="shared" si="228"/>
        <v>1700</v>
      </c>
      <c r="L42" s="110">
        <f t="shared" si="229"/>
        <v>1700</v>
      </c>
      <c r="M42" s="110">
        <f t="shared" si="230"/>
        <v>1700</v>
      </c>
      <c r="N42" s="110">
        <f t="shared" si="231"/>
        <v>1700</v>
      </c>
      <c r="O42" s="110">
        <f t="shared" si="232"/>
        <v>1700</v>
      </c>
      <c r="P42" s="110">
        <f t="shared" si="233"/>
        <v>1700</v>
      </c>
      <c r="Q42" s="110">
        <f t="shared" si="234"/>
        <v>1700</v>
      </c>
      <c r="R42" s="110">
        <f t="shared" si="235"/>
        <v>1700</v>
      </c>
      <c r="S42" s="110">
        <f t="shared" si="236"/>
        <v>1700</v>
      </c>
      <c r="T42" s="110">
        <f t="shared" si="237"/>
        <v>1700</v>
      </c>
      <c r="U42" s="110">
        <f t="shared" si="238"/>
        <v>1700</v>
      </c>
      <c r="V42" s="110">
        <f t="shared" si="239"/>
        <v>1700</v>
      </c>
      <c r="W42" s="110">
        <f t="shared" si="240"/>
        <v>1700</v>
      </c>
      <c r="X42" s="110">
        <f t="shared" si="241"/>
        <v>1700</v>
      </c>
      <c r="Y42" s="110">
        <f t="shared" si="242"/>
        <v>1700</v>
      </c>
      <c r="Z42" s="110">
        <f t="shared" si="243"/>
        <v>1700</v>
      </c>
      <c r="AA42" s="110">
        <f t="shared" si="244"/>
        <v>1700</v>
      </c>
      <c r="AB42" s="110">
        <f t="shared" si="245"/>
        <v>1700</v>
      </c>
      <c r="AC42" s="110">
        <f t="shared" si="246"/>
        <v>1700</v>
      </c>
      <c r="AD42" s="110">
        <f t="shared" si="247"/>
        <v>1700</v>
      </c>
      <c r="AE42" s="110">
        <f t="shared" si="248"/>
        <v>1700</v>
      </c>
      <c r="AF42" s="110">
        <f t="shared" si="249"/>
        <v>1700</v>
      </c>
      <c r="AG42" s="110">
        <f t="shared" si="250"/>
        <v>1700</v>
      </c>
      <c r="AH42" s="110">
        <f t="shared" si="251"/>
        <v>1700</v>
      </c>
      <c r="AI42" s="110">
        <f t="shared" si="252"/>
        <v>1700</v>
      </c>
      <c r="AJ42" s="110">
        <f t="shared" si="253"/>
        <v>1700</v>
      </c>
      <c r="AK42" s="110">
        <f t="shared" si="254"/>
        <v>1700</v>
      </c>
      <c r="AL42" s="110">
        <f t="shared" si="255"/>
        <v>1700</v>
      </c>
      <c r="AM42" s="110">
        <f t="shared" si="256"/>
        <v>1700</v>
      </c>
      <c r="AN42" s="110">
        <f t="shared" si="257"/>
        <v>1700</v>
      </c>
    </row>
    <row r="43" spans="2:40" s="16" customFormat="1" ht="21" customHeight="1" x14ac:dyDescent="0.2">
      <c r="B43" s="6" t="s">
        <v>151</v>
      </c>
      <c r="C43" s="26"/>
      <c r="D43" s="14"/>
      <c r="E43" s="104">
        <f t="shared" ref="E43:AN43" si="259">SUM(E41, E40, E39, E38, E37, E35, E34, E33, E32, E31, E30, E28, E27, E26, E25, E24, E22, E21, E20, E19, E18, E17, E16, E15, E14 + E13)</f>
        <v>33775.375</v>
      </c>
      <c r="F43" s="104">
        <f t="shared" ref="F43:AM43" si="260">SUM(F41, F40, F39, F38, F37, F35, F34, F33, F32, F31, F30, F28, F27, F26, F25, F24, F22, F21, F20, F19, F18, F17, F16, F15, F14 + F13)</f>
        <v>32085.03</v>
      </c>
      <c r="G43" s="104">
        <f t="shared" si="260"/>
        <v>31601.244000000002</v>
      </c>
      <c r="H43" s="104">
        <f t="shared" si="260"/>
        <v>32741.106816</v>
      </c>
      <c r="I43" s="104">
        <f t="shared" si="260"/>
        <v>33926.474405759996</v>
      </c>
      <c r="J43" s="104">
        <f t="shared" si="260"/>
        <v>34639.71742865281</v>
      </c>
      <c r="K43" s="104">
        <f t="shared" si="260"/>
        <v>33599.664455370563</v>
      </c>
      <c r="L43" s="104">
        <f t="shared" si="260"/>
        <v>33023.822625425979</v>
      </c>
      <c r="M43" s="104">
        <f t="shared" si="260"/>
        <v>32755.08573429241</v>
      </c>
      <c r="N43" s="104">
        <f t="shared" si="260"/>
        <v>33949.945588458577</v>
      </c>
      <c r="O43" s="104">
        <f t="shared" si="260"/>
        <v>34273.747569953732</v>
      </c>
      <c r="P43" s="104">
        <f t="shared" si="260"/>
        <v>34647.725524661844</v>
      </c>
      <c r="Q43" s="104">
        <f t="shared" si="260"/>
        <v>35491.705822646516</v>
      </c>
      <c r="R43" s="104">
        <f t="shared" si="260"/>
        <v>34916.772171325909</v>
      </c>
      <c r="S43" s="104">
        <f t="shared" si="260"/>
        <v>34670.483856801467</v>
      </c>
      <c r="T43" s="104">
        <f t="shared" si="260"/>
        <v>35055.378595302958</v>
      </c>
      <c r="U43" s="104">
        <f t="shared" si="260"/>
        <v>36315.778124781464</v>
      </c>
      <c r="V43" s="104">
        <f t="shared" si="260"/>
        <v>35925.906588664329</v>
      </c>
      <c r="W43" s="104">
        <f t="shared" si="260"/>
        <v>36088.635312235456</v>
      </c>
      <c r="X43" s="104">
        <f t="shared" si="260"/>
        <v>35235.860423596809</v>
      </c>
      <c r="Y43" s="104">
        <f t="shared" si="260"/>
        <v>35172.525263631243</v>
      </c>
      <c r="Z43" s="104">
        <f t="shared" si="260"/>
        <v>35653.797496530125</v>
      </c>
      <c r="AA43" s="104">
        <f t="shared" si="260"/>
        <v>36691.02799311898</v>
      </c>
      <c r="AB43" s="104">
        <f t="shared" si="260"/>
        <v>37230.472291412087</v>
      </c>
      <c r="AC43" s="104">
        <f t="shared" si="260"/>
        <v>35410.717079076458</v>
      </c>
      <c r="AD43" s="104">
        <f t="shared" si="260"/>
        <v>36282.502897640159</v>
      </c>
      <c r="AE43" s="104">
        <f t="shared" si="260"/>
        <v>36845.588603601842</v>
      </c>
      <c r="AF43" s="104">
        <f t="shared" si="260"/>
        <v>35861.10811018094</v>
      </c>
      <c r="AG43" s="104">
        <f t="shared" si="260"/>
        <v>36809.557436145187</v>
      </c>
      <c r="AH43" s="104">
        <f t="shared" si="260"/>
        <v>38113.63509539816</v>
      </c>
      <c r="AI43" s="104">
        <f t="shared" si="260"/>
        <v>38368.331669464133</v>
      </c>
      <c r="AJ43" s="104">
        <f t="shared" si="260"/>
        <v>38720.235395272284</v>
      </c>
      <c r="AK43" s="104">
        <f t="shared" si="260"/>
        <v>39739.763035595657</v>
      </c>
      <c r="AL43" s="104">
        <f t="shared" si="260"/>
        <v>40257.402017185275</v>
      </c>
      <c r="AM43" s="104">
        <f t="shared" si="260"/>
        <v>41703.235694742689</v>
      </c>
      <c r="AN43" s="104">
        <f t="shared" si="259"/>
        <v>42168.466129245528</v>
      </c>
    </row>
    <row r="44" spans="2:40" s="18" customFormat="1" ht="21" customHeight="1" x14ac:dyDescent="0.2">
      <c r="B44" s="6" t="s">
        <v>138</v>
      </c>
      <c r="C44" s="26"/>
      <c r="D44" s="19"/>
      <c r="E44" s="105">
        <f t="shared" ref="E44:AN44" si="261">E12-E43</f>
        <v>60174.625</v>
      </c>
      <c r="F44" s="105">
        <f t="shared" ref="F44:AM44" si="262">F12-F43</f>
        <v>64672.97</v>
      </c>
      <c r="G44" s="105">
        <f t="shared" si="262"/>
        <v>61199.076000000001</v>
      </c>
      <c r="H44" s="105">
        <f t="shared" si="262"/>
        <v>62831.865984000004</v>
      </c>
      <c r="I44" s="105">
        <f t="shared" si="262"/>
        <v>64501.876506240013</v>
      </c>
      <c r="J44" s="105">
        <f t="shared" si="262"/>
        <v>66729.200495827186</v>
      </c>
      <c r="K44" s="105">
        <f t="shared" si="262"/>
        <v>70797.546151368646</v>
      </c>
      <c r="L44" s="105">
        <f t="shared" si="262"/>
        <v>67091.212759489994</v>
      </c>
      <c r="M44" s="105">
        <f t="shared" si="262"/>
        <v>70349.583428489059</v>
      </c>
      <c r="N44" s="105">
        <f t="shared" si="262"/>
        <v>72233.493674177094</v>
      </c>
      <c r="O44" s="105">
        <f t="shared" si="262"/>
        <v>75080.250096530595</v>
      </c>
      <c r="P44" s="105">
        <f t="shared" si="262"/>
        <v>70207.771715229959</v>
      </c>
      <c r="Q44" s="105">
        <f t="shared" si="262"/>
        <v>72493.292066850729</v>
      </c>
      <c r="R44" s="105">
        <f t="shared" si="262"/>
        <v>76290.964816561303</v>
      </c>
      <c r="S44" s="105">
        <f t="shared" si="262"/>
        <v>79856.001968895594</v>
      </c>
      <c r="T44" s="105">
        <f t="shared" si="262"/>
        <v>74744.586975767568</v>
      </c>
      <c r="U44" s="105">
        <f t="shared" si="262"/>
        <v>76759.276506613358</v>
      </c>
      <c r="V44" s="105">
        <f t="shared" si="262"/>
        <v>80521.733378592209</v>
      </c>
      <c r="W44" s="105">
        <f t="shared" si="262"/>
        <v>83831.980898835434</v>
      </c>
      <c r="X44" s="105">
        <f t="shared" si="262"/>
        <v>88261.103200394748</v>
      </c>
      <c r="Y44" s="105">
        <f t="shared" si="262"/>
        <v>92007.225352732145</v>
      </c>
      <c r="Z44" s="105">
        <f t="shared" si="262"/>
        <v>95318.338845322316</v>
      </c>
      <c r="AA44" s="105">
        <f t="shared" si="262"/>
        <v>98186.345374267112</v>
      </c>
      <c r="AB44" s="105">
        <f t="shared" si="262"/>
        <v>92052.732962792157</v>
      </c>
      <c r="AC44" s="105">
        <f t="shared" si="262"/>
        <v>97725.104819550674</v>
      </c>
      <c r="AD44" s="105">
        <f t="shared" si="262"/>
        <v>100820.47896421442</v>
      </c>
      <c r="AE44" s="105">
        <f t="shared" si="262"/>
        <v>104342.49143262778</v>
      </c>
      <c r="AF44" s="105">
        <f t="shared" si="262"/>
        <v>99446.561262680741</v>
      </c>
      <c r="AG44" s="105">
        <f t="shared" si="262"/>
        <v>102527.0666478529</v>
      </c>
      <c r="AH44" s="105">
        <f t="shared" si="262"/>
        <v>105371.60132626847</v>
      </c>
      <c r="AI44" s="105">
        <f t="shared" si="262"/>
        <v>99115.528573372081</v>
      </c>
      <c r="AJ44" s="105">
        <f t="shared" si="262"/>
        <v>102854.08498099371</v>
      </c>
      <c r="AK44" s="105">
        <f t="shared" si="262"/>
        <v>106046.36905114882</v>
      </c>
      <c r="AL44" s="105">
        <f t="shared" si="262"/>
        <v>109865.47941531967</v>
      </c>
      <c r="AM44" s="105">
        <f t="shared" si="262"/>
        <v>102108.26646833761</v>
      </c>
      <c r="AN44" s="105">
        <f t="shared" si="261"/>
        <v>105917.54077715101</v>
      </c>
    </row>
    <row r="45" spans="2:40" s="16" customFormat="1" ht="21" customHeight="1" x14ac:dyDescent="0.2">
      <c r="B45" s="6" t="s">
        <v>58</v>
      </c>
      <c r="C45" s="101">
        <v>0.04</v>
      </c>
      <c r="D45" s="14"/>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2:40" s="16" customFormat="1" ht="21" customHeight="1" x14ac:dyDescent="0.2">
      <c r="B46" s="5" t="s">
        <v>139</v>
      </c>
      <c r="C46" s="101">
        <v>0.04</v>
      </c>
      <c r="D46" s="14"/>
      <c r="E46" s="102">
        <v>0</v>
      </c>
      <c r="F46" s="103">
        <f t="shared" ref="F46" si="263">E46*(1+$C46)</f>
        <v>0</v>
      </c>
      <c r="G46" s="103">
        <f t="shared" ref="G46" si="264">F46*(1+$C46)</f>
        <v>0</v>
      </c>
      <c r="H46" s="103">
        <f t="shared" ref="H46" si="265">G46*(1+$C46)</f>
        <v>0</v>
      </c>
      <c r="I46" s="103">
        <f t="shared" ref="I46" si="266">H46*(1+$C46)</f>
        <v>0</v>
      </c>
      <c r="J46" s="103">
        <f t="shared" ref="J46" si="267">I46*(1+$C46)</f>
        <v>0</v>
      </c>
      <c r="K46" s="103">
        <f t="shared" ref="K46" si="268">J46*(1+$C46)</f>
        <v>0</v>
      </c>
      <c r="L46" s="103">
        <f t="shared" ref="L46" si="269">K46*(1+$C46)</f>
        <v>0</v>
      </c>
      <c r="M46" s="103">
        <f t="shared" ref="M46" si="270">L46*(1+$C46)</f>
        <v>0</v>
      </c>
      <c r="N46" s="103">
        <f t="shared" ref="N46" si="271">M46*(1+$C46)</f>
        <v>0</v>
      </c>
      <c r="O46" s="103">
        <f t="shared" ref="O46" si="272">N46*(1+$C46)</f>
        <v>0</v>
      </c>
      <c r="P46" s="103">
        <f t="shared" ref="P46" si="273">O46*(1+$C46)</f>
        <v>0</v>
      </c>
      <c r="Q46" s="103">
        <f t="shared" ref="Q46" si="274">P46*(1+$C46)</f>
        <v>0</v>
      </c>
      <c r="R46" s="103">
        <f t="shared" ref="R46" si="275">Q46*(1+$C46)</f>
        <v>0</v>
      </c>
      <c r="S46" s="103">
        <f t="shared" ref="S46" si="276">R46*(1+$C46)</f>
        <v>0</v>
      </c>
      <c r="T46" s="103">
        <f t="shared" ref="T46" si="277">S46*(1+$C46)</f>
        <v>0</v>
      </c>
      <c r="U46" s="103">
        <f t="shared" ref="U46" si="278">T46*(1+$C46)</f>
        <v>0</v>
      </c>
      <c r="V46" s="103">
        <f t="shared" ref="V46" si="279">U46*(1+$C46)</f>
        <v>0</v>
      </c>
      <c r="W46" s="103">
        <f t="shared" ref="W46" si="280">V46*(1+$C46)</f>
        <v>0</v>
      </c>
      <c r="X46" s="103">
        <f t="shared" ref="X46" si="281">W46*(1+$C46)</f>
        <v>0</v>
      </c>
      <c r="Y46" s="103">
        <f t="shared" ref="Y46" si="282">X46*(1+$C46)</f>
        <v>0</v>
      </c>
      <c r="Z46" s="103">
        <f t="shared" ref="Z46" si="283">Y46*(1+$C46)</f>
        <v>0</v>
      </c>
      <c r="AA46" s="103">
        <f t="shared" ref="AA46" si="284">Z46*(1+$C46)</f>
        <v>0</v>
      </c>
      <c r="AB46" s="103">
        <f t="shared" ref="AB46" si="285">AA46*(1+$C46)</f>
        <v>0</v>
      </c>
      <c r="AC46" s="103">
        <f t="shared" ref="AC46" si="286">AB46*(1+$C46)</f>
        <v>0</v>
      </c>
      <c r="AD46" s="103">
        <f t="shared" ref="AD46" si="287">AC46*(1+$C46)</f>
        <v>0</v>
      </c>
      <c r="AE46" s="103">
        <f t="shared" ref="AE46" si="288">AD46*(1+$C46)</f>
        <v>0</v>
      </c>
      <c r="AF46" s="103">
        <f t="shared" ref="AF46" si="289">AE46*(1+$C46)</f>
        <v>0</v>
      </c>
      <c r="AG46" s="103">
        <f t="shared" ref="AG46" si="290">AF46*(1+$C46)</f>
        <v>0</v>
      </c>
      <c r="AH46" s="103">
        <f t="shared" ref="AH46" si="291">AG46*(1+$C46)</f>
        <v>0</v>
      </c>
      <c r="AI46" s="103">
        <f t="shared" ref="AI46" si="292">AH46*(1+$C46)</f>
        <v>0</v>
      </c>
      <c r="AJ46" s="103">
        <f t="shared" ref="AJ46" si="293">AI46*(1+$C46)</f>
        <v>0</v>
      </c>
      <c r="AK46" s="103">
        <f t="shared" ref="AK46" si="294">AJ46*(1+$C46)</f>
        <v>0</v>
      </c>
      <c r="AL46" s="103">
        <f t="shared" ref="AL46" si="295">AK46*(1+$C46)</f>
        <v>0</v>
      </c>
      <c r="AM46" s="103">
        <f t="shared" ref="AM46" si="296">AL46*(1+$C46)</f>
        <v>0</v>
      </c>
      <c r="AN46" s="103">
        <f t="shared" ref="AN46" si="297">AM46*(1+$C46)</f>
        <v>0</v>
      </c>
    </row>
    <row r="47" spans="2:40" s="16" customFormat="1" ht="21" customHeight="1" x14ac:dyDescent="0.2">
      <c r="B47" s="6" t="s">
        <v>152</v>
      </c>
      <c r="C47" s="26"/>
      <c r="D47" s="14"/>
      <c r="E47" s="104">
        <f t="shared" ref="E47:AM47" si="298">SUM(E46 + E45)</f>
        <v>0</v>
      </c>
      <c r="F47" s="104">
        <f t="shared" si="298"/>
        <v>0</v>
      </c>
      <c r="G47" s="104">
        <f t="shared" si="298"/>
        <v>0</v>
      </c>
      <c r="H47" s="104">
        <f t="shared" si="298"/>
        <v>0</v>
      </c>
      <c r="I47" s="104">
        <f t="shared" si="298"/>
        <v>0</v>
      </c>
      <c r="J47" s="104">
        <f t="shared" si="298"/>
        <v>0</v>
      </c>
      <c r="K47" s="104">
        <f t="shared" si="298"/>
        <v>0</v>
      </c>
      <c r="L47" s="104">
        <f t="shared" si="298"/>
        <v>0</v>
      </c>
      <c r="M47" s="104">
        <f t="shared" si="298"/>
        <v>0</v>
      </c>
      <c r="N47" s="104">
        <f t="shared" si="298"/>
        <v>0</v>
      </c>
      <c r="O47" s="104">
        <f t="shared" si="298"/>
        <v>0</v>
      </c>
      <c r="P47" s="104">
        <f t="shared" si="298"/>
        <v>0</v>
      </c>
      <c r="Q47" s="104">
        <f t="shared" si="298"/>
        <v>0</v>
      </c>
      <c r="R47" s="104">
        <f t="shared" si="298"/>
        <v>0</v>
      </c>
      <c r="S47" s="104">
        <f t="shared" si="298"/>
        <v>0</v>
      </c>
      <c r="T47" s="104">
        <f t="shared" si="298"/>
        <v>0</v>
      </c>
      <c r="U47" s="104">
        <f t="shared" si="298"/>
        <v>0</v>
      </c>
      <c r="V47" s="104">
        <f t="shared" si="298"/>
        <v>0</v>
      </c>
      <c r="W47" s="104">
        <f t="shared" si="298"/>
        <v>0</v>
      </c>
      <c r="X47" s="104">
        <f t="shared" si="298"/>
        <v>0</v>
      </c>
      <c r="Y47" s="104">
        <f t="shared" si="298"/>
        <v>0</v>
      </c>
      <c r="Z47" s="104">
        <f t="shared" si="298"/>
        <v>0</v>
      </c>
      <c r="AA47" s="104">
        <f t="shared" si="298"/>
        <v>0</v>
      </c>
      <c r="AB47" s="104">
        <f t="shared" si="298"/>
        <v>0</v>
      </c>
      <c r="AC47" s="104">
        <f t="shared" si="298"/>
        <v>0</v>
      </c>
      <c r="AD47" s="104">
        <f t="shared" si="298"/>
        <v>0</v>
      </c>
      <c r="AE47" s="104">
        <f t="shared" si="298"/>
        <v>0</v>
      </c>
      <c r="AF47" s="104">
        <f t="shared" si="298"/>
        <v>0</v>
      </c>
      <c r="AG47" s="104">
        <f t="shared" si="298"/>
        <v>0</v>
      </c>
      <c r="AH47" s="104">
        <f t="shared" si="298"/>
        <v>0</v>
      </c>
      <c r="AI47" s="104">
        <f t="shared" si="298"/>
        <v>0</v>
      </c>
      <c r="AJ47" s="104">
        <f t="shared" si="298"/>
        <v>0</v>
      </c>
      <c r="AK47" s="104">
        <f t="shared" si="298"/>
        <v>0</v>
      </c>
      <c r="AL47" s="104">
        <f t="shared" si="298"/>
        <v>0</v>
      </c>
      <c r="AM47" s="104">
        <f t="shared" si="298"/>
        <v>0</v>
      </c>
      <c r="AN47" s="104">
        <f t="shared" ref="AN47" si="299">SUM(AN46 + AN45)</f>
        <v>0</v>
      </c>
    </row>
    <row r="48" spans="2:40" s="16" customFormat="1" ht="21" customHeight="1" x14ac:dyDescent="0.2">
      <c r="B48" s="6" t="s">
        <v>59</v>
      </c>
      <c r="C48" s="101">
        <v>0.04</v>
      </c>
      <c r="D48" s="14"/>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row>
    <row r="49" spans="2:40" s="16" customFormat="1" ht="21" customHeight="1" x14ac:dyDescent="0.2">
      <c r="B49" s="5" t="s">
        <v>140</v>
      </c>
      <c r="C49" s="101">
        <v>0.04</v>
      </c>
      <c r="D49" s="14"/>
      <c r="E49" s="102">
        <v>69.444444444444443</v>
      </c>
      <c r="F49" s="103">
        <f t="shared" ref="F49:F50" si="300">E49*(1+$C49)</f>
        <v>72.222222222222229</v>
      </c>
      <c r="G49" s="103">
        <f t="shared" ref="G49:G50" si="301">F49*(1+$C49)</f>
        <v>75.111111111111114</v>
      </c>
      <c r="H49" s="103">
        <f t="shared" ref="H49:H50" si="302">G49*(1+$C49)</f>
        <v>78.115555555555559</v>
      </c>
      <c r="I49" s="103">
        <f t="shared" ref="I49:I50" si="303">H49*(1+$C49)</f>
        <v>81.240177777777788</v>
      </c>
      <c r="J49" s="103">
        <f t="shared" ref="J49:J50" si="304">I49*(1+$C49)</f>
        <v>84.489784888888906</v>
      </c>
      <c r="K49" s="103">
        <f t="shared" ref="K49:K50" si="305">J49*(1+$C49)</f>
        <v>87.869376284444471</v>
      </c>
      <c r="L49" s="103">
        <f t="shared" ref="L49:L50" si="306">K49*(1+$C49)</f>
        <v>91.384151335822253</v>
      </c>
      <c r="M49" s="103">
        <f t="shared" ref="M49:M50" si="307">L49*(1+$C49)</f>
        <v>95.039517389255153</v>
      </c>
      <c r="N49" s="103">
        <f t="shared" ref="N49:N50" si="308">M49*(1+$C49)</f>
        <v>98.841098084825362</v>
      </c>
      <c r="O49" s="103">
        <f t="shared" ref="O49:O50" si="309">N49*(1+$C49)</f>
        <v>102.79474200821838</v>
      </c>
      <c r="P49" s="103">
        <f t="shared" ref="P49:P50" si="310">O49*(1+$C49)</f>
        <v>106.90653168854712</v>
      </c>
      <c r="Q49" s="103">
        <f t="shared" ref="Q49:Q50" si="311">P49*(1+$C49)</f>
        <v>111.182792956089</v>
      </c>
      <c r="R49" s="103">
        <f t="shared" ref="R49:R50" si="312">Q49*(1+$C49)</f>
        <v>115.63010467433257</v>
      </c>
      <c r="S49" s="103">
        <f t="shared" ref="S49:S50" si="313">R49*(1+$C49)</f>
        <v>120.25530886130588</v>
      </c>
      <c r="T49" s="103">
        <f t="shared" ref="T49:T50" si="314">S49*(1+$C49)</f>
        <v>125.06552121575811</v>
      </c>
      <c r="U49" s="103">
        <f t="shared" ref="U49:U50" si="315">T49*(1+$C49)</f>
        <v>130.06814206438844</v>
      </c>
      <c r="V49" s="103">
        <f t="shared" ref="V49:V50" si="316">U49*(1+$C49)</f>
        <v>135.27086774696397</v>
      </c>
      <c r="W49" s="103">
        <f t="shared" ref="W49:W50" si="317">V49*(1+$C49)</f>
        <v>140.68170245684254</v>
      </c>
      <c r="X49" s="103">
        <f t="shared" ref="X49:X50" si="318">W49*(1+$C49)</f>
        <v>146.30897055511625</v>
      </c>
      <c r="Y49" s="103">
        <f t="shared" ref="Y49:Y50" si="319">X49*(1+$C49)</f>
        <v>152.1613293773209</v>
      </c>
      <c r="Z49" s="103">
        <f t="shared" ref="Z49:Z50" si="320">Y49*(1+$C49)</f>
        <v>158.24778255241372</v>
      </c>
      <c r="AA49" s="103">
        <f t="shared" ref="AA49:AA50" si="321">Z49*(1+$C49)</f>
        <v>164.57769385451027</v>
      </c>
      <c r="AB49" s="103">
        <f t="shared" ref="AB49:AB50" si="322">AA49*(1+$C49)</f>
        <v>171.16080160869069</v>
      </c>
      <c r="AC49" s="103">
        <f t="shared" ref="AC49:AC50" si="323">AB49*(1+$C49)</f>
        <v>178.00723367303831</v>
      </c>
      <c r="AD49" s="103">
        <f t="shared" ref="AD49:AD50" si="324">AC49*(1+$C49)</f>
        <v>185.12752301995985</v>
      </c>
      <c r="AE49" s="103">
        <f t="shared" ref="AE49:AE50" si="325">AD49*(1+$C49)</f>
        <v>192.53262394075824</v>
      </c>
      <c r="AF49" s="103">
        <f t="shared" ref="AF49:AF50" si="326">AE49*(1+$C49)</f>
        <v>200.23392889838857</v>
      </c>
      <c r="AG49" s="103">
        <f t="shared" ref="AG49:AG50" si="327">AF49*(1+$C49)</f>
        <v>208.24328605432413</v>
      </c>
      <c r="AH49" s="103">
        <f t="shared" ref="AH49:AH50" si="328">AG49*(1+$C49)</f>
        <v>216.5730174964971</v>
      </c>
      <c r="AI49" s="103">
        <f t="shared" ref="AI49:AI50" si="329">AH49*(1+$C49)</f>
        <v>225.23593819635698</v>
      </c>
      <c r="AJ49" s="103">
        <f t="shared" ref="AJ49:AJ50" si="330">AI49*(1+$C49)</f>
        <v>234.24537572421127</v>
      </c>
      <c r="AK49" s="103">
        <f t="shared" ref="AK49:AK50" si="331">AJ49*(1+$C49)</f>
        <v>243.61519075317972</v>
      </c>
      <c r="AL49" s="103">
        <f t="shared" ref="AL49:AL50" si="332">AK49*(1+$C49)</f>
        <v>253.35979838330692</v>
      </c>
      <c r="AM49" s="103">
        <f t="shared" ref="AM49:AM50" si="333">AL49*(1+$C49)</f>
        <v>263.4941903186392</v>
      </c>
      <c r="AN49" s="103">
        <f t="shared" ref="AN49:AN50" si="334">AM49*(1+$C49)</f>
        <v>274.03395793138475</v>
      </c>
    </row>
    <row r="50" spans="2:40" s="16" customFormat="1" ht="21" customHeight="1" x14ac:dyDescent="0.2">
      <c r="B50" s="5" t="s">
        <v>60</v>
      </c>
      <c r="C50" s="101">
        <v>0.04</v>
      </c>
      <c r="D50" s="14"/>
      <c r="E50" s="102">
        <v>2500</v>
      </c>
      <c r="F50" s="103">
        <f t="shared" si="300"/>
        <v>2600</v>
      </c>
      <c r="G50" s="103">
        <f t="shared" si="301"/>
        <v>2704</v>
      </c>
      <c r="H50" s="103">
        <f t="shared" si="302"/>
        <v>2812.1600000000003</v>
      </c>
      <c r="I50" s="103">
        <f t="shared" si="303"/>
        <v>2924.6464000000005</v>
      </c>
      <c r="J50" s="103">
        <f t="shared" si="304"/>
        <v>3041.6322560000008</v>
      </c>
      <c r="K50" s="103">
        <f t="shared" si="305"/>
        <v>3163.2975462400009</v>
      </c>
      <c r="L50" s="103">
        <f t="shared" si="306"/>
        <v>3289.8294480896011</v>
      </c>
      <c r="M50" s="103">
        <f t="shared" si="307"/>
        <v>3421.4226260131854</v>
      </c>
      <c r="N50" s="103">
        <f t="shared" si="308"/>
        <v>3558.2795310537131</v>
      </c>
      <c r="O50" s="103">
        <f t="shared" si="309"/>
        <v>3700.6107122958615</v>
      </c>
      <c r="P50" s="103">
        <f t="shared" si="310"/>
        <v>3848.6351407876959</v>
      </c>
      <c r="Q50" s="103">
        <f t="shared" si="311"/>
        <v>4002.580546419204</v>
      </c>
      <c r="R50" s="103">
        <f t="shared" si="312"/>
        <v>4162.6837682759724</v>
      </c>
      <c r="S50" s="103">
        <f t="shared" si="313"/>
        <v>4329.1911190070114</v>
      </c>
      <c r="T50" s="103">
        <f t="shared" si="314"/>
        <v>4502.3587637672917</v>
      </c>
      <c r="U50" s="103">
        <f t="shared" si="315"/>
        <v>4682.4531143179838</v>
      </c>
      <c r="V50" s="103">
        <f t="shared" si="316"/>
        <v>4869.7512388907035</v>
      </c>
      <c r="W50" s="103">
        <f t="shared" si="317"/>
        <v>5064.5412884463321</v>
      </c>
      <c r="X50" s="103">
        <f t="shared" si="318"/>
        <v>5267.1229399841859</v>
      </c>
      <c r="Y50" s="103">
        <f t="shared" si="319"/>
        <v>5477.8078575835534</v>
      </c>
      <c r="Z50" s="103">
        <f t="shared" si="320"/>
        <v>5696.9201718868953</v>
      </c>
      <c r="AA50" s="103">
        <f t="shared" si="321"/>
        <v>5924.7969787623715</v>
      </c>
      <c r="AB50" s="103">
        <f t="shared" si="322"/>
        <v>6161.7888579128667</v>
      </c>
      <c r="AC50" s="103">
        <f t="shared" si="323"/>
        <v>6408.2604122293815</v>
      </c>
      <c r="AD50" s="103">
        <f t="shared" si="324"/>
        <v>6664.5908287185566</v>
      </c>
      <c r="AE50" s="103">
        <f t="shared" si="325"/>
        <v>6931.1744618672992</v>
      </c>
      <c r="AF50" s="103">
        <f t="shared" si="326"/>
        <v>7208.421440341991</v>
      </c>
      <c r="AG50" s="103">
        <f t="shared" si="327"/>
        <v>7496.758297955671</v>
      </c>
      <c r="AH50" s="103">
        <f t="shared" si="328"/>
        <v>7796.6286298738978</v>
      </c>
      <c r="AI50" s="103">
        <f t="shared" si="329"/>
        <v>8108.4937750688541</v>
      </c>
      <c r="AJ50" s="103">
        <f t="shared" si="330"/>
        <v>8432.8335260716085</v>
      </c>
      <c r="AK50" s="103">
        <f t="shared" si="331"/>
        <v>8770.1468671144739</v>
      </c>
      <c r="AL50" s="103">
        <f t="shared" si="332"/>
        <v>9120.9527417990539</v>
      </c>
      <c r="AM50" s="103">
        <f t="shared" si="333"/>
        <v>9485.7908514710161</v>
      </c>
      <c r="AN50" s="103">
        <f t="shared" si="334"/>
        <v>9865.2224855298573</v>
      </c>
    </row>
    <row r="51" spans="2:40" s="16" customFormat="1" ht="21" customHeight="1" x14ac:dyDescent="0.2">
      <c r="B51" s="6" t="s">
        <v>153</v>
      </c>
      <c r="C51" s="6"/>
      <c r="D51" s="14"/>
      <c r="E51" s="104">
        <f t="shared" ref="E51:AN51" si="335">SUM(E50, E49 + E48)</f>
        <v>2569.4444444444443</v>
      </c>
      <c r="F51" s="104">
        <f t="shared" ref="F51:AM51" si="336">SUM(F50, F49 + F48)</f>
        <v>2672.2222222222222</v>
      </c>
      <c r="G51" s="104">
        <f t="shared" si="336"/>
        <v>2779.1111111111113</v>
      </c>
      <c r="H51" s="104">
        <f t="shared" si="336"/>
        <v>2890.2755555555559</v>
      </c>
      <c r="I51" s="104">
        <f t="shared" si="336"/>
        <v>3005.8865777777783</v>
      </c>
      <c r="J51" s="104">
        <f t="shared" si="336"/>
        <v>3126.1220408888898</v>
      </c>
      <c r="K51" s="104">
        <f t="shared" si="336"/>
        <v>3251.1669225244455</v>
      </c>
      <c r="L51" s="104">
        <f t="shared" si="336"/>
        <v>3381.2135994254231</v>
      </c>
      <c r="M51" s="104">
        <f t="shared" si="336"/>
        <v>3516.4621434024407</v>
      </c>
      <c r="N51" s="104">
        <f t="shared" si="336"/>
        <v>3657.1206291385383</v>
      </c>
      <c r="O51" s="104">
        <f t="shared" si="336"/>
        <v>3803.4054543040797</v>
      </c>
      <c r="P51" s="104">
        <f t="shared" si="336"/>
        <v>3955.5416724762431</v>
      </c>
      <c r="Q51" s="104">
        <f t="shared" si="336"/>
        <v>4113.7633393752931</v>
      </c>
      <c r="R51" s="104">
        <f t="shared" si="336"/>
        <v>4278.3138729503053</v>
      </c>
      <c r="S51" s="104">
        <f t="shared" si="336"/>
        <v>4449.4464278683172</v>
      </c>
      <c r="T51" s="104">
        <f t="shared" si="336"/>
        <v>4627.4242849830498</v>
      </c>
      <c r="U51" s="104">
        <f t="shared" si="336"/>
        <v>4812.5212563823725</v>
      </c>
      <c r="V51" s="104">
        <f t="shared" si="336"/>
        <v>5005.0221066376671</v>
      </c>
      <c r="W51" s="104">
        <f t="shared" si="336"/>
        <v>5205.2229909031748</v>
      </c>
      <c r="X51" s="104">
        <f t="shared" si="336"/>
        <v>5413.4319105393024</v>
      </c>
      <c r="Y51" s="104">
        <f t="shared" si="336"/>
        <v>5629.9691869608741</v>
      </c>
      <c r="Z51" s="104">
        <f t="shared" si="336"/>
        <v>5855.1679544393091</v>
      </c>
      <c r="AA51" s="104">
        <f t="shared" si="336"/>
        <v>6089.374672616882</v>
      </c>
      <c r="AB51" s="104">
        <f t="shared" si="336"/>
        <v>6332.9496595215569</v>
      </c>
      <c r="AC51" s="104">
        <f t="shared" si="336"/>
        <v>6586.2676459024196</v>
      </c>
      <c r="AD51" s="104">
        <f t="shared" si="336"/>
        <v>6849.7183517385165</v>
      </c>
      <c r="AE51" s="104">
        <f t="shared" si="336"/>
        <v>7123.7070858080579</v>
      </c>
      <c r="AF51" s="104">
        <f t="shared" si="336"/>
        <v>7408.6553692403795</v>
      </c>
      <c r="AG51" s="104">
        <f t="shared" si="336"/>
        <v>7705.001584009995</v>
      </c>
      <c r="AH51" s="104">
        <f t="shared" si="336"/>
        <v>8013.2016473703952</v>
      </c>
      <c r="AI51" s="104">
        <f t="shared" si="336"/>
        <v>8333.7297132652111</v>
      </c>
      <c r="AJ51" s="104">
        <f t="shared" si="336"/>
        <v>8667.0789017958195</v>
      </c>
      <c r="AK51" s="104">
        <f t="shared" si="336"/>
        <v>9013.7620578676542</v>
      </c>
      <c r="AL51" s="104">
        <f t="shared" si="336"/>
        <v>9374.31254018236</v>
      </c>
      <c r="AM51" s="104">
        <f t="shared" si="336"/>
        <v>9749.2850417896552</v>
      </c>
      <c r="AN51" s="104">
        <f t="shared" si="335"/>
        <v>10139.256443461241</v>
      </c>
    </row>
    <row r="52" spans="2:40" s="18" customFormat="1" ht="21" customHeight="1" x14ac:dyDescent="0.2">
      <c r="B52" s="6" t="s">
        <v>61</v>
      </c>
      <c r="C52" s="6"/>
      <c r="D52" s="19"/>
      <c r="E52" s="105">
        <f t="shared" ref="E52:AN52" si="337">E47-E51</f>
        <v>-2569.4444444444443</v>
      </c>
      <c r="F52" s="105">
        <f t="shared" ref="F52:AM52" si="338">F47-F51</f>
        <v>-2672.2222222222222</v>
      </c>
      <c r="G52" s="105">
        <f t="shared" si="338"/>
        <v>-2779.1111111111113</v>
      </c>
      <c r="H52" s="105">
        <f t="shared" si="338"/>
        <v>-2890.2755555555559</v>
      </c>
      <c r="I52" s="105">
        <f t="shared" si="338"/>
        <v>-3005.8865777777783</v>
      </c>
      <c r="J52" s="105">
        <f t="shared" si="338"/>
        <v>-3126.1220408888898</v>
      </c>
      <c r="K52" s="105">
        <f t="shared" si="338"/>
        <v>-3251.1669225244455</v>
      </c>
      <c r="L52" s="105">
        <f t="shared" si="338"/>
        <v>-3381.2135994254231</v>
      </c>
      <c r="M52" s="105">
        <f t="shared" si="338"/>
        <v>-3516.4621434024407</v>
      </c>
      <c r="N52" s="105">
        <f t="shared" si="338"/>
        <v>-3657.1206291385383</v>
      </c>
      <c r="O52" s="105">
        <f t="shared" si="338"/>
        <v>-3803.4054543040797</v>
      </c>
      <c r="P52" s="105">
        <f t="shared" si="338"/>
        <v>-3955.5416724762431</v>
      </c>
      <c r="Q52" s="105">
        <f t="shared" si="338"/>
        <v>-4113.7633393752931</v>
      </c>
      <c r="R52" s="105">
        <f t="shared" si="338"/>
        <v>-4278.3138729503053</v>
      </c>
      <c r="S52" s="105">
        <f t="shared" si="338"/>
        <v>-4449.4464278683172</v>
      </c>
      <c r="T52" s="105">
        <f t="shared" si="338"/>
        <v>-4627.4242849830498</v>
      </c>
      <c r="U52" s="105">
        <f t="shared" si="338"/>
        <v>-4812.5212563823725</v>
      </c>
      <c r="V52" s="105">
        <f t="shared" si="338"/>
        <v>-5005.0221066376671</v>
      </c>
      <c r="W52" s="105">
        <f t="shared" si="338"/>
        <v>-5205.2229909031748</v>
      </c>
      <c r="X52" s="105">
        <f t="shared" si="338"/>
        <v>-5413.4319105393024</v>
      </c>
      <c r="Y52" s="105">
        <f t="shared" si="338"/>
        <v>-5629.9691869608741</v>
      </c>
      <c r="Z52" s="105">
        <f t="shared" si="338"/>
        <v>-5855.1679544393091</v>
      </c>
      <c r="AA52" s="105">
        <f t="shared" si="338"/>
        <v>-6089.374672616882</v>
      </c>
      <c r="AB52" s="105">
        <f t="shared" si="338"/>
        <v>-6332.9496595215569</v>
      </c>
      <c r="AC52" s="105">
        <f t="shared" si="338"/>
        <v>-6586.2676459024196</v>
      </c>
      <c r="AD52" s="105">
        <f t="shared" si="338"/>
        <v>-6849.7183517385165</v>
      </c>
      <c r="AE52" s="105">
        <f t="shared" si="338"/>
        <v>-7123.7070858080579</v>
      </c>
      <c r="AF52" s="105">
        <f t="shared" si="338"/>
        <v>-7408.6553692403795</v>
      </c>
      <c r="AG52" s="105">
        <f t="shared" si="338"/>
        <v>-7705.001584009995</v>
      </c>
      <c r="AH52" s="105">
        <f t="shared" si="338"/>
        <v>-8013.2016473703952</v>
      </c>
      <c r="AI52" s="105">
        <f t="shared" si="338"/>
        <v>-8333.7297132652111</v>
      </c>
      <c r="AJ52" s="105">
        <f t="shared" si="338"/>
        <v>-8667.0789017958195</v>
      </c>
      <c r="AK52" s="105">
        <f t="shared" si="338"/>
        <v>-9013.7620578676542</v>
      </c>
      <c r="AL52" s="105">
        <f t="shared" si="338"/>
        <v>-9374.31254018236</v>
      </c>
      <c r="AM52" s="105">
        <f t="shared" si="338"/>
        <v>-9749.2850417896552</v>
      </c>
      <c r="AN52" s="105">
        <f t="shared" si="337"/>
        <v>-10139.256443461241</v>
      </c>
    </row>
    <row r="53" spans="2:40" s="18" customFormat="1" ht="21" customHeight="1" x14ac:dyDescent="0.2">
      <c r="B53" s="6" t="s">
        <v>62</v>
      </c>
      <c r="C53" s="6"/>
      <c r="D53" s="19"/>
      <c r="E53" s="105">
        <f t="shared" ref="E53:AN53" si="339">E44+E52</f>
        <v>57605.180555555555</v>
      </c>
      <c r="F53" s="105">
        <f t="shared" ref="F53:AM53" si="340">F44+F52</f>
        <v>62000.747777777782</v>
      </c>
      <c r="G53" s="105">
        <f t="shared" si="340"/>
        <v>58419.964888888891</v>
      </c>
      <c r="H53" s="105">
        <f t="shared" si="340"/>
        <v>59941.590428444448</v>
      </c>
      <c r="I53" s="105">
        <f t="shared" si="340"/>
        <v>61495.989928462237</v>
      </c>
      <c r="J53" s="105">
        <f t="shared" si="340"/>
        <v>63603.078454938295</v>
      </c>
      <c r="K53" s="105">
        <f t="shared" si="340"/>
        <v>67546.379228844205</v>
      </c>
      <c r="L53" s="105">
        <f t="shared" si="340"/>
        <v>63709.999160064574</v>
      </c>
      <c r="M53" s="105">
        <f t="shared" si="340"/>
        <v>66833.121285086614</v>
      </c>
      <c r="N53" s="105">
        <f t="shared" si="340"/>
        <v>68576.373045038563</v>
      </c>
      <c r="O53" s="105">
        <f t="shared" si="340"/>
        <v>71276.844642226511</v>
      </c>
      <c r="P53" s="105">
        <f t="shared" si="340"/>
        <v>66252.230042753712</v>
      </c>
      <c r="Q53" s="105">
        <f t="shared" si="340"/>
        <v>68379.528727475437</v>
      </c>
      <c r="R53" s="105">
        <f t="shared" si="340"/>
        <v>72012.650943610992</v>
      </c>
      <c r="S53" s="105">
        <f t="shared" si="340"/>
        <v>75406.555541027279</v>
      </c>
      <c r="T53" s="105">
        <f t="shared" si="340"/>
        <v>70117.16269078452</v>
      </c>
      <c r="U53" s="105">
        <f t="shared" si="340"/>
        <v>71946.755250230985</v>
      </c>
      <c r="V53" s="105">
        <f t="shared" si="340"/>
        <v>75516.71127195454</v>
      </c>
      <c r="W53" s="105">
        <f t="shared" si="340"/>
        <v>78626.75790793226</v>
      </c>
      <c r="X53" s="105">
        <f t="shared" si="340"/>
        <v>82847.67128985544</v>
      </c>
      <c r="Y53" s="105">
        <f t="shared" si="340"/>
        <v>86377.256165771265</v>
      </c>
      <c r="Z53" s="105">
        <f t="shared" si="340"/>
        <v>89463.170890883004</v>
      </c>
      <c r="AA53" s="105">
        <f t="shared" si="340"/>
        <v>92096.970701650236</v>
      </c>
      <c r="AB53" s="105">
        <f t="shared" si="340"/>
        <v>85719.783303270597</v>
      </c>
      <c r="AC53" s="105">
        <f t="shared" si="340"/>
        <v>91138.837173648251</v>
      </c>
      <c r="AD53" s="105">
        <f t="shared" si="340"/>
        <v>93970.760612475904</v>
      </c>
      <c r="AE53" s="105">
        <f t="shared" si="340"/>
        <v>97218.784346819724</v>
      </c>
      <c r="AF53" s="105">
        <f t="shared" si="340"/>
        <v>92037.905893440358</v>
      </c>
      <c r="AG53" s="105">
        <f t="shared" si="340"/>
        <v>94822.065063842907</v>
      </c>
      <c r="AH53" s="105">
        <f t="shared" si="340"/>
        <v>97358.399678898073</v>
      </c>
      <c r="AI53" s="105">
        <f t="shared" si="340"/>
        <v>90781.798860106865</v>
      </c>
      <c r="AJ53" s="105">
        <f t="shared" si="340"/>
        <v>94187.00607919789</v>
      </c>
      <c r="AK53" s="105">
        <f t="shared" si="340"/>
        <v>97032.606993281166</v>
      </c>
      <c r="AL53" s="105">
        <f t="shared" si="340"/>
        <v>100491.16687513731</v>
      </c>
      <c r="AM53" s="105">
        <f t="shared" si="340"/>
        <v>92358.981426547951</v>
      </c>
      <c r="AN53" s="105">
        <f t="shared" si="339"/>
        <v>95778.284333689764</v>
      </c>
    </row>
    <row r="267" spans="9946:10001" s="9" customFormat="1" ht="21" customHeight="1" x14ac:dyDescent="0.2">
      <c r="NSC267" s="107">
        <v>74</v>
      </c>
    </row>
    <row r="268" spans="9946:10001" s="9" customFormat="1" ht="21" customHeight="1" x14ac:dyDescent="0.2">
      <c r="NSC268" s="107">
        <v>75</v>
      </c>
    </row>
    <row r="269" spans="9946:10001" s="9" customFormat="1" ht="18" customHeight="1" x14ac:dyDescent="0.2">
      <c r="NSC269" s="107">
        <v>76</v>
      </c>
      <c r="NTO269" s="20"/>
    </row>
    <row r="270" spans="9946:10001" s="9" customFormat="1" ht="21" customHeight="1" x14ac:dyDescent="0.2">
      <c r="NSC270" s="107">
        <v>77</v>
      </c>
      <c r="NTO270" s="20"/>
    </row>
    <row r="271" spans="9946:10001" s="9" customFormat="1" ht="21" customHeight="1" x14ac:dyDescent="0.2">
      <c r="NSC271" s="107">
        <v>78</v>
      </c>
      <c r="NTO271" s="20"/>
    </row>
    <row r="272" spans="9946:10001" s="9" customFormat="1" ht="21" customHeight="1" x14ac:dyDescent="0.2">
      <c r="NRN272" s="9" t="s">
        <v>154</v>
      </c>
      <c r="NSC272" s="107">
        <v>79</v>
      </c>
      <c r="NSE272" s="9" t="s">
        <v>154</v>
      </c>
      <c r="NTO272" s="20"/>
      <c r="NTQ272" s="9" t="s">
        <v>154</v>
      </c>
    </row>
    <row r="273" spans="9946:10001" s="9" customFormat="1" ht="21" customHeight="1" x14ac:dyDescent="0.2">
      <c r="NRN273" s="9" t="s">
        <v>154</v>
      </c>
      <c r="NSC273" s="107">
        <v>80</v>
      </c>
      <c r="NSE273" s="9" t="s">
        <v>154</v>
      </c>
      <c r="NTO273" s="20"/>
      <c r="NTQ273" s="9" t="s">
        <v>154</v>
      </c>
    </row>
    <row r="274" spans="9946:10001" s="9" customFormat="1" ht="21" customHeight="1" x14ac:dyDescent="0.2">
      <c r="NRN274" s="9" t="s">
        <v>154</v>
      </c>
      <c r="NSC274" s="107">
        <v>81</v>
      </c>
      <c r="NSE274" s="9" t="s">
        <v>154</v>
      </c>
      <c r="NTO274" s="20"/>
      <c r="NTQ274" s="9" t="s">
        <v>154</v>
      </c>
    </row>
    <row r="275" spans="9946:10001" s="9" customFormat="1" ht="21" customHeight="1" x14ac:dyDescent="0.2">
      <c r="NRN275" s="9" t="s">
        <v>154</v>
      </c>
      <c r="NSC275" s="107">
        <v>82</v>
      </c>
      <c r="NSE275" s="9" t="s">
        <v>154</v>
      </c>
      <c r="NTO275" s="20"/>
      <c r="NTQ275" s="9" t="s">
        <v>154</v>
      </c>
    </row>
    <row r="276" spans="9946:10001" s="9" customFormat="1" ht="21" customHeight="1" x14ac:dyDescent="0.2">
      <c r="NRN276" s="9" t="s">
        <v>154</v>
      </c>
      <c r="NSC276" s="107">
        <v>83</v>
      </c>
      <c r="NSE276" s="9" t="s">
        <v>154</v>
      </c>
      <c r="NTO276" s="108">
        <v>74</v>
      </c>
      <c r="NTQ276" s="9" t="s">
        <v>154</v>
      </c>
    </row>
    <row r="277" spans="9946:10001" s="9" customFormat="1" ht="21" customHeight="1" x14ac:dyDescent="0.2">
      <c r="NRN277" s="9" t="s">
        <v>154</v>
      </c>
      <c r="NSC277" s="107">
        <v>84</v>
      </c>
      <c r="NSE277" s="9" t="s">
        <v>154</v>
      </c>
      <c r="NTO277" s="108">
        <v>75</v>
      </c>
      <c r="NTQ277" s="9" t="s">
        <v>154</v>
      </c>
    </row>
    <row r="278" spans="9946:10001" s="9" customFormat="1" ht="21" customHeight="1" x14ac:dyDescent="0.2">
      <c r="NSC278" s="107">
        <v>85</v>
      </c>
      <c r="NTO278" s="108">
        <v>76</v>
      </c>
    </row>
    <row r="279" spans="9946:10001" s="9" customFormat="1" ht="21" customHeight="1" x14ac:dyDescent="0.2">
      <c r="NRN279" s="9" t="s">
        <v>154</v>
      </c>
      <c r="NSC279" s="107">
        <v>86</v>
      </c>
      <c r="NSE279" s="9" t="s">
        <v>154</v>
      </c>
      <c r="NTO279" s="108">
        <v>77</v>
      </c>
      <c r="NTQ279" s="9" t="s">
        <v>154</v>
      </c>
    </row>
    <row r="280" spans="9946:10001" ht="21" customHeight="1" x14ac:dyDescent="0.2">
      <c r="NRN280" s="21" t="s">
        <v>154</v>
      </c>
      <c r="NSC280" s="109">
        <v>87</v>
      </c>
      <c r="NSE280" s="21" t="s">
        <v>154</v>
      </c>
      <c r="NTO280" s="108">
        <v>78</v>
      </c>
      <c r="NTQ280" s="21" t="s">
        <v>154</v>
      </c>
    </row>
    <row r="281" spans="9946:10001" ht="21" customHeight="1" x14ac:dyDescent="0.2">
      <c r="NRN281" s="21" t="s">
        <v>154</v>
      </c>
      <c r="NSC281" s="109">
        <v>88</v>
      </c>
      <c r="NSE281" s="21" t="s">
        <v>154</v>
      </c>
      <c r="NTO281" s="108">
        <v>79</v>
      </c>
      <c r="NTQ281" s="21" t="s">
        <v>154</v>
      </c>
    </row>
    <row r="282" spans="9946:10001" ht="21" customHeight="1" x14ac:dyDescent="0.2">
      <c r="NRN282" s="21" t="s">
        <v>154</v>
      </c>
      <c r="NSC282" s="109">
        <v>89</v>
      </c>
      <c r="NSE282" s="21" t="s">
        <v>154</v>
      </c>
      <c r="NTO282" s="108">
        <v>80</v>
      </c>
      <c r="NTQ282" s="21" t="s">
        <v>154</v>
      </c>
    </row>
    <row r="283" spans="9946:10001" ht="21" customHeight="1" x14ac:dyDescent="0.2">
      <c r="NRN283" s="21" t="s">
        <v>154</v>
      </c>
      <c r="NSC283" s="109">
        <v>90</v>
      </c>
      <c r="NSE283" s="21" t="s">
        <v>154</v>
      </c>
      <c r="NTO283" s="108">
        <v>81</v>
      </c>
      <c r="NTQ283" s="21" t="s">
        <v>154</v>
      </c>
    </row>
    <row r="284" spans="9946:10001" ht="21" customHeight="1" x14ac:dyDescent="0.2">
      <c r="NRN284" s="21" t="s">
        <v>155</v>
      </c>
      <c r="NSC284" s="109">
        <v>91</v>
      </c>
      <c r="NSE284" s="21" t="s">
        <v>155</v>
      </c>
      <c r="NTO284" s="108">
        <v>82</v>
      </c>
      <c r="NTQ284" s="21" t="s">
        <v>155</v>
      </c>
    </row>
    <row r="285" spans="9946:10001" ht="21" customHeight="1" x14ac:dyDescent="0.2">
      <c r="NSC285" s="109">
        <v>92</v>
      </c>
      <c r="NTO285" s="108">
        <v>83</v>
      </c>
    </row>
    <row r="286" spans="9946:10001" ht="21" customHeight="1" x14ac:dyDescent="0.2">
      <c r="NRN286" s="21" t="s">
        <v>154</v>
      </c>
      <c r="NSC286" s="109">
        <v>93</v>
      </c>
      <c r="NSE286" s="21" t="s">
        <v>154</v>
      </c>
      <c r="NTO286" s="108">
        <v>84</v>
      </c>
      <c r="NTQ286" s="21" t="s">
        <v>154</v>
      </c>
    </row>
    <row r="287" spans="9946:10001" ht="21" customHeight="1" x14ac:dyDescent="0.2">
      <c r="NRN287" s="21" t="s">
        <v>154</v>
      </c>
      <c r="NSC287" s="109">
        <v>94</v>
      </c>
      <c r="NSE287" s="21" t="s">
        <v>154</v>
      </c>
      <c r="NTO287" s="108">
        <v>85</v>
      </c>
      <c r="NTQ287" s="21" t="s">
        <v>154</v>
      </c>
    </row>
    <row r="288" spans="9946:10001" ht="21" customHeight="1" x14ac:dyDescent="0.2">
      <c r="NRN288" s="21" t="s">
        <v>154</v>
      </c>
      <c r="NSE288" s="21" t="s">
        <v>154</v>
      </c>
      <c r="NTO288" s="108">
        <v>86</v>
      </c>
      <c r="NTQ288" s="21" t="s">
        <v>154</v>
      </c>
    </row>
    <row r="289" spans="9946:10001" ht="21" customHeight="1" x14ac:dyDescent="0.2">
      <c r="NRN289" s="21" t="s">
        <v>154</v>
      </c>
      <c r="NSE289" s="21" t="s">
        <v>154</v>
      </c>
      <c r="NTO289" s="108">
        <v>87</v>
      </c>
      <c r="NTQ289" s="21" t="s">
        <v>154</v>
      </c>
    </row>
    <row r="290" spans="9946:10001" ht="21" customHeight="1" x14ac:dyDescent="0.2">
      <c r="NRN290" s="21" t="s">
        <v>155</v>
      </c>
      <c r="NSE290" s="21" t="s">
        <v>155</v>
      </c>
      <c r="NTO290" s="108">
        <v>88</v>
      </c>
      <c r="NTQ290" s="21" t="s">
        <v>155</v>
      </c>
    </row>
    <row r="291" spans="9946:10001" ht="21" customHeight="1" x14ac:dyDescent="0.2">
      <c r="NRN291" s="21" t="s">
        <v>154</v>
      </c>
      <c r="NSE291" s="21" t="s">
        <v>154</v>
      </c>
      <c r="NTO291" s="108">
        <v>89</v>
      </c>
      <c r="NTQ291" s="21" t="s">
        <v>154</v>
      </c>
    </row>
    <row r="292" spans="9946:10001" ht="21" customHeight="1" x14ac:dyDescent="0.2">
      <c r="NRN292" s="21" t="s">
        <v>154</v>
      </c>
      <c r="NSE292" s="21" t="s">
        <v>154</v>
      </c>
      <c r="NTO292" s="108">
        <v>90</v>
      </c>
      <c r="NTQ292" s="21" t="s">
        <v>154</v>
      </c>
    </row>
    <row r="293" spans="9946:10001" ht="21" customHeight="1" x14ac:dyDescent="0.2">
      <c r="NRN293" s="21" t="s">
        <v>154</v>
      </c>
      <c r="NSE293" s="21" t="s">
        <v>154</v>
      </c>
      <c r="NTO293" s="108">
        <v>91</v>
      </c>
      <c r="NTQ293" s="21" t="s">
        <v>154</v>
      </c>
    </row>
    <row r="294" spans="9946:10001" ht="21" customHeight="1" x14ac:dyDescent="0.2">
      <c r="NTO294" s="108">
        <v>92</v>
      </c>
    </row>
    <row r="295" spans="9946:10001" ht="21" customHeight="1" x14ac:dyDescent="0.2">
      <c r="NRN295" s="21" t="s">
        <v>154</v>
      </c>
      <c r="NSE295" s="21" t="s">
        <v>154</v>
      </c>
      <c r="NTO295" s="108">
        <v>93</v>
      </c>
      <c r="NTQ295" s="21" t="s">
        <v>154</v>
      </c>
    </row>
    <row r="296" spans="9946:10001" ht="21" customHeight="1" x14ac:dyDescent="0.2">
      <c r="NSE296" s="21" t="s">
        <v>154</v>
      </c>
      <c r="NTO296" s="108">
        <v>94</v>
      </c>
      <c r="NTQ296" s="21" t="s">
        <v>154</v>
      </c>
    </row>
    <row r="297" spans="9946:10001" ht="21" customHeight="1" x14ac:dyDescent="0.2">
      <c r="NSE297" s="21" t="s">
        <v>155</v>
      </c>
      <c r="NTO297" s="108">
        <v>95</v>
      </c>
      <c r="NTQ297" s="21" t="s">
        <v>155</v>
      </c>
    </row>
    <row r="298" spans="9946:10001" ht="21" customHeight="1" x14ac:dyDescent="0.2">
      <c r="NTO298" s="108">
        <v>96</v>
      </c>
    </row>
    <row r="299" spans="9946:10001" ht="21" customHeight="1" x14ac:dyDescent="0.2">
      <c r="NTO299" s="108">
        <v>97</v>
      </c>
    </row>
    <row r="300" spans="9946:10001" ht="21" customHeight="1" x14ac:dyDescent="0.2">
      <c r="NTO300" s="108">
        <v>98</v>
      </c>
    </row>
    <row r="301" spans="9946:10001" ht="21" customHeight="1" x14ac:dyDescent="0.2">
      <c r="NTO301" s="108">
        <v>99</v>
      </c>
    </row>
    <row r="302" spans="9946:10001" ht="21" customHeight="1" x14ac:dyDescent="0.2">
      <c r="NTO302" s="108">
        <v>100</v>
      </c>
    </row>
    <row r="303" spans="9946:10001" ht="21" customHeight="1" x14ac:dyDescent="0.2">
      <c r="NTO303" s="108">
        <v>101</v>
      </c>
    </row>
    <row r="304" spans="9946:10001" ht="21" customHeight="1" x14ac:dyDescent="0.2">
      <c r="NTO304" s="108">
        <v>102</v>
      </c>
    </row>
  </sheetData>
  <dataConsolidate/>
  <dataValidations count="1">
    <dataValidation type="list" allowBlank="1" showInputMessage="1" showErrorMessage="1" sqref="E4" xr:uid="{B5FCBE19-152E-49E7-8850-DF6BAC15EC82}">
      <formula1>"1/31/2021,1/31/2022,1/31/2023,1/31/2024,1/31/2025,1/31/2026,1/31/2027"</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6708E-FABF-4719-9959-4E3369DCCC9E}">
  <sheetPr>
    <tabColor theme="6" tint="0.79998168889431442"/>
    <outlinePr summaryBelow="0" summaryRight="0"/>
  </sheetPr>
  <dimension ref="A1:NTQ304"/>
  <sheetViews>
    <sheetView showGridLines="0" zoomScaleNormal="100" workbookViewId="0">
      <pane xSplit="4" ySplit="4" topLeftCell="E18" activePane="bottomRight" state="frozen"/>
      <selection activeCell="E49" sqref="E49"/>
      <selection pane="topRight" activeCell="E49" sqref="E49"/>
      <selection pane="bottomLeft" activeCell="E49" sqref="E49"/>
      <selection pane="bottomRight" activeCell="E49" sqref="E49"/>
    </sheetView>
  </sheetViews>
  <sheetFormatPr baseColWidth="10" defaultColWidth="9.140625" defaultRowHeight="15" x14ac:dyDescent="0.2"/>
  <cols>
    <col min="1" max="1" width="2.42578125" customWidth="1"/>
    <col min="2" max="2" width="42.28515625" style="2" customWidth="1"/>
    <col min="3" max="3" width="7.7109375" style="2" bestFit="1" customWidth="1"/>
    <col min="4" max="4" width="2.7109375" customWidth="1"/>
    <col min="5" max="5" width="12.42578125" style="21" customWidth="1"/>
    <col min="6" max="40" width="13.28515625" style="21" customWidth="1"/>
    <col min="41" max="9998" width="9.140625" style="21"/>
    <col min="9999" max="9999" width="9.140625" style="20"/>
    <col min="10000" max="16384" width="9.140625" style="21"/>
  </cols>
  <sheetData>
    <row r="1" spans="1:40" customFormat="1" ht="21" customHeight="1" x14ac:dyDescent="0.2">
      <c r="A1" s="10" t="s">
        <v>141</v>
      </c>
      <c r="B1" s="2"/>
      <c r="C1" s="2"/>
    </row>
    <row r="2" spans="1:40" customFormat="1" ht="21" customHeight="1" x14ac:dyDescent="0.2">
      <c r="A2" s="11" t="s">
        <v>142</v>
      </c>
      <c r="B2" s="2"/>
      <c r="C2" s="2"/>
    </row>
    <row r="3" spans="1:40" customFormat="1" x14ac:dyDescent="0.2">
      <c r="A3" t="s">
        <v>13</v>
      </c>
      <c r="B3" s="2"/>
      <c r="C3" s="2"/>
    </row>
    <row r="4" spans="1:40" s="12" customFormat="1" ht="16" x14ac:dyDescent="0.2">
      <c r="B4" s="3"/>
      <c r="C4" s="98" t="s">
        <v>144</v>
      </c>
      <c r="E4" s="99">
        <v>44957</v>
      </c>
      <c r="F4" s="100">
        <f t="shared" ref="F4" si="0">EOMONTH(E4,1)</f>
        <v>44985</v>
      </c>
      <c r="G4" s="100">
        <f t="shared" ref="G4" si="1">EOMONTH(F4,1)</f>
        <v>45016</v>
      </c>
      <c r="H4" s="100">
        <f t="shared" ref="H4" si="2">EOMONTH(G4,1)</f>
        <v>45046</v>
      </c>
      <c r="I4" s="100">
        <f t="shared" ref="I4" si="3">EOMONTH(H4,1)</f>
        <v>45077</v>
      </c>
      <c r="J4" s="100">
        <f t="shared" ref="J4" si="4">EOMONTH(I4,1)</f>
        <v>45107</v>
      </c>
      <c r="K4" s="100">
        <f t="shared" ref="K4" si="5">EOMONTH(J4,1)</f>
        <v>45138</v>
      </c>
      <c r="L4" s="100">
        <f t="shared" ref="L4" si="6">EOMONTH(K4,1)</f>
        <v>45169</v>
      </c>
      <c r="M4" s="100">
        <f t="shared" ref="M4" si="7">EOMONTH(L4,1)</f>
        <v>45199</v>
      </c>
      <c r="N4" s="100">
        <f t="shared" ref="N4" si="8">EOMONTH(M4,1)</f>
        <v>45230</v>
      </c>
      <c r="O4" s="100">
        <f t="shared" ref="O4" si="9">EOMONTH(N4,1)</f>
        <v>45260</v>
      </c>
      <c r="P4" s="100">
        <f t="shared" ref="P4" si="10">EOMONTH(O4,1)</f>
        <v>45291</v>
      </c>
      <c r="Q4" s="100">
        <f t="shared" ref="Q4" si="11">EOMONTH(P4,1)</f>
        <v>45322</v>
      </c>
      <c r="R4" s="100">
        <f t="shared" ref="R4" si="12">EOMONTH(Q4,1)</f>
        <v>45351</v>
      </c>
      <c r="S4" s="100">
        <f t="shared" ref="S4" si="13">EOMONTH(R4,1)</f>
        <v>45382</v>
      </c>
      <c r="T4" s="100">
        <f t="shared" ref="T4" si="14">EOMONTH(S4,1)</f>
        <v>45412</v>
      </c>
      <c r="U4" s="100">
        <f t="shared" ref="U4" si="15">EOMONTH(T4,1)</f>
        <v>45443</v>
      </c>
      <c r="V4" s="100">
        <f t="shared" ref="V4" si="16">EOMONTH(U4,1)</f>
        <v>45473</v>
      </c>
      <c r="W4" s="100">
        <f t="shared" ref="W4" si="17">EOMONTH(V4,1)</f>
        <v>45504</v>
      </c>
      <c r="X4" s="100">
        <f t="shared" ref="X4" si="18">EOMONTH(W4,1)</f>
        <v>45535</v>
      </c>
      <c r="Y4" s="100">
        <f t="shared" ref="Y4" si="19">EOMONTH(X4,1)</f>
        <v>45565</v>
      </c>
      <c r="Z4" s="100">
        <f t="shared" ref="Z4" si="20">EOMONTH(Y4,1)</f>
        <v>45596</v>
      </c>
      <c r="AA4" s="100">
        <f t="shared" ref="AA4" si="21">EOMONTH(Z4,1)</f>
        <v>45626</v>
      </c>
      <c r="AB4" s="100">
        <f t="shared" ref="AB4" si="22">EOMONTH(AA4,1)</f>
        <v>45657</v>
      </c>
      <c r="AC4" s="100">
        <f t="shared" ref="AC4" si="23">EOMONTH(AB4,1)</f>
        <v>45688</v>
      </c>
      <c r="AD4" s="100">
        <f t="shared" ref="AD4" si="24">EOMONTH(AC4,1)</f>
        <v>45716</v>
      </c>
      <c r="AE4" s="100">
        <f t="shared" ref="AE4" si="25">EOMONTH(AD4,1)</f>
        <v>45747</v>
      </c>
      <c r="AF4" s="100">
        <f t="shared" ref="AF4" si="26">EOMONTH(AE4,1)</f>
        <v>45777</v>
      </c>
      <c r="AG4" s="100">
        <f t="shared" ref="AG4" si="27">EOMONTH(AF4,1)</f>
        <v>45808</v>
      </c>
      <c r="AH4" s="100">
        <f t="shared" ref="AH4" si="28">EOMONTH(AG4,1)</f>
        <v>45838</v>
      </c>
      <c r="AI4" s="100">
        <f t="shared" ref="AI4" si="29">EOMONTH(AH4,1)</f>
        <v>45869</v>
      </c>
      <c r="AJ4" s="100">
        <f t="shared" ref="AJ4" si="30">EOMONTH(AI4,1)</f>
        <v>45900</v>
      </c>
      <c r="AK4" s="100">
        <f t="shared" ref="AK4" si="31">EOMONTH(AJ4,1)</f>
        <v>45930</v>
      </c>
      <c r="AL4" s="100">
        <f t="shared" ref="AL4" si="32">EOMONTH(AK4,1)</f>
        <v>45961</v>
      </c>
      <c r="AM4" s="100">
        <f t="shared" ref="AM4" si="33">EOMONTH(AL4,1)</f>
        <v>45991</v>
      </c>
      <c r="AN4" s="100">
        <f t="shared" ref="AN4" si="34">EOMONTH(AM4,1)</f>
        <v>46022</v>
      </c>
    </row>
    <row r="5" spans="1:40" s="16" customFormat="1" ht="21" customHeight="1" x14ac:dyDescent="0.2">
      <c r="A5" s="13"/>
      <c r="B5" s="4" t="s">
        <v>30</v>
      </c>
      <c r="C5" s="4"/>
      <c r="D5" s="14"/>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row>
    <row r="6" spans="1:40" s="16" customFormat="1" ht="21" customHeight="1" x14ac:dyDescent="0.2">
      <c r="A6" s="13"/>
      <c r="B6" s="5" t="s">
        <v>92</v>
      </c>
      <c r="C6" s="101">
        <v>0.1</v>
      </c>
      <c r="D6" s="14"/>
      <c r="E6" s="102">
        <v>0</v>
      </c>
      <c r="F6" s="102">
        <v>0</v>
      </c>
      <c r="G6" s="102">
        <v>0</v>
      </c>
      <c r="H6" s="102">
        <v>0</v>
      </c>
      <c r="I6" s="102">
        <v>0</v>
      </c>
      <c r="J6" s="102">
        <v>0</v>
      </c>
      <c r="K6" s="102">
        <v>0</v>
      </c>
      <c r="L6" s="102">
        <v>0</v>
      </c>
      <c r="M6" s="102">
        <v>0</v>
      </c>
      <c r="N6" s="102">
        <v>0</v>
      </c>
      <c r="O6" s="102">
        <v>0</v>
      </c>
      <c r="P6" s="102">
        <v>0</v>
      </c>
      <c r="Q6" s="102">
        <v>0</v>
      </c>
      <c r="R6" s="102">
        <v>0</v>
      </c>
      <c r="S6" s="102">
        <v>0</v>
      </c>
      <c r="T6" s="102">
        <v>0</v>
      </c>
      <c r="U6" s="102">
        <v>0</v>
      </c>
      <c r="V6" s="102">
        <v>0</v>
      </c>
      <c r="W6" s="102">
        <v>0</v>
      </c>
      <c r="X6" s="102">
        <v>0</v>
      </c>
      <c r="Y6" s="102">
        <v>0</v>
      </c>
      <c r="Z6" s="102">
        <v>0</v>
      </c>
      <c r="AA6" s="102">
        <v>0</v>
      </c>
      <c r="AB6" s="102">
        <v>0</v>
      </c>
      <c r="AC6" s="102">
        <v>0</v>
      </c>
      <c r="AD6" s="102">
        <v>0</v>
      </c>
      <c r="AE6" s="102">
        <v>0</v>
      </c>
      <c r="AF6" s="102">
        <v>0</v>
      </c>
      <c r="AG6" s="102">
        <v>0</v>
      </c>
      <c r="AH6" s="102">
        <v>0</v>
      </c>
      <c r="AI6" s="102">
        <v>0</v>
      </c>
      <c r="AJ6" s="102">
        <v>0</v>
      </c>
      <c r="AK6" s="102">
        <v>0</v>
      </c>
      <c r="AL6" s="102">
        <v>0</v>
      </c>
      <c r="AM6" s="102">
        <v>0</v>
      </c>
      <c r="AN6" s="102">
        <v>0</v>
      </c>
    </row>
    <row r="7" spans="1:40" s="16" customFormat="1" ht="21" customHeight="1" x14ac:dyDescent="0.2">
      <c r="A7" s="13"/>
      <c r="B7" s="6" t="s">
        <v>145</v>
      </c>
      <c r="C7" s="26"/>
      <c r="D7" s="14"/>
      <c r="E7" s="104">
        <f t="shared" ref="E7:AN7" si="35">SUM(E6 + E5)</f>
        <v>0</v>
      </c>
      <c r="F7" s="104">
        <f t="shared" ref="F7:AM7" si="36">SUM(F6 + F5)</f>
        <v>0</v>
      </c>
      <c r="G7" s="104">
        <f t="shared" si="36"/>
        <v>0</v>
      </c>
      <c r="H7" s="104">
        <f t="shared" si="36"/>
        <v>0</v>
      </c>
      <c r="I7" s="104">
        <f t="shared" si="36"/>
        <v>0</v>
      </c>
      <c r="J7" s="104">
        <f t="shared" si="36"/>
        <v>0</v>
      </c>
      <c r="K7" s="104">
        <f t="shared" si="36"/>
        <v>0</v>
      </c>
      <c r="L7" s="104">
        <f t="shared" si="36"/>
        <v>0</v>
      </c>
      <c r="M7" s="104">
        <f t="shared" si="36"/>
        <v>0</v>
      </c>
      <c r="N7" s="104">
        <f t="shared" si="36"/>
        <v>0</v>
      </c>
      <c r="O7" s="104">
        <f t="shared" si="36"/>
        <v>0</v>
      </c>
      <c r="P7" s="104">
        <f t="shared" si="36"/>
        <v>0</v>
      </c>
      <c r="Q7" s="104">
        <f t="shared" si="36"/>
        <v>0</v>
      </c>
      <c r="R7" s="104">
        <f t="shared" si="36"/>
        <v>0</v>
      </c>
      <c r="S7" s="104">
        <f t="shared" si="36"/>
        <v>0</v>
      </c>
      <c r="T7" s="104">
        <f t="shared" si="36"/>
        <v>0</v>
      </c>
      <c r="U7" s="104">
        <f t="shared" si="36"/>
        <v>0</v>
      </c>
      <c r="V7" s="104">
        <f t="shared" si="36"/>
        <v>0</v>
      </c>
      <c r="W7" s="104">
        <f t="shared" si="36"/>
        <v>0</v>
      </c>
      <c r="X7" s="104">
        <f t="shared" si="36"/>
        <v>0</v>
      </c>
      <c r="Y7" s="104">
        <f t="shared" si="36"/>
        <v>0</v>
      </c>
      <c r="Z7" s="104">
        <f t="shared" si="36"/>
        <v>0</v>
      </c>
      <c r="AA7" s="104">
        <f t="shared" si="36"/>
        <v>0</v>
      </c>
      <c r="AB7" s="104">
        <f t="shared" si="36"/>
        <v>0</v>
      </c>
      <c r="AC7" s="104">
        <f t="shared" si="36"/>
        <v>0</v>
      </c>
      <c r="AD7" s="104">
        <f t="shared" si="36"/>
        <v>0</v>
      </c>
      <c r="AE7" s="104">
        <f t="shared" si="36"/>
        <v>0</v>
      </c>
      <c r="AF7" s="104">
        <f t="shared" si="36"/>
        <v>0</v>
      </c>
      <c r="AG7" s="104">
        <f t="shared" si="36"/>
        <v>0</v>
      </c>
      <c r="AH7" s="104">
        <f t="shared" si="36"/>
        <v>0</v>
      </c>
      <c r="AI7" s="104">
        <f t="shared" si="36"/>
        <v>0</v>
      </c>
      <c r="AJ7" s="104">
        <f t="shared" si="36"/>
        <v>0</v>
      </c>
      <c r="AK7" s="104">
        <f t="shared" si="36"/>
        <v>0</v>
      </c>
      <c r="AL7" s="104">
        <f t="shared" si="36"/>
        <v>0</v>
      </c>
      <c r="AM7" s="104">
        <f t="shared" si="36"/>
        <v>0</v>
      </c>
      <c r="AN7" s="104">
        <f t="shared" si="35"/>
        <v>0</v>
      </c>
    </row>
    <row r="8" spans="1:40" s="16" customFormat="1" ht="21" customHeight="1" x14ac:dyDescent="0.2">
      <c r="A8" s="13"/>
      <c r="B8" s="6" t="s">
        <v>41</v>
      </c>
      <c r="C8" s="26"/>
      <c r="D8" s="14"/>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row>
    <row r="9" spans="1:40" s="16" customFormat="1" ht="21" customHeight="1" x14ac:dyDescent="0.2">
      <c r="A9" s="13"/>
      <c r="B9" s="5" t="s">
        <v>96</v>
      </c>
      <c r="C9" s="101">
        <v>0.04</v>
      </c>
      <c r="D9" s="14"/>
      <c r="E9" s="102">
        <v>800</v>
      </c>
      <c r="F9" s="103">
        <f t="shared" ref="F9" si="37">E9*(1+$C9)</f>
        <v>832</v>
      </c>
      <c r="G9" s="103">
        <f t="shared" ref="G9" si="38">F9*(1+$C9)</f>
        <v>865.28</v>
      </c>
      <c r="H9" s="103">
        <f t="shared" ref="H9" si="39">G9*(1+$C9)</f>
        <v>899.89120000000003</v>
      </c>
      <c r="I9" s="103">
        <f t="shared" ref="I9" si="40">H9*(1+$C9)</f>
        <v>935.8868480000001</v>
      </c>
      <c r="J9" s="103">
        <f t="shared" ref="J9" si="41">I9*(1+$C9)</f>
        <v>973.32232192000015</v>
      </c>
      <c r="K9" s="103">
        <f t="shared" ref="K9" si="42">J9*(1+$C9)</f>
        <v>1012.2552147968001</v>
      </c>
      <c r="L9" s="103">
        <f t="shared" ref="L9" si="43">K9*(1+$C9)</f>
        <v>1052.7454233886722</v>
      </c>
      <c r="M9" s="103">
        <f t="shared" ref="M9" si="44">L9*(1+$C9)</f>
        <v>1094.855240324219</v>
      </c>
      <c r="N9" s="103">
        <f t="shared" ref="N9" si="45">M9*(1+$C9)</f>
        <v>1138.6494499371879</v>
      </c>
      <c r="O9" s="103">
        <f t="shared" ref="O9" si="46">N9*(1+$C9)</f>
        <v>1184.1954279346755</v>
      </c>
      <c r="P9" s="103">
        <f t="shared" ref="P9" si="47">O9*(1+$C9)</f>
        <v>1231.5632450520627</v>
      </c>
      <c r="Q9" s="103">
        <f t="shared" ref="Q9" si="48">P9*(1+$C9)</f>
        <v>1280.8257748541453</v>
      </c>
      <c r="R9" s="103">
        <f t="shared" ref="R9" si="49">Q9*(1+$C9)</f>
        <v>1332.0588058483111</v>
      </c>
      <c r="S9" s="103">
        <f t="shared" ref="S9" si="50">R9*(1+$C9)</f>
        <v>1385.3411580822435</v>
      </c>
      <c r="T9" s="103">
        <f t="shared" ref="T9" si="51">S9*(1+$C9)</f>
        <v>1440.7548044055334</v>
      </c>
      <c r="U9" s="103">
        <f t="shared" ref="U9" si="52">T9*(1+$C9)</f>
        <v>1498.3849965817549</v>
      </c>
      <c r="V9" s="103">
        <f t="shared" ref="V9" si="53">U9*(1+$C9)</f>
        <v>1558.3203964450252</v>
      </c>
      <c r="W9" s="103">
        <f t="shared" ref="W9" si="54">V9*(1+$C9)</f>
        <v>1620.6532123028262</v>
      </c>
      <c r="X9" s="103">
        <f t="shared" ref="X9" si="55">W9*(1+$C9)</f>
        <v>1685.4793407949394</v>
      </c>
      <c r="Y9" s="103">
        <f t="shared" ref="Y9" si="56">X9*(1+$C9)</f>
        <v>1752.8985144267369</v>
      </c>
      <c r="Z9" s="103">
        <f t="shared" ref="Z9" si="57">Y9*(1+$C9)</f>
        <v>1823.0144550038065</v>
      </c>
      <c r="AA9" s="103">
        <f t="shared" ref="AA9" si="58">Z9*(1+$C9)</f>
        <v>1895.9350332039587</v>
      </c>
      <c r="AB9" s="103">
        <f t="shared" ref="AB9" si="59">AA9*(1+$C9)</f>
        <v>1971.7724345321171</v>
      </c>
      <c r="AC9" s="103">
        <f t="shared" ref="AC9" si="60">AB9*(1+$C9)</f>
        <v>2050.6433319134021</v>
      </c>
      <c r="AD9" s="103">
        <f t="shared" ref="AD9" si="61">AC9*(1+$C9)</f>
        <v>2132.6690651899385</v>
      </c>
      <c r="AE9" s="103">
        <f t="shared" ref="AE9" si="62">AD9*(1+$C9)</f>
        <v>2217.9758277975361</v>
      </c>
      <c r="AF9" s="103">
        <f t="shared" ref="AF9" si="63">AE9*(1+$C9)</f>
        <v>2306.6948609094375</v>
      </c>
      <c r="AG9" s="103">
        <f t="shared" ref="AG9" si="64">AF9*(1+$C9)</f>
        <v>2398.9626553458152</v>
      </c>
      <c r="AH9" s="103">
        <f t="shared" ref="AH9" si="65">AG9*(1+$C9)</f>
        <v>2494.9211615596478</v>
      </c>
      <c r="AI9" s="103">
        <f t="shared" ref="AI9" si="66">AH9*(1+$C9)</f>
        <v>2594.7180080220337</v>
      </c>
      <c r="AJ9" s="103">
        <f t="shared" ref="AJ9" si="67">AI9*(1+$C9)</f>
        <v>2698.5067283429153</v>
      </c>
      <c r="AK9" s="103">
        <f t="shared" ref="AK9" si="68">AJ9*(1+$C9)</f>
        <v>2806.4469974766321</v>
      </c>
      <c r="AL9" s="103">
        <f t="shared" ref="AL9" si="69">AK9*(1+$C9)</f>
        <v>2918.7048773756974</v>
      </c>
      <c r="AM9" s="103">
        <f t="shared" ref="AM9" si="70">AL9*(1+$C9)</f>
        <v>3035.4530724707256</v>
      </c>
      <c r="AN9" s="103">
        <f t="shared" ref="AN9" si="71">AM9*(1+$C9)</f>
        <v>3156.8711953695547</v>
      </c>
    </row>
    <row r="10" spans="1:40" s="16" customFormat="1" ht="21" customHeight="1" x14ac:dyDescent="0.2">
      <c r="A10" s="13"/>
      <c r="B10" s="5" t="s">
        <v>98</v>
      </c>
      <c r="C10" s="101">
        <v>0.04</v>
      </c>
      <c r="D10" s="14"/>
      <c r="E10" s="102">
        <v>0</v>
      </c>
      <c r="F10" s="102">
        <v>0</v>
      </c>
      <c r="G10" s="102">
        <v>0</v>
      </c>
      <c r="H10" s="102">
        <v>0</v>
      </c>
      <c r="I10" s="102">
        <v>0</v>
      </c>
      <c r="J10" s="102">
        <v>0</v>
      </c>
      <c r="K10" s="102">
        <v>0</v>
      </c>
      <c r="L10" s="102">
        <v>0</v>
      </c>
      <c r="M10" s="102">
        <v>0</v>
      </c>
      <c r="N10" s="102">
        <v>0</v>
      </c>
      <c r="O10" s="102">
        <v>0</v>
      </c>
      <c r="P10" s="102">
        <v>0</v>
      </c>
      <c r="Q10" s="102">
        <v>0</v>
      </c>
      <c r="R10" s="102">
        <v>0</v>
      </c>
      <c r="S10" s="102">
        <v>0</v>
      </c>
      <c r="T10" s="102">
        <v>0</v>
      </c>
      <c r="U10" s="102">
        <v>0</v>
      </c>
      <c r="V10" s="102">
        <v>0</v>
      </c>
      <c r="W10" s="102">
        <v>0</v>
      </c>
      <c r="X10" s="102">
        <v>0</v>
      </c>
      <c r="Y10" s="102">
        <v>0</v>
      </c>
      <c r="Z10" s="102">
        <v>0</v>
      </c>
      <c r="AA10" s="102">
        <v>0</v>
      </c>
      <c r="AB10" s="102">
        <v>0</v>
      </c>
      <c r="AC10" s="102">
        <v>0</v>
      </c>
      <c r="AD10" s="102">
        <v>0</v>
      </c>
      <c r="AE10" s="102">
        <v>0</v>
      </c>
      <c r="AF10" s="102">
        <v>0</v>
      </c>
      <c r="AG10" s="102">
        <v>0</v>
      </c>
      <c r="AH10" s="102">
        <v>0</v>
      </c>
      <c r="AI10" s="102">
        <v>0</v>
      </c>
      <c r="AJ10" s="102">
        <v>0</v>
      </c>
      <c r="AK10" s="102">
        <v>0</v>
      </c>
      <c r="AL10" s="102">
        <v>0</v>
      </c>
      <c r="AM10" s="102">
        <v>0</v>
      </c>
      <c r="AN10" s="102">
        <v>0</v>
      </c>
    </row>
    <row r="11" spans="1:40" s="16" customFormat="1" ht="21" customHeight="1" x14ac:dyDescent="0.2">
      <c r="A11" s="13"/>
      <c r="B11" s="6" t="s">
        <v>146</v>
      </c>
      <c r="C11" s="26"/>
      <c r="D11" s="14"/>
      <c r="E11" s="104">
        <f t="shared" ref="E11:AN11" si="72">SUM(E10, E9 + E8)</f>
        <v>800</v>
      </c>
      <c r="F11" s="104">
        <f t="shared" ref="F11:AM11" si="73">SUM(F10, F9 + F8)</f>
        <v>832</v>
      </c>
      <c r="G11" s="104">
        <f t="shared" si="73"/>
        <v>865.28</v>
      </c>
      <c r="H11" s="104">
        <f t="shared" si="73"/>
        <v>899.89120000000003</v>
      </c>
      <c r="I11" s="104">
        <f t="shared" si="73"/>
        <v>935.8868480000001</v>
      </c>
      <c r="J11" s="104">
        <f t="shared" si="73"/>
        <v>973.32232192000015</v>
      </c>
      <c r="K11" s="104">
        <f t="shared" si="73"/>
        <v>1012.2552147968001</v>
      </c>
      <c r="L11" s="104">
        <f t="shared" si="73"/>
        <v>1052.7454233886722</v>
      </c>
      <c r="M11" s="104">
        <f t="shared" si="73"/>
        <v>1094.855240324219</v>
      </c>
      <c r="N11" s="104">
        <f t="shared" si="73"/>
        <v>1138.6494499371879</v>
      </c>
      <c r="O11" s="104">
        <f t="shared" si="73"/>
        <v>1184.1954279346755</v>
      </c>
      <c r="P11" s="104">
        <f t="shared" si="73"/>
        <v>1231.5632450520627</v>
      </c>
      <c r="Q11" s="104">
        <f t="shared" si="73"/>
        <v>1280.8257748541453</v>
      </c>
      <c r="R11" s="104">
        <f t="shared" si="73"/>
        <v>1332.0588058483111</v>
      </c>
      <c r="S11" s="104">
        <f t="shared" si="73"/>
        <v>1385.3411580822435</v>
      </c>
      <c r="T11" s="104">
        <f t="shared" si="73"/>
        <v>1440.7548044055334</v>
      </c>
      <c r="U11" s="104">
        <f t="shared" si="73"/>
        <v>1498.3849965817549</v>
      </c>
      <c r="V11" s="104">
        <f t="shared" si="73"/>
        <v>1558.3203964450252</v>
      </c>
      <c r="W11" s="104">
        <f t="shared" si="73"/>
        <v>1620.6532123028262</v>
      </c>
      <c r="X11" s="104">
        <f t="shared" si="73"/>
        <v>1685.4793407949394</v>
      </c>
      <c r="Y11" s="104">
        <f t="shared" si="73"/>
        <v>1752.8985144267369</v>
      </c>
      <c r="Z11" s="104">
        <f t="shared" si="73"/>
        <v>1823.0144550038065</v>
      </c>
      <c r="AA11" s="104">
        <f t="shared" si="73"/>
        <v>1895.9350332039587</v>
      </c>
      <c r="AB11" s="104">
        <f t="shared" si="73"/>
        <v>1971.7724345321171</v>
      </c>
      <c r="AC11" s="104">
        <f t="shared" si="73"/>
        <v>2050.6433319134021</v>
      </c>
      <c r="AD11" s="104">
        <f t="shared" si="73"/>
        <v>2132.6690651899385</v>
      </c>
      <c r="AE11" s="104">
        <f t="shared" si="73"/>
        <v>2217.9758277975361</v>
      </c>
      <c r="AF11" s="104">
        <f t="shared" si="73"/>
        <v>2306.6948609094375</v>
      </c>
      <c r="AG11" s="104">
        <f t="shared" si="73"/>
        <v>2398.9626553458152</v>
      </c>
      <c r="AH11" s="104">
        <f t="shared" si="73"/>
        <v>2494.9211615596478</v>
      </c>
      <c r="AI11" s="104">
        <f t="shared" si="73"/>
        <v>2594.7180080220337</v>
      </c>
      <c r="AJ11" s="104">
        <f t="shared" si="73"/>
        <v>2698.5067283429153</v>
      </c>
      <c r="AK11" s="104">
        <f t="shared" si="73"/>
        <v>2806.4469974766321</v>
      </c>
      <c r="AL11" s="104">
        <f t="shared" si="73"/>
        <v>2918.7048773756974</v>
      </c>
      <c r="AM11" s="104">
        <f t="shared" si="73"/>
        <v>3035.4530724707256</v>
      </c>
      <c r="AN11" s="104">
        <f t="shared" si="72"/>
        <v>3156.8711953695547</v>
      </c>
    </row>
    <row r="12" spans="1:40" s="18" customFormat="1" ht="21" customHeight="1" x14ac:dyDescent="0.2">
      <c r="B12" s="6" t="s">
        <v>43</v>
      </c>
      <c r="C12" s="26"/>
      <c r="D12" s="19"/>
      <c r="E12" s="105">
        <f t="shared" ref="E12:AN12" si="74">E7-E11</f>
        <v>-800</v>
      </c>
      <c r="F12" s="105">
        <f t="shared" ref="F12:AM12" si="75">F7-F11</f>
        <v>-832</v>
      </c>
      <c r="G12" s="105">
        <f t="shared" si="75"/>
        <v>-865.28</v>
      </c>
      <c r="H12" s="105">
        <f t="shared" si="75"/>
        <v>-899.89120000000003</v>
      </c>
      <c r="I12" s="105">
        <f t="shared" si="75"/>
        <v>-935.8868480000001</v>
      </c>
      <c r="J12" s="105">
        <f t="shared" si="75"/>
        <v>-973.32232192000015</v>
      </c>
      <c r="K12" s="105">
        <f t="shared" si="75"/>
        <v>-1012.2552147968001</v>
      </c>
      <c r="L12" s="105">
        <f t="shared" si="75"/>
        <v>-1052.7454233886722</v>
      </c>
      <c r="M12" s="105">
        <f t="shared" si="75"/>
        <v>-1094.855240324219</v>
      </c>
      <c r="N12" s="105">
        <f t="shared" si="75"/>
        <v>-1138.6494499371879</v>
      </c>
      <c r="O12" s="105">
        <f t="shared" si="75"/>
        <v>-1184.1954279346755</v>
      </c>
      <c r="P12" s="105">
        <f t="shared" si="75"/>
        <v>-1231.5632450520627</v>
      </c>
      <c r="Q12" s="105">
        <f t="shared" si="75"/>
        <v>-1280.8257748541453</v>
      </c>
      <c r="R12" s="105">
        <f t="shared" si="75"/>
        <v>-1332.0588058483111</v>
      </c>
      <c r="S12" s="105">
        <f t="shared" si="75"/>
        <v>-1385.3411580822435</v>
      </c>
      <c r="T12" s="105">
        <f t="shared" si="75"/>
        <v>-1440.7548044055334</v>
      </c>
      <c r="U12" s="105">
        <f t="shared" si="75"/>
        <v>-1498.3849965817549</v>
      </c>
      <c r="V12" s="105">
        <f t="shared" si="75"/>
        <v>-1558.3203964450252</v>
      </c>
      <c r="W12" s="105">
        <f t="shared" si="75"/>
        <v>-1620.6532123028262</v>
      </c>
      <c r="X12" s="105">
        <f t="shared" si="75"/>
        <v>-1685.4793407949394</v>
      </c>
      <c r="Y12" s="105">
        <f t="shared" si="75"/>
        <v>-1752.8985144267369</v>
      </c>
      <c r="Z12" s="105">
        <f t="shared" si="75"/>
        <v>-1823.0144550038065</v>
      </c>
      <c r="AA12" s="105">
        <f t="shared" si="75"/>
        <v>-1895.9350332039587</v>
      </c>
      <c r="AB12" s="105">
        <f t="shared" si="75"/>
        <v>-1971.7724345321171</v>
      </c>
      <c r="AC12" s="105">
        <f t="shared" si="75"/>
        <v>-2050.6433319134021</v>
      </c>
      <c r="AD12" s="105">
        <f t="shared" si="75"/>
        <v>-2132.6690651899385</v>
      </c>
      <c r="AE12" s="105">
        <f t="shared" si="75"/>
        <v>-2217.9758277975361</v>
      </c>
      <c r="AF12" s="105">
        <f t="shared" si="75"/>
        <v>-2306.6948609094375</v>
      </c>
      <c r="AG12" s="105">
        <f t="shared" si="75"/>
        <v>-2398.9626553458152</v>
      </c>
      <c r="AH12" s="105">
        <f t="shared" si="75"/>
        <v>-2494.9211615596478</v>
      </c>
      <c r="AI12" s="105">
        <f t="shared" si="75"/>
        <v>-2594.7180080220337</v>
      </c>
      <c r="AJ12" s="105">
        <f t="shared" si="75"/>
        <v>-2698.5067283429153</v>
      </c>
      <c r="AK12" s="105">
        <f t="shared" si="75"/>
        <v>-2806.4469974766321</v>
      </c>
      <c r="AL12" s="105">
        <f t="shared" si="75"/>
        <v>-2918.7048773756974</v>
      </c>
      <c r="AM12" s="105">
        <f t="shared" si="75"/>
        <v>-3035.4530724707256</v>
      </c>
      <c r="AN12" s="105">
        <f t="shared" si="74"/>
        <v>-3156.8711953695547</v>
      </c>
    </row>
    <row r="13" spans="1:40" s="16" customFormat="1" ht="21" customHeight="1" x14ac:dyDescent="0.2">
      <c r="A13" s="13"/>
      <c r="B13" s="6" t="s">
        <v>23</v>
      </c>
      <c r="C13" s="26"/>
      <c r="D13" s="14"/>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row>
    <row r="14" spans="1:40" s="16" customFormat="1" ht="21" customHeight="1" x14ac:dyDescent="0.2">
      <c r="B14" s="5" t="s">
        <v>49</v>
      </c>
      <c r="C14" s="101">
        <v>0.04</v>
      </c>
      <c r="D14" s="14"/>
      <c r="E14" s="102">
        <v>0</v>
      </c>
      <c r="F14" s="102">
        <v>0</v>
      </c>
      <c r="G14" s="102">
        <v>0</v>
      </c>
      <c r="H14" s="102">
        <v>0</v>
      </c>
      <c r="I14" s="102">
        <v>0</v>
      </c>
      <c r="J14" s="102">
        <v>0</v>
      </c>
      <c r="K14" s="102">
        <v>0</v>
      </c>
      <c r="L14" s="102">
        <v>0</v>
      </c>
      <c r="M14" s="102">
        <v>0</v>
      </c>
      <c r="N14" s="102">
        <v>0</v>
      </c>
      <c r="O14" s="102">
        <v>0</v>
      </c>
      <c r="P14" s="102">
        <v>0</v>
      </c>
      <c r="Q14" s="102">
        <v>0</v>
      </c>
      <c r="R14" s="102">
        <v>0</v>
      </c>
      <c r="S14" s="102">
        <v>0</v>
      </c>
      <c r="T14" s="102">
        <v>0</v>
      </c>
      <c r="U14" s="102">
        <v>0</v>
      </c>
      <c r="V14" s="102">
        <v>0</v>
      </c>
      <c r="W14" s="102">
        <v>0</v>
      </c>
      <c r="X14" s="102">
        <v>0</v>
      </c>
      <c r="Y14" s="102">
        <v>0</v>
      </c>
      <c r="Z14" s="102">
        <v>0</v>
      </c>
      <c r="AA14" s="102">
        <v>0</v>
      </c>
      <c r="AB14" s="102">
        <v>0</v>
      </c>
      <c r="AC14" s="102">
        <v>0</v>
      </c>
      <c r="AD14" s="102">
        <v>0</v>
      </c>
      <c r="AE14" s="102">
        <v>0</v>
      </c>
      <c r="AF14" s="102">
        <v>0</v>
      </c>
      <c r="AG14" s="102">
        <v>0</v>
      </c>
      <c r="AH14" s="102">
        <v>0</v>
      </c>
      <c r="AI14" s="102">
        <v>0</v>
      </c>
      <c r="AJ14" s="102">
        <v>0</v>
      </c>
      <c r="AK14" s="102">
        <v>0</v>
      </c>
      <c r="AL14" s="102">
        <v>0</v>
      </c>
      <c r="AM14" s="102">
        <v>0</v>
      </c>
      <c r="AN14" s="102">
        <v>0</v>
      </c>
    </row>
    <row r="15" spans="1:40" s="16" customFormat="1" ht="21" customHeight="1" x14ac:dyDescent="0.2">
      <c r="B15" s="5" t="s">
        <v>106</v>
      </c>
      <c r="C15" s="101">
        <v>0.04</v>
      </c>
      <c r="D15" s="14"/>
      <c r="E15" s="102">
        <v>0</v>
      </c>
      <c r="F15" s="102">
        <v>0</v>
      </c>
      <c r="G15" s="102">
        <v>0</v>
      </c>
      <c r="H15" s="102">
        <v>0</v>
      </c>
      <c r="I15" s="102">
        <v>0</v>
      </c>
      <c r="J15" s="102">
        <v>0</v>
      </c>
      <c r="K15" s="102">
        <v>0</v>
      </c>
      <c r="L15" s="102">
        <v>0</v>
      </c>
      <c r="M15" s="102">
        <v>0</v>
      </c>
      <c r="N15" s="102">
        <v>0</v>
      </c>
      <c r="O15" s="102">
        <v>0</v>
      </c>
      <c r="P15" s="102">
        <v>0</v>
      </c>
      <c r="Q15" s="102">
        <v>0</v>
      </c>
      <c r="R15" s="102">
        <v>0</v>
      </c>
      <c r="S15" s="102">
        <v>0</v>
      </c>
      <c r="T15" s="102">
        <v>0</v>
      </c>
      <c r="U15" s="102">
        <v>0</v>
      </c>
      <c r="V15" s="102">
        <v>0</v>
      </c>
      <c r="W15" s="102">
        <v>0</v>
      </c>
      <c r="X15" s="102">
        <v>0</v>
      </c>
      <c r="Y15" s="102">
        <v>0</v>
      </c>
      <c r="Z15" s="102">
        <v>0</v>
      </c>
      <c r="AA15" s="102">
        <v>0</v>
      </c>
      <c r="AB15" s="102">
        <v>0</v>
      </c>
      <c r="AC15" s="102">
        <v>0</v>
      </c>
      <c r="AD15" s="102">
        <v>0</v>
      </c>
      <c r="AE15" s="102">
        <v>0</v>
      </c>
      <c r="AF15" s="102">
        <v>0</v>
      </c>
      <c r="AG15" s="102">
        <v>0</v>
      </c>
      <c r="AH15" s="102">
        <v>0</v>
      </c>
      <c r="AI15" s="102">
        <v>0</v>
      </c>
      <c r="AJ15" s="102">
        <v>0</v>
      </c>
      <c r="AK15" s="102">
        <v>0</v>
      </c>
      <c r="AL15" s="102">
        <v>0</v>
      </c>
      <c r="AM15" s="102">
        <v>0</v>
      </c>
      <c r="AN15" s="102">
        <v>0</v>
      </c>
    </row>
    <row r="16" spans="1:40" s="16" customFormat="1" ht="21" customHeight="1" x14ac:dyDescent="0.2">
      <c r="B16" s="5" t="s">
        <v>51</v>
      </c>
      <c r="C16" s="101">
        <v>0.04</v>
      </c>
      <c r="D16" s="14"/>
      <c r="E16" s="102">
        <v>4000</v>
      </c>
      <c r="F16" s="103">
        <f t="shared" ref="F16:F17" si="76">E16*(1+$C16)</f>
        <v>4160</v>
      </c>
      <c r="G16" s="103">
        <f>F16*(0.9)</f>
        <v>3744</v>
      </c>
      <c r="H16" s="103">
        <f t="shared" ref="H16" si="77">G16*(1+$C16)</f>
        <v>3893.76</v>
      </c>
      <c r="I16" s="103">
        <f t="shared" ref="I16:I17" si="78">H16*(1+$C16)</f>
        <v>4049.5104000000006</v>
      </c>
      <c r="J16" s="103">
        <f t="shared" ref="J16:J17" si="79">I16*(1+$C16)</f>
        <v>4211.4908160000005</v>
      </c>
      <c r="K16" s="103">
        <f t="shared" ref="K16:K17" si="80">J16*(1+$C16)</f>
        <v>4379.950448640001</v>
      </c>
      <c r="L16" s="103">
        <f t="shared" ref="L16:L17" si="81">K16*(1+$C16)</f>
        <v>4555.1484665856015</v>
      </c>
      <c r="M16" s="103">
        <f t="shared" ref="M16:M17" si="82">L16*(1+$C16)</f>
        <v>4737.3544052490261</v>
      </c>
      <c r="N16" s="103">
        <f t="shared" ref="N16:O16" si="83">M16*(0.9)</f>
        <v>4263.6189647241235</v>
      </c>
      <c r="O16" s="103">
        <f t="shared" si="83"/>
        <v>3837.2570682517112</v>
      </c>
      <c r="P16" s="103">
        <f t="shared" ref="P16:P17" si="84">O16*(1+$C16)</f>
        <v>3990.7473509817796</v>
      </c>
      <c r="Q16" s="103">
        <f t="shared" ref="Q16:Q17" si="85">P16*(1+$C16)</f>
        <v>4150.3772450210508</v>
      </c>
      <c r="R16" s="103">
        <f t="shared" ref="R16:R17" si="86">Q16*(1+$C16)</f>
        <v>4316.3923348218932</v>
      </c>
      <c r="S16" s="103">
        <f>R16*(0.9)</f>
        <v>3884.7531013397038</v>
      </c>
      <c r="T16" s="103">
        <f t="shared" ref="T16:T17" si="87">S16*(1+$C16)</f>
        <v>4040.1432253932921</v>
      </c>
      <c r="U16" s="103">
        <f t="shared" ref="U16:U17" si="88">T16*(1+$C16)</f>
        <v>4201.748954409024</v>
      </c>
      <c r="V16" s="103">
        <f t="shared" ref="V16:V17" si="89">U16*(1+$C16)</f>
        <v>4369.8189125853851</v>
      </c>
      <c r="W16" s="103">
        <f t="shared" ref="W16:X16" si="90">V16*(0.9)</f>
        <v>3932.8370213268468</v>
      </c>
      <c r="X16" s="103">
        <f t="shared" si="90"/>
        <v>3539.5533191941622</v>
      </c>
      <c r="Y16" s="103">
        <f t="shared" ref="Y16:Y17" si="91">X16*(1+$C16)</f>
        <v>3681.135451961929</v>
      </c>
      <c r="Z16" s="103">
        <f t="shared" ref="Z16" si="92">Y16*(1+$C16)</f>
        <v>3828.3808700404061</v>
      </c>
      <c r="AA16" s="103">
        <f t="shared" ref="AA16:AA17" si="93">Z16*(1+$C16)</f>
        <v>3981.5161048420223</v>
      </c>
      <c r="AB16" s="103">
        <f t="shared" ref="AB16:AB17" si="94">AA16*(1+$C16)</f>
        <v>4140.7767490357037</v>
      </c>
      <c r="AC16" s="103">
        <f t="shared" ref="AC16:AC17" si="95">AB16*(1+$C16)</f>
        <v>4306.4078189971324</v>
      </c>
      <c r="AD16" s="103">
        <f>AC16*(0.9)</f>
        <v>3875.7670370974192</v>
      </c>
      <c r="AE16" s="103">
        <f t="shared" ref="AE16:AE17" si="96">AD16*(1+$C16)</f>
        <v>4030.7977185813161</v>
      </c>
      <c r="AF16" s="103">
        <f t="shared" ref="AF16:AF17" si="97">AE16*(1+$C16)</f>
        <v>4192.0296273245685</v>
      </c>
      <c r="AG16" s="103">
        <f t="shared" ref="AG16:AG17" si="98">AF16*(1+$C16)</f>
        <v>4359.7108124175511</v>
      </c>
      <c r="AH16" s="103">
        <f>AG16*(0.9)</f>
        <v>3923.7397311757959</v>
      </c>
      <c r="AI16" s="103">
        <f t="shared" ref="AI16:AI17" si="99">AH16*(1+$C16)</f>
        <v>4080.6893204228277</v>
      </c>
      <c r="AJ16" s="103">
        <f t="shared" ref="AJ16:AJ17" si="100">AI16*(1+$C16)</f>
        <v>4243.9168932397406</v>
      </c>
      <c r="AK16" s="103">
        <f t="shared" ref="AK16:AK17" si="101">AJ16*(1+$C16)</f>
        <v>4413.6735689693305</v>
      </c>
      <c r="AL16" s="103">
        <f t="shared" ref="AL16:AL17" si="102">AK16*(1+$C16)</f>
        <v>4590.2205117281037</v>
      </c>
      <c r="AM16" s="103">
        <f t="shared" ref="AM16" si="103">AL16*(1+$C16)</f>
        <v>4773.8293321972278</v>
      </c>
      <c r="AN16" s="103">
        <f>AM16*(0.9)</f>
        <v>4296.4463989775049</v>
      </c>
    </row>
    <row r="17" spans="2:40" s="16" customFormat="1" ht="21" customHeight="1" x14ac:dyDescent="0.2">
      <c r="B17" s="5" t="s">
        <v>110</v>
      </c>
      <c r="C17" s="101">
        <v>0.03</v>
      </c>
      <c r="D17" s="14"/>
      <c r="E17" s="102">
        <v>6000</v>
      </c>
      <c r="F17" s="103">
        <f t="shared" si="76"/>
        <v>6180</v>
      </c>
      <c r="G17" s="103">
        <f t="shared" ref="G17" si="104">F17*(1+$C17)</f>
        <v>6365.4000000000005</v>
      </c>
      <c r="H17" s="103">
        <f>G17*(0.9)</f>
        <v>5728.8600000000006</v>
      </c>
      <c r="I17" s="103">
        <f t="shared" si="78"/>
        <v>5900.7258000000011</v>
      </c>
      <c r="J17" s="103">
        <f t="shared" si="79"/>
        <v>6077.7475740000009</v>
      </c>
      <c r="K17" s="103">
        <f t="shared" si="80"/>
        <v>6260.0800012200007</v>
      </c>
      <c r="L17" s="103">
        <f t="shared" si="81"/>
        <v>6447.882401256601</v>
      </c>
      <c r="M17" s="103">
        <f t="shared" si="82"/>
        <v>6641.318873294299</v>
      </c>
      <c r="N17" s="103">
        <f t="shared" ref="N17" si="105">M17*(1+$C17)</f>
        <v>6840.5584394931284</v>
      </c>
      <c r="O17" s="103">
        <f>N17*(0.9)</f>
        <v>6156.5025955438159</v>
      </c>
      <c r="P17" s="103">
        <f t="shared" si="84"/>
        <v>6341.1976734101308</v>
      </c>
      <c r="Q17" s="103">
        <f t="shared" si="85"/>
        <v>6531.433603612435</v>
      </c>
      <c r="R17" s="103">
        <f t="shared" si="86"/>
        <v>6727.3766117208079</v>
      </c>
      <c r="S17" s="103">
        <f>R17*(0.9)</f>
        <v>6054.6389505487268</v>
      </c>
      <c r="T17" s="103">
        <f t="shared" si="87"/>
        <v>6236.2781190651885</v>
      </c>
      <c r="U17" s="103">
        <f t="shared" si="88"/>
        <v>6423.3664626371447</v>
      </c>
      <c r="V17" s="103">
        <f t="shared" si="89"/>
        <v>6616.067456516259</v>
      </c>
      <c r="W17" s="103">
        <f t="shared" ref="W17" si="106">V17*(1+$C17)</f>
        <v>6814.5494802117473</v>
      </c>
      <c r="X17" s="103">
        <f t="shared" ref="X17" si="107">W17*(1+$C17)</f>
        <v>7018.9859646181003</v>
      </c>
      <c r="Y17" s="103">
        <f t="shared" si="91"/>
        <v>7229.5555435566439</v>
      </c>
      <c r="Z17" s="103">
        <f>Y17*(0.9)</f>
        <v>6506.5999892009795</v>
      </c>
      <c r="AA17" s="103">
        <f t="shared" si="93"/>
        <v>6701.7979888770087</v>
      </c>
      <c r="AB17" s="103">
        <f t="shared" si="94"/>
        <v>6902.8519285433194</v>
      </c>
      <c r="AC17" s="103">
        <f t="shared" si="95"/>
        <v>7109.937486399619</v>
      </c>
      <c r="AD17" s="103">
        <f>AC17*(0.9)</f>
        <v>6398.9437377596569</v>
      </c>
      <c r="AE17" s="103">
        <f t="shared" si="96"/>
        <v>6590.9120498924467</v>
      </c>
      <c r="AF17" s="103">
        <f t="shared" si="97"/>
        <v>6788.6394113892202</v>
      </c>
      <c r="AG17" s="103">
        <f t="shared" si="98"/>
        <v>6992.2985937308968</v>
      </c>
      <c r="AH17" s="103">
        <f>AG17*(0.9)</f>
        <v>6293.0687343578074</v>
      </c>
      <c r="AI17" s="103">
        <f t="shared" si="99"/>
        <v>6481.8607963885415</v>
      </c>
      <c r="AJ17" s="103">
        <f t="shared" si="100"/>
        <v>6676.3166202801976</v>
      </c>
      <c r="AK17" s="103">
        <f t="shared" si="101"/>
        <v>6876.6061188886033</v>
      </c>
      <c r="AL17" s="103">
        <f t="shared" si="102"/>
        <v>7082.904302455262</v>
      </c>
      <c r="AM17" s="103">
        <f>AL17*(0.9)</f>
        <v>6374.6138722097357</v>
      </c>
      <c r="AN17" s="103">
        <f t="shared" ref="AN17" si="108">AM17*(1+$C17)</f>
        <v>6565.8522883760279</v>
      </c>
    </row>
    <row r="18" spans="2:40" s="16" customFormat="1" ht="21" customHeight="1" x14ac:dyDescent="0.2">
      <c r="B18" s="5" t="s">
        <v>112</v>
      </c>
      <c r="C18" s="101">
        <v>0.04</v>
      </c>
      <c r="D18" s="14"/>
      <c r="E18" s="102">
        <v>0</v>
      </c>
      <c r="F18" s="102">
        <v>0</v>
      </c>
      <c r="G18" s="102">
        <v>0</v>
      </c>
      <c r="H18" s="102">
        <v>0</v>
      </c>
      <c r="I18" s="102">
        <v>0</v>
      </c>
      <c r="J18" s="102">
        <v>0</v>
      </c>
      <c r="K18" s="102">
        <v>0</v>
      </c>
      <c r="L18" s="102">
        <v>0</v>
      </c>
      <c r="M18" s="102">
        <v>0</v>
      </c>
      <c r="N18" s="102">
        <v>0</v>
      </c>
      <c r="O18" s="102">
        <v>0</v>
      </c>
      <c r="P18" s="102">
        <v>0</v>
      </c>
      <c r="Q18" s="102">
        <v>0</v>
      </c>
      <c r="R18" s="102">
        <v>0</v>
      </c>
      <c r="S18" s="102">
        <v>0</v>
      </c>
      <c r="T18" s="102">
        <v>0</v>
      </c>
      <c r="U18" s="102">
        <v>0</v>
      </c>
      <c r="V18" s="102">
        <v>0</v>
      </c>
      <c r="W18" s="102">
        <v>0</v>
      </c>
      <c r="X18" s="102">
        <v>0</v>
      </c>
      <c r="Y18" s="102">
        <v>0</v>
      </c>
      <c r="Z18" s="102">
        <v>0</v>
      </c>
      <c r="AA18" s="102">
        <v>0</v>
      </c>
      <c r="AB18" s="102">
        <v>0</v>
      </c>
      <c r="AC18" s="102">
        <v>0</v>
      </c>
      <c r="AD18" s="102">
        <v>0</v>
      </c>
      <c r="AE18" s="102">
        <v>0</v>
      </c>
      <c r="AF18" s="102">
        <v>0</v>
      </c>
      <c r="AG18" s="102">
        <v>0</v>
      </c>
      <c r="AH18" s="102">
        <v>0</v>
      </c>
      <c r="AI18" s="102">
        <v>0</v>
      </c>
      <c r="AJ18" s="102">
        <v>0</v>
      </c>
      <c r="AK18" s="102">
        <v>0</v>
      </c>
      <c r="AL18" s="102">
        <v>0</v>
      </c>
      <c r="AM18" s="102">
        <v>0</v>
      </c>
      <c r="AN18" s="102">
        <v>0</v>
      </c>
    </row>
    <row r="19" spans="2:40" s="18" customFormat="1" ht="21" customHeight="1" x14ac:dyDescent="0.2">
      <c r="B19" s="7" t="s">
        <v>114</v>
      </c>
      <c r="C19" s="101">
        <v>0.04</v>
      </c>
      <c r="D19" s="19"/>
      <c r="E19" s="102">
        <v>0</v>
      </c>
      <c r="F19" s="102">
        <v>0</v>
      </c>
      <c r="G19" s="102">
        <v>0</v>
      </c>
      <c r="H19" s="102">
        <v>0</v>
      </c>
      <c r="I19" s="102">
        <v>0</v>
      </c>
      <c r="J19" s="102">
        <v>0</v>
      </c>
      <c r="K19" s="102">
        <v>0</v>
      </c>
      <c r="L19" s="102">
        <v>0</v>
      </c>
      <c r="M19" s="102">
        <v>0</v>
      </c>
      <c r="N19" s="102">
        <v>0</v>
      </c>
      <c r="O19" s="102">
        <v>0</v>
      </c>
      <c r="P19" s="102">
        <v>0</v>
      </c>
      <c r="Q19" s="102">
        <v>0</v>
      </c>
      <c r="R19" s="102">
        <v>0</v>
      </c>
      <c r="S19" s="102">
        <v>0</v>
      </c>
      <c r="T19" s="102">
        <v>0</v>
      </c>
      <c r="U19" s="102">
        <v>0</v>
      </c>
      <c r="V19" s="102">
        <v>0</v>
      </c>
      <c r="W19" s="102">
        <v>0</v>
      </c>
      <c r="X19" s="102">
        <v>0</v>
      </c>
      <c r="Y19" s="102">
        <v>0</v>
      </c>
      <c r="Z19" s="102">
        <v>0</v>
      </c>
      <c r="AA19" s="102">
        <v>0</v>
      </c>
      <c r="AB19" s="102">
        <v>0</v>
      </c>
      <c r="AC19" s="102">
        <v>0</v>
      </c>
      <c r="AD19" s="102">
        <v>0</v>
      </c>
      <c r="AE19" s="102">
        <v>0</v>
      </c>
      <c r="AF19" s="102">
        <v>0</v>
      </c>
      <c r="AG19" s="102">
        <v>0</v>
      </c>
      <c r="AH19" s="102">
        <v>0</v>
      </c>
      <c r="AI19" s="102">
        <v>0</v>
      </c>
      <c r="AJ19" s="102">
        <v>0</v>
      </c>
      <c r="AK19" s="102">
        <v>0</v>
      </c>
      <c r="AL19" s="102">
        <v>0</v>
      </c>
      <c r="AM19" s="102">
        <v>0</v>
      </c>
      <c r="AN19" s="102">
        <v>0</v>
      </c>
    </row>
    <row r="20" spans="2:40" s="16" customFormat="1" ht="21" customHeight="1" x14ac:dyDescent="0.2">
      <c r="B20" s="8" t="s">
        <v>116</v>
      </c>
      <c r="C20" s="101">
        <v>0.04</v>
      </c>
      <c r="D20" s="14"/>
      <c r="E20" s="102">
        <v>0</v>
      </c>
      <c r="F20" s="102">
        <v>0</v>
      </c>
      <c r="G20" s="102">
        <v>0</v>
      </c>
      <c r="H20" s="102">
        <v>0</v>
      </c>
      <c r="I20" s="102">
        <v>0</v>
      </c>
      <c r="J20" s="102">
        <v>0</v>
      </c>
      <c r="K20" s="102">
        <v>0</v>
      </c>
      <c r="L20" s="102">
        <v>0</v>
      </c>
      <c r="M20" s="102">
        <v>0</v>
      </c>
      <c r="N20" s="102">
        <v>0</v>
      </c>
      <c r="O20" s="102">
        <v>0</v>
      </c>
      <c r="P20" s="102">
        <v>0</v>
      </c>
      <c r="Q20" s="102">
        <v>0</v>
      </c>
      <c r="R20" s="102">
        <v>0</v>
      </c>
      <c r="S20" s="102">
        <v>0</v>
      </c>
      <c r="T20" s="102">
        <v>0</v>
      </c>
      <c r="U20" s="102">
        <v>0</v>
      </c>
      <c r="V20" s="102">
        <v>0</v>
      </c>
      <c r="W20" s="102">
        <v>0</v>
      </c>
      <c r="X20" s="102">
        <v>0</v>
      </c>
      <c r="Y20" s="102">
        <v>0</v>
      </c>
      <c r="Z20" s="102">
        <v>0</v>
      </c>
      <c r="AA20" s="102">
        <v>0</v>
      </c>
      <c r="AB20" s="102">
        <v>0</v>
      </c>
      <c r="AC20" s="102">
        <v>0</v>
      </c>
      <c r="AD20" s="102">
        <v>0</v>
      </c>
      <c r="AE20" s="102">
        <v>0</v>
      </c>
      <c r="AF20" s="102">
        <v>0</v>
      </c>
      <c r="AG20" s="102">
        <v>0</v>
      </c>
      <c r="AH20" s="102">
        <v>0</v>
      </c>
      <c r="AI20" s="102">
        <v>0</v>
      </c>
      <c r="AJ20" s="102">
        <v>0</v>
      </c>
      <c r="AK20" s="102">
        <v>0</v>
      </c>
      <c r="AL20" s="102">
        <v>0</v>
      </c>
      <c r="AM20" s="102">
        <v>0</v>
      </c>
      <c r="AN20" s="102">
        <v>0</v>
      </c>
    </row>
    <row r="21" spans="2:40" s="16" customFormat="1" ht="21" customHeight="1" x14ac:dyDescent="0.2">
      <c r="B21" s="8" t="s">
        <v>118</v>
      </c>
      <c r="C21" s="101">
        <v>0.04</v>
      </c>
      <c r="D21" s="14"/>
      <c r="E21" s="102">
        <v>0</v>
      </c>
      <c r="F21" s="102">
        <v>0</v>
      </c>
      <c r="G21" s="102">
        <v>0</v>
      </c>
      <c r="H21" s="102">
        <v>0</v>
      </c>
      <c r="I21" s="102">
        <v>0</v>
      </c>
      <c r="J21" s="102">
        <v>0</v>
      </c>
      <c r="K21" s="102">
        <v>0</v>
      </c>
      <c r="L21" s="102">
        <v>0</v>
      </c>
      <c r="M21" s="102">
        <v>0</v>
      </c>
      <c r="N21" s="102">
        <v>0</v>
      </c>
      <c r="O21" s="102">
        <v>0</v>
      </c>
      <c r="P21" s="102">
        <v>0</v>
      </c>
      <c r="Q21" s="102">
        <v>0</v>
      </c>
      <c r="R21" s="102">
        <v>0</v>
      </c>
      <c r="S21" s="102">
        <v>0</v>
      </c>
      <c r="T21" s="102">
        <v>0</v>
      </c>
      <c r="U21" s="102">
        <v>0</v>
      </c>
      <c r="V21" s="102">
        <v>0</v>
      </c>
      <c r="W21" s="102">
        <v>0</v>
      </c>
      <c r="X21" s="102">
        <v>0</v>
      </c>
      <c r="Y21" s="102">
        <v>0</v>
      </c>
      <c r="Z21" s="102">
        <v>0</v>
      </c>
      <c r="AA21" s="102">
        <v>0</v>
      </c>
      <c r="AB21" s="102">
        <v>0</v>
      </c>
      <c r="AC21" s="102">
        <v>0</v>
      </c>
      <c r="AD21" s="102">
        <v>0</v>
      </c>
      <c r="AE21" s="102">
        <v>0</v>
      </c>
      <c r="AF21" s="102">
        <v>0</v>
      </c>
      <c r="AG21" s="102">
        <v>0</v>
      </c>
      <c r="AH21" s="102">
        <v>0</v>
      </c>
      <c r="AI21" s="102">
        <v>0</v>
      </c>
      <c r="AJ21" s="102">
        <v>0</v>
      </c>
      <c r="AK21" s="102">
        <v>0</v>
      </c>
      <c r="AL21" s="102">
        <v>0</v>
      </c>
      <c r="AM21" s="102">
        <v>0</v>
      </c>
      <c r="AN21" s="102">
        <v>0</v>
      </c>
    </row>
    <row r="22" spans="2:40" s="16" customFormat="1" ht="21" customHeight="1" x14ac:dyDescent="0.2">
      <c r="B22" s="8" t="s">
        <v>120</v>
      </c>
      <c r="C22" s="101">
        <v>0.04</v>
      </c>
      <c r="D22" s="14"/>
      <c r="E22" s="102">
        <v>0</v>
      </c>
      <c r="F22" s="102">
        <v>0</v>
      </c>
      <c r="G22" s="102">
        <v>0</v>
      </c>
      <c r="H22" s="102">
        <v>0</v>
      </c>
      <c r="I22" s="102">
        <v>0</v>
      </c>
      <c r="J22" s="102">
        <v>0</v>
      </c>
      <c r="K22" s="102">
        <v>0</v>
      </c>
      <c r="L22" s="102">
        <v>0</v>
      </c>
      <c r="M22" s="102">
        <v>0</v>
      </c>
      <c r="N22" s="102">
        <v>0</v>
      </c>
      <c r="O22" s="102">
        <v>0</v>
      </c>
      <c r="P22" s="102">
        <v>0</v>
      </c>
      <c r="Q22" s="102">
        <v>0</v>
      </c>
      <c r="R22" s="102">
        <v>0</v>
      </c>
      <c r="S22" s="102">
        <v>0</v>
      </c>
      <c r="T22" s="102">
        <v>0</v>
      </c>
      <c r="U22" s="102">
        <v>0</v>
      </c>
      <c r="V22" s="102">
        <v>0</v>
      </c>
      <c r="W22" s="102">
        <v>0</v>
      </c>
      <c r="X22" s="102">
        <v>0</v>
      </c>
      <c r="Y22" s="102">
        <v>0</v>
      </c>
      <c r="Z22" s="102">
        <v>0</v>
      </c>
      <c r="AA22" s="102">
        <v>0</v>
      </c>
      <c r="AB22" s="102">
        <v>0</v>
      </c>
      <c r="AC22" s="102">
        <v>0</v>
      </c>
      <c r="AD22" s="102">
        <v>0</v>
      </c>
      <c r="AE22" s="102">
        <v>0</v>
      </c>
      <c r="AF22" s="102">
        <v>0</v>
      </c>
      <c r="AG22" s="102">
        <v>0</v>
      </c>
      <c r="AH22" s="102">
        <v>0</v>
      </c>
      <c r="AI22" s="102">
        <v>0</v>
      </c>
      <c r="AJ22" s="102">
        <v>0</v>
      </c>
      <c r="AK22" s="102">
        <v>0</v>
      </c>
      <c r="AL22" s="102">
        <v>0</v>
      </c>
      <c r="AM22" s="102">
        <v>0</v>
      </c>
      <c r="AN22" s="102">
        <v>0</v>
      </c>
    </row>
    <row r="23" spans="2:40" s="16" customFormat="1" ht="21" customHeight="1" x14ac:dyDescent="0.2">
      <c r="B23" s="7" t="s">
        <v>147</v>
      </c>
      <c r="C23" s="27"/>
      <c r="D23" s="14"/>
      <c r="E23" s="104">
        <f t="shared" ref="E23:AN23" si="109">SUM(E22, E21, E20 + E19)</f>
        <v>0</v>
      </c>
      <c r="F23" s="104">
        <f t="shared" ref="F23:AM23" si="110">SUM(F22, F21, F20 + F19)</f>
        <v>0</v>
      </c>
      <c r="G23" s="104">
        <f t="shared" si="110"/>
        <v>0</v>
      </c>
      <c r="H23" s="104">
        <f t="shared" si="110"/>
        <v>0</v>
      </c>
      <c r="I23" s="104">
        <f t="shared" si="110"/>
        <v>0</v>
      </c>
      <c r="J23" s="104">
        <f t="shared" si="110"/>
        <v>0</v>
      </c>
      <c r="K23" s="104">
        <f t="shared" si="110"/>
        <v>0</v>
      </c>
      <c r="L23" s="104">
        <f t="shared" si="110"/>
        <v>0</v>
      </c>
      <c r="M23" s="104">
        <f t="shared" si="110"/>
        <v>0</v>
      </c>
      <c r="N23" s="104">
        <f t="shared" si="110"/>
        <v>0</v>
      </c>
      <c r="O23" s="104">
        <f t="shared" si="110"/>
        <v>0</v>
      </c>
      <c r="P23" s="104">
        <f t="shared" si="110"/>
        <v>0</v>
      </c>
      <c r="Q23" s="104">
        <f t="shared" si="110"/>
        <v>0</v>
      </c>
      <c r="R23" s="104">
        <f t="shared" si="110"/>
        <v>0</v>
      </c>
      <c r="S23" s="104">
        <f t="shared" si="110"/>
        <v>0</v>
      </c>
      <c r="T23" s="104">
        <f t="shared" si="110"/>
        <v>0</v>
      </c>
      <c r="U23" s="104">
        <f t="shared" si="110"/>
        <v>0</v>
      </c>
      <c r="V23" s="104">
        <f t="shared" si="110"/>
        <v>0</v>
      </c>
      <c r="W23" s="104">
        <f t="shared" si="110"/>
        <v>0</v>
      </c>
      <c r="X23" s="104">
        <f t="shared" si="110"/>
        <v>0</v>
      </c>
      <c r="Y23" s="104">
        <f t="shared" si="110"/>
        <v>0</v>
      </c>
      <c r="Z23" s="104">
        <f t="shared" si="110"/>
        <v>0</v>
      </c>
      <c r="AA23" s="104">
        <f t="shared" si="110"/>
        <v>0</v>
      </c>
      <c r="AB23" s="104">
        <f t="shared" si="110"/>
        <v>0</v>
      </c>
      <c r="AC23" s="104">
        <f t="shared" si="110"/>
        <v>0</v>
      </c>
      <c r="AD23" s="104">
        <f t="shared" si="110"/>
        <v>0</v>
      </c>
      <c r="AE23" s="104">
        <f t="shared" si="110"/>
        <v>0</v>
      </c>
      <c r="AF23" s="104">
        <f t="shared" si="110"/>
        <v>0</v>
      </c>
      <c r="AG23" s="104">
        <f t="shared" si="110"/>
        <v>0</v>
      </c>
      <c r="AH23" s="104">
        <f t="shared" si="110"/>
        <v>0</v>
      </c>
      <c r="AI23" s="104">
        <f t="shared" si="110"/>
        <v>0</v>
      </c>
      <c r="AJ23" s="104">
        <f t="shared" si="110"/>
        <v>0</v>
      </c>
      <c r="AK23" s="104">
        <f t="shared" si="110"/>
        <v>0</v>
      </c>
      <c r="AL23" s="104">
        <f t="shared" si="110"/>
        <v>0</v>
      </c>
      <c r="AM23" s="104">
        <f t="shared" si="110"/>
        <v>0</v>
      </c>
      <c r="AN23" s="104">
        <f t="shared" si="109"/>
        <v>0</v>
      </c>
    </row>
    <row r="24" spans="2:40" s="18" customFormat="1" ht="21" customHeight="1" x14ac:dyDescent="0.2">
      <c r="B24" s="7" t="s">
        <v>122</v>
      </c>
      <c r="C24" s="27"/>
      <c r="D24" s="19"/>
      <c r="E24" s="102">
        <v>0</v>
      </c>
      <c r="F24" s="103">
        <f t="shared" ref="F24" si="111">E24*(1+$C24)</f>
        <v>0</v>
      </c>
      <c r="G24" s="103">
        <f t="shared" ref="G24" si="112">F24*(1+$C24)</f>
        <v>0</v>
      </c>
      <c r="H24" s="103">
        <f t="shared" ref="H24" si="113">G24*(1+$C24)</f>
        <v>0</v>
      </c>
      <c r="I24" s="103">
        <f t="shared" ref="I24" si="114">H24*(1+$C24)</f>
        <v>0</v>
      </c>
      <c r="J24" s="103">
        <f t="shared" ref="J24" si="115">I24*(1+$C24)</f>
        <v>0</v>
      </c>
      <c r="K24" s="103">
        <f t="shared" ref="K24" si="116">J24*(1+$C24)</f>
        <v>0</v>
      </c>
      <c r="L24" s="103">
        <f t="shared" ref="L24" si="117">K24*(1+$C24)</f>
        <v>0</v>
      </c>
      <c r="M24" s="103">
        <f t="shared" ref="M24" si="118">L24*(1+$C24)</f>
        <v>0</v>
      </c>
      <c r="N24" s="103">
        <f t="shared" ref="N24" si="119">M24*(1+$C24)</f>
        <v>0</v>
      </c>
      <c r="O24" s="103">
        <f t="shared" ref="O24" si="120">N24*(1+$C24)</f>
        <v>0</v>
      </c>
      <c r="P24" s="103">
        <f t="shared" ref="P24" si="121">O24*(1+$C24)</f>
        <v>0</v>
      </c>
      <c r="Q24" s="103">
        <f t="shared" ref="Q24" si="122">P24*(1+$C24)</f>
        <v>0</v>
      </c>
      <c r="R24" s="103">
        <f t="shared" ref="R24" si="123">Q24*(1+$C24)</f>
        <v>0</v>
      </c>
      <c r="S24" s="103">
        <f t="shared" ref="S24" si="124">R24*(1+$C24)</f>
        <v>0</v>
      </c>
      <c r="T24" s="103">
        <f t="shared" ref="T24" si="125">S24*(1+$C24)</f>
        <v>0</v>
      </c>
      <c r="U24" s="103">
        <f t="shared" ref="U24" si="126">T24*(1+$C24)</f>
        <v>0</v>
      </c>
      <c r="V24" s="103">
        <f t="shared" ref="V24" si="127">U24*(1+$C24)</f>
        <v>0</v>
      </c>
      <c r="W24" s="103">
        <f t="shared" ref="W24" si="128">V24*(1+$C24)</f>
        <v>0</v>
      </c>
      <c r="X24" s="103">
        <f t="shared" ref="X24" si="129">W24*(1+$C24)</f>
        <v>0</v>
      </c>
      <c r="Y24" s="103">
        <f t="shared" ref="Y24" si="130">X24*(1+$C24)</f>
        <v>0</v>
      </c>
      <c r="Z24" s="103">
        <f t="shared" ref="Z24" si="131">Y24*(1+$C24)</f>
        <v>0</v>
      </c>
      <c r="AA24" s="103">
        <f t="shared" ref="AA24" si="132">Z24*(1+$C24)</f>
        <v>0</v>
      </c>
      <c r="AB24" s="103">
        <f t="shared" ref="AB24" si="133">AA24*(1+$C24)</f>
        <v>0</v>
      </c>
      <c r="AC24" s="103">
        <f t="shared" ref="AC24" si="134">AB24*(1+$C24)</f>
        <v>0</v>
      </c>
      <c r="AD24" s="103">
        <f t="shared" ref="AD24" si="135">AC24*(1+$C24)</f>
        <v>0</v>
      </c>
      <c r="AE24" s="103">
        <f t="shared" ref="AE24" si="136">AD24*(1+$C24)</f>
        <v>0</v>
      </c>
      <c r="AF24" s="103">
        <f t="shared" ref="AF24" si="137">AE24*(1+$C24)</f>
        <v>0</v>
      </c>
      <c r="AG24" s="103">
        <f t="shared" ref="AG24" si="138">AF24*(1+$C24)</f>
        <v>0</v>
      </c>
      <c r="AH24" s="103">
        <f t="shared" ref="AH24" si="139">AG24*(1+$C24)</f>
        <v>0</v>
      </c>
      <c r="AI24" s="103">
        <f t="shared" ref="AI24" si="140">AH24*(1+$C24)</f>
        <v>0</v>
      </c>
      <c r="AJ24" s="103">
        <f t="shared" ref="AJ24" si="141">AI24*(1+$C24)</f>
        <v>0</v>
      </c>
      <c r="AK24" s="103">
        <f t="shared" ref="AK24" si="142">AJ24*(1+$C24)</f>
        <v>0</v>
      </c>
      <c r="AL24" s="103">
        <f t="shared" ref="AL24" si="143">AK24*(1+$C24)</f>
        <v>0</v>
      </c>
      <c r="AM24" s="103">
        <f t="shared" ref="AM24" si="144">AL24*(1+$C24)</f>
        <v>0</v>
      </c>
      <c r="AN24" s="103">
        <f t="shared" ref="AN24:AN28" si="145">AM24*(1+$C24)</f>
        <v>0</v>
      </c>
    </row>
    <row r="25" spans="2:40" s="16" customFormat="1" ht="21" customHeight="1" x14ac:dyDescent="0.2">
      <c r="B25" s="8" t="s">
        <v>123</v>
      </c>
      <c r="C25" s="101">
        <v>0.04</v>
      </c>
      <c r="D25" s="14"/>
      <c r="E25" s="102">
        <v>0</v>
      </c>
      <c r="F25" s="102">
        <v>0</v>
      </c>
      <c r="G25" s="102">
        <v>0</v>
      </c>
      <c r="H25" s="102">
        <v>0</v>
      </c>
      <c r="I25" s="102">
        <v>0</v>
      </c>
      <c r="J25" s="102">
        <v>0</v>
      </c>
      <c r="K25" s="102">
        <v>0</v>
      </c>
      <c r="L25" s="102">
        <v>0</v>
      </c>
      <c r="M25" s="102">
        <v>0</v>
      </c>
      <c r="N25" s="102">
        <v>0</v>
      </c>
      <c r="O25" s="102">
        <v>0</v>
      </c>
      <c r="P25" s="102">
        <v>0</v>
      </c>
      <c r="Q25" s="102">
        <v>0</v>
      </c>
      <c r="R25" s="102">
        <v>0</v>
      </c>
      <c r="S25" s="102">
        <v>0</v>
      </c>
      <c r="T25" s="102">
        <v>0</v>
      </c>
      <c r="U25" s="102">
        <v>0</v>
      </c>
      <c r="V25" s="102">
        <v>0</v>
      </c>
      <c r="W25" s="102">
        <v>0</v>
      </c>
      <c r="X25" s="102">
        <v>0</v>
      </c>
      <c r="Y25" s="102">
        <v>0</v>
      </c>
      <c r="Z25" s="102">
        <v>0</v>
      </c>
      <c r="AA25" s="102">
        <v>0</v>
      </c>
      <c r="AB25" s="102">
        <v>0</v>
      </c>
      <c r="AC25" s="102">
        <v>0</v>
      </c>
      <c r="AD25" s="102">
        <v>0</v>
      </c>
      <c r="AE25" s="102">
        <v>0</v>
      </c>
      <c r="AF25" s="102">
        <v>0</v>
      </c>
      <c r="AG25" s="102">
        <v>0</v>
      </c>
      <c r="AH25" s="102">
        <v>0</v>
      </c>
      <c r="AI25" s="102">
        <v>0</v>
      </c>
      <c r="AJ25" s="102">
        <v>0</v>
      </c>
      <c r="AK25" s="102">
        <v>0</v>
      </c>
      <c r="AL25" s="102">
        <v>0</v>
      </c>
      <c r="AM25" s="102">
        <v>0</v>
      </c>
      <c r="AN25" s="102">
        <v>0</v>
      </c>
    </row>
    <row r="26" spans="2:40" s="16" customFormat="1" ht="21" customHeight="1" x14ac:dyDescent="0.2">
      <c r="B26" s="8" t="s">
        <v>124</v>
      </c>
      <c r="C26" s="101">
        <v>0.04</v>
      </c>
      <c r="D26" s="14"/>
      <c r="E26" s="102">
        <v>0</v>
      </c>
      <c r="F26" s="102">
        <v>0</v>
      </c>
      <c r="G26" s="102">
        <v>0</v>
      </c>
      <c r="H26" s="102">
        <v>0</v>
      </c>
      <c r="I26" s="102">
        <v>0</v>
      </c>
      <c r="J26" s="102">
        <v>0</v>
      </c>
      <c r="K26" s="102">
        <v>0</v>
      </c>
      <c r="L26" s="102">
        <v>0</v>
      </c>
      <c r="M26" s="102">
        <v>0</v>
      </c>
      <c r="N26" s="102">
        <v>0</v>
      </c>
      <c r="O26" s="102">
        <v>0</v>
      </c>
      <c r="P26" s="102">
        <v>0</v>
      </c>
      <c r="Q26" s="102">
        <v>0</v>
      </c>
      <c r="R26" s="102">
        <v>0</v>
      </c>
      <c r="S26" s="102">
        <v>0</v>
      </c>
      <c r="T26" s="102">
        <v>0</v>
      </c>
      <c r="U26" s="102">
        <v>0</v>
      </c>
      <c r="V26" s="102">
        <v>0</v>
      </c>
      <c r="W26" s="102">
        <v>0</v>
      </c>
      <c r="X26" s="102">
        <v>0</v>
      </c>
      <c r="Y26" s="102">
        <v>0</v>
      </c>
      <c r="Z26" s="102">
        <v>0</v>
      </c>
      <c r="AA26" s="102">
        <v>0</v>
      </c>
      <c r="AB26" s="102">
        <v>0</v>
      </c>
      <c r="AC26" s="102">
        <v>0</v>
      </c>
      <c r="AD26" s="102">
        <v>0</v>
      </c>
      <c r="AE26" s="102">
        <v>0</v>
      </c>
      <c r="AF26" s="102">
        <v>0</v>
      </c>
      <c r="AG26" s="102">
        <v>0</v>
      </c>
      <c r="AH26" s="102">
        <v>0</v>
      </c>
      <c r="AI26" s="102">
        <v>0</v>
      </c>
      <c r="AJ26" s="102">
        <v>0</v>
      </c>
      <c r="AK26" s="102">
        <v>0</v>
      </c>
      <c r="AL26" s="102">
        <v>0</v>
      </c>
      <c r="AM26" s="102">
        <v>0</v>
      </c>
      <c r="AN26" s="102">
        <v>0</v>
      </c>
    </row>
    <row r="27" spans="2:40" s="16" customFormat="1" ht="21" customHeight="1" x14ac:dyDescent="0.2">
      <c r="B27" s="8" t="s">
        <v>125</v>
      </c>
      <c r="C27" s="101">
        <v>0.04</v>
      </c>
      <c r="D27" s="14"/>
      <c r="E27" s="102">
        <v>0</v>
      </c>
      <c r="F27" s="102">
        <v>0</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row>
    <row r="28" spans="2:40" s="16" customFormat="1" ht="21" customHeight="1" x14ac:dyDescent="0.2">
      <c r="B28" s="8" t="s">
        <v>126</v>
      </c>
      <c r="C28" s="101">
        <v>0.01</v>
      </c>
      <c r="D28" s="14"/>
      <c r="E28" s="102">
        <v>1500</v>
      </c>
      <c r="F28" s="103">
        <f t="shared" ref="F28" si="146">E28*(1+$C28)</f>
        <v>1515</v>
      </c>
      <c r="G28" s="103">
        <f t="shared" ref="G28" si="147">F28*(1+$C28)</f>
        <v>1530.15</v>
      </c>
      <c r="H28" s="103">
        <f t="shared" ref="H28" si="148">G28*(1+$C28)</f>
        <v>1545.4515000000001</v>
      </c>
      <c r="I28" s="103">
        <f t="shared" ref="I28" si="149">H28*(1+$C28)</f>
        <v>1560.9060150000003</v>
      </c>
      <c r="J28" s="103">
        <f t="shared" ref="J28" si="150">I28*(1+$C28)</f>
        <v>1576.5150751500003</v>
      </c>
      <c r="K28" s="103">
        <f t="shared" ref="K28" si="151">J28*(1+$C28)</f>
        <v>1592.2802259015002</v>
      </c>
      <c r="L28" s="103">
        <f t="shared" ref="L28" si="152">K28*(1+$C28)</f>
        <v>1608.2030281605153</v>
      </c>
      <c r="M28" s="103">
        <f t="shared" ref="M28" si="153">L28*(1+$C28)</f>
        <v>1624.2850584421203</v>
      </c>
      <c r="N28" s="103">
        <f>M28*(0.9)</f>
        <v>1461.8565525979084</v>
      </c>
      <c r="O28" s="103">
        <f t="shared" ref="O28" si="154">N28*(1+$C28)</f>
        <v>1476.4751181238876</v>
      </c>
      <c r="P28" s="103">
        <f t="shared" ref="P28" si="155">O28*(1+$C28)</f>
        <v>1491.2398693051264</v>
      </c>
      <c r="Q28" s="103">
        <f t="shared" ref="Q28" si="156">P28*(1+$C28)</f>
        <v>1506.1522679981776</v>
      </c>
      <c r="R28" s="103">
        <f t="shared" ref="R28" si="157">Q28*(1+$C28)</f>
        <v>1521.2137906781595</v>
      </c>
      <c r="S28" s="103">
        <f t="shared" ref="S28" si="158">R28*(1+$C28)</f>
        <v>1536.4259285849412</v>
      </c>
      <c r="T28" s="103">
        <f t="shared" ref="T28" si="159">S28*(1+$C28)</f>
        <v>1551.7901878707905</v>
      </c>
      <c r="U28" s="103">
        <f>T28*(0.9)</f>
        <v>1396.6111690837115</v>
      </c>
      <c r="V28" s="103">
        <f t="shared" ref="V28" si="160">U28*(1+$C28)</f>
        <v>1410.5772807745486</v>
      </c>
      <c r="W28" s="103">
        <f t="shared" ref="W28" si="161">V28*(1+$C28)</f>
        <v>1424.6830535822942</v>
      </c>
      <c r="X28" s="103">
        <f t="shared" ref="X28" si="162">W28*(1+$C28)</f>
        <v>1438.9298841181171</v>
      </c>
      <c r="Y28" s="103">
        <f t="shared" ref="Y28" si="163">X28*(1+$C28)</f>
        <v>1453.3191829592984</v>
      </c>
      <c r="Z28" s="103">
        <f>Y28*(0.9)</f>
        <v>1307.9872646633685</v>
      </c>
      <c r="AA28" s="103">
        <f t="shared" ref="AA28" si="164">Z28*(1+$C28)</f>
        <v>1321.0671373100022</v>
      </c>
      <c r="AB28" s="103">
        <f t="shared" ref="AB28" si="165">AA28*(1+$C28)</f>
        <v>1334.2778086831022</v>
      </c>
      <c r="AC28" s="103">
        <f t="shared" ref="AC28" si="166">AB28*(1+$C28)</f>
        <v>1347.6205867699332</v>
      </c>
      <c r="AD28" s="103">
        <f t="shared" ref="AD28" si="167">AC28*(1+$C28)</f>
        <v>1361.0967926376325</v>
      </c>
      <c r="AE28" s="103">
        <f>AD28*(0.9)</f>
        <v>1224.9871133738693</v>
      </c>
      <c r="AF28" s="103">
        <f t="shared" ref="AF28" si="168">AE28*(1+$C28)</f>
        <v>1237.236984507608</v>
      </c>
      <c r="AG28" s="103">
        <f t="shared" ref="AG28" si="169">AF28*(1+$C28)</f>
        <v>1249.609354352684</v>
      </c>
      <c r="AH28" s="103">
        <f t="shared" ref="AH28" si="170">AG28*(1+$C28)</f>
        <v>1262.1054478962108</v>
      </c>
      <c r="AI28" s="103">
        <f t="shared" ref="AI28" si="171">AH28*(1+$C28)</f>
        <v>1274.7265023751729</v>
      </c>
      <c r="AJ28" s="103">
        <f t="shared" ref="AJ28" si="172">AI28*(1+$C28)</f>
        <v>1287.4737673989246</v>
      </c>
      <c r="AK28" s="103">
        <f>AJ28*(0.9)</f>
        <v>1158.7263906590322</v>
      </c>
      <c r="AL28" s="103">
        <f t="shared" ref="AL28" si="173">AK28*(1+$C28)</f>
        <v>1170.3136545656225</v>
      </c>
      <c r="AM28" s="103">
        <f t="shared" ref="AM28" si="174">AL28*(1+$C28)</f>
        <v>1182.0167911112787</v>
      </c>
      <c r="AN28" s="103">
        <f t="shared" si="145"/>
        <v>1193.8369590223915</v>
      </c>
    </row>
    <row r="29" spans="2:40" s="16" customFormat="1" ht="21" customHeight="1" x14ac:dyDescent="0.2">
      <c r="B29" s="7" t="s">
        <v>148</v>
      </c>
      <c r="C29" s="27"/>
      <c r="D29" s="14"/>
      <c r="E29" s="104">
        <f t="shared" ref="E29:AN29" si="175">SUM(E28, E27, E26, E25 + E24)</f>
        <v>1500</v>
      </c>
      <c r="F29" s="104">
        <f t="shared" ref="F29:AM29" si="176">SUM(F28, F27, F26, F25 + F24)</f>
        <v>1515</v>
      </c>
      <c r="G29" s="104">
        <f t="shared" si="176"/>
        <v>1530.15</v>
      </c>
      <c r="H29" s="104">
        <f t="shared" si="176"/>
        <v>1545.4515000000001</v>
      </c>
      <c r="I29" s="104">
        <f t="shared" si="176"/>
        <v>1560.9060150000003</v>
      </c>
      <c r="J29" s="104">
        <f t="shared" si="176"/>
        <v>1576.5150751500003</v>
      </c>
      <c r="K29" s="104">
        <f t="shared" si="176"/>
        <v>1592.2802259015002</v>
      </c>
      <c r="L29" s="104">
        <f t="shared" si="176"/>
        <v>1608.2030281605153</v>
      </c>
      <c r="M29" s="104">
        <f t="shared" si="176"/>
        <v>1624.2850584421203</v>
      </c>
      <c r="N29" s="104">
        <f t="shared" si="176"/>
        <v>1461.8565525979084</v>
      </c>
      <c r="O29" s="104">
        <f t="shared" si="176"/>
        <v>1476.4751181238876</v>
      </c>
      <c r="P29" s="104">
        <f t="shared" si="176"/>
        <v>1491.2398693051264</v>
      </c>
      <c r="Q29" s="104">
        <f t="shared" si="176"/>
        <v>1506.1522679981776</v>
      </c>
      <c r="R29" s="104">
        <f t="shared" si="176"/>
        <v>1521.2137906781595</v>
      </c>
      <c r="S29" s="104">
        <f t="shared" si="176"/>
        <v>1536.4259285849412</v>
      </c>
      <c r="T29" s="104">
        <f t="shared" si="176"/>
        <v>1551.7901878707905</v>
      </c>
      <c r="U29" s="104">
        <f t="shared" si="176"/>
        <v>1396.6111690837115</v>
      </c>
      <c r="V29" s="104">
        <f t="shared" si="176"/>
        <v>1410.5772807745486</v>
      </c>
      <c r="W29" s="104">
        <f t="shared" si="176"/>
        <v>1424.6830535822942</v>
      </c>
      <c r="X29" s="104">
        <f t="shared" si="176"/>
        <v>1438.9298841181171</v>
      </c>
      <c r="Y29" s="104">
        <f t="shared" si="176"/>
        <v>1453.3191829592984</v>
      </c>
      <c r="Z29" s="104">
        <f t="shared" si="176"/>
        <v>1307.9872646633685</v>
      </c>
      <c r="AA29" s="104">
        <f t="shared" si="176"/>
        <v>1321.0671373100022</v>
      </c>
      <c r="AB29" s="104">
        <f t="shared" si="176"/>
        <v>1334.2778086831022</v>
      </c>
      <c r="AC29" s="104">
        <f t="shared" si="176"/>
        <v>1347.6205867699332</v>
      </c>
      <c r="AD29" s="104">
        <f t="shared" si="176"/>
        <v>1361.0967926376325</v>
      </c>
      <c r="AE29" s="104">
        <f t="shared" si="176"/>
        <v>1224.9871133738693</v>
      </c>
      <c r="AF29" s="104">
        <f t="shared" si="176"/>
        <v>1237.236984507608</v>
      </c>
      <c r="AG29" s="104">
        <f t="shared" si="176"/>
        <v>1249.609354352684</v>
      </c>
      <c r="AH29" s="104">
        <f t="shared" si="176"/>
        <v>1262.1054478962108</v>
      </c>
      <c r="AI29" s="104">
        <f t="shared" si="176"/>
        <v>1274.7265023751729</v>
      </c>
      <c r="AJ29" s="104">
        <f t="shared" si="176"/>
        <v>1287.4737673989246</v>
      </c>
      <c r="AK29" s="104">
        <f t="shared" si="176"/>
        <v>1158.7263906590322</v>
      </c>
      <c r="AL29" s="104">
        <f t="shared" si="176"/>
        <v>1170.3136545656225</v>
      </c>
      <c r="AM29" s="104">
        <f t="shared" si="176"/>
        <v>1182.0167911112787</v>
      </c>
      <c r="AN29" s="104">
        <f t="shared" si="175"/>
        <v>1193.8369590223915</v>
      </c>
    </row>
    <row r="30" spans="2:40" s="18" customFormat="1" ht="21" customHeight="1" x14ac:dyDescent="0.2">
      <c r="B30" s="7" t="s">
        <v>127</v>
      </c>
      <c r="C30" s="101">
        <v>0.04</v>
      </c>
      <c r="D30" s="19"/>
      <c r="E30" s="102">
        <v>0</v>
      </c>
      <c r="F30" s="103">
        <f t="shared" ref="F30:F35" si="177">E30*(1+$C30)</f>
        <v>0</v>
      </c>
      <c r="G30" s="103">
        <f t="shared" ref="G30:G35" si="178">F30*(1+$C30)</f>
        <v>0</v>
      </c>
      <c r="H30" s="103">
        <f t="shared" ref="H30:H35" si="179">G30*(1+$C30)</f>
        <v>0</v>
      </c>
      <c r="I30" s="103">
        <f t="shared" ref="I30:I35" si="180">H30*(1+$C30)</f>
        <v>0</v>
      </c>
      <c r="J30" s="103">
        <f t="shared" ref="J30:J35" si="181">I30*(1+$C30)</f>
        <v>0</v>
      </c>
      <c r="K30" s="103">
        <f t="shared" ref="K30:K35" si="182">J30*(1+$C30)</f>
        <v>0</v>
      </c>
      <c r="L30" s="103">
        <f t="shared" ref="L30:L35" si="183">K30*(1+$C30)</f>
        <v>0</v>
      </c>
      <c r="M30" s="103">
        <f t="shared" ref="M30:M35" si="184">L30*(1+$C30)</f>
        <v>0</v>
      </c>
      <c r="N30" s="103">
        <f t="shared" ref="N30:N35" si="185">M30*(1+$C30)</f>
        <v>0</v>
      </c>
      <c r="O30" s="103">
        <f t="shared" ref="O30:O35" si="186">N30*(1+$C30)</f>
        <v>0</v>
      </c>
      <c r="P30" s="103">
        <f t="shared" ref="P30:P35" si="187">O30*(1+$C30)</f>
        <v>0</v>
      </c>
      <c r="Q30" s="103">
        <f t="shared" ref="Q30:Q35" si="188">P30*(1+$C30)</f>
        <v>0</v>
      </c>
      <c r="R30" s="103">
        <f t="shared" ref="R30:R35" si="189">Q30*(1+$C30)</f>
        <v>0</v>
      </c>
      <c r="S30" s="103">
        <f t="shared" ref="S30:S35" si="190">R30*(1+$C30)</f>
        <v>0</v>
      </c>
      <c r="T30" s="103">
        <f t="shared" ref="T30:T35" si="191">S30*(1+$C30)</f>
        <v>0</v>
      </c>
      <c r="U30" s="103">
        <f t="shared" ref="U30:U35" si="192">T30*(1+$C30)</f>
        <v>0</v>
      </c>
      <c r="V30" s="103">
        <f t="shared" ref="V30:V35" si="193">U30*(1+$C30)</f>
        <v>0</v>
      </c>
      <c r="W30" s="103">
        <f t="shared" ref="W30:W35" si="194">V30*(1+$C30)</f>
        <v>0</v>
      </c>
      <c r="X30" s="103">
        <f t="shared" ref="X30:X35" si="195">W30*(1+$C30)</f>
        <v>0</v>
      </c>
      <c r="Y30" s="103">
        <f t="shared" ref="Y30:Y35" si="196">X30*(1+$C30)</f>
        <v>0</v>
      </c>
      <c r="Z30" s="103">
        <f t="shared" ref="Z30:Z35" si="197">Y30*(1+$C30)</f>
        <v>0</v>
      </c>
      <c r="AA30" s="103">
        <f t="shared" ref="AA30:AA35" si="198">Z30*(1+$C30)</f>
        <v>0</v>
      </c>
      <c r="AB30" s="103">
        <f t="shared" ref="AB30:AB35" si="199">AA30*(1+$C30)</f>
        <v>0</v>
      </c>
      <c r="AC30" s="103">
        <f t="shared" ref="AC30:AC35" si="200">AB30*(1+$C30)</f>
        <v>0</v>
      </c>
      <c r="AD30" s="103">
        <f t="shared" ref="AD30:AD35" si="201">AC30*(1+$C30)</f>
        <v>0</v>
      </c>
      <c r="AE30" s="103">
        <f t="shared" ref="AE30:AE35" si="202">AD30*(1+$C30)</f>
        <v>0</v>
      </c>
      <c r="AF30" s="103">
        <f t="shared" ref="AF30:AF35" si="203">AE30*(1+$C30)</f>
        <v>0</v>
      </c>
      <c r="AG30" s="103">
        <f t="shared" ref="AG30:AG35" si="204">AF30*(1+$C30)</f>
        <v>0</v>
      </c>
      <c r="AH30" s="103">
        <f t="shared" ref="AH30:AH35" si="205">AG30*(1+$C30)</f>
        <v>0</v>
      </c>
      <c r="AI30" s="103">
        <f t="shared" ref="AI30:AI35" si="206">AH30*(1+$C30)</f>
        <v>0</v>
      </c>
      <c r="AJ30" s="103">
        <f t="shared" ref="AJ30:AJ35" si="207">AI30*(1+$C30)</f>
        <v>0</v>
      </c>
      <c r="AK30" s="103">
        <f t="shared" ref="AK30:AK35" si="208">AJ30*(1+$C30)</f>
        <v>0</v>
      </c>
      <c r="AL30" s="103">
        <f t="shared" ref="AL30:AL35" si="209">AK30*(1+$C30)</f>
        <v>0</v>
      </c>
      <c r="AM30" s="103">
        <f t="shared" ref="AM30:AM35" si="210">AL30*(1+$C30)</f>
        <v>0</v>
      </c>
      <c r="AN30" s="103">
        <f t="shared" ref="AN30:AN35" si="211">AM30*(1+$C30)</f>
        <v>0</v>
      </c>
    </row>
    <row r="31" spans="2:40" s="16" customFormat="1" ht="21" customHeight="1" x14ac:dyDescent="0.2">
      <c r="B31" s="8" t="s">
        <v>128</v>
      </c>
      <c r="C31" s="101">
        <v>0.02</v>
      </c>
      <c r="D31" s="14"/>
      <c r="E31" s="102">
        <v>8000</v>
      </c>
      <c r="F31" s="103">
        <f t="shared" si="177"/>
        <v>8160</v>
      </c>
      <c r="G31" s="103">
        <f t="shared" si="178"/>
        <v>8323.2000000000007</v>
      </c>
      <c r="H31" s="103">
        <f t="shared" si="179"/>
        <v>8489.6640000000007</v>
      </c>
      <c r="I31" s="103">
        <f t="shared" si="180"/>
        <v>8659.4572800000005</v>
      </c>
      <c r="J31" s="103">
        <f t="shared" si="181"/>
        <v>8832.6464255999999</v>
      </c>
      <c r="K31" s="103">
        <f>J31*(0.9)</f>
        <v>7949.3817830400003</v>
      </c>
      <c r="L31" s="103">
        <f t="shared" si="183"/>
        <v>8108.3694187008005</v>
      </c>
      <c r="M31" s="103">
        <f t="shared" si="184"/>
        <v>8270.5368070748173</v>
      </c>
      <c r="N31" s="103">
        <f t="shared" si="185"/>
        <v>8435.9475432163144</v>
      </c>
      <c r="O31" s="103">
        <f t="shared" si="186"/>
        <v>8604.6664940806404</v>
      </c>
      <c r="P31" s="103">
        <f>O31*(0.9)</f>
        <v>7744.1998446725765</v>
      </c>
      <c r="Q31" s="103">
        <f t="shared" si="188"/>
        <v>7899.0838415660282</v>
      </c>
      <c r="R31" s="103">
        <f t="shared" si="189"/>
        <v>8057.0655183973486</v>
      </c>
      <c r="S31" s="103">
        <f t="shared" si="190"/>
        <v>8218.2068287652965</v>
      </c>
      <c r="T31" s="103">
        <f t="shared" si="191"/>
        <v>8382.5709653406029</v>
      </c>
      <c r="U31" s="103">
        <f t="shared" si="192"/>
        <v>8550.2223846474153</v>
      </c>
      <c r="V31" s="103">
        <f t="shared" si="193"/>
        <v>8721.2268323403641</v>
      </c>
      <c r="W31" s="103">
        <f>V31*(0.9)</f>
        <v>7849.1041491063279</v>
      </c>
      <c r="X31" s="103">
        <f t="shared" si="195"/>
        <v>8006.0862320884544</v>
      </c>
      <c r="Y31" s="103">
        <f t="shared" si="196"/>
        <v>8166.2079567302235</v>
      </c>
      <c r="Z31" s="103">
        <f t="shared" si="197"/>
        <v>8329.5321158648276</v>
      </c>
      <c r="AA31" s="103">
        <f t="shared" si="198"/>
        <v>8496.122758182124</v>
      </c>
      <c r="AB31" s="103">
        <f t="shared" si="199"/>
        <v>8666.0452133457675</v>
      </c>
      <c r="AC31" s="103">
        <f t="shared" si="200"/>
        <v>8839.3661176126825</v>
      </c>
      <c r="AD31" s="103">
        <f>AC31*(0.9)</f>
        <v>7955.4295058514144</v>
      </c>
      <c r="AE31" s="103">
        <f t="shared" si="202"/>
        <v>8114.5380959684426</v>
      </c>
      <c r="AF31" s="103">
        <f t="shared" si="203"/>
        <v>8276.828857887811</v>
      </c>
      <c r="AG31" s="103">
        <f t="shared" si="204"/>
        <v>8442.3654350455672</v>
      </c>
      <c r="AH31" s="103">
        <f t="shared" si="205"/>
        <v>8611.2127437464787</v>
      </c>
      <c r="AI31" s="103">
        <f t="shared" si="206"/>
        <v>8783.4369986214078</v>
      </c>
      <c r="AJ31" s="103">
        <f>AI31*(0.9)</f>
        <v>7905.0932987592669</v>
      </c>
      <c r="AK31" s="103">
        <f t="shared" si="208"/>
        <v>8063.1951647344522</v>
      </c>
      <c r="AL31" s="103">
        <f t="shared" si="209"/>
        <v>8224.4590680291421</v>
      </c>
      <c r="AM31" s="103">
        <f t="shared" si="210"/>
        <v>8388.9482493897249</v>
      </c>
      <c r="AN31" s="103">
        <f t="shared" si="211"/>
        <v>8556.727214377519</v>
      </c>
    </row>
    <row r="32" spans="2:40" s="16" customFormat="1" ht="21" customHeight="1" x14ac:dyDescent="0.2">
      <c r="B32" s="8" t="s">
        <v>129</v>
      </c>
      <c r="C32" s="101">
        <v>0.04</v>
      </c>
      <c r="D32" s="14"/>
      <c r="E32" s="102">
        <v>918</v>
      </c>
      <c r="F32" s="103">
        <f t="shared" si="177"/>
        <v>954.72</v>
      </c>
      <c r="G32" s="103">
        <f t="shared" si="178"/>
        <v>992.90880000000004</v>
      </c>
      <c r="H32" s="103">
        <f>G32*(0.9)</f>
        <v>893.61792000000003</v>
      </c>
      <c r="I32" s="103">
        <f t="shared" si="180"/>
        <v>929.36263680000002</v>
      </c>
      <c r="J32" s="103">
        <f t="shared" si="181"/>
        <v>966.5371422720001</v>
      </c>
      <c r="K32" s="103">
        <f t="shared" si="182"/>
        <v>1005.1986279628801</v>
      </c>
      <c r="L32" s="103">
        <f t="shared" si="183"/>
        <v>1045.4065730813954</v>
      </c>
      <c r="M32" s="103">
        <f t="shared" si="184"/>
        <v>1087.2228360046513</v>
      </c>
      <c r="N32" s="103">
        <f t="shared" si="185"/>
        <v>1130.7117494448373</v>
      </c>
      <c r="O32" s="103">
        <f t="shared" si="186"/>
        <v>1175.9402194226309</v>
      </c>
      <c r="P32" s="103">
        <f t="shared" si="187"/>
        <v>1222.9778281995361</v>
      </c>
      <c r="Q32" s="103">
        <f t="shared" si="188"/>
        <v>1271.8969413275177</v>
      </c>
      <c r="R32" s="103">
        <f>Q32*(0.9)</f>
        <v>1144.7072471947658</v>
      </c>
      <c r="S32" s="103">
        <f t="shared" si="190"/>
        <v>1190.4955370825564</v>
      </c>
      <c r="T32" s="103">
        <f t="shared" si="191"/>
        <v>1238.1153585658587</v>
      </c>
      <c r="U32" s="103">
        <f t="shared" si="192"/>
        <v>1287.6399729084931</v>
      </c>
      <c r="V32" s="103">
        <f t="shared" si="193"/>
        <v>1339.1455718248328</v>
      </c>
      <c r="W32" s="103">
        <f t="shared" si="194"/>
        <v>1392.7113946978261</v>
      </c>
      <c r="X32" s="103">
        <f t="shared" si="195"/>
        <v>1448.4198504857393</v>
      </c>
      <c r="Y32" s="103">
        <f>X32*(0.9)</f>
        <v>1303.5778654371654</v>
      </c>
      <c r="Z32" s="103">
        <f t="shared" si="197"/>
        <v>1355.720980054652</v>
      </c>
      <c r="AA32" s="103">
        <f t="shared" si="198"/>
        <v>1409.9498192568383</v>
      </c>
      <c r="AB32" s="103">
        <f t="shared" si="199"/>
        <v>1466.3478120271118</v>
      </c>
      <c r="AC32" s="103">
        <f t="shared" si="200"/>
        <v>1525.0017245081963</v>
      </c>
      <c r="AD32" s="103">
        <f t="shared" si="201"/>
        <v>1586.0017934885241</v>
      </c>
      <c r="AE32" s="103">
        <f t="shared" si="202"/>
        <v>1649.4418652280651</v>
      </c>
      <c r="AF32" s="103">
        <f>AE32*(0.9)</f>
        <v>1484.4976787052587</v>
      </c>
      <c r="AG32" s="103">
        <f t="shared" si="204"/>
        <v>1543.8775858534691</v>
      </c>
      <c r="AH32" s="103">
        <f t="shared" si="205"/>
        <v>1605.6326892876079</v>
      </c>
      <c r="AI32" s="103">
        <f>AH32*(0.9)</f>
        <v>1445.0694203588471</v>
      </c>
      <c r="AJ32" s="103">
        <f t="shared" si="207"/>
        <v>1502.8721971732011</v>
      </c>
      <c r="AK32" s="103">
        <f t="shared" si="208"/>
        <v>1562.9870850601292</v>
      </c>
      <c r="AL32" s="103">
        <f t="shared" si="209"/>
        <v>1625.5065684625345</v>
      </c>
      <c r="AM32" s="103">
        <f>AL32*(0.9)</f>
        <v>1462.9559116162811</v>
      </c>
      <c r="AN32" s="103">
        <f t="shared" si="211"/>
        <v>1521.4741480809325</v>
      </c>
    </row>
    <row r="33" spans="2:40" s="16" customFormat="1" ht="21" customHeight="1" x14ac:dyDescent="0.2">
      <c r="B33" s="8" t="s">
        <v>130</v>
      </c>
      <c r="C33" s="101">
        <v>0.04</v>
      </c>
      <c r="D33" s="14"/>
      <c r="E33" s="102">
        <v>800</v>
      </c>
      <c r="F33" s="103">
        <f t="shared" si="177"/>
        <v>832</v>
      </c>
      <c r="G33" s="103">
        <f t="shared" si="178"/>
        <v>865.28</v>
      </c>
      <c r="H33" s="103">
        <f t="shared" si="179"/>
        <v>899.89120000000003</v>
      </c>
      <c r="I33" s="103">
        <f t="shared" si="180"/>
        <v>935.8868480000001</v>
      </c>
      <c r="J33" s="103">
        <f t="shared" si="181"/>
        <v>973.32232192000015</v>
      </c>
      <c r="K33" s="103">
        <f t="shared" si="182"/>
        <v>1012.2552147968001</v>
      </c>
      <c r="L33" s="103">
        <f t="shared" si="183"/>
        <v>1052.7454233886722</v>
      </c>
      <c r="M33" s="103">
        <f t="shared" si="184"/>
        <v>1094.855240324219</v>
      </c>
      <c r="N33" s="103">
        <f t="shared" si="185"/>
        <v>1138.6494499371879</v>
      </c>
      <c r="O33" s="103">
        <f t="shared" si="186"/>
        <v>1184.1954279346755</v>
      </c>
      <c r="P33" s="103">
        <f t="shared" si="187"/>
        <v>1231.5632450520627</v>
      </c>
      <c r="Q33" s="103">
        <f t="shared" si="188"/>
        <v>1280.8257748541453</v>
      </c>
      <c r="R33" s="103">
        <f t="shared" si="189"/>
        <v>1332.0588058483111</v>
      </c>
      <c r="S33" s="103">
        <f t="shared" si="190"/>
        <v>1385.3411580822435</v>
      </c>
      <c r="T33" s="103">
        <f t="shared" si="191"/>
        <v>1440.7548044055334</v>
      </c>
      <c r="U33" s="103">
        <f t="shared" si="192"/>
        <v>1498.3849965817549</v>
      </c>
      <c r="V33" s="103">
        <f t="shared" si="193"/>
        <v>1558.3203964450252</v>
      </c>
      <c r="W33" s="103">
        <f t="shared" si="194"/>
        <v>1620.6532123028262</v>
      </c>
      <c r="X33" s="103">
        <f t="shared" si="195"/>
        <v>1685.4793407949394</v>
      </c>
      <c r="Y33" s="103">
        <f t="shared" si="196"/>
        <v>1752.8985144267369</v>
      </c>
      <c r="Z33" s="103">
        <f t="shared" si="197"/>
        <v>1823.0144550038065</v>
      </c>
      <c r="AA33" s="103">
        <f t="shared" si="198"/>
        <v>1895.9350332039587</v>
      </c>
      <c r="AB33" s="103">
        <f t="shared" si="199"/>
        <v>1971.7724345321171</v>
      </c>
      <c r="AC33" s="103">
        <f t="shared" si="200"/>
        <v>2050.6433319134021</v>
      </c>
      <c r="AD33" s="103">
        <f t="shared" si="201"/>
        <v>2132.6690651899385</v>
      </c>
      <c r="AE33" s="103">
        <f t="shared" si="202"/>
        <v>2217.9758277975361</v>
      </c>
      <c r="AF33" s="103">
        <f t="shared" si="203"/>
        <v>2306.6948609094375</v>
      </c>
      <c r="AG33" s="103">
        <f t="shared" si="204"/>
        <v>2398.9626553458152</v>
      </c>
      <c r="AH33" s="103">
        <f t="shared" si="205"/>
        <v>2494.9211615596478</v>
      </c>
      <c r="AI33" s="103">
        <f t="shared" si="206"/>
        <v>2594.7180080220337</v>
      </c>
      <c r="AJ33" s="103">
        <f t="shared" si="207"/>
        <v>2698.5067283429153</v>
      </c>
      <c r="AK33" s="103">
        <f t="shared" si="208"/>
        <v>2806.4469974766321</v>
      </c>
      <c r="AL33" s="103">
        <f t="shared" si="209"/>
        <v>2918.7048773756974</v>
      </c>
      <c r="AM33" s="103">
        <f t="shared" si="210"/>
        <v>3035.4530724707256</v>
      </c>
      <c r="AN33" s="103">
        <f t="shared" si="211"/>
        <v>3156.8711953695547</v>
      </c>
    </row>
    <row r="34" spans="2:40" s="16" customFormat="1" ht="21" customHeight="1" x14ac:dyDescent="0.2">
      <c r="B34" s="8" t="s">
        <v>131</v>
      </c>
      <c r="C34" s="101">
        <v>0.04</v>
      </c>
      <c r="D34" s="14"/>
      <c r="E34" s="102">
        <v>57.375</v>
      </c>
      <c r="F34" s="103">
        <f t="shared" si="177"/>
        <v>59.67</v>
      </c>
      <c r="G34" s="103">
        <f t="shared" si="178"/>
        <v>62.056800000000003</v>
      </c>
      <c r="H34" s="103">
        <f t="shared" si="179"/>
        <v>64.539072000000004</v>
      </c>
      <c r="I34" s="103">
        <f t="shared" si="180"/>
        <v>67.120634880000011</v>
      </c>
      <c r="J34" s="103">
        <f t="shared" si="181"/>
        <v>69.805460275200019</v>
      </c>
      <c r="K34" s="103">
        <f t="shared" si="182"/>
        <v>72.597678686208027</v>
      </c>
      <c r="L34" s="103">
        <f t="shared" si="183"/>
        <v>75.50158583365635</v>
      </c>
      <c r="M34" s="103">
        <f t="shared" si="184"/>
        <v>78.521649267002601</v>
      </c>
      <c r="N34" s="103">
        <f t="shared" si="185"/>
        <v>81.662515237682712</v>
      </c>
      <c r="O34" s="103">
        <f t="shared" si="186"/>
        <v>84.92901584719003</v>
      </c>
      <c r="P34" s="103">
        <f t="shared" si="187"/>
        <v>88.326176481077638</v>
      </c>
      <c r="Q34" s="103">
        <f t="shared" si="188"/>
        <v>91.859223540320741</v>
      </c>
      <c r="R34" s="103">
        <f t="shared" si="189"/>
        <v>95.533592481933567</v>
      </c>
      <c r="S34" s="103">
        <f t="shared" si="190"/>
        <v>99.354936181210917</v>
      </c>
      <c r="T34" s="103">
        <f t="shared" si="191"/>
        <v>103.32913362845936</v>
      </c>
      <c r="U34" s="103">
        <f t="shared" si="192"/>
        <v>107.46229897359774</v>
      </c>
      <c r="V34" s="103">
        <f t="shared" si="193"/>
        <v>111.76079093254165</v>
      </c>
      <c r="W34" s="103">
        <f t="shared" si="194"/>
        <v>116.23122256984333</v>
      </c>
      <c r="X34" s="103">
        <f t="shared" si="195"/>
        <v>120.88047147263707</v>
      </c>
      <c r="Y34" s="103">
        <f t="shared" si="196"/>
        <v>125.71569033154256</v>
      </c>
      <c r="Z34" s="103">
        <f t="shared" si="197"/>
        <v>130.74431794480427</v>
      </c>
      <c r="AA34" s="103">
        <f t="shared" si="198"/>
        <v>135.97409066259644</v>
      </c>
      <c r="AB34" s="103">
        <f t="shared" si="199"/>
        <v>141.4130542891003</v>
      </c>
      <c r="AC34" s="103">
        <f t="shared" si="200"/>
        <v>147.06957646066431</v>
      </c>
      <c r="AD34" s="103">
        <f t="shared" si="201"/>
        <v>152.95235951909089</v>
      </c>
      <c r="AE34" s="103">
        <f t="shared" si="202"/>
        <v>159.07045389985453</v>
      </c>
      <c r="AF34" s="103">
        <f t="shared" si="203"/>
        <v>165.4332720558487</v>
      </c>
      <c r="AG34" s="103">
        <f t="shared" si="204"/>
        <v>172.05060293808265</v>
      </c>
      <c r="AH34" s="103">
        <f t="shared" si="205"/>
        <v>178.93262705560596</v>
      </c>
      <c r="AI34" s="103">
        <f t="shared" si="206"/>
        <v>186.0899321378302</v>
      </c>
      <c r="AJ34" s="103">
        <f t="shared" si="207"/>
        <v>193.53352942334342</v>
      </c>
      <c r="AK34" s="103">
        <f t="shared" si="208"/>
        <v>201.27487060027715</v>
      </c>
      <c r="AL34" s="103">
        <f t="shared" si="209"/>
        <v>209.32586542428825</v>
      </c>
      <c r="AM34" s="103">
        <f t="shared" si="210"/>
        <v>217.6989000412598</v>
      </c>
      <c r="AN34" s="103">
        <f t="shared" si="211"/>
        <v>226.40685604291019</v>
      </c>
    </row>
    <row r="35" spans="2:40" s="16" customFormat="1" ht="21" customHeight="1" x14ac:dyDescent="0.2">
      <c r="B35" s="8" t="s">
        <v>132</v>
      </c>
      <c r="C35" s="101">
        <v>0.04</v>
      </c>
      <c r="D35" s="14"/>
      <c r="E35" s="102">
        <v>0</v>
      </c>
      <c r="F35" s="103">
        <f t="shared" si="177"/>
        <v>0</v>
      </c>
      <c r="G35" s="103">
        <f t="shared" si="178"/>
        <v>0</v>
      </c>
      <c r="H35" s="103">
        <f t="shared" si="179"/>
        <v>0</v>
      </c>
      <c r="I35" s="103">
        <f t="shared" si="180"/>
        <v>0</v>
      </c>
      <c r="J35" s="103">
        <f t="shared" si="181"/>
        <v>0</v>
      </c>
      <c r="K35" s="103">
        <f t="shared" si="182"/>
        <v>0</v>
      </c>
      <c r="L35" s="103">
        <f t="shared" si="183"/>
        <v>0</v>
      </c>
      <c r="M35" s="103">
        <f t="shared" si="184"/>
        <v>0</v>
      </c>
      <c r="N35" s="103">
        <f t="shared" si="185"/>
        <v>0</v>
      </c>
      <c r="O35" s="103">
        <f t="shared" si="186"/>
        <v>0</v>
      </c>
      <c r="P35" s="103">
        <f t="shared" si="187"/>
        <v>0</v>
      </c>
      <c r="Q35" s="103">
        <f t="shared" si="188"/>
        <v>0</v>
      </c>
      <c r="R35" s="103">
        <f t="shared" si="189"/>
        <v>0</v>
      </c>
      <c r="S35" s="103">
        <f t="shared" si="190"/>
        <v>0</v>
      </c>
      <c r="T35" s="103">
        <f t="shared" si="191"/>
        <v>0</v>
      </c>
      <c r="U35" s="103">
        <f t="shared" si="192"/>
        <v>0</v>
      </c>
      <c r="V35" s="103">
        <f t="shared" si="193"/>
        <v>0</v>
      </c>
      <c r="W35" s="103">
        <f t="shared" si="194"/>
        <v>0</v>
      </c>
      <c r="X35" s="103">
        <f t="shared" si="195"/>
        <v>0</v>
      </c>
      <c r="Y35" s="103">
        <f t="shared" si="196"/>
        <v>0</v>
      </c>
      <c r="Z35" s="103">
        <f t="shared" si="197"/>
        <v>0</v>
      </c>
      <c r="AA35" s="103">
        <f t="shared" si="198"/>
        <v>0</v>
      </c>
      <c r="AB35" s="103">
        <f t="shared" si="199"/>
        <v>0</v>
      </c>
      <c r="AC35" s="103">
        <f t="shared" si="200"/>
        <v>0</v>
      </c>
      <c r="AD35" s="103">
        <f t="shared" si="201"/>
        <v>0</v>
      </c>
      <c r="AE35" s="103">
        <f t="shared" si="202"/>
        <v>0</v>
      </c>
      <c r="AF35" s="103">
        <f t="shared" si="203"/>
        <v>0</v>
      </c>
      <c r="AG35" s="103">
        <f t="shared" si="204"/>
        <v>0</v>
      </c>
      <c r="AH35" s="103">
        <f t="shared" si="205"/>
        <v>0</v>
      </c>
      <c r="AI35" s="103">
        <f t="shared" si="206"/>
        <v>0</v>
      </c>
      <c r="AJ35" s="103">
        <f t="shared" si="207"/>
        <v>0</v>
      </c>
      <c r="AK35" s="103">
        <f t="shared" si="208"/>
        <v>0</v>
      </c>
      <c r="AL35" s="103">
        <f t="shared" si="209"/>
        <v>0</v>
      </c>
      <c r="AM35" s="103">
        <f t="shared" si="210"/>
        <v>0</v>
      </c>
      <c r="AN35" s="103">
        <f t="shared" si="211"/>
        <v>0</v>
      </c>
    </row>
    <row r="36" spans="2:40" s="16" customFormat="1" ht="21" customHeight="1" x14ac:dyDescent="0.2">
      <c r="B36" s="7" t="s">
        <v>149</v>
      </c>
      <c r="C36" s="27"/>
      <c r="D36" s="14"/>
      <c r="E36" s="104">
        <f t="shared" ref="E36:AN36" si="212">SUM(E35, E34, E33, E32, E31 + E30)</f>
        <v>9775.375</v>
      </c>
      <c r="F36" s="104">
        <f t="shared" ref="F36:AM36" si="213">SUM(F35, F34, F33, F32, F31 + F30)</f>
        <v>10006.39</v>
      </c>
      <c r="G36" s="104">
        <f t="shared" si="213"/>
        <v>10243.445600000001</v>
      </c>
      <c r="H36" s="104">
        <f t="shared" si="213"/>
        <v>10347.712192000001</v>
      </c>
      <c r="I36" s="104">
        <f t="shared" si="213"/>
        <v>10591.827399680002</v>
      </c>
      <c r="J36" s="104">
        <f t="shared" si="213"/>
        <v>10842.311350067201</v>
      </c>
      <c r="K36" s="104">
        <f t="shared" si="213"/>
        <v>10039.433304485889</v>
      </c>
      <c r="L36" s="104">
        <f t="shared" si="213"/>
        <v>10282.023001004523</v>
      </c>
      <c r="M36" s="104">
        <f t="shared" si="213"/>
        <v>10531.136532670691</v>
      </c>
      <c r="N36" s="104">
        <f t="shared" si="213"/>
        <v>10786.971257836023</v>
      </c>
      <c r="O36" s="104">
        <f t="shared" si="213"/>
        <v>11049.731157285136</v>
      </c>
      <c r="P36" s="104">
        <f t="shared" si="213"/>
        <v>10287.067094405253</v>
      </c>
      <c r="Q36" s="104">
        <f t="shared" si="213"/>
        <v>10543.665781288011</v>
      </c>
      <c r="R36" s="104">
        <f t="shared" si="213"/>
        <v>10629.365163922359</v>
      </c>
      <c r="S36" s="104">
        <f t="shared" si="213"/>
        <v>10893.398460111308</v>
      </c>
      <c r="T36" s="104">
        <f t="shared" si="213"/>
        <v>11164.770261940455</v>
      </c>
      <c r="U36" s="104">
        <f t="shared" si="213"/>
        <v>11443.709653111262</v>
      </c>
      <c r="V36" s="104">
        <f t="shared" si="213"/>
        <v>11730.453591542764</v>
      </c>
      <c r="W36" s="104">
        <f t="shared" si="213"/>
        <v>10978.699978676825</v>
      </c>
      <c r="X36" s="104">
        <f t="shared" si="213"/>
        <v>11260.865894841771</v>
      </c>
      <c r="Y36" s="104">
        <f t="shared" si="213"/>
        <v>11348.400026925668</v>
      </c>
      <c r="Z36" s="104">
        <f t="shared" si="213"/>
        <v>11639.01186886809</v>
      </c>
      <c r="AA36" s="104">
        <f t="shared" si="213"/>
        <v>11937.981701305518</v>
      </c>
      <c r="AB36" s="104">
        <f t="shared" si="213"/>
        <v>12245.578514194098</v>
      </c>
      <c r="AC36" s="104">
        <f t="shared" si="213"/>
        <v>12562.080750494944</v>
      </c>
      <c r="AD36" s="104">
        <f t="shared" si="213"/>
        <v>11827.052724048968</v>
      </c>
      <c r="AE36" s="104">
        <f t="shared" si="213"/>
        <v>12141.026242893899</v>
      </c>
      <c r="AF36" s="104">
        <f t="shared" si="213"/>
        <v>12233.454669558356</v>
      </c>
      <c r="AG36" s="104">
        <f t="shared" si="213"/>
        <v>12557.256279182933</v>
      </c>
      <c r="AH36" s="104">
        <f t="shared" si="213"/>
        <v>12890.69922164934</v>
      </c>
      <c r="AI36" s="104">
        <f t="shared" si="213"/>
        <v>13009.314359140119</v>
      </c>
      <c r="AJ36" s="104">
        <f t="shared" si="213"/>
        <v>12300.005753698726</v>
      </c>
      <c r="AK36" s="104">
        <f t="shared" si="213"/>
        <v>12633.904117871491</v>
      </c>
      <c r="AL36" s="104">
        <f t="shared" si="213"/>
        <v>12977.996379291662</v>
      </c>
      <c r="AM36" s="104">
        <f t="shared" si="213"/>
        <v>13105.056133517992</v>
      </c>
      <c r="AN36" s="104">
        <f t="shared" si="212"/>
        <v>13461.479413870917</v>
      </c>
    </row>
    <row r="37" spans="2:40" s="16" customFormat="1" ht="21" customHeight="1" x14ac:dyDescent="0.2">
      <c r="B37" s="8" t="s">
        <v>133</v>
      </c>
      <c r="C37" s="101">
        <v>0.04</v>
      </c>
      <c r="D37" s="14"/>
      <c r="E37" s="102">
        <v>0</v>
      </c>
      <c r="F37" s="102">
        <v>0</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row>
    <row r="38" spans="2:40" s="18" customFormat="1" ht="21" customHeight="1" x14ac:dyDescent="0.2">
      <c r="B38" s="7" t="s">
        <v>134</v>
      </c>
      <c r="C38" s="101">
        <v>0.04</v>
      </c>
      <c r="D38" s="19"/>
      <c r="E38" s="102">
        <v>0</v>
      </c>
      <c r="F38" s="103">
        <f t="shared" ref="F38:F42" si="214">E38*(1+$C38)</f>
        <v>0</v>
      </c>
      <c r="G38" s="103">
        <f t="shared" ref="G38:G42" si="215">F38*(1+$C38)</f>
        <v>0</v>
      </c>
      <c r="H38" s="103">
        <f t="shared" ref="H38:H42" si="216">G38*(1+$C38)</f>
        <v>0</v>
      </c>
      <c r="I38" s="103">
        <f t="shared" ref="I38:I42" si="217">H38*(1+$C38)</f>
        <v>0</v>
      </c>
      <c r="J38" s="103">
        <f t="shared" ref="J38:J42" si="218">I38*(1+$C38)</f>
        <v>0</v>
      </c>
      <c r="K38" s="103">
        <f t="shared" ref="K38:K42" si="219">J38*(1+$C38)</f>
        <v>0</v>
      </c>
      <c r="L38" s="103">
        <f t="shared" ref="L38:L42" si="220">K38*(1+$C38)</f>
        <v>0</v>
      </c>
      <c r="M38" s="103">
        <f t="shared" ref="M38:M42" si="221">L38*(1+$C38)</f>
        <v>0</v>
      </c>
      <c r="N38" s="103">
        <f t="shared" ref="N38:N42" si="222">M38*(1+$C38)</f>
        <v>0</v>
      </c>
      <c r="O38" s="103">
        <f t="shared" ref="O38:O42" si="223">N38*(1+$C38)</f>
        <v>0</v>
      </c>
      <c r="P38" s="103">
        <f t="shared" ref="P38:P42" si="224">O38*(1+$C38)</f>
        <v>0</v>
      </c>
      <c r="Q38" s="103">
        <f t="shared" ref="Q38:Q42" si="225">P38*(1+$C38)</f>
        <v>0</v>
      </c>
      <c r="R38" s="103">
        <f t="shared" ref="R38:R42" si="226">Q38*(1+$C38)</f>
        <v>0</v>
      </c>
      <c r="S38" s="103">
        <f t="shared" ref="S38:S42" si="227">R38*(1+$C38)</f>
        <v>0</v>
      </c>
      <c r="T38" s="103">
        <f t="shared" ref="T38:T42" si="228">S38*(1+$C38)</f>
        <v>0</v>
      </c>
      <c r="U38" s="103">
        <f t="shared" ref="U38:U42" si="229">T38*(1+$C38)</f>
        <v>0</v>
      </c>
      <c r="V38" s="103">
        <f t="shared" ref="V38:V42" si="230">U38*(1+$C38)</f>
        <v>0</v>
      </c>
      <c r="W38" s="103">
        <f t="shared" ref="W38:W42" si="231">V38*(1+$C38)</f>
        <v>0</v>
      </c>
      <c r="X38" s="103">
        <f t="shared" ref="X38:X42" si="232">W38*(1+$C38)</f>
        <v>0</v>
      </c>
      <c r="Y38" s="103">
        <f t="shared" ref="Y38:Y42" si="233">X38*(1+$C38)</f>
        <v>0</v>
      </c>
      <c r="Z38" s="103">
        <f t="shared" ref="Z38:Z42" si="234">Y38*(1+$C38)</f>
        <v>0</v>
      </c>
      <c r="AA38" s="103">
        <f t="shared" ref="AA38:AA42" si="235">Z38*(1+$C38)</f>
        <v>0</v>
      </c>
      <c r="AB38" s="103">
        <f t="shared" ref="AB38:AB42" si="236">AA38*(1+$C38)</f>
        <v>0</v>
      </c>
      <c r="AC38" s="103">
        <f t="shared" ref="AC38:AC42" si="237">AB38*(1+$C38)</f>
        <v>0</v>
      </c>
      <c r="AD38" s="103">
        <f t="shared" ref="AD38:AD42" si="238">AC38*(1+$C38)</f>
        <v>0</v>
      </c>
      <c r="AE38" s="103">
        <f t="shared" ref="AE38:AE42" si="239">AD38*(1+$C38)</f>
        <v>0</v>
      </c>
      <c r="AF38" s="103">
        <f t="shared" ref="AF38:AF42" si="240">AE38*(1+$C38)</f>
        <v>0</v>
      </c>
      <c r="AG38" s="103">
        <f t="shared" ref="AG38:AG42" si="241">AF38*(1+$C38)</f>
        <v>0</v>
      </c>
      <c r="AH38" s="103">
        <f t="shared" ref="AH38:AH42" si="242">AG38*(1+$C38)</f>
        <v>0</v>
      </c>
      <c r="AI38" s="103">
        <f t="shared" ref="AI38:AI42" si="243">AH38*(1+$C38)</f>
        <v>0</v>
      </c>
      <c r="AJ38" s="103">
        <f t="shared" ref="AJ38:AJ42" si="244">AI38*(1+$C38)</f>
        <v>0</v>
      </c>
      <c r="AK38" s="103">
        <f t="shared" ref="AK38:AK42" si="245">AJ38*(1+$C38)</f>
        <v>0</v>
      </c>
      <c r="AL38" s="103">
        <f t="shared" ref="AL38:AL42" si="246">AK38*(1+$C38)</f>
        <v>0</v>
      </c>
      <c r="AM38" s="103">
        <f t="shared" ref="AM38:AM42" si="247">AL38*(1+$C38)</f>
        <v>0</v>
      </c>
      <c r="AN38" s="103">
        <f t="shared" ref="AN38:AN42" si="248">AM38*(1+$C38)</f>
        <v>0</v>
      </c>
    </row>
    <row r="39" spans="2:40" s="16" customFormat="1" ht="21" customHeight="1" x14ac:dyDescent="0.2">
      <c r="B39" s="8" t="s">
        <v>135</v>
      </c>
      <c r="C39" s="101">
        <v>0.08</v>
      </c>
      <c r="D39" s="14"/>
      <c r="E39" s="102">
        <v>850</v>
      </c>
      <c r="F39" s="103">
        <f t="shared" si="214"/>
        <v>918.00000000000011</v>
      </c>
      <c r="G39" s="103">
        <f t="shared" si="215"/>
        <v>991.44000000000017</v>
      </c>
      <c r="H39" s="103">
        <f t="shared" si="216"/>
        <v>1070.7552000000003</v>
      </c>
      <c r="I39" s="103">
        <f>H39*(0.85)</f>
        <v>910.14192000000025</v>
      </c>
      <c r="J39" s="103">
        <f t="shared" si="218"/>
        <v>982.95327360000033</v>
      </c>
      <c r="K39" s="103">
        <f t="shared" si="219"/>
        <v>1061.5895354880004</v>
      </c>
      <c r="L39" s="103">
        <f t="shared" si="220"/>
        <v>1146.5166983270406</v>
      </c>
      <c r="M39" s="103">
        <f t="shared" si="221"/>
        <v>1238.2380341932039</v>
      </c>
      <c r="N39" s="103">
        <f t="shared" si="222"/>
        <v>1337.2970769286603</v>
      </c>
      <c r="O39" s="103">
        <f t="shared" si="223"/>
        <v>1444.2808430829532</v>
      </c>
      <c r="P39" s="103">
        <f>O39*(0.85)</f>
        <v>1227.6387166205102</v>
      </c>
      <c r="Q39" s="103">
        <f t="shared" si="225"/>
        <v>1325.8498139501512</v>
      </c>
      <c r="R39" s="103">
        <f t="shared" si="226"/>
        <v>1431.9177990661633</v>
      </c>
      <c r="S39" s="103">
        <f t="shared" si="227"/>
        <v>1546.4712229914564</v>
      </c>
      <c r="T39" s="103">
        <f t="shared" si="228"/>
        <v>1670.188920830773</v>
      </c>
      <c r="U39" s="103">
        <f t="shared" si="229"/>
        <v>1803.8040344972349</v>
      </c>
      <c r="V39" s="103">
        <f t="shared" si="230"/>
        <v>1948.1083572570137</v>
      </c>
      <c r="W39" s="103">
        <f>V39*(0.85)</f>
        <v>1655.8921036684617</v>
      </c>
      <c r="X39" s="103">
        <f t="shared" si="232"/>
        <v>1788.3634719619388</v>
      </c>
      <c r="Y39" s="103">
        <f t="shared" si="233"/>
        <v>1931.4325497188941</v>
      </c>
      <c r="Z39" s="103">
        <f t="shared" si="234"/>
        <v>2085.9471536964056</v>
      </c>
      <c r="AA39" s="103">
        <f t="shared" si="235"/>
        <v>2252.8229259921181</v>
      </c>
      <c r="AB39" s="103">
        <f t="shared" si="236"/>
        <v>2433.0487600714878</v>
      </c>
      <c r="AC39" s="103">
        <f>AB39*(0.85)</f>
        <v>2068.0914460607646</v>
      </c>
      <c r="AD39" s="103">
        <f t="shared" si="238"/>
        <v>2233.5387617456258</v>
      </c>
      <c r="AE39" s="103">
        <f t="shared" si="239"/>
        <v>2412.2218626852759</v>
      </c>
      <c r="AF39" s="103">
        <f t="shared" si="240"/>
        <v>2605.1996117000981</v>
      </c>
      <c r="AG39" s="103">
        <f t="shared" si="241"/>
        <v>2813.6155806361062</v>
      </c>
      <c r="AH39" s="103">
        <f t="shared" si="242"/>
        <v>3038.704827086995</v>
      </c>
      <c r="AI39" s="103">
        <f t="shared" si="243"/>
        <v>3281.8012132539548</v>
      </c>
      <c r="AJ39" s="103">
        <f t="shared" si="244"/>
        <v>3544.3453103142715</v>
      </c>
      <c r="AK39" s="103">
        <f>AJ39*(0.85)</f>
        <v>3012.6935137671308</v>
      </c>
      <c r="AL39" s="103">
        <f t="shared" si="246"/>
        <v>3253.7089948685016</v>
      </c>
      <c r="AM39" s="103">
        <f t="shared" si="247"/>
        <v>3514.0057144579819</v>
      </c>
      <c r="AN39" s="103">
        <f t="shared" si="248"/>
        <v>3795.1261716146205</v>
      </c>
    </row>
    <row r="40" spans="2:40" s="16" customFormat="1" ht="21" customHeight="1" x14ac:dyDescent="0.2">
      <c r="B40" s="8" t="s">
        <v>136</v>
      </c>
      <c r="C40" s="101">
        <v>0.04</v>
      </c>
      <c r="D40" s="14"/>
      <c r="E40" s="102">
        <v>600</v>
      </c>
      <c r="F40" s="103">
        <f t="shared" si="214"/>
        <v>624</v>
      </c>
      <c r="G40" s="103">
        <f t="shared" si="215"/>
        <v>648.96</v>
      </c>
      <c r="H40" s="103">
        <f t="shared" si="216"/>
        <v>674.91840000000002</v>
      </c>
      <c r="I40" s="103">
        <f t="shared" si="217"/>
        <v>701.91513600000008</v>
      </c>
      <c r="J40" s="103">
        <f t="shared" si="218"/>
        <v>729.99174144000006</v>
      </c>
      <c r="K40" s="103">
        <f t="shared" si="219"/>
        <v>759.19141109760005</v>
      </c>
      <c r="L40" s="103">
        <f t="shared" si="220"/>
        <v>789.55906754150408</v>
      </c>
      <c r="M40" s="103">
        <f t="shared" si="221"/>
        <v>821.14143024316422</v>
      </c>
      <c r="N40" s="103">
        <f t="shared" si="222"/>
        <v>853.98708745289082</v>
      </c>
      <c r="O40" s="103">
        <f t="shared" si="223"/>
        <v>888.14657095100654</v>
      </c>
      <c r="P40" s="103">
        <f t="shared" si="224"/>
        <v>923.67243378904686</v>
      </c>
      <c r="Q40" s="103">
        <f t="shared" si="225"/>
        <v>960.61933114060878</v>
      </c>
      <c r="R40" s="103">
        <f t="shared" si="226"/>
        <v>999.04410438623313</v>
      </c>
      <c r="S40" s="103">
        <f t="shared" si="227"/>
        <v>1039.0058685616825</v>
      </c>
      <c r="T40" s="103">
        <f t="shared" si="228"/>
        <v>1080.5661033041499</v>
      </c>
      <c r="U40" s="103">
        <f t="shared" si="229"/>
        <v>1123.788747436316</v>
      </c>
      <c r="V40" s="103">
        <f t="shared" si="230"/>
        <v>1168.7402973337687</v>
      </c>
      <c r="W40" s="103">
        <f t="shared" si="231"/>
        <v>1215.4899092271196</v>
      </c>
      <c r="X40" s="103">
        <f t="shared" si="232"/>
        <v>1264.1095055962044</v>
      </c>
      <c r="Y40" s="103">
        <f t="shared" si="233"/>
        <v>1314.6738858200526</v>
      </c>
      <c r="Z40" s="103">
        <f t="shared" si="234"/>
        <v>1367.2608412528548</v>
      </c>
      <c r="AA40" s="103">
        <f t="shared" si="235"/>
        <v>1421.9512749029691</v>
      </c>
      <c r="AB40" s="103">
        <f t="shared" si="236"/>
        <v>1478.829325899088</v>
      </c>
      <c r="AC40" s="103">
        <f t="shared" si="237"/>
        <v>1537.9824989350516</v>
      </c>
      <c r="AD40" s="103">
        <f t="shared" si="238"/>
        <v>1599.5017988924537</v>
      </c>
      <c r="AE40" s="103">
        <f t="shared" si="239"/>
        <v>1663.4818708481519</v>
      </c>
      <c r="AF40" s="103">
        <f t="shared" si="240"/>
        <v>1730.021145682078</v>
      </c>
      <c r="AG40" s="103">
        <f t="shared" si="241"/>
        <v>1799.2219915093613</v>
      </c>
      <c r="AH40" s="103">
        <f t="shared" si="242"/>
        <v>1871.1908711697358</v>
      </c>
      <c r="AI40" s="103">
        <f t="shared" si="243"/>
        <v>1946.0385060165254</v>
      </c>
      <c r="AJ40" s="103">
        <f t="shared" si="244"/>
        <v>2023.8800462571865</v>
      </c>
      <c r="AK40" s="103">
        <f t="shared" si="245"/>
        <v>2104.8352481074739</v>
      </c>
      <c r="AL40" s="103">
        <f t="shared" si="246"/>
        <v>2189.0286580317729</v>
      </c>
      <c r="AM40" s="103">
        <f t="shared" si="247"/>
        <v>2276.5898043530437</v>
      </c>
      <c r="AN40" s="103">
        <f t="shared" si="248"/>
        <v>2367.6533965271656</v>
      </c>
    </row>
    <row r="41" spans="2:40" s="16" customFormat="1" ht="21" customHeight="1" x14ac:dyDescent="0.2">
      <c r="B41" s="8" t="s">
        <v>137</v>
      </c>
      <c r="C41" s="101">
        <v>0.04</v>
      </c>
      <c r="D41" s="14"/>
      <c r="E41" s="102">
        <v>250</v>
      </c>
      <c r="F41" s="103">
        <f t="shared" si="214"/>
        <v>260</v>
      </c>
      <c r="G41" s="103">
        <f t="shared" si="215"/>
        <v>270.40000000000003</v>
      </c>
      <c r="H41" s="103">
        <f t="shared" si="216"/>
        <v>281.21600000000007</v>
      </c>
      <c r="I41" s="103">
        <f t="shared" si="217"/>
        <v>292.46464000000009</v>
      </c>
      <c r="J41" s="103">
        <f t="shared" si="218"/>
        <v>304.16322560000009</v>
      </c>
      <c r="K41" s="103">
        <f t="shared" si="219"/>
        <v>316.32975462400009</v>
      </c>
      <c r="L41" s="103">
        <f t="shared" si="220"/>
        <v>328.9829448089601</v>
      </c>
      <c r="M41" s="103">
        <f t="shared" si="221"/>
        <v>342.14226260131852</v>
      </c>
      <c r="N41" s="103">
        <f t="shared" si="222"/>
        <v>355.82795310537125</v>
      </c>
      <c r="O41" s="103">
        <f t="shared" si="223"/>
        <v>370.0610712295861</v>
      </c>
      <c r="P41" s="103">
        <f t="shared" si="224"/>
        <v>384.86351407876958</v>
      </c>
      <c r="Q41" s="103">
        <f t="shared" si="225"/>
        <v>400.25805464192035</v>
      </c>
      <c r="R41" s="103">
        <f t="shared" si="226"/>
        <v>416.26837682759719</v>
      </c>
      <c r="S41" s="103">
        <f t="shared" si="227"/>
        <v>432.91911190070113</v>
      </c>
      <c r="T41" s="103">
        <f t="shared" si="228"/>
        <v>450.23587637672921</v>
      </c>
      <c r="U41" s="103">
        <f t="shared" si="229"/>
        <v>468.24531143179837</v>
      </c>
      <c r="V41" s="103">
        <f t="shared" si="230"/>
        <v>486.97512388907035</v>
      </c>
      <c r="W41" s="103">
        <f t="shared" si="231"/>
        <v>506.4541288446332</v>
      </c>
      <c r="X41" s="103">
        <f t="shared" si="232"/>
        <v>526.71229399841855</v>
      </c>
      <c r="Y41" s="103">
        <f t="shared" si="233"/>
        <v>547.78078575835525</v>
      </c>
      <c r="Z41" s="103">
        <f t="shared" si="234"/>
        <v>569.69201718868953</v>
      </c>
      <c r="AA41" s="103">
        <f t="shared" si="235"/>
        <v>592.47969787623708</v>
      </c>
      <c r="AB41" s="103">
        <f t="shared" si="236"/>
        <v>616.17888579128658</v>
      </c>
      <c r="AC41" s="103">
        <f t="shared" si="237"/>
        <v>640.8260412229381</v>
      </c>
      <c r="AD41" s="103">
        <f t="shared" si="238"/>
        <v>666.45908287185568</v>
      </c>
      <c r="AE41" s="103">
        <f t="shared" si="239"/>
        <v>693.11744618672992</v>
      </c>
      <c r="AF41" s="103">
        <f t="shared" si="240"/>
        <v>720.84214403419912</v>
      </c>
      <c r="AG41" s="103">
        <f t="shared" si="241"/>
        <v>749.6758297955671</v>
      </c>
      <c r="AH41" s="103">
        <f t="shared" si="242"/>
        <v>779.66286298738976</v>
      </c>
      <c r="AI41" s="103">
        <f t="shared" si="243"/>
        <v>810.84937750688539</v>
      </c>
      <c r="AJ41" s="103">
        <f t="shared" si="244"/>
        <v>843.28335260716085</v>
      </c>
      <c r="AK41" s="103">
        <f t="shared" si="245"/>
        <v>877.01468671144733</v>
      </c>
      <c r="AL41" s="103">
        <f t="shared" si="246"/>
        <v>912.09527417990523</v>
      </c>
      <c r="AM41" s="103">
        <f t="shared" si="247"/>
        <v>948.57908514710152</v>
      </c>
      <c r="AN41" s="103">
        <f t="shared" si="248"/>
        <v>986.52224855298562</v>
      </c>
    </row>
    <row r="42" spans="2:40" s="50" customFormat="1" ht="21" customHeight="1" x14ac:dyDescent="0.2">
      <c r="B42" s="34" t="s">
        <v>150</v>
      </c>
      <c r="C42" s="34"/>
      <c r="D42" s="35"/>
      <c r="E42" s="110">
        <f t="shared" ref="E42" si="249">SUM(E41, E40, E39 + E38)</f>
        <v>1700</v>
      </c>
      <c r="F42" s="110">
        <f t="shared" si="214"/>
        <v>1700</v>
      </c>
      <c r="G42" s="110">
        <f t="shared" si="215"/>
        <v>1700</v>
      </c>
      <c r="H42" s="110">
        <f t="shared" si="216"/>
        <v>1700</v>
      </c>
      <c r="I42" s="110">
        <f t="shared" si="217"/>
        <v>1700</v>
      </c>
      <c r="J42" s="110">
        <f t="shared" si="218"/>
        <v>1700</v>
      </c>
      <c r="K42" s="110">
        <f t="shared" si="219"/>
        <v>1700</v>
      </c>
      <c r="L42" s="110">
        <f t="shared" si="220"/>
        <v>1700</v>
      </c>
      <c r="M42" s="110">
        <f t="shared" si="221"/>
        <v>1700</v>
      </c>
      <c r="N42" s="110">
        <f t="shared" si="222"/>
        <v>1700</v>
      </c>
      <c r="O42" s="110">
        <f t="shared" si="223"/>
        <v>1700</v>
      </c>
      <c r="P42" s="110">
        <f t="shared" si="224"/>
        <v>1700</v>
      </c>
      <c r="Q42" s="110">
        <f t="shared" si="225"/>
        <v>1700</v>
      </c>
      <c r="R42" s="110">
        <f t="shared" si="226"/>
        <v>1700</v>
      </c>
      <c r="S42" s="110">
        <f t="shared" si="227"/>
        <v>1700</v>
      </c>
      <c r="T42" s="110">
        <f t="shared" si="228"/>
        <v>1700</v>
      </c>
      <c r="U42" s="110">
        <f t="shared" si="229"/>
        <v>1700</v>
      </c>
      <c r="V42" s="110">
        <f t="shared" si="230"/>
        <v>1700</v>
      </c>
      <c r="W42" s="110">
        <f t="shared" si="231"/>
        <v>1700</v>
      </c>
      <c r="X42" s="110">
        <f t="shared" si="232"/>
        <v>1700</v>
      </c>
      <c r="Y42" s="110">
        <f t="shared" si="233"/>
        <v>1700</v>
      </c>
      <c r="Z42" s="110">
        <f t="shared" si="234"/>
        <v>1700</v>
      </c>
      <c r="AA42" s="110">
        <f t="shared" si="235"/>
        <v>1700</v>
      </c>
      <c r="AB42" s="110">
        <f t="shared" si="236"/>
        <v>1700</v>
      </c>
      <c r="AC42" s="110">
        <f t="shared" si="237"/>
        <v>1700</v>
      </c>
      <c r="AD42" s="110">
        <f t="shared" si="238"/>
        <v>1700</v>
      </c>
      <c r="AE42" s="110">
        <f t="shared" si="239"/>
        <v>1700</v>
      </c>
      <c r="AF42" s="110">
        <f t="shared" si="240"/>
        <v>1700</v>
      </c>
      <c r="AG42" s="110">
        <f t="shared" si="241"/>
        <v>1700</v>
      </c>
      <c r="AH42" s="110">
        <f t="shared" si="242"/>
        <v>1700</v>
      </c>
      <c r="AI42" s="110">
        <f t="shared" si="243"/>
        <v>1700</v>
      </c>
      <c r="AJ42" s="110">
        <f t="shared" si="244"/>
        <v>1700</v>
      </c>
      <c r="AK42" s="110">
        <f t="shared" si="245"/>
        <v>1700</v>
      </c>
      <c r="AL42" s="110">
        <f t="shared" si="246"/>
        <v>1700</v>
      </c>
      <c r="AM42" s="110">
        <f t="shared" si="247"/>
        <v>1700</v>
      </c>
      <c r="AN42" s="110">
        <f t="shared" si="248"/>
        <v>1700</v>
      </c>
    </row>
    <row r="43" spans="2:40" s="16" customFormat="1" ht="21" customHeight="1" x14ac:dyDescent="0.2">
      <c r="B43" s="6" t="s">
        <v>151</v>
      </c>
      <c r="C43" s="26"/>
      <c r="D43" s="14"/>
      <c r="E43" s="104">
        <f t="shared" ref="E43:AN43" si="250">SUM(E41, E40, E39, E38, E37, E35, E34, E33, E32, E31, E30, E28, E27, E26, E25, E24, E22, E21, E20, E19, E18, E17, E16, E15, E14 + E13)</f>
        <v>22975.375</v>
      </c>
      <c r="F43" s="104">
        <f t="shared" ref="F43:AM43" si="251">SUM(F41, F40, F39, F38, F37, F35, F34, F33, F32, F31, F30, F28, F27, F26, F25, F24, F22, F21, F20, F19, F18, F17, F16, F15, F14 + F13)</f>
        <v>23663.39</v>
      </c>
      <c r="G43" s="104">
        <f t="shared" si="251"/>
        <v>23793.795600000001</v>
      </c>
      <c r="H43" s="104">
        <f t="shared" si="251"/>
        <v>23542.673291999999</v>
      </c>
      <c r="I43" s="104">
        <f t="shared" si="251"/>
        <v>24007.491310680001</v>
      </c>
      <c r="J43" s="104">
        <f t="shared" si="251"/>
        <v>24725.173055857205</v>
      </c>
      <c r="K43" s="104">
        <f t="shared" si="251"/>
        <v>24408.854681456989</v>
      </c>
      <c r="L43" s="104">
        <f t="shared" si="251"/>
        <v>25158.315607684744</v>
      </c>
      <c r="M43" s="104">
        <f t="shared" si="251"/>
        <v>25935.616596693821</v>
      </c>
      <c r="N43" s="104">
        <f t="shared" si="251"/>
        <v>25900.117332138103</v>
      </c>
      <c r="O43" s="104">
        <f t="shared" si="251"/>
        <v>25222.454424468098</v>
      </c>
      <c r="P43" s="104">
        <f t="shared" si="251"/>
        <v>24646.426652590613</v>
      </c>
      <c r="Q43" s="104">
        <f t="shared" si="251"/>
        <v>25418.356097652359</v>
      </c>
      <c r="R43" s="104">
        <f t="shared" si="251"/>
        <v>26041.578181423214</v>
      </c>
      <c r="S43" s="104">
        <f t="shared" si="251"/>
        <v>25387.61264403852</v>
      </c>
      <c r="T43" s="104">
        <f t="shared" si="251"/>
        <v>26193.972694781376</v>
      </c>
      <c r="U43" s="104">
        <f t="shared" si="251"/>
        <v>26861.274332606492</v>
      </c>
      <c r="V43" s="104">
        <f t="shared" si="251"/>
        <v>27730.741019898811</v>
      </c>
      <c r="W43" s="104">
        <f t="shared" si="251"/>
        <v>26528.605675537925</v>
      </c>
      <c r="X43" s="104">
        <f t="shared" si="251"/>
        <v>26837.52033432871</v>
      </c>
      <c r="Y43" s="104">
        <f t="shared" si="251"/>
        <v>27506.297426700839</v>
      </c>
      <c r="Z43" s="104">
        <f t="shared" si="251"/>
        <v>27304.880004910796</v>
      </c>
      <c r="AA43" s="104">
        <f t="shared" si="251"/>
        <v>28209.616831105875</v>
      </c>
      <c r="AB43" s="104">
        <f t="shared" si="251"/>
        <v>29151.541972218085</v>
      </c>
      <c r="AC43" s="104">
        <f t="shared" si="251"/>
        <v>29572.946628880385</v>
      </c>
      <c r="AD43" s="104">
        <f t="shared" si="251"/>
        <v>27962.359935053613</v>
      </c>
      <c r="AE43" s="104">
        <f t="shared" si="251"/>
        <v>28756.544304461691</v>
      </c>
      <c r="AF43" s="104">
        <f t="shared" si="251"/>
        <v>29507.423594196127</v>
      </c>
      <c r="AG43" s="104">
        <f t="shared" si="251"/>
        <v>30521.388441625095</v>
      </c>
      <c r="AH43" s="104">
        <f t="shared" si="251"/>
        <v>30059.171696323272</v>
      </c>
      <c r="AI43" s="104">
        <f t="shared" si="251"/>
        <v>30885.280075104023</v>
      </c>
      <c r="AJ43" s="104">
        <f t="shared" si="251"/>
        <v>30919.22174379621</v>
      </c>
      <c r="AK43" s="104">
        <f t="shared" si="251"/>
        <v>31077.453644974506</v>
      </c>
      <c r="AL43" s="104">
        <f t="shared" si="251"/>
        <v>32176.267775120836</v>
      </c>
      <c r="AM43" s="104">
        <f t="shared" si="251"/>
        <v>32174.690732994361</v>
      </c>
      <c r="AN43" s="104">
        <f t="shared" si="250"/>
        <v>32666.916876941614</v>
      </c>
    </row>
    <row r="44" spans="2:40" s="18" customFormat="1" ht="21" customHeight="1" x14ac:dyDescent="0.2">
      <c r="B44" s="6" t="s">
        <v>138</v>
      </c>
      <c r="C44" s="26"/>
      <c r="D44" s="19"/>
      <c r="E44" s="105">
        <f t="shared" ref="E44:AN44" si="252">E12-E43</f>
        <v>-23775.375</v>
      </c>
      <c r="F44" s="105">
        <f t="shared" ref="F44:AM44" si="253">F12-F43</f>
        <v>-24495.39</v>
      </c>
      <c r="G44" s="105">
        <f t="shared" si="253"/>
        <v>-24659.0756</v>
      </c>
      <c r="H44" s="105">
        <f t="shared" si="253"/>
        <v>-24442.564491999998</v>
      </c>
      <c r="I44" s="105">
        <f t="shared" si="253"/>
        <v>-24943.378158680003</v>
      </c>
      <c r="J44" s="105">
        <f t="shared" si="253"/>
        <v>-25698.495377777206</v>
      </c>
      <c r="K44" s="105">
        <f t="shared" si="253"/>
        <v>-25421.109896253791</v>
      </c>
      <c r="L44" s="105">
        <f t="shared" si="253"/>
        <v>-26211.061031073416</v>
      </c>
      <c r="M44" s="105">
        <f t="shared" si="253"/>
        <v>-27030.471837018038</v>
      </c>
      <c r="N44" s="105">
        <f t="shared" si="253"/>
        <v>-27038.76678207529</v>
      </c>
      <c r="O44" s="105">
        <f t="shared" si="253"/>
        <v>-26406.649852402774</v>
      </c>
      <c r="P44" s="105">
        <f t="shared" si="253"/>
        <v>-25877.989897642678</v>
      </c>
      <c r="Q44" s="105">
        <f t="shared" si="253"/>
        <v>-26699.181872506502</v>
      </c>
      <c r="R44" s="105">
        <f t="shared" si="253"/>
        <v>-27373.636987271526</v>
      </c>
      <c r="S44" s="105">
        <f t="shared" si="253"/>
        <v>-26772.953802120763</v>
      </c>
      <c r="T44" s="105">
        <f t="shared" si="253"/>
        <v>-27634.727499186909</v>
      </c>
      <c r="U44" s="105">
        <f t="shared" si="253"/>
        <v>-28359.659329188245</v>
      </c>
      <c r="V44" s="105">
        <f t="shared" si="253"/>
        <v>-29289.061416343837</v>
      </c>
      <c r="W44" s="105">
        <f t="shared" si="253"/>
        <v>-28149.258887840751</v>
      </c>
      <c r="X44" s="105">
        <f t="shared" si="253"/>
        <v>-28522.99967512365</v>
      </c>
      <c r="Y44" s="105">
        <f t="shared" si="253"/>
        <v>-29259.195941127575</v>
      </c>
      <c r="Z44" s="105">
        <f t="shared" si="253"/>
        <v>-29127.894459914602</v>
      </c>
      <c r="AA44" s="105">
        <f t="shared" si="253"/>
        <v>-30105.551864309833</v>
      </c>
      <c r="AB44" s="105">
        <f t="shared" si="253"/>
        <v>-31123.314406750203</v>
      </c>
      <c r="AC44" s="105">
        <f t="shared" si="253"/>
        <v>-31623.589960793786</v>
      </c>
      <c r="AD44" s="105">
        <f t="shared" si="253"/>
        <v>-30095.02900024355</v>
      </c>
      <c r="AE44" s="105">
        <f t="shared" si="253"/>
        <v>-30974.520132259226</v>
      </c>
      <c r="AF44" s="105">
        <f t="shared" si="253"/>
        <v>-31814.118455105563</v>
      </c>
      <c r="AG44" s="105">
        <f t="shared" si="253"/>
        <v>-32920.35109697091</v>
      </c>
      <c r="AH44" s="105">
        <f t="shared" si="253"/>
        <v>-32554.092857882919</v>
      </c>
      <c r="AI44" s="105">
        <f t="shared" si="253"/>
        <v>-33479.998083126055</v>
      </c>
      <c r="AJ44" s="105">
        <f t="shared" si="253"/>
        <v>-33617.728472139126</v>
      </c>
      <c r="AK44" s="105">
        <f t="shared" si="253"/>
        <v>-33883.900642451139</v>
      </c>
      <c r="AL44" s="105">
        <f t="shared" si="253"/>
        <v>-35094.97265249653</v>
      </c>
      <c r="AM44" s="105">
        <f t="shared" si="253"/>
        <v>-35210.143805465086</v>
      </c>
      <c r="AN44" s="105">
        <f t="shared" si="252"/>
        <v>-35823.788072311167</v>
      </c>
    </row>
    <row r="45" spans="2:40" s="16" customFormat="1" ht="21" customHeight="1" x14ac:dyDescent="0.2">
      <c r="B45" s="6" t="s">
        <v>58</v>
      </c>
      <c r="C45" s="101">
        <v>0.1</v>
      </c>
      <c r="D45" s="14"/>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2:40" s="16" customFormat="1" ht="21" customHeight="1" x14ac:dyDescent="0.2">
      <c r="B46" s="5" t="s">
        <v>139</v>
      </c>
      <c r="C46" s="101">
        <v>0.1</v>
      </c>
      <c r="D46" s="14"/>
      <c r="E46" s="102">
        <v>0</v>
      </c>
      <c r="F46" s="103">
        <f t="shared" ref="F46" si="254">E46*(1+$C46)</f>
        <v>0</v>
      </c>
      <c r="G46" s="103">
        <f t="shared" ref="G46" si="255">F46*(1+$C46)</f>
        <v>0</v>
      </c>
      <c r="H46" s="103">
        <f t="shared" ref="H46" si="256">G46*(1+$C46)</f>
        <v>0</v>
      </c>
      <c r="I46" s="103">
        <f t="shared" ref="I46" si="257">H46*(1+$C46)</f>
        <v>0</v>
      </c>
      <c r="J46" s="103">
        <f t="shared" ref="J46" si="258">I46*(1+$C46)</f>
        <v>0</v>
      </c>
      <c r="K46" s="103">
        <f t="shared" ref="K46" si="259">J46*(1+$C46)</f>
        <v>0</v>
      </c>
      <c r="L46" s="103">
        <f t="shared" ref="L46" si="260">K46*(1+$C46)</f>
        <v>0</v>
      </c>
      <c r="M46" s="103">
        <f t="shared" ref="M46" si="261">L46*(1+$C46)</f>
        <v>0</v>
      </c>
      <c r="N46" s="103">
        <f t="shared" ref="N46" si="262">M46*(1+$C46)</f>
        <v>0</v>
      </c>
      <c r="O46" s="103">
        <f t="shared" ref="O46" si="263">N46*(1+$C46)</f>
        <v>0</v>
      </c>
      <c r="P46" s="103">
        <f t="shared" ref="P46" si="264">O46*(1+$C46)</f>
        <v>0</v>
      </c>
      <c r="Q46" s="103">
        <f t="shared" ref="Q46" si="265">P46*(1+$C46)</f>
        <v>0</v>
      </c>
      <c r="R46" s="103">
        <f t="shared" ref="R46" si="266">Q46*(1+$C46)</f>
        <v>0</v>
      </c>
      <c r="S46" s="103">
        <f t="shared" ref="S46" si="267">R46*(1+$C46)</f>
        <v>0</v>
      </c>
      <c r="T46" s="103">
        <f t="shared" ref="T46" si="268">S46*(1+$C46)</f>
        <v>0</v>
      </c>
      <c r="U46" s="103">
        <f t="shared" ref="U46" si="269">T46*(1+$C46)</f>
        <v>0</v>
      </c>
      <c r="V46" s="103">
        <f t="shared" ref="V46" si="270">U46*(1+$C46)</f>
        <v>0</v>
      </c>
      <c r="W46" s="103">
        <f t="shared" ref="W46" si="271">V46*(1+$C46)</f>
        <v>0</v>
      </c>
      <c r="X46" s="103">
        <f t="shared" ref="X46" si="272">W46*(1+$C46)</f>
        <v>0</v>
      </c>
      <c r="Y46" s="103">
        <f t="shared" ref="Y46" si="273">X46*(1+$C46)</f>
        <v>0</v>
      </c>
      <c r="Z46" s="103">
        <f t="shared" ref="Z46" si="274">Y46*(1+$C46)</f>
        <v>0</v>
      </c>
      <c r="AA46" s="103">
        <f t="shared" ref="AA46" si="275">Z46*(1+$C46)</f>
        <v>0</v>
      </c>
      <c r="AB46" s="103">
        <f t="shared" ref="AB46" si="276">AA46*(1+$C46)</f>
        <v>0</v>
      </c>
      <c r="AC46" s="103">
        <f t="shared" ref="AC46" si="277">AB46*(1+$C46)</f>
        <v>0</v>
      </c>
      <c r="AD46" s="103">
        <f t="shared" ref="AD46" si="278">AC46*(1+$C46)</f>
        <v>0</v>
      </c>
      <c r="AE46" s="103">
        <f t="shared" ref="AE46" si="279">AD46*(1+$C46)</f>
        <v>0</v>
      </c>
      <c r="AF46" s="103">
        <f t="shared" ref="AF46" si="280">AE46*(1+$C46)</f>
        <v>0</v>
      </c>
      <c r="AG46" s="103">
        <f t="shared" ref="AG46" si="281">AF46*(1+$C46)</f>
        <v>0</v>
      </c>
      <c r="AH46" s="103">
        <f t="shared" ref="AH46" si="282">AG46*(1+$C46)</f>
        <v>0</v>
      </c>
      <c r="AI46" s="103">
        <f t="shared" ref="AI46" si="283">AH46*(1+$C46)</f>
        <v>0</v>
      </c>
      <c r="AJ46" s="103">
        <f t="shared" ref="AJ46" si="284">AI46*(1+$C46)</f>
        <v>0</v>
      </c>
      <c r="AK46" s="103">
        <f t="shared" ref="AK46" si="285">AJ46*(1+$C46)</f>
        <v>0</v>
      </c>
      <c r="AL46" s="103">
        <f t="shared" ref="AL46" si="286">AK46*(1+$C46)</f>
        <v>0</v>
      </c>
      <c r="AM46" s="103">
        <f t="shared" ref="AM46" si="287">AL46*(1+$C46)</f>
        <v>0</v>
      </c>
      <c r="AN46" s="103">
        <f t="shared" ref="AN46" si="288">AM46*(1+$C46)</f>
        <v>0</v>
      </c>
    </row>
    <row r="47" spans="2:40" s="16" customFormat="1" ht="21" customHeight="1" x14ac:dyDescent="0.2">
      <c r="B47" s="6" t="s">
        <v>152</v>
      </c>
      <c r="C47" s="26"/>
      <c r="D47" s="14"/>
      <c r="E47" s="104">
        <f t="shared" ref="E47:AM47" si="289">SUM(E46 + E45)</f>
        <v>0</v>
      </c>
      <c r="F47" s="104">
        <f t="shared" si="289"/>
        <v>0</v>
      </c>
      <c r="G47" s="104">
        <f t="shared" si="289"/>
        <v>0</v>
      </c>
      <c r="H47" s="104">
        <f t="shared" si="289"/>
        <v>0</v>
      </c>
      <c r="I47" s="104">
        <f t="shared" si="289"/>
        <v>0</v>
      </c>
      <c r="J47" s="104">
        <f t="shared" si="289"/>
        <v>0</v>
      </c>
      <c r="K47" s="104">
        <f t="shared" si="289"/>
        <v>0</v>
      </c>
      <c r="L47" s="104">
        <f t="shared" si="289"/>
        <v>0</v>
      </c>
      <c r="M47" s="104">
        <f t="shared" si="289"/>
        <v>0</v>
      </c>
      <c r="N47" s="104">
        <f t="shared" si="289"/>
        <v>0</v>
      </c>
      <c r="O47" s="104">
        <f t="shared" si="289"/>
        <v>0</v>
      </c>
      <c r="P47" s="104">
        <f t="shared" si="289"/>
        <v>0</v>
      </c>
      <c r="Q47" s="104">
        <f t="shared" si="289"/>
        <v>0</v>
      </c>
      <c r="R47" s="104">
        <f t="shared" si="289"/>
        <v>0</v>
      </c>
      <c r="S47" s="104">
        <f t="shared" si="289"/>
        <v>0</v>
      </c>
      <c r="T47" s="104">
        <f t="shared" si="289"/>
        <v>0</v>
      </c>
      <c r="U47" s="104">
        <f t="shared" si="289"/>
        <v>0</v>
      </c>
      <c r="V47" s="104">
        <f t="shared" si="289"/>
        <v>0</v>
      </c>
      <c r="W47" s="104">
        <f t="shared" si="289"/>
        <v>0</v>
      </c>
      <c r="X47" s="104">
        <f t="shared" si="289"/>
        <v>0</v>
      </c>
      <c r="Y47" s="104">
        <f t="shared" si="289"/>
        <v>0</v>
      </c>
      <c r="Z47" s="104">
        <f t="shared" si="289"/>
        <v>0</v>
      </c>
      <c r="AA47" s="104">
        <f t="shared" si="289"/>
        <v>0</v>
      </c>
      <c r="AB47" s="104">
        <f t="shared" si="289"/>
        <v>0</v>
      </c>
      <c r="AC47" s="104">
        <f t="shared" si="289"/>
        <v>0</v>
      </c>
      <c r="AD47" s="104">
        <f t="shared" si="289"/>
        <v>0</v>
      </c>
      <c r="AE47" s="104">
        <f t="shared" si="289"/>
        <v>0</v>
      </c>
      <c r="AF47" s="104">
        <f t="shared" si="289"/>
        <v>0</v>
      </c>
      <c r="AG47" s="104">
        <f t="shared" si="289"/>
        <v>0</v>
      </c>
      <c r="AH47" s="104">
        <f t="shared" si="289"/>
        <v>0</v>
      </c>
      <c r="AI47" s="104">
        <f t="shared" si="289"/>
        <v>0</v>
      </c>
      <c r="AJ47" s="104">
        <f t="shared" si="289"/>
        <v>0</v>
      </c>
      <c r="AK47" s="104">
        <f t="shared" si="289"/>
        <v>0</v>
      </c>
      <c r="AL47" s="104">
        <f t="shared" si="289"/>
        <v>0</v>
      </c>
      <c r="AM47" s="104">
        <f t="shared" si="289"/>
        <v>0</v>
      </c>
      <c r="AN47" s="104">
        <f t="shared" ref="AN47" si="290">SUM(AN46 + AN45)</f>
        <v>0</v>
      </c>
    </row>
    <row r="48" spans="2:40" s="16" customFormat="1" ht="21" customHeight="1" x14ac:dyDescent="0.2">
      <c r="B48" s="6" t="s">
        <v>59</v>
      </c>
      <c r="C48" s="101">
        <v>0.1</v>
      </c>
      <c r="D48" s="14"/>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row>
    <row r="49" spans="2:40" s="16" customFormat="1" ht="21" customHeight="1" x14ac:dyDescent="0.2">
      <c r="B49" s="5" t="s">
        <v>140</v>
      </c>
      <c r="C49" s="101">
        <v>0.1</v>
      </c>
      <c r="D49" s="14"/>
      <c r="E49" s="102">
        <v>0</v>
      </c>
      <c r="F49" s="102">
        <v>0</v>
      </c>
      <c r="G49" s="102">
        <v>0</v>
      </c>
      <c r="H49" s="102">
        <v>0</v>
      </c>
      <c r="I49" s="102">
        <v>0</v>
      </c>
      <c r="J49" s="102">
        <v>0</v>
      </c>
      <c r="K49" s="102">
        <v>0</v>
      </c>
      <c r="L49" s="102">
        <v>0</v>
      </c>
      <c r="M49" s="102">
        <v>0</v>
      </c>
      <c r="N49" s="102">
        <v>0</v>
      </c>
      <c r="O49" s="102">
        <v>0</v>
      </c>
      <c r="P49" s="102">
        <v>0</v>
      </c>
      <c r="Q49" s="102">
        <v>0</v>
      </c>
      <c r="R49" s="102">
        <v>0</v>
      </c>
      <c r="S49" s="102">
        <v>0</v>
      </c>
      <c r="T49" s="102">
        <v>0</v>
      </c>
      <c r="U49" s="102">
        <v>0</v>
      </c>
      <c r="V49" s="102">
        <v>0</v>
      </c>
      <c r="W49" s="102">
        <v>0</v>
      </c>
      <c r="X49" s="102">
        <v>0</v>
      </c>
      <c r="Y49" s="102">
        <v>0</v>
      </c>
      <c r="Z49" s="102">
        <v>0</v>
      </c>
      <c r="AA49" s="102">
        <v>0</v>
      </c>
      <c r="AB49" s="102">
        <v>0</v>
      </c>
      <c r="AC49" s="102">
        <v>0</v>
      </c>
      <c r="AD49" s="102">
        <v>0</v>
      </c>
      <c r="AE49" s="102">
        <v>0</v>
      </c>
      <c r="AF49" s="102">
        <v>0</v>
      </c>
      <c r="AG49" s="102">
        <v>0</v>
      </c>
      <c r="AH49" s="102">
        <v>0</v>
      </c>
      <c r="AI49" s="102">
        <v>0</v>
      </c>
      <c r="AJ49" s="102">
        <v>0</v>
      </c>
      <c r="AK49" s="102">
        <v>0</v>
      </c>
      <c r="AL49" s="102">
        <v>0</v>
      </c>
      <c r="AM49" s="102">
        <v>0</v>
      </c>
      <c r="AN49" s="102">
        <v>0</v>
      </c>
    </row>
    <row r="50" spans="2:40" s="16" customFormat="1" ht="21" customHeight="1" x14ac:dyDescent="0.2">
      <c r="B50" s="5" t="s">
        <v>60</v>
      </c>
      <c r="C50" s="101">
        <v>0.1</v>
      </c>
      <c r="D50" s="14"/>
      <c r="E50" s="102">
        <v>0</v>
      </c>
      <c r="F50" s="102">
        <v>0</v>
      </c>
      <c r="G50" s="102">
        <v>0</v>
      </c>
      <c r="H50" s="102">
        <v>0</v>
      </c>
      <c r="I50" s="102">
        <v>0</v>
      </c>
      <c r="J50" s="102">
        <v>0</v>
      </c>
      <c r="K50" s="102">
        <v>0</v>
      </c>
      <c r="L50" s="102">
        <v>0</v>
      </c>
      <c r="M50" s="102">
        <v>0</v>
      </c>
      <c r="N50" s="102">
        <v>0</v>
      </c>
      <c r="O50" s="102">
        <v>0</v>
      </c>
      <c r="P50" s="102">
        <v>0</v>
      </c>
      <c r="Q50" s="102">
        <v>0</v>
      </c>
      <c r="R50" s="102">
        <v>0</v>
      </c>
      <c r="S50" s="102">
        <v>0</v>
      </c>
      <c r="T50" s="102">
        <v>0</v>
      </c>
      <c r="U50" s="102">
        <v>0</v>
      </c>
      <c r="V50" s="102">
        <v>0</v>
      </c>
      <c r="W50" s="102">
        <v>0</v>
      </c>
      <c r="X50" s="102">
        <v>0</v>
      </c>
      <c r="Y50" s="102">
        <v>0</v>
      </c>
      <c r="Z50" s="102">
        <v>0</v>
      </c>
      <c r="AA50" s="102">
        <v>0</v>
      </c>
      <c r="AB50" s="102">
        <v>0</v>
      </c>
      <c r="AC50" s="102">
        <v>0</v>
      </c>
      <c r="AD50" s="102">
        <v>0</v>
      </c>
      <c r="AE50" s="102">
        <v>0</v>
      </c>
      <c r="AF50" s="102">
        <v>0</v>
      </c>
      <c r="AG50" s="102">
        <v>0</v>
      </c>
      <c r="AH50" s="102">
        <v>0</v>
      </c>
      <c r="AI50" s="102">
        <v>0</v>
      </c>
      <c r="AJ50" s="102">
        <v>0</v>
      </c>
      <c r="AK50" s="102">
        <v>0</v>
      </c>
      <c r="AL50" s="102">
        <v>0</v>
      </c>
      <c r="AM50" s="102">
        <v>0</v>
      </c>
      <c r="AN50" s="102">
        <v>0</v>
      </c>
    </row>
    <row r="51" spans="2:40" s="16" customFormat="1" ht="21" customHeight="1" x14ac:dyDescent="0.2">
      <c r="B51" s="6" t="s">
        <v>153</v>
      </c>
      <c r="C51" s="6"/>
      <c r="D51" s="14"/>
      <c r="E51" s="104">
        <f t="shared" ref="E51:AN51" si="291">SUM(E50, E49 + E48)</f>
        <v>0</v>
      </c>
      <c r="F51" s="104">
        <f t="shared" ref="F51:AM51" si="292">SUM(F50, F49 + F48)</f>
        <v>0</v>
      </c>
      <c r="G51" s="104">
        <f t="shared" si="292"/>
        <v>0</v>
      </c>
      <c r="H51" s="104">
        <f t="shared" si="292"/>
        <v>0</v>
      </c>
      <c r="I51" s="104">
        <f t="shared" si="292"/>
        <v>0</v>
      </c>
      <c r="J51" s="104">
        <f t="shared" si="292"/>
        <v>0</v>
      </c>
      <c r="K51" s="104">
        <f t="shared" si="292"/>
        <v>0</v>
      </c>
      <c r="L51" s="104">
        <f t="shared" si="292"/>
        <v>0</v>
      </c>
      <c r="M51" s="104">
        <f t="shared" si="292"/>
        <v>0</v>
      </c>
      <c r="N51" s="104">
        <f t="shared" si="292"/>
        <v>0</v>
      </c>
      <c r="O51" s="104">
        <f t="shared" si="292"/>
        <v>0</v>
      </c>
      <c r="P51" s="104">
        <f t="shared" si="292"/>
        <v>0</v>
      </c>
      <c r="Q51" s="104">
        <f t="shared" si="292"/>
        <v>0</v>
      </c>
      <c r="R51" s="104">
        <f t="shared" si="292"/>
        <v>0</v>
      </c>
      <c r="S51" s="104">
        <f t="shared" si="292"/>
        <v>0</v>
      </c>
      <c r="T51" s="104">
        <f t="shared" si="292"/>
        <v>0</v>
      </c>
      <c r="U51" s="104">
        <f t="shared" si="292"/>
        <v>0</v>
      </c>
      <c r="V51" s="104">
        <f t="shared" si="292"/>
        <v>0</v>
      </c>
      <c r="W51" s="104">
        <f t="shared" si="292"/>
        <v>0</v>
      </c>
      <c r="X51" s="104">
        <f t="shared" si="292"/>
        <v>0</v>
      </c>
      <c r="Y51" s="104">
        <f t="shared" si="292"/>
        <v>0</v>
      </c>
      <c r="Z51" s="104">
        <f t="shared" si="292"/>
        <v>0</v>
      </c>
      <c r="AA51" s="104">
        <f t="shared" si="292"/>
        <v>0</v>
      </c>
      <c r="AB51" s="104">
        <f t="shared" si="292"/>
        <v>0</v>
      </c>
      <c r="AC51" s="104">
        <f t="shared" si="292"/>
        <v>0</v>
      </c>
      <c r="AD51" s="104">
        <f t="shared" si="292"/>
        <v>0</v>
      </c>
      <c r="AE51" s="104">
        <f t="shared" si="292"/>
        <v>0</v>
      </c>
      <c r="AF51" s="104">
        <f t="shared" si="292"/>
        <v>0</v>
      </c>
      <c r="AG51" s="104">
        <f t="shared" si="292"/>
        <v>0</v>
      </c>
      <c r="AH51" s="104">
        <f t="shared" si="292"/>
        <v>0</v>
      </c>
      <c r="AI51" s="104">
        <f t="shared" si="292"/>
        <v>0</v>
      </c>
      <c r="AJ51" s="104">
        <f t="shared" si="292"/>
        <v>0</v>
      </c>
      <c r="AK51" s="104">
        <f t="shared" si="292"/>
        <v>0</v>
      </c>
      <c r="AL51" s="104">
        <f t="shared" si="292"/>
        <v>0</v>
      </c>
      <c r="AM51" s="104">
        <f t="shared" si="292"/>
        <v>0</v>
      </c>
      <c r="AN51" s="104">
        <f t="shared" si="291"/>
        <v>0</v>
      </c>
    </row>
    <row r="52" spans="2:40" s="18" customFormat="1" ht="21" customHeight="1" x14ac:dyDescent="0.2">
      <c r="B52" s="6" t="s">
        <v>61</v>
      </c>
      <c r="C52" s="6"/>
      <c r="D52" s="19"/>
      <c r="E52" s="105">
        <f t="shared" ref="E52:AN52" si="293">E47-E51</f>
        <v>0</v>
      </c>
      <c r="F52" s="105">
        <f t="shared" ref="F52:AM52" si="294">F47-F51</f>
        <v>0</v>
      </c>
      <c r="G52" s="105">
        <f t="shared" si="294"/>
        <v>0</v>
      </c>
      <c r="H52" s="105">
        <f t="shared" si="294"/>
        <v>0</v>
      </c>
      <c r="I52" s="105">
        <f t="shared" si="294"/>
        <v>0</v>
      </c>
      <c r="J52" s="105">
        <f t="shared" si="294"/>
        <v>0</v>
      </c>
      <c r="K52" s="105">
        <f t="shared" si="294"/>
        <v>0</v>
      </c>
      <c r="L52" s="105">
        <f t="shared" si="294"/>
        <v>0</v>
      </c>
      <c r="M52" s="105">
        <f t="shared" si="294"/>
        <v>0</v>
      </c>
      <c r="N52" s="105">
        <f t="shared" si="294"/>
        <v>0</v>
      </c>
      <c r="O52" s="105">
        <f t="shared" si="294"/>
        <v>0</v>
      </c>
      <c r="P52" s="105">
        <f t="shared" si="294"/>
        <v>0</v>
      </c>
      <c r="Q52" s="105">
        <f t="shared" si="294"/>
        <v>0</v>
      </c>
      <c r="R52" s="105">
        <f t="shared" si="294"/>
        <v>0</v>
      </c>
      <c r="S52" s="105">
        <f t="shared" si="294"/>
        <v>0</v>
      </c>
      <c r="T52" s="105">
        <f t="shared" si="294"/>
        <v>0</v>
      </c>
      <c r="U52" s="105">
        <f t="shared" si="294"/>
        <v>0</v>
      </c>
      <c r="V52" s="105">
        <f t="shared" si="294"/>
        <v>0</v>
      </c>
      <c r="W52" s="105">
        <f t="shared" si="294"/>
        <v>0</v>
      </c>
      <c r="X52" s="105">
        <f t="shared" si="294"/>
        <v>0</v>
      </c>
      <c r="Y52" s="105">
        <f t="shared" si="294"/>
        <v>0</v>
      </c>
      <c r="Z52" s="105">
        <f t="shared" si="294"/>
        <v>0</v>
      </c>
      <c r="AA52" s="105">
        <f t="shared" si="294"/>
        <v>0</v>
      </c>
      <c r="AB52" s="105">
        <f t="shared" si="294"/>
        <v>0</v>
      </c>
      <c r="AC52" s="105">
        <f t="shared" si="294"/>
        <v>0</v>
      </c>
      <c r="AD52" s="105">
        <f t="shared" si="294"/>
        <v>0</v>
      </c>
      <c r="AE52" s="105">
        <f t="shared" si="294"/>
        <v>0</v>
      </c>
      <c r="AF52" s="105">
        <f t="shared" si="294"/>
        <v>0</v>
      </c>
      <c r="AG52" s="105">
        <f t="shared" si="294"/>
        <v>0</v>
      </c>
      <c r="AH52" s="105">
        <f t="shared" si="294"/>
        <v>0</v>
      </c>
      <c r="AI52" s="105">
        <f t="shared" si="294"/>
        <v>0</v>
      </c>
      <c r="AJ52" s="105">
        <f t="shared" si="294"/>
        <v>0</v>
      </c>
      <c r="AK52" s="105">
        <f t="shared" si="294"/>
        <v>0</v>
      </c>
      <c r="AL52" s="105">
        <f t="shared" si="294"/>
        <v>0</v>
      </c>
      <c r="AM52" s="105">
        <f t="shared" si="294"/>
        <v>0</v>
      </c>
      <c r="AN52" s="105">
        <f t="shared" si="293"/>
        <v>0</v>
      </c>
    </row>
    <row r="53" spans="2:40" s="18" customFormat="1" ht="21" customHeight="1" x14ac:dyDescent="0.2">
      <c r="B53" s="6" t="s">
        <v>62</v>
      </c>
      <c r="C53" s="6"/>
      <c r="D53" s="19"/>
      <c r="E53" s="105">
        <f t="shared" ref="E53:AN53" si="295">E44+E52</f>
        <v>-23775.375</v>
      </c>
      <c r="F53" s="105">
        <f t="shared" ref="F53:AM53" si="296">F44+F52</f>
        <v>-24495.39</v>
      </c>
      <c r="G53" s="105">
        <f t="shared" si="296"/>
        <v>-24659.0756</v>
      </c>
      <c r="H53" s="105">
        <f t="shared" si="296"/>
        <v>-24442.564491999998</v>
      </c>
      <c r="I53" s="105">
        <f t="shared" si="296"/>
        <v>-24943.378158680003</v>
      </c>
      <c r="J53" s="105">
        <f t="shared" si="296"/>
        <v>-25698.495377777206</v>
      </c>
      <c r="K53" s="105">
        <f t="shared" si="296"/>
        <v>-25421.109896253791</v>
      </c>
      <c r="L53" s="105">
        <f t="shared" si="296"/>
        <v>-26211.061031073416</v>
      </c>
      <c r="M53" s="105">
        <f t="shared" si="296"/>
        <v>-27030.471837018038</v>
      </c>
      <c r="N53" s="105">
        <f t="shared" si="296"/>
        <v>-27038.76678207529</v>
      </c>
      <c r="O53" s="105">
        <f t="shared" si="296"/>
        <v>-26406.649852402774</v>
      </c>
      <c r="P53" s="105">
        <f t="shared" si="296"/>
        <v>-25877.989897642678</v>
      </c>
      <c r="Q53" s="105">
        <f t="shared" si="296"/>
        <v>-26699.181872506502</v>
      </c>
      <c r="R53" s="105">
        <f t="shared" si="296"/>
        <v>-27373.636987271526</v>
      </c>
      <c r="S53" s="105">
        <f t="shared" si="296"/>
        <v>-26772.953802120763</v>
      </c>
      <c r="T53" s="105">
        <f t="shared" si="296"/>
        <v>-27634.727499186909</v>
      </c>
      <c r="U53" s="105">
        <f t="shared" si="296"/>
        <v>-28359.659329188245</v>
      </c>
      <c r="V53" s="105">
        <f t="shared" si="296"/>
        <v>-29289.061416343837</v>
      </c>
      <c r="W53" s="105">
        <f t="shared" si="296"/>
        <v>-28149.258887840751</v>
      </c>
      <c r="X53" s="105">
        <f t="shared" si="296"/>
        <v>-28522.99967512365</v>
      </c>
      <c r="Y53" s="105">
        <f t="shared" si="296"/>
        <v>-29259.195941127575</v>
      </c>
      <c r="Z53" s="105">
        <f t="shared" si="296"/>
        <v>-29127.894459914602</v>
      </c>
      <c r="AA53" s="105">
        <f t="shared" si="296"/>
        <v>-30105.551864309833</v>
      </c>
      <c r="AB53" s="105">
        <f t="shared" si="296"/>
        <v>-31123.314406750203</v>
      </c>
      <c r="AC53" s="105">
        <f t="shared" si="296"/>
        <v>-31623.589960793786</v>
      </c>
      <c r="AD53" s="105">
        <f t="shared" si="296"/>
        <v>-30095.02900024355</v>
      </c>
      <c r="AE53" s="105">
        <f t="shared" si="296"/>
        <v>-30974.520132259226</v>
      </c>
      <c r="AF53" s="105">
        <f t="shared" si="296"/>
        <v>-31814.118455105563</v>
      </c>
      <c r="AG53" s="105">
        <f t="shared" si="296"/>
        <v>-32920.35109697091</v>
      </c>
      <c r="AH53" s="105">
        <f t="shared" si="296"/>
        <v>-32554.092857882919</v>
      </c>
      <c r="AI53" s="105">
        <f t="shared" si="296"/>
        <v>-33479.998083126055</v>
      </c>
      <c r="AJ53" s="105">
        <f t="shared" si="296"/>
        <v>-33617.728472139126</v>
      </c>
      <c r="AK53" s="105">
        <f t="shared" si="296"/>
        <v>-33883.900642451139</v>
      </c>
      <c r="AL53" s="105">
        <f t="shared" si="296"/>
        <v>-35094.97265249653</v>
      </c>
      <c r="AM53" s="105">
        <f t="shared" si="296"/>
        <v>-35210.143805465086</v>
      </c>
      <c r="AN53" s="105">
        <f t="shared" si="295"/>
        <v>-35823.788072311167</v>
      </c>
    </row>
    <row r="267" spans="9946:10001" s="9" customFormat="1" ht="21" customHeight="1" x14ac:dyDescent="0.2">
      <c r="NSC267" s="107">
        <v>74</v>
      </c>
    </row>
    <row r="268" spans="9946:10001" s="9" customFormat="1" ht="21" customHeight="1" x14ac:dyDescent="0.2">
      <c r="NSC268" s="107">
        <v>75</v>
      </c>
    </row>
    <row r="269" spans="9946:10001" s="9" customFormat="1" ht="18" customHeight="1" x14ac:dyDescent="0.2">
      <c r="NSC269" s="107">
        <v>76</v>
      </c>
      <c r="NTO269" s="20"/>
    </row>
    <row r="270" spans="9946:10001" s="9" customFormat="1" ht="21" customHeight="1" x14ac:dyDescent="0.2">
      <c r="NSC270" s="107">
        <v>77</v>
      </c>
      <c r="NTO270" s="20"/>
    </row>
    <row r="271" spans="9946:10001" s="9" customFormat="1" ht="21" customHeight="1" x14ac:dyDescent="0.2">
      <c r="NSC271" s="107">
        <v>78</v>
      </c>
      <c r="NTO271" s="20"/>
    </row>
    <row r="272" spans="9946:10001" s="9" customFormat="1" ht="21" customHeight="1" x14ac:dyDescent="0.2">
      <c r="NRN272" s="9" t="s">
        <v>154</v>
      </c>
      <c r="NSC272" s="107">
        <v>79</v>
      </c>
      <c r="NSE272" s="9" t="s">
        <v>154</v>
      </c>
      <c r="NTO272" s="20"/>
      <c r="NTQ272" s="9" t="s">
        <v>154</v>
      </c>
    </row>
    <row r="273" spans="9946:10001" s="9" customFormat="1" ht="21" customHeight="1" x14ac:dyDescent="0.2">
      <c r="NRN273" s="9" t="s">
        <v>154</v>
      </c>
      <c r="NSC273" s="107">
        <v>80</v>
      </c>
      <c r="NSE273" s="9" t="s">
        <v>154</v>
      </c>
      <c r="NTO273" s="20"/>
      <c r="NTQ273" s="9" t="s">
        <v>154</v>
      </c>
    </row>
    <row r="274" spans="9946:10001" s="9" customFormat="1" ht="21" customHeight="1" x14ac:dyDescent="0.2">
      <c r="NRN274" s="9" t="s">
        <v>154</v>
      </c>
      <c r="NSC274" s="107">
        <v>81</v>
      </c>
      <c r="NSE274" s="9" t="s">
        <v>154</v>
      </c>
      <c r="NTO274" s="20"/>
      <c r="NTQ274" s="9" t="s">
        <v>154</v>
      </c>
    </row>
    <row r="275" spans="9946:10001" s="9" customFormat="1" ht="21" customHeight="1" x14ac:dyDescent="0.2">
      <c r="NRN275" s="9" t="s">
        <v>154</v>
      </c>
      <c r="NSC275" s="107">
        <v>82</v>
      </c>
      <c r="NSE275" s="9" t="s">
        <v>154</v>
      </c>
      <c r="NTO275" s="20"/>
      <c r="NTQ275" s="9" t="s">
        <v>154</v>
      </c>
    </row>
    <row r="276" spans="9946:10001" s="9" customFormat="1" ht="21" customHeight="1" x14ac:dyDescent="0.2">
      <c r="NRN276" s="9" t="s">
        <v>154</v>
      </c>
      <c r="NSC276" s="107">
        <v>83</v>
      </c>
      <c r="NSE276" s="9" t="s">
        <v>154</v>
      </c>
      <c r="NTO276" s="108">
        <v>74</v>
      </c>
      <c r="NTQ276" s="9" t="s">
        <v>154</v>
      </c>
    </row>
    <row r="277" spans="9946:10001" s="9" customFormat="1" ht="21" customHeight="1" x14ac:dyDescent="0.2">
      <c r="NRN277" s="9" t="s">
        <v>154</v>
      </c>
      <c r="NSC277" s="107">
        <v>84</v>
      </c>
      <c r="NSE277" s="9" t="s">
        <v>154</v>
      </c>
      <c r="NTO277" s="108">
        <v>75</v>
      </c>
      <c r="NTQ277" s="9" t="s">
        <v>154</v>
      </c>
    </row>
    <row r="278" spans="9946:10001" s="9" customFormat="1" ht="21" customHeight="1" x14ac:dyDescent="0.2">
      <c r="NSC278" s="107">
        <v>85</v>
      </c>
      <c r="NTO278" s="108">
        <v>76</v>
      </c>
    </row>
    <row r="279" spans="9946:10001" s="9" customFormat="1" ht="21" customHeight="1" x14ac:dyDescent="0.2">
      <c r="NRN279" s="9" t="s">
        <v>154</v>
      </c>
      <c r="NSC279" s="107">
        <v>86</v>
      </c>
      <c r="NSE279" s="9" t="s">
        <v>154</v>
      </c>
      <c r="NTO279" s="108">
        <v>77</v>
      </c>
      <c r="NTQ279" s="9" t="s">
        <v>154</v>
      </c>
    </row>
    <row r="280" spans="9946:10001" ht="21" customHeight="1" x14ac:dyDescent="0.2">
      <c r="NRN280" s="21" t="s">
        <v>154</v>
      </c>
      <c r="NSC280" s="109">
        <v>87</v>
      </c>
      <c r="NSE280" s="21" t="s">
        <v>154</v>
      </c>
      <c r="NTO280" s="108">
        <v>78</v>
      </c>
      <c r="NTQ280" s="21" t="s">
        <v>154</v>
      </c>
    </row>
    <row r="281" spans="9946:10001" ht="21" customHeight="1" x14ac:dyDescent="0.2">
      <c r="NRN281" s="21" t="s">
        <v>154</v>
      </c>
      <c r="NSC281" s="109">
        <v>88</v>
      </c>
      <c r="NSE281" s="21" t="s">
        <v>154</v>
      </c>
      <c r="NTO281" s="108">
        <v>79</v>
      </c>
      <c r="NTQ281" s="21" t="s">
        <v>154</v>
      </c>
    </row>
    <row r="282" spans="9946:10001" ht="21" customHeight="1" x14ac:dyDescent="0.2">
      <c r="NRN282" s="21" t="s">
        <v>154</v>
      </c>
      <c r="NSC282" s="109">
        <v>89</v>
      </c>
      <c r="NSE282" s="21" t="s">
        <v>154</v>
      </c>
      <c r="NTO282" s="108">
        <v>80</v>
      </c>
      <c r="NTQ282" s="21" t="s">
        <v>154</v>
      </c>
    </row>
    <row r="283" spans="9946:10001" ht="21" customHeight="1" x14ac:dyDescent="0.2">
      <c r="NRN283" s="21" t="s">
        <v>154</v>
      </c>
      <c r="NSC283" s="109">
        <v>90</v>
      </c>
      <c r="NSE283" s="21" t="s">
        <v>154</v>
      </c>
      <c r="NTO283" s="108">
        <v>81</v>
      </c>
      <c r="NTQ283" s="21" t="s">
        <v>154</v>
      </c>
    </row>
    <row r="284" spans="9946:10001" ht="21" customHeight="1" x14ac:dyDescent="0.2">
      <c r="NRN284" s="21" t="s">
        <v>155</v>
      </c>
      <c r="NSC284" s="109">
        <v>91</v>
      </c>
      <c r="NSE284" s="21" t="s">
        <v>155</v>
      </c>
      <c r="NTO284" s="108">
        <v>82</v>
      </c>
      <c r="NTQ284" s="21" t="s">
        <v>155</v>
      </c>
    </row>
    <row r="285" spans="9946:10001" ht="21" customHeight="1" x14ac:dyDescent="0.2">
      <c r="NSC285" s="109">
        <v>92</v>
      </c>
      <c r="NTO285" s="108">
        <v>83</v>
      </c>
    </row>
    <row r="286" spans="9946:10001" ht="21" customHeight="1" x14ac:dyDescent="0.2">
      <c r="NRN286" s="21" t="s">
        <v>154</v>
      </c>
      <c r="NSC286" s="109">
        <v>93</v>
      </c>
      <c r="NSE286" s="21" t="s">
        <v>154</v>
      </c>
      <c r="NTO286" s="108">
        <v>84</v>
      </c>
      <c r="NTQ286" s="21" t="s">
        <v>154</v>
      </c>
    </row>
    <row r="287" spans="9946:10001" ht="21" customHeight="1" x14ac:dyDescent="0.2">
      <c r="NRN287" s="21" t="s">
        <v>154</v>
      </c>
      <c r="NSC287" s="109">
        <v>94</v>
      </c>
      <c r="NSE287" s="21" t="s">
        <v>154</v>
      </c>
      <c r="NTO287" s="108">
        <v>85</v>
      </c>
      <c r="NTQ287" s="21" t="s">
        <v>154</v>
      </c>
    </row>
    <row r="288" spans="9946:10001" ht="21" customHeight="1" x14ac:dyDescent="0.2">
      <c r="NRN288" s="21" t="s">
        <v>154</v>
      </c>
      <c r="NSE288" s="21" t="s">
        <v>154</v>
      </c>
      <c r="NTO288" s="108">
        <v>86</v>
      </c>
      <c r="NTQ288" s="21" t="s">
        <v>154</v>
      </c>
    </row>
    <row r="289" spans="9946:10001" ht="21" customHeight="1" x14ac:dyDescent="0.2">
      <c r="NRN289" s="21" t="s">
        <v>154</v>
      </c>
      <c r="NSE289" s="21" t="s">
        <v>154</v>
      </c>
      <c r="NTO289" s="108">
        <v>87</v>
      </c>
      <c r="NTQ289" s="21" t="s">
        <v>154</v>
      </c>
    </row>
    <row r="290" spans="9946:10001" ht="21" customHeight="1" x14ac:dyDescent="0.2">
      <c r="NRN290" s="21" t="s">
        <v>155</v>
      </c>
      <c r="NSE290" s="21" t="s">
        <v>155</v>
      </c>
      <c r="NTO290" s="108">
        <v>88</v>
      </c>
      <c r="NTQ290" s="21" t="s">
        <v>155</v>
      </c>
    </row>
    <row r="291" spans="9946:10001" ht="21" customHeight="1" x14ac:dyDescent="0.2">
      <c r="NRN291" s="21" t="s">
        <v>154</v>
      </c>
      <c r="NSE291" s="21" t="s">
        <v>154</v>
      </c>
      <c r="NTO291" s="108">
        <v>89</v>
      </c>
      <c r="NTQ291" s="21" t="s">
        <v>154</v>
      </c>
    </row>
    <row r="292" spans="9946:10001" ht="21" customHeight="1" x14ac:dyDescent="0.2">
      <c r="NRN292" s="21" t="s">
        <v>154</v>
      </c>
      <c r="NSE292" s="21" t="s">
        <v>154</v>
      </c>
      <c r="NTO292" s="108">
        <v>90</v>
      </c>
      <c r="NTQ292" s="21" t="s">
        <v>154</v>
      </c>
    </row>
    <row r="293" spans="9946:10001" ht="21" customHeight="1" x14ac:dyDescent="0.2">
      <c r="NRN293" s="21" t="s">
        <v>154</v>
      </c>
      <c r="NSE293" s="21" t="s">
        <v>154</v>
      </c>
      <c r="NTO293" s="108">
        <v>91</v>
      </c>
      <c r="NTQ293" s="21" t="s">
        <v>154</v>
      </c>
    </row>
    <row r="294" spans="9946:10001" ht="21" customHeight="1" x14ac:dyDescent="0.2">
      <c r="NTO294" s="108">
        <v>92</v>
      </c>
    </row>
    <row r="295" spans="9946:10001" ht="21" customHeight="1" x14ac:dyDescent="0.2">
      <c r="NRN295" s="21" t="s">
        <v>154</v>
      </c>
      <c r="NSE295" s="21" t="s">
        <v>154</v>
      </c>
      <c r="NTO295" s="108">
        <v>93</v>
      </c>
      <c r="NTQ295" s="21" t="s">
        <v>154</v>
      </c>
    </row>
    <row r="296" spans="9946:10001" ht="21" customHeight="1" x14ac:dyDescent="0.2">
      <c r="NSE296" s="21" t="s">
        <v>154</v>
      </c>
      <c r="NTO296" s="108">
        <v>94</v>
      </c>
      <c r="NTQ296" s="21" t="s">
        <v>154</v>
      </c>
    </row>
    <row r="297" spans="9946:10001" ht="21" customHeight="1" x14ac:dyDescent="0.2">
      <c r="NSE297" s="21" t="s">
        <v>155</v>
      </c>
      <c r="NTO297" s="108">
        <v>95</v>
      </c>
      <c r="NTQ297" s="21" t="s">
        <v>155</v>
      </c>
    </row>
    <row r="298" spans="9946:10001" ht="21" customHeight="1" x14ac:dyDescent="0.2">
      <c r="NTO298" s="108">
        <v>96</v>
      </c>
    </row>
    <row r="299" spans="9946:10001" ht="21" customHeight="1" x14ac:dyDescent="0.2">
      <c r="NTO299" s="108">
        <v>97</v>
      </c>
    </row>
    <row r="300" spans="9946:10001" ht="21" customHeight="1" x14ac:dyDescent="0.2">
      <c r="NTO300" s="108">
        <v>98</v>
      </c>
    </row>
    <row r="301" spans="9946:10001" ht="21" customHeight="1" x14ac:dyDescent="0.2">
      <c r="NTO301" s="108">
        <v>99</v>
      </c>
    </row>
    <row r="302" spans="9946:10001" ht="21" customHeight="1" x14ac:dyDescent="0.2">
      <c r="NTO302" s="108">
        <v>100</v>
      </c>
    </row>
    <row r="303" spans="9946:10001" ht="21" customHeight="1" x14ac:dyDescent="0.2">
      <c r="NTO303" s="108">
        <v>101</v>
      </c>
    </row>
    <row r="304" spans="9946:10001" ht="21" customHeight="1" x14ac:dyDescent="0.2">
      <c r="NTO304" s="108">
        <v>102</v>
      </c>
    </row>
  </sheetData>
  <dataConsolidate/>
  <dataValidations count="1">
    <dataValidation type="list" allowBlank="1" showInputMessage="1" showErrorMessage="1" sqref="E4" xr:uid="{BF83F7AA-E12D-4B13-BD8E-EE91D2A156BC}">
      <formula1>"1/31/2021,1/31/2022,1/31/2023,1/31/2024,1/31/2025,1/31/2026,1/31/2027"</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f 7 2 7 7 4 0 3 - 0 e 6 6 - 4 c 3 a - 8 b e 7 - 6 e b a e c 9 c 1 2 6 7 " > < 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0.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00.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 V a r   S i g n < / s t r i n g > < / k e y > < v a l u e > < i n t > 9 0 < / 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 V a r   S i g n < / s t r i n g > < / k e y > < v a l u e > < i n t > 6 < / i n t > < / v a l u e > < / i t e m > < / C o l u m n D i s p l a y I n d e x > < C o l u m n F r o z e n   / > < C o l u m n C h e c k e d   / > < C o l u m n F i l t e r   / > < S e l e c t i o n F i l t e r   / > < F i l t e r P a r a m e t e r s   / > < I s S o r t D e s c e n d i n g > f a l s e < / I s S o r t D e s c e n d i n g > < / T a b l e W i d g e t G r i d S e r i a l i z a t i o n > ] ] > < / C u s t o m C o n t e n t > < / G e m i n i > 
</file>

<file path=customXml/item101.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102.xml>��< ? x m l   v e r s i o n = " 1 . 0 "   e n c o d i n g = " U T F - 1 6 " ? > < G e m i n i   x m l n s = " h t t p : / / g e m i n i / p i v o t c u s t o m i z a t i o n / 5 7 0 8 9 7 a 9 - c 7 f c - 4 6 6 3 - 9 9 2 e - f c 0 7 c 9 8 f 1 a 2 f " > < 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i t e m > < M e a s u r e N a m e > V a r   ( % ) < / M e a s u r e N a m e > < D i s p l a y N a m e > V a r   ( % ) < / D i s p l a y N a m e > < V i s i b l e > F a l s e < / V i s i b l e > < / i t e m > < / C a l c u l a t e d F i e l d s > < S A H o s t H a s h > 0 < / S A H o s t H a s h > < G e m i n i F i e l d L i s t V i s i b l e > T r u e < / G e m i n i F i e l d L i s t V i s i b l e > < / S e t t i n g s > ] ] > < / C u s t o m C o n t e n t > < / G e m i n i > 
</file>

<file path=customXml/item103.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04.xml>��< ? x m l   v e r s i o n = " 1 . 0 "   e n c o d i n g = " U T F - 1 6 " ? > < G e m i n i   x m l n s = " h t t p : / / g e m i n i / p i v o t c u s t o m i z a t i o n / T a b l e X M L _ P r e d e f i n e d _ D a t e s " > < C u s t o m C o n t e n t > < ! [ C D A T A [ < T a b l e W i d g e t G r i d S e r i a l i z a t i o n   x m l n s : x s d = " h t t p : / / w w w . w 3 . o r g / 2 0 0 1 / X M L S c h e m a "   x m l n s : x s i = " h t t p : / / w w w . w 3 . o r g / 2 0 0 1 / X M L S c h e m a - i n s t a n c e " > < C o l u m n S u g g e s t e d T y p e   / > < C o l u m n F o r m a t   / > < C o l u m n A c c u r a c y   / > < C o l u m n C u r r e n c y S y m b o l   / > < C o l u m n P o s i t i v e P a t t e r n   / > < C o l u m n N e g a t i v e P a t t e r n   / > < C o l u m n W i d t h s > < i t e m > < k e y > < s t r i n g > P e r i o d < / s t r i n g > < / k e y > < v a l u e > < i n t > 7 8 < / i n t > < / v a l u e > < / i t e m > < i t e m > < k e y > < s t r i n g > D a t e < / s t r i n g > < / k e y > < v a l u e > < i n t > 6 6 < / i n t > < / v a l u e > < / i t e m > < / C o l u m n W i d t h s > < C o l u m n D i s p l a y I n d e x > < i t e m > < k e y > < s t r i n g > P e r i o d < / s t r i n g > < / k e y > < v a l u e > < i n t > 0 < / i n t > < / v a l u e > < / i t e m > < i t e m > < k e y > < s t r i n g > D a t e < / s t r i n g > < / k e y > < v a l u e > < i n t > 1 < / i n t > < / v a l u e > < / i t e m > < / C o l u m n D i s p l a y I n d e x > < C o l u m n F r o z e n   / > < C o l u m n C h e c k e d   / > < C o l u m n F i l t e r   / > < S e l e c t i o n F i l t e r   / > < F i l t e r P a r a m e t e r s   / > < I s S o r t D e s c e n d i n g > f a l s e < / I s S o r t D e s c e n d i n g > < / T a b l e W i d g e t G r i d S e r i a l i z a t i o n > ] ] > < / C u s t o m C o n t e n t > < / G e m i n i > 
</file>

<file path=customXml/item105.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106.xml>��< ? x m l   v e r s i o n = " 1 . 0 "   e n c o d i n g = " U T F - 1 6 " ? > < G e m i n i   x m l n s = " h t t p : / / g e m i n i / p i v o t c u s t o m i z a t i o n / 6 0 e 2 6 c e 5 - 9 a 8 3 - 4 4 4 5 - b c 0 5 - b 6 4 c 2 9 c 7 d 4 4 d " > < 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07.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108.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09.xml>��< ? x m l   v e r s i o n = " 1 . 0 "   e n c o d i n g = " U T F - 1 6 " ? > < G e m i n i   x m l n s = " h t t p : / / g e m i n i / p i v o t c u s t o m i z a t i o n / 9 b b b 7 9 b 4 - f c 2 5 - 4 4 a c - b 6 b c - 9 4 5 c e 4 3 2 1 b 7 a " > < 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  ( $ ) < / M e a s u r e N a m e > < D i s p l a y N a m e > V a r   ( $ ) < / 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C a l c u l a t e d F i e l d s > < S A H o s t H a s h > 0 < / S A H o s t H a s h > < G e m i n i F i e l d L i s t V i s i b l e > T r u e < / G e m i n i F i e l d L i s t V i s i b l e > < / S e t t i n g s > ] ] > < / C u s t o m C o n t e n t > < / G e m i n i > 
</file>

<file path=customXml/item11.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10.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 2 5 0 < / 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11.xml>��< ? x m l   v e r s i o n = " 1 . 0 "   e n c o d i n g = " U T F - 1 6 " ? > < G e m i n i   x m l n s = " h t t p : / / g e m i n i / p i v o t c u s t o m i z a t i o n / 1 5 7 3 8 6 2 c - 9 e 5 f - 4 7 0 e - 8 3 8 6 - 7 d c b 6 1 2 3 5 2 b f " > < 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12.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13.xml>��< ? x m l   v e r s i o n = " 1 . 0 "   e n c o d i n g = " U T F - 1 6 " ? > < G e m i n i   x m l n s = " h t t p : / / g e m i n i / p i v o t c u s t o m i z a t i o n / a e c 9 7 8 5 0 - f 6 8 5 - 4 1 5 2 - 8 5 4 9 - d 8 1 e b 8 5 8 a e 8 d " > < 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14.xml>��< ? x m l   v e r s i o n = " 1 . 0 "   e n c o d i n g = " U T F - 1 6 " ? > < G e m i n i   x m l n s = " h t t p : / / g e m i n i / p i v o t c u s t o m i z a t i o n / e c 6 e 4 2 c 7 - a b 2 c - 4 b 7 8 - 8 e e 6 - 1 a 8 1 f b d 5 9 3 c 7 " > < 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  ( $ ) < / M e a s u r e N a m e > < D i s p l a y N a m e > V a r   ( $ ) < / 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C a l c u l a t e d F i e l d s > < S A H o s t H a s h > 0 < / S A H o s t H a s h > < G e m i n i F i e l d L i s t V i s i b l e > T r u e < / G e m i n i F i e l d L i s t V i s i b l e > < / S e t t i n g s > ] ] > < / C u s t o m C o n t e n t > < / G e m i n i > 
</file>

<file path=customXml/item115.xml>��< ? x m l   v e r s i o n = " 1 . 0 "   e n c o d i n g = " U T F - 1 6 " ? > < G e m i n i   x m l n s = " h t t p : / / g e m i n i / p i v o t c u s t o m i z a t i o n / 5 2 c 6 4 1 3 5 - d 6 c 7 - 4 b 2 3 - a 7 0 4 - c c 4 0 c f a 8 0 a 3 7 " > < 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16.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117.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18.xml>��< ? x m l   v e r s i o n = " 1 . 0 "   e n c o d i n g = " U T F - 1 6 " ? > < G e m i n i   x m l n s = " h t t p : / / g e m i n i / p i v o t c u s t o m i z a t i o n / 8 9 e 1 9 3 4 9 - 2 9 2 f - 4 6 7 c - 8 5 9 1 - d f 9 f 1 d 0 d b 8 f 4 " > < 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  ( $ ) < / M e a s u r e N a m e > < D i s p l a y N a m e > V a r   ( $ ) < / 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C a l c u l a t e d F i e l d s > < S A H o s t H a s h > 0 < / S A H o s t H a s h > < G e m i n i F i e l d L i s t V i s i b l e > T r u e < / G e m i n i F i e l d L i s t V i s i b l e > < / S e t t i n g s > ] ] > < / C u s t o m C o n t e n t > < / G e m i n i > 
</file>

<file path=customXml/item119.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120.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 3 7 3 < / i n t > < / v a l u e > < / i t e m > < i t e m > < k e y > < s t r i n g > D e p a r t m e n t < / s t r i n g > < / k e y > < v a l u e > < i n t > 2 1 1 < / i n t > < / v a l u e > < / i t e m > < i t e m > < k e y > < s t r i n g > D a t e < / s t r i n g > < / k e y > < v a l u e > < i n t > 1 2 0 < / i n t > < / v a l u e > < / i t e m > < i t e m > < k e y > < s t r i n g > V a l u e < / s t r i n g > < / k e y > < v a l u e > < i n t > 1 3 6 < / i n t > < / v a l u e > < / i t e m > < i t e m > < k e y > < s t r i n g > D a t e   ( M o n t h   I n d e x ) < / s t r i n g > < / k e y > < v a l u e > < i n t > 3 1 3 < / i n t > < / v a l u e > < / i t e m > < i t e m > < k e y > < s t r i n g > D a t e   ( M o n t h ) < / s t r i n g > < / k e y > < v a l u e > < i n t > 2 3 2 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21.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22.xml>��< ? x m l   v e r s i o n = " 1 . 0 "   e n c o d i n g = " U T F - 1 6 " ? > < G e m i n i   x m l n s = " h t t p : / / g e m i n i / p i v o t c u s t o m i z a t i o n / 2 5 2 a d b d 4 - c 6 0 7 - 4 0 8 a - b 5 f 6 - 8 5 2 a 8 a b 8 7 a b d " > < 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 V a r i a n c e   t o   B u d g e t   E x p e n s e   ( $ ) < / M e a s u r e N a m e > < D i s p l a y N a m e > V a r i a n c e   t o   B u d g e t   E x p e n s e   ( $ ) < / D i s p l a y N a m e > < V i s i b l e > F a l s e < / V i s i b l e > < / i t e m > < i t e m > < M e a s u r e N a m e > V a r i a n c e   t o   B u d g e t   E x p e n s e   ( % ) < / M e a s u r e N a m e > < D i s p l a y N a m e > V a r i a n c e   t o   B u d g e t   E x p e n s e   ( % ) < / D i s p l a y N a m e > < V i s i b l e > F a l s e < / V i s i b l e > < / i t e m > < i t e m > < M e a s u r e N a m e > V a r i a n c e   t o   B u d g e t   I n c o m e   ( $ ) < / M e a s u r e N a m e > < D i s p l a y N a m e > V a r i a n c e   t o   B u d g e t   I n c o m e   ( $ ) < / D i s p l a y N a m e > < V i s i b l e > F a l s e < / V i s i b l e > < / i t e m > < i t e m > < M e a s u r e N a m e > V a r i a n c e   t o   B u d g e t   I n c o m e   ( % ) < / M e a s u r e N a m e > < D i s p l a y N a m e > V a r i a n c e 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23.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2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 T a b l e V i e w < / K e y > < V a l u e   x m l n s : a = " h t t p : / / s c h e m a s . d a t a c o n t r a c t . o r g / 2 0 0 4 / 0 7 / M i c r o s o f t . A n a l y s i s S e r v i c e s . C o m m o n " > < a : H a s F o c u s > t r u e < / a : H a s F o c u s > < a : S i z e A t D p i 9 6 > 3 3 4 < / a : S i z e A t D p i 9 6 > < a : V i s i b l e > t r u e < / a : V i s i b l e > < / V a l u e > < / K e y V a l u e O f s t r i n g S a n d b o x E d i t o r . M e a s u r e G r i d S t a t e S c d E 3 5 R y > < K e y V a l u e O f s t r i n g S a n d b o x E d i t o r . M e a s u r e G r i d S t a t e S c d E 3 5 R y > < K e y > M a p p i n g s < / K e y > < V a l u e   x m l n s : a = " h t t p : / / s c h e m a s . d a t a c o n t r a c t . o r g / 2 0 0 4 / 0 7 / M i c r o s o f t . A n a l y s i s S e r v i c e s . C o m m o n " > < a : H a s F o c u s > t r u e < / a : H a s F o c u s > < a : S i z e A t D p i 9 6 > 1 1 3 < / a : S i z e A t D p i 9 6 > < a : V i s i b l e > t r u e < / a : V i s i b l e > < / V a l u e > < / K e y V a l u e O f s t r i n g S a n d b o x E d i t o r . M e a s u r e G r i d S t a t e S c d E 3 5 R y > < K e y V a l u e O f s t r i n g S a n d b o x E d i t o r . M e a s u r e G r i d S t a t e S c d E 3 5 R y > < K e y > D e p a r t m e n t a l   P r o f i t       L o s s _ 7 2 4 6 9 c f 3 - d 3 7 4 - 4 c 6 c - 8 d 3 f - 4 4 e 6 e 4 c 8 9 a 0 c < / K e y > < V a l u e   x m l n s : a = " h t t p : / / s c h e m a s . d a t a c o n t r a c t . o r g / 2 0 0 4 / 0 7 / M i c r o s o f t . A n a l y s i s S e r v i c e s . C o m m o n " > < a : H a s F o c u s > t r u e < / a : H a s F o c u s > < a : S i z e A t D p i 9 6 > 2 7 7 < / a : S i z e A t D p i 9 6 > < a : V i s i b l e > t r u e < / a : V i s i b l e > < / V a l u e > < / K e y V a l u e O f s t r i n g S a n d b o x E d i t o r . M e a s u r e G r i d S t a t e S c d E 3 5 R y > < K e y V a l u e O f s t r i n g S a n d b o x E d i t o r . M e a s u r e G r i d S t a t e S c d E 3 5 R y > < K e y > D e p a r t m e n t a l   P r o f i t       L o s s _ B u d g e t _ 5 7 2 5 d e 2 7 - a 7 a 3 - 4 a b 3 - b 0 b a - d 0 f 1 7 2 a c 6 3 6 f < / K e y > < V a l u e   x m l n s : a = " h t t p : / / s c h e m a s . d a t a c o n t r a c t . o r g / 2 0 0 4 / 0 7 / M i c r o s o f t . A n a l y s i s S e r v i c e s . C o m m o n " > < a : H a s F o c u s > t r u e < / a : H a s F o c u s > < a : S i z e A t D p i 9 6 > 5 2 5 < / a : S i z e A t D p i 9 6 > < a : V i s i b l e > t r u e < / a : V i s i b l e > < / V a l u e > < / K e y V a l u e O f s t r i n g S a n d b o x E d i t o r . M e a s u r e G r i d S t a t e S c d E 3 5 R y > < K e y V a l u e O f s t r i n g S a n d b o x E d i t o r . M e a s u r e G r i d S t a t e S c d E 3 5 R y > < K e y > C a l e n d a r < / K e y > < V a l u e   x m l n s : a = " h t t p : / / s c h e m a s . d a t a c o n t r a c t . o r g / 2 0 0 4 / 0 7 / M i c r o s o f t . A n a l y s i s S e r v i c e s . C o m m o n " > < a : H a s F o c u s > t r u e < / a : H a s F o c u s > < a : S i z e A t D p i 9 6 > 1 1 3 < / a : S i z e A t D p i 9 6 > < a : V i s i b l e > t r u e < / a : V i s i b l e > < / V a l u e > < / K e y V a l u e O f s t r i n g S a n d b o x E d i t o r . M e a s u r e G r i d S t a t e S c d E 3 5 R y > < K e y V a l u e O f s t r i n g S a n d b o x E d i t o r . M e a s u r e G r i d S t a t e S c d E 3 5 R y > < K e y > D e p a r t m e n t s   1 < / K e y > < V a l u e   x m l n s : a = " h t t p : / / s c h e m a s . d a t a c o n t r a c t . o r g / 2 0 0 4 / 0 7 / M i c r o s o f t . A n a l y s i s S e r v i c e s . C o m m o n " > < a : H a s F o c u s > t r u e < / a : H a s F o c u s > < a : S i z e A t D p i 9 6 > 1 1 3 < / a : S i z e A t D p i 9 6 > < a : V i s i b l e > t r u e < / a : V i s i b l e > < / V a l u e > < / K e y V a l u e O f s t r i n g S a n d b o x E d i t o r . M e a s u r e G r i d S t a t e S c d E 3 5 R y > < K e y V a l u e O f s t r i n g S a n d b o x E d i t o r . M e a s u r e G r i d S t a t e S c d E 3 5 R y > < K e y > P r e d e f i n e d _ D a t e s < / 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25.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26.xml>��< ? x m l   v e r s i o n = " 1 . 0 "   e n c o d i n g = " U T F - 1 6 " ? > < G e m i n i   x m l n s = " h t t p : / / g e m i n i / p i v o t c u s t o m i z a t i o n / 6 8 1 0 9 3 7 e - f 1 8 6 - 4 c f 0 - 8 5 4 1 - d 7 c d e 8 6 e e 7 c 3 " > < 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27.xml>��< ? x m l   v e r s i o n = " 1 . 0 "   e n c o d i n g = " U T F - 1 6 " ? > < G e m i n i   x m l n s = " h t t p : / / g e m i n i / p i v o t c u s t o m i z a t i o n / 7 b c b 5 c 8 0 - 5 a 6 a - 4 2 1 4 - a b 9 3 - 4 1 a 0 8 0 b 4 f f d 8 " > < 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28.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29.xml>��< ? x m l   v e r s i o n = " 1 . 0 "   e n c o d i n g = " U T F - 1 6 " ? > < G e m i n i   x m l n s = " h t t p : / / g e m i n i / p i v o t c u s t o m i z a t i o n / 8 4 5 a 2 e b f - 3 e 6 0 - 4 1 2 c - a 2 9 c - d b 4 b 8 8 5 a c 8 d 9 " > < 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  ( $ ) < / M e a s u r e N a m e > < D i s p l a y N a m e > V a r   ( $ ) < / 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C a l c u l a t e d F i e l d s > < S A H o s t H a s h > 0 < / S A H o s t H a s h > < G e m i n i F i e l d L i s t V i s i b l e > T r u e < / G e m i n i F i e l d L i s t V i s i b l e > < / S e t t i n g s > ] ] > < / C u s t o m C o n t e n t > < / G e m i n i > 
</file>

<file path=customXml/item13.xml>��< ? x m l   v e r s i o n = " 1 . 0 "   e n c o d i n g = " U T F - 1 6 " ? > < G e m i n i   x m l n s = " h t t p : / / g e m i n i / p i v o t c u s t o m i z a t i o n / S h o w H i d d e n " > < C u s t o m C o n t e n t > < ! [ C D A T A [ T r u e ] ] > < / C u s t o m C o n t e n t > < / G e m i n i > 
</file>

<file path=customXml/item130.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31.xml>��< ? x m l   v e r s i o n = " 1 . 0 "   e n c o d i n g = " U T F - 1 6 " ? > < G e m i n i   x m l n s = " h t t p : / / g e m i n i / p i v o t c u s t o m i z a t i o n / T a b l e X M L _ M a p p i n g s " > < C u s t o m C o n t e n t > < ! [ 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 S u m m a r y   G r o u p i n g < / s t r i n g > < / k e y > < v a l u e > < i n t > 1 6 4 < / i n t > < / v a l u e > < / i t e m > < i t e m > < k e y > < s t r i n g > S e c t i o n < / s t r i n g > < / k e y > < v a l u e > < i n t > 8 5 < / i n t > < / v a l u e > < / i t e m > < i t e m > < k e y > < s t r i n g > S i g n < / s t r i n g > < / k e y > < v a l u e > < i n t > 6 4 < / i n t > < / v a l u e > < / i t e m > < / C o l u m n W i d t h s > < C o l u m n D i s p l a y I n d e x > < i t e m > < k e y > < s t r i n g > A c c o u n t < / s t r i n g > < / k e y > < v a l u e > < i n t > 0 < / i n t > < / v a l u e > < / i t e m > < i t e m > < k e y > < s t r i n g > S u m m a r y   G r o u p i n g < / s t r i n g > < / k e y > < v a l u e > < i n t > 1 < / i n t > < / v a l u e > < / i t e m > < i t e m > < k e y > < s t r i n g > S e c t i o n < / s t r i n g > < / k e y > < v a l u e > < i n t > 2 < / i n t > < / v a l u e > < / i t e m > < i t e m > < k e y > < s t r i n g > S i g n < / s t r i n g > < / k e y > < v a l u e > < i n t > 3 < / i n t > < / v a l u e > < / i t e m > < / C o l u m n D i s p l a y I n d e x > < C o l u m n F r o z e n   / > < C o l u m n C h e c k e d   / > < C o l u m n F i l t e r   / > < S e l e c t i o n F i l t e r   / > < F i l t e r P a r a m e t e r s   / > < I s S o r t D e s c e n d i n g > f a l s e < / I s S o r t D e s c e n d i n g > < / T a b l e W i d g e t G r i d S e r i a l i z a t i o n > ] ] > < / C u s t o m C o n t e n t > < / G e m i n i > 
</file>

<file path=customXml/item132.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33.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34.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35.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136.xml>��< ? x m l   v e r s i o n = " 1 . 0 "   e n c o d i n g = " U T F - 1 6 " ? > < G e m i n i   x m l n s = " h t t p : / / g e m i n i / p i v o t c u s t o m i z a t i o n / 7 1 1 d f 6 5 9 - 5 0 2 9 - 4 9 5 8 - 8 2 5 e - b e 0 9 3 9 6 8 6 e 3 2 " > < 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37.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38.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 3 7 3 < / i n t > < / v a l u e > < / i t e m > < i t e m > < k e y > < s t r i n g > D e p a r t m e n t < / s t r i n g > < / k e y > < v a l u e > < i n t > 2 1 1 < / i n t > < / v a l u e > < / i t e m > < i t e m > < k e y > < s t r i n g > D a t e < / s t r i n g > < / k e y > < v a l u e > < i n t > 1 2 0 < / i n t > < / v a l u e > < / i t e m > < i t e m > < k e y > < s t r i n g > V a l u e < / s t r i n g > < / k e y > < v a l u e > < i n t > 1 3 6 < / i n t > < / v a l u e > < / i t e m > < i t e m > < k e y > < s t r i n g > D a t e   ( M o n t h   I n d e x ) < / s t r i n g > < / k e y > < v a l u e > < i n t > 3 1 3 < / i n t > < / v a l u e > < / i t e m > < i t e m > < k e y > < s t r i n g > D a t e   ( M o n t h ) < / s t r i n g > < / k e y > < v a l u e > < i n t > 2 3 2 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39.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 S i g n < / s t r i n g > < / k e y > < v a l u e > < i n t > 6 < / 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40.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141.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 C a l c u l a t e d   C o l u m n   1 < / s t r i n g > < / k e y > < v a l u e > < i n t > 1 7 2 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 C a l c u l a t e d   C o l u m n   1 < / s t r i n g > < / k e y > < v a l u e > < i n t > 6 < / i n t > < / v a l u e > < / i t e m > < / C o l u m n D i s p l a y I n d e x > < C o l u m n F r o z e n   / > < C o l u m n C h e c k e d   / > < C o l u m n F i l t e r   / > < S e l e c t i o n F i l t e r   / > < F i l t e r P a r a m e t e r s   / > < I s S o r t D e s c e n d i n g > f a l s e < / I s S o r t D e s c e n d i n g > < / T a b l e W i d g e t G r i d S e r i a l i z a t i o n > ] ] > < / C u s t o m C o n t e n t > < / G e m i n i > 
</file>

<file path=customXml/item142.xml>��< ? x m l   v e r s i o n = " 1 . 0 "   e n c o d i n g = " U T F - 1 6 " ? > < G e m i n i   x m l n s = " h t t p : / / g e m i n i / p i v o t c u s t o m i z a t i o n / T a b l e X M L _ T a b l e V i e w " > < C u s t o m C o n t e n t > < ! [ C D A T A [ < T a b l e W i d g e t G r i d S e r i a l i z a t i o n   x m l n s : x s d = " h t t p : / / w w w . w 3 . o r g / 2 0 0 1 / X M L S c h e m a "   x m l n s : x s i = " h t t p : / / w w w . w 3 . o r g / 2 0 0 1 / X M L S c h e m a - i n s t a n c e " > < C o l u m n S u g g e s t e d T y p e   / > < C o l u m n F o r m a t   / > < C o l u m n A c c u r a c y   / > < C o l u m n C u r r e n c y S y m b o l   / > < C o l u m n P o s i t i v e P a t t e r n   / > < C o l u m n N e g a t i v e P a t t e r n   / > < C o l u m n W i d t h s > < i t e m > < k e y > < s t r i n g > P e r i o d < / s t r i n g > < / k e y > < v a l u e > < i n t > 1 4 6 < / i n t > < / v a l u e > < / i t e m > < / C o l u m n W i d t h s > < C o l u m n D i s p l a y I n d e x > < i t e m > < k e y > < s t r i n g > P e r i o d < / s t r i n g > < / k e y > < v a l u e > < i n t > 0 < / i n t > < / v a l u e > < / i t e m > < / C o l u m n D i s p l a y I n d e x > < C o l u m n F r o z e n   / > < C o l u m n C h e c k e d   / > < C o l u m n F i l t e r   / > < S e l e c t i o n F i l t e r   / > < F i l t e r P a r a m e t e r s   / > < I s S o r t D e s c e n d i n g > f a l s e < / I s S o r t D e s c e n d i n g > < / T a b l e W i d g e t G r i d S e r i a l i z a t i o n > ] ] > < / C u s t o m C o n t e n t > < / G e m i n i > 
</file>

<file path=customXml/item143.xml>��< ? x m l   v e r s i o n = " 1 . 0 "   e n c o d i n g = " U T F - 1 6 " ? > < G e m i n i   x m l n s = " h t t p : / / g e m i n i / p i v o t c u s t o m i z a t i o n / b 2 0 7 2 c d 5 - b d e d - 4 f 7 e - b e 5 a - d 2 0 a 9 8 3 9 8 8 f b " > < 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44.xml>��< ? x m l   v e r s i o n = " 1 . 0 "   e n c o d i n g = " U T F - 1 6 " ? > < G e m i n i   x m l n s = " h t t p : / / g e m i n i / p i v o t c u s t o m i z a t i o n / C l i e n t W i n d o w X M L " > < C u s t o m C o n t e n t > < ! [ C D A T A [ D e p a r t m e n t a l   P r o f i t       L o s s _ B u d g e t _ 5 7 2 5 d e 2 7 - a 7 a 3 - 4 a b 3 - b 0 b a - d 0 f 1 7 2 a c 6 3 6 f ] ] > < / C u s t o m C o n t e n t > < / G e m i n i > 
</file>

<file path=customXml/item145.xml><?xml version="1.0" encoding="utf-8"?>
<ct:contentTypeSchema xmlns:ct="http://schemas.microsoft.com/office/2006/metadata/contentType" xmlns:ma="http://schemas.microsoft.com/office/2006/metadata/properties/metaAttributes" ct:_="" ma:_="" ma:contentTypeName="Document" ma:contentTypeID="0x010100E6FAE67CE2B7A849BC0898B7A9D77711" ma:contentTypeVersion="16" ma:contentTypeDescription="Create a new document." ma:contentTypeScope="" ma:versionID="48ebdce927e9e1b8251ff2e1c5ef3db8">
  <xsd:schema xmlns:xsd="http://www.w3.org/2001/XMLSchema" xmlns:xs="http://www.w3.org/2001/XMLSchema" xmlns:p="http://schemas.microsoft.com/office/2006/metadata/properties" xmlns:ns2="0d1267e8-2087-4430-8898-7e1d16711490" xmlns:ns3="16457750-3f8d-456e-a162-25cda7a13520" targetNamespace="http://schemas.microsoft.com/office/2006/metadata/properties" ma:root="true" ma:fieldsID="00b432d80ebf564ad44387282343818d" ns2:_="" ns3:_="">
    <xsd:import namespace="0d1267e8-2087-4430-8898-7e1d16711490"/>
    <xsd:import namespace="16457750-3f8d-456e-a162-25cda7a135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1267e8-2087-4430-8898-7e1d167114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df17195-eaee-4bd6-9581-c6a1c63b196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457750-3f8d-456e-a162-25cda7a135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587162f-81e1-443d-83c7-e94abc82f638}" ma:internalName="TaxCatchAll" ma:showField="CatchAllData" ma:web="16457750-3f8d-456e-a162-25cda7a135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46.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 S i g n < / s t r i n g > < / k e y > < v a l u e > < i n t > 4 < / i n t > < / v a l u e > < / i t e m > < / C o l u m n D i s p l a y I n d e x > < C o l u m n F r o z e n   / > < C o l u m n C h e c k e d   / > < C o l u m n F i l t e r   / > < S e l e c t i o n F i l t e r   / > < F i l t e r P a r a m e t e r s   / > < I s S o r t D e s c e n d i n g > f a l s e < / I s S o r t D e s c e n d i n g > < / T a b l e W i d g e t G r i d S e r i a l i z a t i o n > ] ] > < / C u s t o m C o n t e n t > < / G e m i n i > 
</file>

<file path=customXml/item147.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48.xml><?xml version="1.0" encoding="utf-8"?>
<p:properties xmlns:p="http://schemas.microsoft.com/office/2006/metadata/properties" xmlns:xsi="http://www.w3.org/2001/XMLSchema-instance" xmlns:pc="http://schemas.microsoft.com/office/infopath/2007/PartnerControls">
  <documentManagement>
    <lcf76f155ced4ddcb4097134ff3c332f xmlns="0d1267e8-2087-4430-8898-7e1d16711490">
      <Terms xmlns="http://schemas.microsoft.com/office/infopath/2007/PartnerControls"/>
    </lcf76f155ced4ddcb4097134ff3c332f>
    <TaxCatchAll xmlns="16457750-3f8d-456e-a162-25cda7a13520" xsi:nil="true"/>
  </documentManagement>
</p:properties>
</file>

<file path=customXml/item149.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 S i g n < / s t r i n g > < / k e y > < v a l u e > < i n t > 1 7 2 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 S i g n < / s t r i n g > < / k e y > < v a l u e > < i n t > 6 < / 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 T a b l e V i e w < / 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 T a b l e V i e w < / 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 C o l u m n s \ P e r i o d 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 D e p a r t m e n t a l   P r o f i t       L o s s 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 D e p a r t m e n t a l   P r o f i t       L o s s 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 C o l u m n s \ D e p a r t m e n t < / 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 C o l u m n s \ D a t e   ( M o n t h   I n d e x ) < / K e y > < / a : K e y > < a : V a l u e   i : t y p e = " T a b l e W i d g e t B a s e V i e w S t a t e " / > < / a : K e y V a l u e O f D i a g r a m O b j e c t K e y a n y T y p e z b w N T n L X > < a : K e y V a l u e O f D i a g r a m O b j e c t K e y a n y T y p e z b w N T n L X > < a : K e y > < K e y > C o l u m n s \ D a t e   ( M o n t h ) < / K e y > < / a : K e y > < a : V a l u e   i : t y p e = " T a b l e W i d g e t B a s e V i e w S t a t e " / > < / a : K e y V a l u e O f D i a g r a m O b j e c t K e y a n y T y p e z b w N T n L X > < a : K e y V a l u e O f D i a g r a m O b j e c t K e y a n y T y p e z b w N T n L X > < a : K e y > < K e y > C o l u m n s \ S i g n 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 C o l u m n s \ D a t e   V a l u e 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 C o l u m n s \ S e c t i o n < / K e y > < / a : K e y > < a : V a l u e   i : t y p e = " T a b l e W i d g e t B a s e V i e w S t a t e " / > < / a : K e y V a l u e O f D i a g r a m O b j e c t K e y a n y T y p e z b w N T n L X > < a : K e y V a l u e O f D i a g r a m O b j e c t K e y a n y T y p e z b w N T n L X > < a : K e y > < K e y > C o l u m n s \ S u m m a r y   G r o u p i n g < / K e y > < / a : K e y > < a : V a l u e   i : t y p e = " T a b l e W i d g e t B a s e V i e w S t a t e " / > < / a : K e y V a l u e O f D i a g r a m O b j e c t K e y a n y T y p e z b w N T n L X > < a : K e y V a l u e O f D i a g r a m O b j e c t K e y a n y T y p e z b w N T n L X > < a : K e y > < K e y > C o l u m n s \ S i g n 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 P r e d e f i n e d _ D a t e s 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 P r e d e f i n e d _ D a t e s 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 C o l u m n s \ P e r i o d < / 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 D e p a r t m e n t s 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 D e p a r t m e n t s 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 C o l u m n s \ D e p a r t m e n t s 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 G a n d A 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 G a n d A 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 C o l u m n s \ D e p a r t m e n t < / 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 C o l u m n s \ D a t e   ( Y e a r ) < / K e y > < / a : K e y > < a : V a l u e   i : t y p e = " T a b l e W i d g e t B a s e V i e w S t a t e " / > < / a : K e y V a l u e O f D i a g r a m O b j e c t K e y a n y T y p e z b w N T n L X > < a : K e y V a l u e O f D i a g r a m O b j e c t K e y a n y T y p e z b w N T n L X > < a : K e y > < K e y > C o l u m n s \ D a t e   ( Q u a r t e r ) < / K e y > < / a : K e y > < a : V a l u e   i : t y p e = " T a b l e W i d g e t B a s e V i e w S t a t e " / > < / a : K e y V a l u e O f D i a g r a m O b j e c t K e y a n y T y p e z b w N T n L X > < a : K e y V a l u e O f D i a g r a m O b j e c t K e y a n y T y p e z b w N T n L X > < a : K e y > < K e y > C o l u m n s \ D a t e   ( M o n t h   I n d e x ) < / K e y > < / a : K e y > < a : V a l u e   i : t y p e = " T a b l e W i d g e t B a s e V i e w S t a t e " / > < / a : K e y V a l u e O f D i a g r a m O b j e c t K e y a n y T y p e z b w N T n L X > < a : K e y V a l u e O f D i a g r a m O b j e c t K e y a n y T y p e z b w N T n L X > < a : K e y > < K e y > C o l u m n s \ D a t e   ( M o n t h ) 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 R e s e a r c h       D e v e l o p m e n t 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 R e s e a r c h       D e v e l o p m e n t 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 C o l u m n s \ D e p a r t m e n t < / 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 D e p a r t m e n t a l   P r o f i t       L o s s _ B u d g e t 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 D e p a r t m e n t a l   P r o f i t       L o s s _ B u d g e t 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 C o l u m n s \ D e p a r t m e n t < / 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 C o l u m n s \ S i g n 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50.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 S i g n < / s t r i n g > < / k e y > < v a l u e > < i n t > 4 < / i n t > < / v a l u e > < / i t e m > < / C o l u m n D i s p l a y I n d e x > < C o l u m n F r o z e n   / > < C o l u m n C h e c k e d   / > < C o l u m n F i l t e r   / > < S e l e c t i o n F i l t e r   / > < F i l t e r P a r a m e t e r s   / > < I s S o r t D e s c e n d i n g > f a l s e < / I s S o r t D e s c e n d i n g > < / T a b l e W i d g e t G r i d S e r i a l i z a t i o n > ] ] > < / C u s t o m C o n t e n t > < / G e m i n i > 
</file>

<file path=customXml/item151.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52.xml>��< ? x m l   v e r s i o n = " 1 . 0 "   e n c o d i n g = " U T F - 1 6 " ? > < G e m i n i   x m l n s = " h t t p : / / g e m i n i / p i v o t c u s t o m i z a t i o n / 3 3 d b f 0 9 8 - 1 4 5 5 - 4 b 6 2 - 9 e b 9 - 2 6 9 b 5 5 7 b 8 7 d f " > < 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53.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54.xml>��< ? x m l   v e r s i o n = " 1 . 0 "   e n c o d i n g = " U T F - 1 6 " ? > < G e m i n i   x m l n s = " h t t p : / / g e m i n i / p i v o t c u s t o m i z a t i o n / 9 9 4 4 1 2 3 b - d 4 f 3 - 4 a 0 3 - 9 3 9 4 - 8 a 2 a c 4 2 3 b e 4 6 " > < 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C a l c u l a t e d F i e l d s > < S A H o s t H a s h > 0 < / S A H o s t H a s h > < G e m i n i F i e l d L i s t V i s i b l e > T r u e < / G e m i n i F i e l d L i s t V i s i b l e > < / S e t t i n g s > ] ] > < / C u s t o m C o n t e n t > < / G e m i n i > 
</file>

<file path=customXml/item155.xml>��< ? x m l   v e r s i o n = " 1 . 0 "   e n c o d i n g = " U T F - 1 6 " ? > < G e m i n i   x m l n s = " h t t p : / / g e m i n i / p i v o t c u s t o m i z a t i o n / 8 1 f 9 3 4 0 2 - d e 6 7 - 4 9 7 2 - a c d 1 - 7 8 8 9 3 b 9 8 6 e 9 4 " > < 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  ( $ ) < / M e a s u r e N a m e > < D i s p l a y N a m e > V a r   ( $ ) < / 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C a l c u l a t e d F i e l d s > < S A H o s t H a s h > 0 < / S A H o s t H a s h > < G e m i n i F i e l d L i s t V i s i b l e > T r u e < / G e m i n i F i e l d L i s t V i s i b l e > < / S e t t i n g s > ] ] > < / C u s t o m C o n t e n t > < / G e m i n i > 
</file>

<file path=customXml/item156.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57.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58.xml>��< ? x m l   v e r s i o n = " 1 . 0 "   e n c o d i n g = " U T F - 1 6 " ? > < G e m i n i   x m l n s = " h t t p : / / g e m i n i / p i v o t c u s t o m i z a t i o n / T a b l e X M L _ C a l e n d a r " > < C u s t o m C o n t e n t > < ! [ C D A T A [ < T a b l e W i d g e t G r i d S e r i a l i z a t i o n   x m l n s : x s d = " h t t p : / / w w w . w 3 . o r g / 2 0 0 1 / X M L S c h e m a "   x m l n s : x s i = " h t t p : / / w w w . w 3 . o r g / 2 0 0 1 / X M L S c h e m a - i n s t a n c e " > < C o l u m n S u g g e s t e d T y p e > < i t e m > < k e y > < s t r i n g > D a t e < / s t r i n g > < / k e y > < v a l u e > < s t r i n g > D a t e < / s t r i n g > < / v a l u e > < / i t e m > < / C o l u m n S u g g e s t e d T y p e > < C o l u m n F o r m a t   / > < C o l u m n A c c u r a c y   / > < C o l u m n C u r r e n c y S y m b o l   / > < C o l u m n P o s i t i v e P a t t e r n   / > < C o l u m n N e g a t i v e P a t t e r n   / > < C o l u m n W i d t h s > < i t e m > < k e y > < s t r i n g > D a t e < / s t r i n g > < / k e y > < v a l u e > < i n t > 6 6 < / i n t > < / v a l u e > < / i t e m > < i t e m > < k e y > < s t r i n g > Y e a r < / s t r i n g > < / k e y > < v a l u e > < i n t > 6 5 < / i n t > < / v a l u e > < / i t e m > < i t e m > < k e y > < s t r i n g > M o n t h   N u m b e r < / s t r i n g > < / k e y > < v a l u e > < i n t > 1 3 4 < / i n t > < / v a l u e > < / i t e m > < i t e m > < k e y > < s t r i n g > M o n t h < / s t r i n g > < / k e y > < v a l u e > < i n t > 7 7 < / i n t > < / v a l u e > < / i t e m > < i t e m > < k e y > < s t r i n g > D a y   O f   W e e k   N u m b e r < / s t r i n g > < / k e y > < v a l u e > < i n t > 1 8 1 < / i n t > < / v a l u e > < / i t e m > < i t e m > < k e y > < s t r i n g > D a y   O f   W e e k < / s t r i n g > < / k e y > < v a l u e > < i n t > 1 2 4 < / i n t > < / v a l u e > < / i t e m > < i t e m > < k e y > < s t r i n g > D a t e   V a l u e < / s t r i n g > < / k e y > < v a l u e > < i n t > 1 0 6 < / i n t > < / v a l u e > < / i t e m > < i t e m > < k e y > < s t r i n g > M M M - Y Y < / s t r i n g > < / k e y > < v a l u e > < i n t > 1 1 5 < / i n t > < / v a l u e > < / i t e m > < / C o l u m n W i d t h s > < C o l u m n D i s p l a y I n d e x > < i t e m > < k e y > < s t r i n g > D a t e < / s t r i n g > < / k e y > < v a l u e > < i n t > 0 < / i n t > < / v a l u e > < / i t e m > < i t e m > < k e y > < s t r i n g > Y e a r < / s t r i n g > < / k e y > < v a l u e > < i n t > 1 < / i n t > < / v a l u e > < / i t e m > < i t e m > < k e y > < s t r i n g > M o n t h   N u m b e r < / s t r i n g > < / k e y > < v a l u e > < i n t > 2 < / i n t > < / v a l u e > < / i t e m > < i t e m > < k e y > < s t r i n g > M o n t h < / s t r i n g > < / k e y > < v a l u e > < i n t > 3 < / i n t > < / v a l u e > < / i t e m > < i t e m > < k e y > < s t r i n g > D a y   O f   W e e k   N u m b e r < / s t r i n g > < / k e y > < v a l u e > < i n t > 5 < / i n t > < / v a l u e > < / i t e m > < i t e m > < k e y > < s t r i n g > D a y   O f   W e e k < / s t r i n g > < / k e y > < v a l u e > < i n t > 6 < / i n t > < / v a l u e > < / i t e m > < i t e m > < k e y > < s t r i n g > D a t e   V a l u e < / s t r i n g > < / k e y > < v a l u e > < i n t > 7 < / i n t > < / v a l u e > < / i t e m > < i t e m > < k e y > < s t r i n g > M M M - Y Y < / s t r i n g > < / k e y > < v a l u e > < i n t > 4 < / i n t > < / v a l u e > < / i t e m > < / C o l u m n D i s p l a y I n d e x > < C o l u m n F r o z e n   / > < C o l u m n C h e c k e d   / > < C o l u m n F i l t e r   / > < S e l e c t i o n F i l t e r   / > < F i l t e r P a r a m e t e r s   / > < I s S o r t D e s c e n d i n g > f a l s e < / I s S o r t D e s c e n d i n g > < / T a b l e W i d g e t G r i d S e r i a l i z a t i o n > ] ] > < / C u s t o m C o n t e n t > < / G e m i n i > 
</file>

<file path=customXml/item159.xml>��< ? x m l   v e r s i o n = " 1 . 0 "   e n c o d i n g = " U T F - 1 6 " ? > < G e m i n i   x m l n s = " h t t p : / / g e m i n i / p i v o t c u s t o m i z a t i o n / 7 4 d 6 1 7 1 c - 6 a 7 6 - 4 a b 7 - b 2 3 6 - a e d 3 a 5 a 9 4 4 9 c " > < 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 G r o s s   m a r g i n < / M e a s u r e N a m e > < D i s p l a y N a m e > G r o s s   m a r g i n < / D i s p l a y N a m e > < V i s i b l e > T r u e < / V i s i b l e > < / i t e m > < i t e m > < M e a s u r e N a m e > R e v e n u e < / M e a s u r e N a m e > < D i s p l a y N a m e > R e v e n u e < / D i s p l a y N a m e > < V i s i b l e > F a l s e < / V i s i b l e > < / i t e m > < i t e m > < M e a s u r e N a m e > G r o s s   P r o f i t < / M e a s u r e N a m e > < D i s p l a y N a m e > G r o s s   P r o f i t < / D i s p l a y N a m e > < V i s i b l e > F a l s e < / V i s i b l e > < / i t e m > < i t e m > < M e a s u r e N a m e > V a r   ( $ ) < / M e a s u r e N a m e > < D i s p l a y N a m e > V a r   ( $ ) < / D i s p l a y N a m e > < V i s i b l e > F a l s e < / V i s i b l e > < / i t e m > < i t e m > < M e a s u r e N a m e > V a r   ( % ) < / M e a s u r e N a m e > < D i s p l a y N a m e > V a r   ( % ) < / D i s p l a y N a m e > < V i s i b l e > F a l s e < / V i s i b l e > < / i t e m > < / C a l c u l a t e d F i e l d s > < S A H o s t H a s h > 0 < / S A H o s t H a s h > < G e m i n i F i e l d L i s t V i s i b l e > T r u e < / G e m i n i F i e l d L i s t V i s i b l e > < / S e t t i n g s > ] ] > < / C u s t o m C o n t e n t > < / G e m i n i > 
</file>

<file path=customXml/item16.xml>��< ? x m l   v e r s i o n = " 1 . 0 "   e n c o d i n g = " U T F - 1 6 " ? > < G e m i n i   x m l n s = " h t t p : / / g e m i n i / p i v o t c u s t o m i z a t i o n / 6 c f f 6 4 7 3 - 2 d c 5 - 4 c 5 f - b c f d - f 8 7 5 7 0 d a d 1 c 6 " > < 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60.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61.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62.xml>��< ? x m l   v e r s i o n = " 1 . 0 "   e n c o d i n g = " U T F - 1 6 " ? > < G e m i n i   x m l n s = " h t t p : / / g e m i n i / p i v o t c u s t o m i z a t i o n / 9 8 5 3 d 2 5 2 - 6 e 6 8 - 4 1 6 d - 8 8 2 3 - 6 3 f f e 8 2 a a f a 7 " > < 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63.xml>��< ? x m l   v e r s i o n = " 1 . 0 "   e n c o d i n g = " U T F - 1 6 " ? > < G e m i n i   x m l n s = " h t t p : / / g e m i n i / p i v o t c u s t o m i z a t i o n / T a b l e X M L _ G a n d A _ a d 3 2 f 0 c 9 - 1 f 4 5 - 4 3 6 3 - 9 f e a - d 1 d 4 a 6 0 3 4 9 8 4 " > < C u s t o m C o n t e n t > < ! [ 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 D a t e < / s t r i n g > < / k e y > < v a l u e > < i n t > 6 6 < / i n t > < / v a l u e > < / i t e m > < i t e m > < k e y > < s t r i n g > V a l u e < / s t r i n g > < / k e y > < v a l u e > < i n t > 7 1 < / i n t > < / v a l u e > < / i t e m > < i t e m > < k e y > < s t r i n g > D e p a r t m e n t < / s t r i n g > < / k e y > < v a l u e > < i n t > 1 1 2 < / i n t > < / v a l u e > < / i t e m > < i t e m > < k e y > < s t r i n g > D a t e   ( Y e a r ) < / s t r i n g > < / k e y > < v a l u e > < i n t > 1 1 0 < / i n t > < / v a l u e > < / i t e m > < i t e m > < k e y > < s t r i n g > D a t e   ( Q u a r t e r ) < / s t r i n g > < / k e y > < v a l u e > < i n t > 1 3 0 < / i n t > < / v a l u e > < / i t e m > < i t e m > < k e y > < s t r i n g > D a t e   ( M o n t h   I n d e x ) < / s t r i n g > < / k e y > < v a l u e > < i n t > 1 6 0 < / i n t > < / v a l u e > < / i t e m > < i t e m > < k e y > < s t r i n g > D a t e   ( M o n t h ) < / s t r i n g > < / k e y > < v a l u e > < i n t > 1 2 2 < / i n t > < / v a l u e > < / i t e m > < / C o l u m n W i d t h s > < C o l u m n D i s p l a y I n d e x > < i t e m > < k e y > < s t r i n g > A c c o u n t < / s t r i n g > < / k e y > < v a l u e > < i n t > 0 < / i n t > < / v a l u e > < / i t e m > < i t e m > < k e y > < s t r i n g > D a t e < / s t r i n g > < / k e y > < v a l u e > < i n t > 1 < / i n t > < / v a l u e > < / i t e m > < i t e m > < k e y > < s t r i n g > V a l u e < / s t r i n g > < / k e y > < v a l u e > < i n t > 2 < / i n t > < / v a l u e > < / i t e m > < i t e m > < k e y > < s t r i n g > D e p a r t m e n t < / s t r i n g > < / k e y > < v a l u e > < i n t > 3 < / i n t > < / v a l u e > < / i t e m > < i t e m > < k e y > < s t r i n g > D a t e   ( Y e a r ) < / s t r i n g > < / k e y > < v a l u e > < i n t > 4 < / i n t > < / v a l u e > < / i t e m > < i t e m > < k e y > < s t r i n g > D a t e   ( Q u a r t e r ) < / s t r i n g > < / k e y > < v a l u e > < i n t > 5 < / i n t > < / v a l u e > < / i t e m > < i t e m > < k e y > < s t r i n g > D a t e   ( M o n t h   I n d e x ) < / s t r i n g > < / k e y > < v a l u e > < i n t > 6 < / i n t > < / v a l u e > < / i t e m > < i t e m > < k e y > < s t r i n g > D a t e   ( M o n t h ) < / s t r i n g > < / k e y > < v a l u e > < i n t > 7 < / i n t > < / v a l u e > < / i t e m > < / C o l u m n D i s p l a y I n d e x > < C o l u m n F r o z e n   / > < C o l u m n C h e c k e d   / > < C o l u m n F i l t e r   / > < S e l e c t i o n F i l t e r   / > < F i l t e r P a r a m e t e r s   / > < I s S o r t D e s c e n d i n g > f a l s e < / I s S o r t D e s c e n d i n g > < / T a b l e W i d g e t G r i d S e r i a l i z a t i o n > ] ] > < / C u s t o m C o n t e n t > < / G e m i n i > 
</file>

<file path=customXml/item16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 G a n d A 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 G a n d A 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K e y > < / D i a g r a m O b j e c t K e y > < D i a g r a m O b j e c t K e y > < K e y > M e a s u r e s \ S u m   o f   V a l u e \ T a g I n f o \ F o r m u l a < / K e y > < / D i a g r a m O b j e c t K e y > < D i a g r a m O b j e c t K e y > < K e y > M e a s u r e s \ S u m   o f   V a l u e \ T a g I n f o \ V a l u e < / K e y > < / D i a g r a m O b j e c t K e y > < D i a g r a m O b j e c t K e y > < K e y > M e a s u r e s \ A c t u a l < / K e y > < / D i a g r a m O b j e c t K e y > < D i a g r a m O b j e c t K e y > < K e y > M e a s u r e s \ A c t u a l \ T a g I n f o \ F o r m u l a < / K e y > < / D i a g r a m O b j e c t K e y > < D i a g r a m O b j e c t K e y > < K e y > M e a s u r e s \ A c t u a l \ T a g I n f o \ V a l u e < / K e y > < / D i a g r a m O b j e c t K e y > < D i a g r a m O b j e c t K e y > < K e y > M e a s u r e s \ Y T D   V a l u e s < / K e y > < / D i a g r a m O b j e c t K e y > < D i a g r a m O b j e c t K e y > < K e y > M e a s u r e s \ Y T D   V a l u e s \ T a g I n f o \ F o r m u l a < / K e y > < / D i a g r a m O b j e c t K e y > < D i a g r a m O b j e c t K e y > < K e y > M e a s u r e s \ Y T D   V a l u e s \ T a g I n f o \ V a l u e < / K e y > < / D i a g r a m O b j e c t K e y > < D i a g r a m O b j e c t K e y > < K e y > C o l u m n s \ A c c o u n t < / K e y > < / D i a g r a m O b j e c t K e y > < D i a g r a m O b j e c t K e y > < K e y > C o l u m n s \ D e p a r t m e n t < / K e y > < / D i a g r a m O b j e c t K e y > < D i a g r a m O b j e c t K e y > < K e y > C o l u m n s \ D a t e < / K e y > < / D i a g r a m O b j e c t K e y > < D i a g r a m O b j e c t K e y > < K e y > C o l u m n s \ V a l u e < / K e y > < / D i a g r a m O b j e c t K e y > < D i a g r a m O b j e c t K e y > < K e y > C o l u m n s \ D a t e   ( Y e a r ) < / K e y > < / D i a g r a m O b j e c t K e y > < D i a g r a m O b j e c t K e y > < K e y > C o l u m n s \ D a t e   ( Q u a r t e r ) < / K e y > < / D i a g r a m O b j e c t K e y > < D i a g r a m O b j e c t K e y > < K e y > C o l u m n s \ D a t e   ( M o n t h   I n d e x ) < / K e y > < / D i a g r a m O b j e c t K e y > < D i a g r a m O b j e c t K e y > < K e y > C o l u m n s \ D a t e   ( M o n t h ) < / K e y > < / D i a g r a m O b j e c t K e y > < D i a g r a m O b j e c t K e y > < K e y > L i n k s \ & l t ; C o l u m n s \ S u m   o f   V a l u e & g t ; - & l t ; M e a s u r e s \ V a l u e & g t ; < / K e y > < / D i a g r a m O b j e c t K e y > < D i a g r a m O b j e c t K e y > < K e y > L i n k s \ & l t ; C o l u m n s \ S u m   o f   V a l u e & g t ; - & l t ; M e a s u r e s \ V a l u e & g t ; \ C O L U M N < / K e y > < / D i a g r a m O b j e c t K e y > < D i a g r a m O b j e c t K e y > < K e y > L i n k s \ & l t ; C o l u m n s \ S u m   o f   V a l u e & g t ; - & l t ; M e a s u r e s \ V a l u e & g t ; \ M E A S U R E 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K e y > < / a : K e y > < a : V a l u e   i : t y p e = " M e a s u r e G r i d N o d e V i e w S t a t e " > < C o l u m n > 2 < / C o l u m n > < L a y e d O u t > t r u e < / L a y e d O u t > < W a s U I I n v i s i b l e > t r u e < / W a s U I I n v i s i b l e > < / a : V a l u e > < / a : K e y V a l u e O f D i a g r a m O b j e c t K e y a n y T y p e z b w N T n L X > < a : K e y V a l u e O f D i a g r a m O b j e c t K e y a n y T y p e z b w N T n L X > < a : K e y > < K e y > M e a s u r e s \ S u m   o f   V a l u e \ T a g I n f o \ F o r m u l a < / K e y > < / a : K e y > < a : V a l u e   i : t y p e = " M e a s u r e G r i d V i e w S t a t e I D i a g r a m T a g A d d i t i o n a l I n f o " / > < / a : K e y V a l u e O f D i a g r a m O b j e c t K e y a n y T y p e z b w N T n L X > < a : K e y V a l u e O f D i a g r a m O b j e c t K e y a n y T y p e z b w N T n L X > < a : K e y > < K e y > M e a s u r e s \ S u m   o f   V a l u e \ T a g I n f o \ V a l u e < / K e y > < / a : K e y > < a : V a l u e   i : t y p e = " M e a s u r e G r i d V i e w S t a t e I D i a g r a m T a g A d d i t i o n a l I n f o " / > < / a : K e y V a l u e O f D i a g r a m O b j e c t K e y a n y T y p e z b w N T n L X > < a : K e y V a l u e O f D i a g r a m O b j e c t K e y a n y T y p e z b w N T n L X > < a : K e y > < K e y > M e a s u r e s \ A c t u a l < / K e y > < / a : K e y > < a : V a l u e   i : t y p e = " M e a s u r e G r i d N o d e V i e w S t a t e " > < L a y e d O u t > t r u e < / L a y e d O u t > < / a : V a l u e > < / a : K e y V a l u e O f D i a g r a m O b j e c t K e y a n y T y p e z b w N T n L X > < a : K e y V a l u e O f D i a g r a m O b j e c t K e y a n y T y p e z b w N T n L X > < a : K e y > < K e y > M e a s u r e s \ A c t u a l \ T a g I n f o \ F o r m u l a < / K e y > < / a : K e y > < a : V a l u e   i : t y p e = " M e a s u r e G r i d V i e w S t a t e I D i a g r a m T a g A d d i t i o n a l I n f o " / > < / a : K e y V a l u e O f D i a g r a m O b j e c t K e y a n y T y p e z b w N T n L X > < a : K e y V a l u e O f D i a g r a m O b j e c t K e y a n y T y p e z b w N T n L X > < a : K e y > < K e y > M e a s u r e s \ A c t u a l \ T a g I n f o \ V a l u e < / K e y > < / a : K e y > < a : V a l u e   i : t y p e = " M e a s u r e G r i d V i e w S t a t e I D i a g r a m T a g A d d i t i o n a l I n f o " / > < / a : K e y V a l u e O f D i a g r a m O b j e c t K e y a n y T y p e z b w N T n L X > < a : K e y V a l u e O f D i a g r a m O b j e c t K e y a n y T y p e z b w N T n L X > < a : K e y > < K e y > M e a s u r e s \ Y T D   V a l u e s < / K e y > < / a : K e y > < a : V a l u e   i : t y p e = " M e a s u r e G r i d N o d e V i e w S t a t e " > < L a y e d O u t > t r u e < / L a y e d O u t > < R o w > 1 < / R o w > < / a : V a l u e > < / a : K e y V a l u e O f D i a g r a m O b j e c t K e y a n y T y p e z b w N T n L X > < a : K e y V a l u e O f D i a g r a m O b j e c t K e y a n y T y p e z b w N T n L X > < a : K e y > < K e y > M e a s u r e s \ Y T D   V a l u e s \ T a g I n f o \ F o r m u l a < / K e y > < / a : K e y > < a : V a l u e   i : t y p e = " M e a s u r e G r i d V i e w S t a t e I D i a g r a m T a g A d d i t i o n a l I n f o " / > < / a : K e y V a l u e O f D i a g r a m O b j e c t K e y a n y T y p e z b w N T n L X > < a : K e y V a l u e O f D i a g r a m O b j e c t K e y a n y T y p e z b w N T n L X > < a : K e y > < K e y > M e a s u r e s \ Y T D   V a l u e s \ T a g I n f o \ V a l u e < / K e y > < / a : K e y > < a : V a l u e   i : t y p e = " M e a s u r e G r i d V i e w S t a t e I D i a g r a m T a g A d d i t i o n a l I n f o " / > < / a : K e y V a l u e O f D i a g r a m O b j e c t K e y a n y T y p e z b w N T n L X > < a : K e y V a l u e O f D i a g r a m O b j e c t K e y a n y T y p e z b w N T n L X > < a : K e y > < K e y > C o l u m n s \ A c c o u n t < / K e y > < / a : K e y > < a : V a l u e   i : t y p e = " M e a s u r e G r i d N o d e V i e w S t a t e " > < L a y e d O u t > t r u e < / L a y e d O u t > < / a : V a l u e > < / a : K e y V a l u e O f D i a g r a m O b j e c t K e y a n y T y p e z b w N T n L X > < a : K e y V a l u e O f D i a g r a m O b j e c t K e y a n y T y p e z b w N T n L X > < a : K e y > < K e y > C o l u m n s \ D e p a r t m e n t < / K e y > < / a : K e y > < a : V a l u e   i : t y p e = " M e a s u r e G r i d N o d e V i e w S t a t e " > < C o l u m n > 3 < / C o l u m n > < 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 C o l u m n s \ V a l u e < / K e y > < / a : K e y > < a : V a l u e   i : t y p e = " M e a s u r e G r i d N o d e V i e w S t a t e " > < C o l u m n > 2 < / C o l u m n > < L a y e d O u t > t r u e < / L a y e d O u t > < / a : V a l u e > < / a : K e y V a l u e O f D i a g r a m O b j e c t K e y a n y T y p e z b w N T n L X > < a : K e y V a l u e O f D i a g r a m O b j e c t K e y a n y T y p e z b w N T n L X > < a : K e y > < K e y > C o l u m n s \ D a t e   ( Y e a r ) < / K e y > < / a : K e y > < a : V a l u e   i : t y p e = " M e a s u r e G r i d N o d e V i e w S t a t e " > < C o l u m n > 4 < / C o l u m n > < L a y e d O u t > t r u e < / L a y e d O u t > < / a : V a l u e > < / a : K e y V a l u e O f D i a g r a m O b j e c t K e y a n y T y p e z b w N T n L X > < a : K e y V a l u e O f D i a g r a m O b j e c t K e y a n y T y p e z b w N T n L X > < a : K e y > < K e y > C o l u m n s \ D a t e   ( Q u a r t e r ) < / K e y > < / a : K e y > < a : V a l u e   i : t y p e = " M e a s u r e G r i d N o d e V i e w S t a t e " > < C o l u m n > 5 < / C o l u m n > < L a y e d O u t > t r u e < / L a y e d O u t > < / a : V a l u e > < / a : K e y V a l u e O f D i a g r a m O b j e c t K e y a n y T y p e z b w N T n L X > < a : K e y V a l u e O f D i a g r a m O b j e c t K e y a n y T y p e z b w N T n L X > < a : K e y > < K e y > C o l u m n s \ D a t e   ( M o n t h   I n d e x ) < / K e y > < / a : K e y > < a : V a l u e   i : t y p e = " M e a s u r e G r i d N o d e V i e w S t a t e " > < C o l u m n > 6 < / C o l u m n > < L a y e d O u t > t r u e < / L a y e d O u t > < / a : V a l u e > < / a : K e y V a l u e O f D i a g r a m O b j e c t K e y a n y T y p e z b w N T n L X > < a : K e y V a l u e O f D i a g r a m O b j e c t K e y a n y T y p e z b w N T n L X > < a : K e y > < K e y > C o l u m n s \ D a t e   ( M o n t h ) < / K e y > < / a : K e y > < a : V a l u e   i : t y p e = " M e a s u r e G r i d N o d e V i e w S t a t e " > < C o l u m n > 7 < / C o l u m n > < L a y e d O u t > t r u e < / L a y e d O u t > < / a : V a l u e > < / a : K e y V a l u e O f D i a g r a m O b j e c t K e y a n y T y p e z b w N T n L X > < a : K e y V a l u e O f D i a g r a m O b j e c t K e y a n y T y p e z b w N T n L X > < a : K e y > < K e y > L i n k s \ & l t ; C o l u m n s \ S u m   o f   V a l u e & g t ; - & l t ; M e a s u r e s \ V a l u e & g t ; < / K e y > < / a : K e y > < a : V a l u e   i : t y p e = " M e a s u r e G r i d V i e w S t a t e I D i a g r a m L i n k " / > < / a : K e y V a l u e O f D i a g r a m O b j e c t K e y a n y T y p e z b w N T n L X > < a : K e y V a l u e O f D i a g r a m O b j e c t K e y a n y T y p e z b w N T n L X > < a : K e y > < K e y > L i n k s \ & l t ; C o l u m n s \ S u m   o f   V a l u e & g t ; - & l t ; M e a s u r e s \ V a l u e & g t ; \ C O L U M N < / K e y > < / a : K e y > < a : V a l u e   i : t y p e = " M e a s u r e G r i d V i e w S t a t e I D i a g r a m L i n k E n d p o i n t " / > < / a : K e y V a l u e O f D i a g r a m O b j e c t K e y a n y T y p e z b w N T n L X > < a : K e y V a l u e O f D i a g r a m O b j e c t K e y a n y T y p e z b w N T n L X > < a : K e y > < K e y > L i n k s \ & l t ; C o l u m n s \ S u m   o f   V a l u e & g t ; - & l t ; M e a s u r e s \ V a l u e & g t ; \ M E A S U R E < / K e y > < / a : K e y > < a : V a l u e   i : t y p e = " M e a s u r e G r i d V i e w S t a t e I D i a g r a m L i n k E n d p o i n t " / > < / a : K e y V a l u e O f D i a g r a m O b j e c t K e y a n y T y p e z b w N T n L X > < / V i e w S t a t e s > < / D i a g r a m M a n a g e r . S e r i a l i z a b l e D i a g r a m > < D i a g r a m M a n a g e r . S e r i a l i z a b l e D i a g r a m > < A d a p t e r   i : t y p e = " M e a s u r e D i a g r a m S a n d b o x A d a p t e r " > < T a b l e N a m e > R e s e a r c h       D e v e l o p m e n t 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 R e s e a r c h       D e v e l o p m e n t 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 C o l u m n s \ A c c o u n t < / K e y > < / D i a g r a m O b j e c t K e y > < D i a g r a m O b j e c t K e y > < K e y > C o l u m n s \ D e p a r t m e n t < / K e y > < / D i a g r a m O b j e c t K e y > < D i a g r a m O b j e c t K e y > < K e y > C o l u m n s \ D a t e < / K e y > < / D i a g r a m O b j e c t K e y > < D i a g r a m O b j e c t K e y > < K e y > C o l u m n s \ V a l u e 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 C o l u m n s \ A c c o u n t < / K e y > < / a : K e y > < a : V a l u e   i : t y p e = " M e a s u r e G r i d N o d e V i e w S t a t e " > < L a y e d O u t > t r u e < / L a y e d O u t > < / a : V a l u e > < / a : K e y V a l u e O f D i a g r a m O b j e c t K e y a n y T y p e z b w N T n L X > < a : K e y V a l u e O f D i a g r a m O b j e c t K e y a n y T y p e z b w N T n L X > < a : K e y > < K e y > C o l u m n s \ D e p a r t m e n t < / K e y > < / a : K e y > < a : V a l u e   i : t y p e = " M e a s u r e G r i d N o d e V i e w S t a t e " > < C o l u m n > 1 < / C o l u m n > < L a y e d O u t > t r u e < / L a y e d O u t > < / a : V a l u e > < / a : K e y V a l u e O f D i a g r a m O b j e c t K e y a n y T y p e z b w N T n L X > < a : K e y V a l u e O f D i a g r a m O b j e c t K e y a n y T y p e z b w N T n L X > < a : K e y > < K e y > C o l u m n s \ D a t e < / K e y > < / a : K e y > < a : V a l u e   i : t y p e = " M e a s u r e G r i d N o d e V i e w S t a t e " > < C o l u m n > 2 < / C o l u m n > < L a y e d O u t > t r u e < / L a y e d O u t > < / a : V a l u e > < / a : K e y V a l u e O f D i a g r a m O b j e c t K e y a n y T y p e z b w N T n L X > < a : K e y V a l u e O f D i a g r a m O b j e c t K e y a n y T y p e z b w N T n L X > < a : K e y > < K e y > C o l u m n s \ V a l u e < / K e y > < / a : K e y > < a : V a l u e   i : t y p e = " M e a s u r e G r i d N o d e V i e w S t a t e " > < C o l u m n > 3 < / C o l u m n > < L a y e d O u t > t r u e < / L a y e d O u t > < / a : V a l u e > < / a : K e y V a l u e O f D i a g r a m O b j e c t K e y a n y T y p e z b w N T n L X > < / V i e w S t a t e s > < / D i a g r a m M a n a g e r . S e r i a l i z a b l e D i a g r a m > < D i a g r a m M a n a g e r . S e r i a l i z a b l e D i a g r a m > < A d a p t e r   i : t y p e = " M e a s u r e D i a g r a m S a n d b o x A d a p t e r " > < T a b l e N a m e > D e p a r t m e n t s 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 D e p a r t m e n t s 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 C o l u m n s \ D e p a r t m e n t s 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 C o l u m n s \ D e p a r t m e n t s < / K e y > < / a : K e y > < a : V a l u e   i : t y p e = " M e a s u r e G r i d N o d e V i e w S t a t e " > < L a y e d O u t > t r u e < / L a y e d O u t > < / a : V a l u e > < / a : K e y V a l u e O f D i a g r a m O b j e c t K e y a n y T y p e z b w N T n L X > < / V i e w S t a t e s > < / D i a g r a m M a n a g e r . S e r i a l i z a b l e D i a g r a m > < D i a g r a m M a n a g e r . S e r i a l i z a b l e D i a g r a m > < A d a p t e r   i : t y p e = " M e a s u r e D i a g r a m S a n d b o x A d a p t e r " > < T a b l e N a m e > P r e d e f i n e d _ D a t e s 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 P r e d e f i n e d _ D a t e s 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 C o l u m n s \ P e r i o d < / K e y > < / D i a g r a m O b j e c t K e y > < D i a g r a m O b j e c t K e y > < K e y > C o l u m n s \ D a t e 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 C o l u m n s \ P e r i o d < / 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V i e w S t a t e s > < / D i a g r a m M a n a g e r . S e r i a l i z a b l e D i a g r a m > < D i a g r a m M a n a g e r . S e r i a l i z a b l e D i a g r a m > < A d a p t e r   i : t y p e = " M e a s u r e D i a g r a m S a n d b o x A d a p t e r " > < T a b l e N a m e > M a p p i n g s 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 C o l u m n s \ A c c o u n t < / K e y > < / D i a g r a m O b j e c t K e y > < D i a g r a m O b j e c t K e y > < K e y > C o l u m n s \ S e c t i o n < / K e y > < / D i a g r a m O b j e c t K e y > < D i a g r a m O b j e c t K e y > < K e y > C o l u m n s \ S u m m a r y   G r o u p i n g < / K e y > < / D i a g r a m O b j e c t K e y > < D i a g r a m O b j e c t K e y > < K e y > C o l u m n s \ S i g n 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 C o l u m n s \ A c c o u n t < / K e y > < / a : K e y > < a : V a l u e   i : t y p e = " M e a s u r e G r i d N o d e V i e w S t a t e " > < L a y e d O u t > t r u e < / L a y e d O u t > < / a : V a l u e > < / a : K e y V a l u e O f D i a g r a m O b j e c t K e y a n y T y p e z b w N T n L X > < a : K e y V a l u e O f D i a g r a m O b j e c t K e y a n y T y p e z b w N T n L X > < a : K e y > < K e y > C o l u m n s \ S e c t i o n < / K e y > < / a : K e y > < a : V a l u e   i : t y p e = " M e a s u r e G r i d N o d e V i e w S t a t e " > < C o l u m n > 2 < / C o l u m n > < L a y e d O u t > t r u e < / L a y e d O u t > < / a : V a l u e > < / a : K e y V a l u e O f D i a g r a m O b j e c t K e y a n y T y p e z b w N T n L X > < a : K e y V a l u e O f D i a g r a m O b j e c t K e y a n y T y p e z b w N T n L X > < a : K e y > < K e y > C o l u m n s \ S u m m a r y   G r o u p i n g < / K e y > < / a : K e y > < a : V a l u e   i : t y p e = " M e a s u r e G r i d N o d e V i e w S t a t e " > < C o l u m n > 1 < / C o l u m n > < L a y e d O u t > t r u e < / L a y e d O u t > < / a : V a l u e > < / a : K e y V a l u e O f D i a g r a m O b j e c t K e y a n y T y p e z b w N T n L X > < a : K e y V a l u e O f D i a g r a m O b j e c t K e y a n y T y p e z b w N T n L X > < a : K e y > < K e y > C o l u m n s \ S i g n < / K e y > < / a : K e y > < a : V a l u e   i : t y p e = " M e a s u r e G r i d N o d e V i e w S t a t e " > < C o l u m n > 3 < / C o l u m n > < L a y e d O u t > t r u e < / L a y e d O u t > < / a : V a l u e > < / a : K e y V a l u e O f D i a g r a m O b j e c t K e y a n y T y p e z b w N T n L X > < / V i e w S t a t e s > < / D i a g r a m M a n a g e r . S e r i a l i z a b l e D i a g r a m > < D i a g r a m M a n a g e r . S e r i a l i z a b l e D i a g r a m > < A d a p t e r   i : t y p e = " M e a s u r e D i a g r a m S a n d b o x A d a p t e r " > < T a b l e N a m e > D e p a r t m e n t a l   P r o f i t       L o s s 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 D e p a r t m e n t a l   P r o f i t       L o s s 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K e y > < / D i a g r a m O b j e c t K e y > < D i a g r a m O b j e c t K e y > < K e y > M e a s u r e s \ S u m   o f   V a l u e \ T a g I n f o \ F o r m u l a < / K e y > < / D i a g r a m O b j e c t K e y > < D i a g r a m O b j e c t K e y > < K e y > M e a s u r e s \ S u m   o f   V a l u e \ T a g I n f o \ V a l u e < / K e y > < / D i a g r a m O b j e c t K e y > < D i a g r a m O b j e c t K e y > < K e y > M e a s u r e s \ 2 0 2 4   V a l u e s < / K e y > < / D i a g r a m O b j e c t K e y > < D i a g r a m O b j e c t K e y > < K e y > M e a s u r e s \ 2 0 2 4   V a l u e s \ T a g I n f o \ F o r m u l a < / K e y > < / D i a g r a m O b j e c t K e y > < D i a g r a m O b j e c t K e y > < K e y > M e a s u r e s \ 2 0 2 4   V a l u e s \ T a g I n f o \ V a l u e < / K e y > < / D i a g r a m O b j e c t K e y > < D i a g r a m O b j e c t K e y > < K e y > M e a s u r e s \ Y T D   V a l u e s < / K e y > < / D i a g r a m O b j e c t K e y > < D i a g r a m O b j e c t K e y > < K e y > M e a s u r e s \ Y T D   V a l u e s \ T a g I n f o \ F o r m u l a < / K e y > < / D i a g r a m O b j e c t K e y > < D i a g r a m O b j e c t K e y > < K e y > M e a s u r e s \ Y T D   V a l u e s \ T a g I n f o \ V a l u e < / K e y > < / D i a g r a m O b j e c t K e y > < D i a g r a m O b j e c t K e y > < K e y > M e a s u r e s \ A c t u a l < / K e y > < / D i a g r a m O b j e c t K e y > < D i a g r a m O b j e c t K e y > < K e y > M e a s u r e s \ A c t u a l \ T a g I n f o \ F o r m u l a < / K e y > < / D i a g r a m O b j e c t K e y > < D i a g r a m O b j e c t K e y > < K e y > M e a s u r e s \ A c t u a l \ T a g I n f o \ V a l u e < / K e y > < / D i a g r a m O b j e c t K e y > < D i a g r a m O b j e c t K e y > < K e y > M e a s u r e s \ 2 0 2 3   V a l u e s < / K e y > < / D i a g r a m O b j e c t K e y > < D i a g r a m O b j e c t K e y > < K e y > M e a s u r e s \ 2 0 2 3   V a l u e s \ T a g I n f o \ F o r m u l a < / K e y > < / D i a g r a m O b j e c t K e y > < D i a g r a m O b j e c t K e y > < K e y > M e a s u r e s \ 2 0 2 3   V a l u e s \ T a g I n f o \ V a l u e < / K e y > < / D i a g r a m O b j e c t K e y > < D i a g r a m O b j e c t K e y > < K e y > M e a s u r e s \ 2 0 2 5   V a l u e s < / K e y > < / D i a g r a m O b j e c t K e y > < D i a g r a m O b j e c t K e y > < K e y > M e a s u r e s \ 2 0 2 5   V a l u e s \ T a g I n f o \ F o r m u l a < / K e y > < / D i a g r a m O b j e c t K e y > < D i a g r a m O b j e c t K e y > < K e y > M e a s u r e s \ 2 0 2 5   V a l u e s \ T a g I n f o \ V a l u e < / K e y > < / D i a g r a m O b j e c t K e y > < D i a g r a m O b j e c t K e y > < K e y > M e a s u r e s \ C u r r e n t   M o n t h s   V a l u e s < / K e y > < / D i a g r a m O b j e c t K e y > < D i a g r a m O b j e c t K e y > < K e y > M e a s u r e s \ C u r r e n t   M o n t h s   V a l u e s \ T a g I n f o \ F o r m u l a < / K e y > < / D i a g r a m O b j e c t K e y > < D i a g r a m O b j e c t K e y > < K e y > M e a s u r e s \ C u r r e n t   M o n t h s   V a l u e s \ T a g I n f o \ V a l u e < / K e y > < / D i a g r a m O b j e c t K e y > < D i a g r a m O b j e c t K e y > < K e y > M e a s u r e s \ T r a i l i n g   1 2   M o n t h s   V a l u e s < / K e y > < / D i a g r a m O b j e c t K e y > < D i a g r a m O b j e c t K e y > < K e y > M e a s u r e s \ T r a i l i n g   1 2   M o n t h s   V a l u e s \ T a g I n f o \ F o r m u l a < / K e y > < / D i a g r a m O b j e c t K e y > < D i a g r a m O b j e c t K e y > < K e y > M e a s u r e s \ T r a i l i n g   1 2   M o n t h s   V a l u e s \ T a g I n f o \ V a l u e < / K e y > < / D i a g r a m O b j e c t K e y > < D i a g r a m O b j e c t K e y > < K e y > M e a s u r e s \ T r a i l i n g   3   M o n t h s   V a l u e s < / K e y > < / D i a g r a m O b j e c t K e y > < D i a g r a m O b j e c t K e y > < K e y > M e a s u r e s \ T r a i l i n g   3   M o n t h s   V a l u e s \ T a g I n f o \ F o r m u l a < / K e y > < / D i a g r a m O b j e c t K e y > < D i a g r a m O b j e c t K e y > < K e y > M e a s u r e s \ T r a i l i n g   3   M o n t h s   V a l u e s \ T a g I n f o \ V a l u e < / K e y > < / D i a g r a m O b j e c t K e y > < D i a g r a m O b j e c t K e y > < K e y > M e a s u r e s \ T r a i l i n g   6   M o n t h s   V a l u e s < / K e y > < / D i a g r a m O b j e c t K e y > < D i a g r a m O b j e c t K e y > < K e y > M e a s u r e s \ T r a i l i n g   6   M o n t h s   V a l u e s \ T a g I n f o \ F o r m u l a < / K e y > < / D i a g r a m O b j e c t K e y > < D i a g r a m O b j e c t K e y > < K e y > M e a s u r e s \ T r a i l i n g   6   M o n t h s   V a l u e s \ T a g I n f o \ V a l u e < / K e y > < / D i a g r a m O b j e c t K e y > < D i a g r a m O b j e c t K e y > < K e y > M e a s u r e s \ R e v e n u e < / K e y > < / D i a g r a m O b j e c t K e y > < D i a g r a m O b j e c t K e y > < K e y > M e a s u r e s \ R e v e n u e \ T a g I n f o \ F o r m u l a < / K e y > < / D i a g r a m O b j e c t K e y > < D i a g r a m O b j e c t K e y > < K e y > M e a s u r e s \ R e v e n u e \ T a g I n f o \ V a l u e < / K e y > < / D i a g r a m O b j e c t K e y > < D i a g r a m O b j e c t K e y > < K e y > M e a s u r e s \ G r o s s   P r o f i t < / K e y > < / D i a g r a m O b j e c t K e y > < D i a g r a m O b j e c t K e y > < K e y > M e a s u r e s \ G r o s s   P r o f i t \ T a g I n f o \ F o r m u l a < / K e y > < / D i a g r a m O b j e c t K e y > < D i a g r a m O b j e c t K e y > < K e y > M e a s u r e s \ G r o s s   P r o f i t \ T a g I n f o \ V a l u e < / K e y > < / D i a g r a m O b j e c t K e y > < D i a g r a m O b j e c t K e y > < K e y > M e a s u r e s \ G r o s s   m a r g i n < / K e y > < / D i a g r a m O b j e c t K e y > < D i a g r a m O b j e c t K e y > < K e y > M e a s u r e s \ G r o s s   m a r g i n \ T a g I n f o \ F o r m u l a < / K e y > < / D i a g r a m O b j e c t K e y > < D i a g r a m O b j e c t K e y > < K e y > M e a s u r e s \ G r o s s   m a r g i n \ T a g I n f o \ V a l u e < / K e y > < / D i a g r a m O b j e c t K e y > < D i a g r a m O b j e c t K e y > < K e y > M e a s u r e s \ P r i o r   P e r i o d   C u r r e n t   M o n t h s   V a l u e s < / K e y > < / D i a g r a m O b j e c t K e y > < D i a g r a m O b j e c t K e y > < K e y > M e a s u r e s \ P r i o r   P e r i o d   C u r r e n t   M o n t h s   V a l u e s \ T a g I n f o \ F o r m u l a < / K e y > < / D i a g r a m O b j e c t K e y > < D i a g r a m O b j e c t K e y > < K e y > M e a s u r e s \ P r i o r   P e r i o d   C u r r e n t   M o n t h s   V a l u e s \ T a g I n f o \ V a l u e < / K e y > < / D i a g r a m O b j e c t K e y > < D i a g r a m O b j e c t K e y > < K e y > M e a s u r e s \ P r i o r   P e r i o d   T r a i l i n g   1 2   M o n t h s   V a l u e s < / K e y > < / D i a g r a m O b j e c t K e y > < D i a g r a m O b j e c t K e y > < K e y > M e a s u r e s \ P r i o r   P e r i o d   T r a i l i n g   1 2   M o n t h s   V a l u e s \ T a g I n f o \ F o r m u l a < / K e y > < / D i a g r a m O b j e c t K e y > < D i a g r a m O b j e c t K e y > < K e y > M e a s u r e s \ P r i o r   P e r i o d   T r a i l i n g   1 2   M o n t h s   V a l u e s \ T a g I n f o \ V a l u e < / K e y > < / D i a g r a m O b j e c t K e y > < D i a g r a m O b j e c t K e y > < K e y > M e a s u r e s \ P r i o r   Y e a r   Y T D   V a l u e s < / K e y > < / D i a g r a m O b j e c t K e y > < D i a g r a m O b j e c t K e y > < K e y > M e a s u r e s \ P r i o r   Y e a r   Y T D   V a l u e s \ T a g I n f o \ F o r m u l a < / K e y > < / D i a g r a m O b j e c t K e y > < D i a g r a m O b j e c t K e y > < K e y > M e a s u r e s \ P r i o r   Y e a r   Y T D   V a l u e s \ T a g I n f o \ V a l u e < / K e y > < / D i a g r a m O b j e c t K e y > < D i a g r a m O b j e c t K e y > < K e y > M e a s u r e s \ P r i o r   P e r i o d   Y T D   V a l u e s < / K e y > < / D i a g r a m O b j e c t K e y > < D i a g r a m O b j e c t K e y > < K e y > M e a s u r e s \ P r i o r   P e r i o d   Y T D   V a l u e s \ T a g I n f o \ F o r m u l a < / K e y > < / D i a g r a m O b j e c t K e y > < D i a g r a m O b j e c t K e y > < K e y > M e a s u r e s \ P r i o r   P e r i o d   Y T D   V a l u e s \ T a g I n f o \ V a l u e < / K e y > < / D i a g r a m O b j e c t K e y > < D i a g r a m O b j e c t K e y > < K e y > M e a s u r e s \ P r i o r   P e r i o d   T r a i l i n g   3   M o n t h s   V a l u e s < / K e y > < / D i a g r a m O b j e c t K e y > < D i a g r a m O b j e c t K e y > < K e y > M e a s u r e s \ P r i o r   P e r i o d   T r a i l i n g   3   M o n t h s   V a l u e s \ T a g I n f o \ F o r m u l a < / K e y > < / D i a g r a m O b j e c t K e y > < D i a g r a m O b j e c t K e y > < K e y > M e a s u r e s \ P r i o r   P e r i o d   T r a i l i n g   3   M o n t h s   V a l u e s \ T a g I n f o \ V a l u e < / K e y > < / D i a g r a m O b j e c t K e y > < D i a g r a m O b j e c t K e y > < K e y > M e a s u r e s \ P r i o r   P e r i o d   T r a i l i n g   6   M o n t h s   V a l u e s < / K e y > < / D i a g r a m O b j e c t K e y > < D i a g r a m O b j e c t K e y > < K e y > M e a s u r e s \ P r i o r   P e r i o d   T r a i l i n g   6   M o n t h s   V a l u e s \ T a g I n f o \ F o r m u l a < / K e y > < / D i a g r a m O b j e c t K e y > < D i a g r a m O b j e c t K e y > < K e y > M e a s u r e s \ P r i o r   P e r i o d   T r a i l i n g   6   M o n t h s   V a l u e s \ T a g I n f o \ V a l u e < / K e y > < / D i a g r a m O b j e c t K e y > < D i a g r a m O b j e c t K e y > < K e y > M e a s u r e s \ P r i o r   P e r i o d < / K e y > < / D i a g r a m O b j e c t K e y > < D i a g r a m O b j e c t K e y > < K e y > M e a s u r e s \ P r i o r   P e r i o d \ T a g I n f o \ F o r m u l a < / K e y > < / D i a g r a m O b j e c t K e y > < D i a g r a m O b j e c t K e y > < K e y > M e a s u r e s \ P r i o r   P e r i o d \ T a g I n f o \ V a l u e < / K e y > < / D i a g r a m O b j e c t K e y > < D i a g r a m O b j e c t K e y > < K e y > M e a s u r e s \ P r i o r   Y e a r   C u r r e n t   M o n t h s   V a l u e s < / K e y > < / D i a g r a m O b j e c t K e y > < D i a g r a m O b j e c t K e y > < K e y > M e a s u r e s \ P r i o r   Y e a r   C u r r e n t   M o n t h s   V a l u e s \ T a g I n f o \ F o r m u l a < / K e y > < / D i a g r a m O b j e c t K e y > < D i a g r a m O b j e c t K e y > < K e y > M e a s u r e s \ P r i o r   Y e a r   C u r r e n t   M o n t h s   V a l u e s \ T a g I n f o \ V a l u e < / K e y > < / D i a g r a m O b j e c t K e y > < D i a g r a m O b j e c t K e y > < K e y > M e a s u r e s \ P r i o r   Y e a r   T r a i l i n g   3   M o n t h s   V a l u e s < / K e y > < / D i a g r a m O b j e c t K e y > < D i a g r a m O b j e c t K e y > < K e y > M e a s u r e s \ P r i o r   Y e a r   T r a i l i n g   3   M o n t h s   V a l u e s \ T a g I n f o \ F o r m u l a < / K e y > < / D i a g r a m O b j e c t K e y > < D i a g r a m O b j e c t K e y > < K e y > M e a s u r e s \ P r i o r   Y e a r   T r a i l i n g   3   M o n t h s   V a l u e s \ T a g I n f o \ V a l u e < / K e y > < / D i a g r a m O b j e c t K e y > < D i a g r a m O b j e c t K e y > < K e y > M e a s u r e s \ P r i o r   Y e a r   T r a i l i n g   6   M o n t h s   V a l u e s < / K e y > < / D i a g r a m O b j e c t K e y > < D i a g r a m O b j e c t K e y > < K e y > M e a s u r e s \ P r i o r   Y e a r   T r a i l i n g   6   M o n t h s   V a l u e s \ T a g I n f o \ F o r m u l a < / K e y > < / D i a g r a m O b j e c t K e y > < D i a g r a m O b j e c t K e y > < K e y > M e a s u r e s \ P r i o r   Y e a r   T r a i l i n g   6   M o n t h s   V a l u e s \ T a g I n f o \ V a l u e < / K e y > < / D i a g r a m O b j e c t K e y > < D i a g r a m O b j e c t K e y > < K e y > M e a s u r e s \ P r i o r   Y e a r   T r a i l i n g   1 2   M o n t h s   V a l u e s < / K e y > < / D i a g r a m O b j e c t K e y > < D i a g r a m O b j e c t K e y > < K e y > M e a s u r e s \ P r i o r   Y e a r   T r a i l i n g   1 2   M o n t h s   V a l u e s \ T a g I n f o \ F o r m u l a < / K e y > < / D i a g r a m O b j e c t K e y > < D i a g r a m O b j e c t K e y > < K e y > M e a s u r e s \ P r i o r   Y e a r   T r a i l i n g   1 2   M o n t h s   V a l u e s \ T a g I n f o \ V a l u e < / K e y > < / D i a g r a m O b j e c t K e y > < D i a g r a m O b j e c t K e y > < K e y > M e a s u r e s \ P r i o r   Y e a r < / K e y > < / D i a g r a m O b j e c t K e y > < D i a g r a m O b j e c t K e y > < K e y > M e a s u r e s \ P r i o r   Y e a r \ T a g I n f o \ F o r m u l a < / K e y > < / D i a g r a m O b j e c t K e y > < D i a g r a m O b j e c t K e y > < K e y > M e a s u r e s \ P r i o r   Y e a r \ T a g I n f o \ V a l u e < / K e y > < / D i a g r a m O b j e c t K e y > < D i a g r a m O b j e c t K e y > < K e y > M e a s u r e s \ V a r   t o   B u d g e t   E x p e n s e   ( $ ) < / K e y > < / D i a g r a m O b j e c t K e y > < D i a g r a m O b j e c t K e y > < K e y > M e a s u r e s \ V a r   t o   B u d g e t   E x p e n s e   ( $ ) \ T a g I n f o \ F o r m u l a < / K e y > < / D i a g r a m O b j e c t K e y > < D i a g r a m O b j e c t K e y > < K e y > M e a s u r e s \ V a r   t o   B u d g e t   E x p e n s e   ( $ ) \ T a g I n f o \ V a l u e < / K e y > < / D i a g r a m O b j e c t K e y > < D i a g r a m O b j e c t K e y > < K e y > M e a s u r e s \ V a r   t o   B u d g e t   E x p e n s e   ( % ) < / K e y > < / D i a g r a m O b j e c t K e y > < D i a g r a m O b j e c t K e y > < K e y > M e a s u r e s \ V a r   t o   B u d g e t   E x p e n s e   ( % ) \ T a g I n f o \ F o r m u l a < / K e y > < / D i a g r a m O b j e c t K e y > < D i a g r a m O b j e c t K e y > < K e y > M e a s u r e s \ V a r   t o   B u d g e t   E x p e n s e   ( % ) \ T a g I n f o \ V a l u e < / K e y > < / D i a g r a m O b j e c t K e y > < D i a g r a m O b j e c t K e y > < K e y > M e a s u r e s \ V a r   t o   B u d g e t   I n c o m e   ( $ ) < / K e y > < / D i a g r a m O b j e c t K e y > < D i a g r a m O b j e c t K e y > < K e y > M e a s u r e s \ V a r   t o   B u d g e t   I n c o m e   ( $ ) \ T a g I n f o \ F o r m u l a < / K e y > < / D i a g r a m O b j e c t K e y > < D i a g r a m O b j e c t K e y > < K e y > M e a s u r e s \ V a r   t o   B u d g e t   I n c o m e   ( $ ) \ T a g I n f o \ V a l u e < / K e y > < / D i a g r a m O b j e c t K e y > < D i a g r a m O b j e c t K e y > < K e y > M e a s u r e s \ V a r   t o   B u d g e t   I n c o m e   ( % ) < / K e y > < / D i a g r a m O b j e c t K e y > < D i a g r a m O b j e c t K e y > < K e y > M e a s u r e s \ V a r   t o   B u d g e t   I n c o m e   ( % ) \ T a g I n f o \ F o r m u l a < / K e y > < / D i a g r a m O b j e c t K e y > < D i a g r a m O b j e c t K e y > < K e y > M e a s u r e s \ V a r   t o   B u d g e t   I n c o m e   ( % ) \ T a g I n f o \ V a l u e < / K e y > < / D i a g r a m O b j e c t K e y > < D i a g r a m O b j e c t K e y > < K e y > M e a s u r e s \ V a r   t o   P r i o r   P e r i o d   ( $ ) < / K e y > < / D i a g r a m O b j e c t K e y > < D i a g r a m O b j e c t K e y > < K e y > M e a s u r e s \ V a r   t o   P r i o r   P e r i o d   ( $ ) \ T a g I n f o \ F o r m u l a < / K e y > < / D i a g r a m O b j e c t K e y > < D i a g r a m O b j e c t K e y > < K e y > M e a s u r e s \ V a r   t o   P r i o r   P e r i o d   ( $ ) \ T a g I n f o \ V a l u e < / K e y > < / D i a g r a m O b j e c t K e y > < D i a g r a m O b j e c t K e y > < K e y > M e a s u r e s \ V a r   t o   P r i o r   P e r i o d   ( % ) < / K e y > < / D i a g r a m O b j e c t K e y > < D i a g r a m O b j e c t K e y > < K e y > M e a s u r e s \ V a r   t o   P r i o r   P e r i o d   ( % ) \ T a g I n f o \ F o r m u l a < / K e y > < / D i a g r a m O b j e c t K e y > < D i a g r a m O b j e c t K e y > < K e y > M e a s u r e s \ V a r   t o   P r i o r   P e r i o d   ( % ) \ T a g I n f o \ V a l u e < / K e y > < / D i a g r a m O b j e c t K e y > < D i a g r a m O b j e c t K e y > < K e y > M e a s u r e s \ V a r   t o   P r i o r   Y e a r   ( $ ) < / K e y > < / D i a g r a m O b j e c t K e y > < D i a g r a m O b j e c t K e y > < K e y > M e a s u r e s \ V a r   t o   P r i o r   Y e a r   ( $ ) \ T a g I n f o \ F o r m u l a < / K e y > < / D i a g r a m O b j e c t K e y > < D i a g r a m O b j e c t K e y > < K e y > M e a s u r e s \ V a r   t o   P r i o r   Y e a r   ( $ ) \ T a g I n f o \ V a l u e < / K e y > < / D i a g r a m O b j e c t K e y > < D i a g r a m O b j e c t K e y > < K e y > M e a s u r e s \ V a r   t o   P r i o r   Y e a r   ( % ) < / K e y > < / D i a g r a m O b j e c t K e y > < D i a g r a m O b j e c t K e y > < K e y > M e a s u r e s \ V a r   t o   P r i o r   Y e a r   ( % ) \ T a g I n f o \ F o r m u l a < / K e y > < / D i a g r a m O b j e c t K e y > < D i a g r a m O b j e c t K e y > < K e y > M e a s u r e s \ V a r   t o   P r i o r   Y e a r   ( % ) \ T a g I n f o \ V a l u e < / K e y > < / D i a g r a m O b j e c t K e y > < D i a g r a m O b j e c t K e y > < K e y > C o l u m n s \ A c c o u n t < / K e y > < / D i a g r a m O b j e c t K e y > < D i a g r a m O b j e c t K e y > < K e y > C o l u m n s \ D e p a r t m e n t < / K e y > < / D i a g r a m O b j e c t K e y > < D i a g r a m O b j e c t K e y > < K e y > C o l u m n s \ D a t e < / K e y > < / D i a g r a m O b j e c t K e y > < D i a g r a m O b j e c t K e y > < K e y > C o l u m n s \ V a l u e < / K e y > < / D i a g r a m O b j e c t K e y > < D i a g r a m O b j e c t K e y > < K e y > C o l u m n s \ D a t e   ( M o n t h   I n d e x ) < / K e y > < / D i a g r a m O b j e c t K e y > < D i a g r a m O b j e c t K e y > < K e y > C o l u m n s \ D a t e   ( M o n t h ) < / K e y > < / D i a g r a m O b j e c t K e y > < D i a g r a m O b j e c t K e y > < K e y > C o l u m n s \ S i g n < / K e y > < / D i a g r a m O b j e c t K e y > < D i a g r a m O b j e c t K e y > < K e y > L i n k s \ & l t ; C o l u m n s \ S u m   o f   V a l u e & g t ; - & l t ; M e a s u r e s \ V a l u e & g t ; < / K e y > < / D i a g r a m O b j e c t K e y > < D i a g r a m O b j e c t K e y > < K e y > L i n k s \ & l t ; C o l u m n s \ S u m   o f   V a l u e & g t ; - & l t ; M e a s u r e s \ V a l u e & g t ; \ C O L U M N < / K e y > < / D i a g r a m O b j e c t K e y > < D i a g r a m O b j e c t K e y > < K e y > L i n k s \ & l t ; C o l u m n s \ S u m   o f   V a l u e & g t ; - & l t ; M e a s u r e s \ V a l u e & g t ; \ M E A S U R E 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K e y > < / a : K e y > < a : V a l u e   i : t y p e = " M e a s u r e G r i d N o d e V i e w S t a t e " > < C o l u m n > 3 < / C o l u m n > < L a y e d O u t > t r u e < / L a y e d O u t > < W a s U I I n v i s i b l e > t r u e < / W a s U I I n v i s i b l e > < / a : V a l u e > < / a : K e y V a l u e O f D i a g r a m O b j e c t K e y a n y T y p e z b w N T n L X > < a : K e y V a l u e O f D i a g r a m O b j e c t K e y a n y T y p e z b w N T n L X > < a : K e y > < K e y > M e a s u r e s \ S u m   o f   V a l u e \ T a g I n f o \ F o r m u l a < / K e y > < / a : K e y > < a : V a l u e   i : t y p e = " M e a s u r e G r i d V i e w S t a t e I D i a g r a m T a g A d d i t i o n a l I n f o " / > < / a : K e y V a l u e O f D i a g r a m O b j e c t K e y a n y T y p e z b w N T n L X > < a : K e y V a l u e O f D i a g r a m O b j e c t K e y a n y T y p e z b w N T n L X > < a : K e y > < K e y > M e a s u r e s \ S u m   o f   V a l u e \ T a g I n f o \ V a l u e < / K e y > < / a : K e y > < a : V a l u e   i : t y p e = " M e a s u r e G r i d V i e w S t a t e I D i a g r a m T a g A d d i t i o n a l I n f o " / > < / a : K e y V a l u e O f D i a g r a m O b j e c t K e y a n y T y p e z b w N T n L X > < a : K e y V a l u e O f D i a g r a m O b j e c t K e y a n y T y p e z b w N T n L X > < a : K e y > < K e y > M e a s u r e s \ 2 0 2 4   V a l u e s < / K e y > < / a : K e y > < a : V a l u e   i : t y p e = " M e a s u r e G r i d N o d e V i e w S t a t e " > < L a y e d O u t > t r u e < / L a y e d O u t > < / a : V a l u e > < / a : K e y V a l u e O f D i a g r a m O b j e c t K e y a n y T y p e z b w N T n L X > < a : K e y V a l u e O f D i a g r a m O b j e c t K e y a n y T y p e z b w N T n L X > < a : K e y > < K e y > M e a s u r e s \ 2 0 2 4   V a l u e s \ T a g I n f o \ F o r m u l a < / K e y > < / a : K e y > < a : V a l u e   i : t y p e = " M e a s u r e G r i d V i e w S t a t e I D i a g r a m T a g A d d i t i o n a l I n f o " / > < / a : K e y V a l u e O f D i a g r a m O b j e c t K e y a n y T y p e z b w N T n L X > < a : K e y V a l u e O f D i a g r a m O b j e c t K e y a n y T y p e z b w N T n L X > < a : K e y > < K e y > M e a s u r e s \ 2 0 2 4   V a l u e s \ T a g I n f o \ V a l u e < / K e y > < / a : K e y > < a : V a l u e   i : t y p e = " M e a s u r e G r i d V i e w S t a t e I D i a g r a m T a g A d d i t i o n a l I n f o " / > < / a : K e y V a l u e O f D i a g r a m O b j e c t K e y a n y T y p e z b w N T n L X > < a : K e y V a l u e O f D i a g r a m O b j e c t K e y a n y T y p e z b w N T n L X > < a : K e y > < K e y > M e a s u r e s \ Y T D   V a l u e s < / K e y > < / a : K e y > < a : V a l u e   i : t y p e = " M e a s u r e G r i d N o d e V i e w S t a t e " > < L a y e d O u t > t r u e < / L a y e d O u t > < R o w > 1 < / R o w > < / a : V a l u e > < / a : K e y V a l u e O f D i a g r a m O b j e c t K e y a n y T y p e z b w N T n L X > < a : K e y V a l u e O f D i a g r a m O b j e c t K e y a n y T y p e z b w N T n L X > < a : K e y > < K e y > M e a s u r e s \ Y T D   V a l u e s \ T a g I n f o \ F o r m u l a < / K e y > < / a : K e y > < a : V a l u e   i : t y p e = " M e a s u r e G r i d V i e w S t a t e I D i a g r a m T a g A d d i t i o n a l I n f o " / > < / a : K e y V a l u e O f D i a g r a m O b j e c t K e y a n y T y p e z b w N T n L X > < a : K e y V a l u e O f D i a g r a m O b j e c t K e y a n y T y p e z b w N T n L X > < a : K e y > < K e y > M e a s u r e s \ Y T D   V a l u e s \ T a g I n f o \ V a l u e < / K e y > < / a : K e y > < a : V a l u e   i : t y p e = " M e a s u r e G r i d V i e w S t a t e I D i a g r a m T a g A d d i t i o n a l I n f o " / > < / a : K e y V a l u e O f D i a g r a m O b j e c t K e y a n y T y p e z b w N T n L X > < a : K e y V a l u e O f D i a g r a m O b j e c t K e y a n y T y p e z b w N T n L X > < a : K e y > < K e y > M e a s u r e s \ A c t u a l < / K e y > < / a : K e y > < a : V a l u e   i : t y p e = " M e a s u r e G r i d N o d e V i e w S t a t e " > < L a y e d O u t > t r u e < / L a y e d O u t > < R o w > 2 < / R o w > < / a : V a l u e > < / a : K e y V a l u e O f D i a g r a m O b j e c t K e y a n y T y p e z b w N T n L X > < a : K e y V a l u e O f D i a g r a m O b j e c t K e y a n y T y p e z b w N T n L X > < a : K e y > < K e y > M e a s u r e s \ A c t u a l \ T a g I n f o \ F o r m u l a < / K e y > < / a : K e y > < a : V a l u e   i : t y p e = " M e a s u r e G r i d V i e w S t a t e I D i a g r a m T a g A d d i t i o n a l I n f o " / > < / a : K e y V a l u e O f D i a g r a m O b j e c t K e y a n y T y p e z b w N T n L X > < a : K e y V a l u e O f D i a g r a m O b j e c t K e y a n y T y p e z b w N T n L X > < a : K e y > < K e y > M e a s u r e s \ A c t u a l \ T a g I n f o \ V a l u e < / K e y > < / a : K e y > < a : V a l u e   i : t y p e = " M e a s u r e G r i d V i e w S t a t e I D i a g r a m T a g A d d i t i o n a l I n f o " / > < / a : K e y V a l u e O f D i a g r a m O b j e c t K e y a n y T y p e z b w N T n L X > < a : K e y V a l u e O f D i a g r a m O b j e c t K e y a n y T y p e z b w N T n L X > < a : K e y > < K e y > M e a s u r e s \ 2 0 2 3   V a l u e s < / K e y > < / a : K e y > < a : V a l u e   i : t y p e = " M e a s u r e G r i d N o d e V i e w S t a t e " > < L a y e d O u t > t r u e < / L a y e d O u t > < R o w > 4 < / R o w > < / a : V a l u e > < / a : K e y V a l u e O f D i a g r a m O b j e c t K e y a n y T y p e z b w N T n L X > < a : K e y V a l u e O f D i a g r a m O b j e c t K e y a n y T y p e z b w N T n L X > < a : K e y > < K e y > M e a s u r e s \ 2 0 2 3   V a l u e s \ T a g I n f o \ F o r m u l a < / K e y > < / a : K e y > < a : V a l u e   i : t y p e = " M e a s u r e G r i d V i e w S t a t e I D i a g r a m T a g A d d i t i o n a l I n f o " / > < / a : K e y V a l u e O f D i a g r a m O b j e c t K e y a n y T y p e z b w N T n L X > < a : K e y V a l u e O f D i a g r a m O b j e c t K e y a n y T y p e z b w N T n L X > < a : K e y > < K e y > M e a s u r e s \ 2 0 2 3   V a l u e s \ T a g I n f o \ V a l u e < / K e y > < / a : K e y > < a : V a l u e   i : t y p e = " M e a s u r e G r i d V i e w S t a t e I D i a g r a m T a g A d d i t i o n a l I n f o " / > < / a : K e y V a l u e O f D i a g r a m O b j e c t K e y a n y T y p e z b w N T n L X > < a : K e y V a l u e O f D i a g r a m O b j e c t K e y a n y T y p e z b w N T n L X > < a : K e y > < K e y > M e a s u r e s \ 2 0 2 5   V a l u e s < / K e y > < / a : K e y > < a : V a l u e   i : t y p e = " M e a s u r e G r i d N o d e V i e w S t a t e " > < L a y e d O u t > t r u e < / L a y e d O u t > < R o w > 5 < / R o w > < / a : V a l u e > < / a : K e y V a l u e O f D i a g r a m O b j e c t K e y a n y T y p e z b w N T n L X > < a : K e y V a l u e O f D i a g r a m O b j e c t K e y a n y T y p e z b w N T n L X > < a : K e y > < K e y > M e a s u r e s \ 2 0 2 5   V a l u e s \ T a g I n f o \ F o r m u l a < / K e y > < / a : K e y > < a : V a l u e   i : t y p e = " M e a s u r e G r i d V i e w S t a t e I D i a g r a m T a g A d d i t i o n a l I n f o " / > < / a : K e y V a l u e O f D i a g r a m O b j e c t K e y a n y T y p e z b w N T n L X > < a : K e y V a l u e O f D i a g r a m O b j e c t K e y a n y T y p e z b w N T n L X > < a : K e y > < K e y > M e a s u r e s \ 2 0 2 5   V a l u e s \ T a g I n f o \ V a l u e < / K e y > < / a : K e y > < a : V a l u e   i : t y p e = " M e a s u r e G r i d V i e w S t a t e I D i a g r a m T a g A d d i t i o n a l I n f o " / > < / a : K e y V a l u e O f D i a g r a m O b j e c t K e y a n y T y p e z b w N T n L X > < a : K e y V a l u e O f D i a g r a m O b j e c t K e y a n y T y p e z b w N T n L X > < a : K e y > < K e y > M e a s u r e s \ C u r r e n t   M o n t h s   V a l u e s < / K e y > < / a : K e y > < a : V a l u e   i : t y p e = " M e a s u r e G r i d N o d e V i e w S t a t e " > < L a y e d O u t > t r u e < / L a y e d O u t > < R o w > 6 < / R o w > < / a : V a l u e > < / a : K e y V a l u e O f D i a g r a m O b j e c t K e y a n y T y p e z b w N T n L X > < a : K e y V a l u e O f D i a g r a m O b j e c t K e y a n y T y p e z b w N T n L X > < a : K e y > < K e y > M e a s u r e s \ C u r r e n t   M o n t h s   V a l u e s \ T a g I n f o \ F o r m u l a < / K e y > < / a : K e y > < a : V a l u e   i : t y p e = " M e a s u r e G r i d V i e w S t a t e I D i a g r a m T a g A d d i t i o n a l I n f o " / > < / a : K e y V a l u e O f D i a g r a m O b j e c t K e y a n y T y p e z b w N T n L X > < a : K e y V a l u e O f D i a g r a m O b j e c t K e y a n y T y p e z b w N T n L X > < a : K e y > < K e y > M e a s u r e s \ C u r r e n t   M o n t h s   V a l u e s \ T a g I n f o \ V a l u e < / K e y > < / a : K e y > < a : V a l u e   i : t y p e = " M e a s u r e G r i d V i e w S t a t e I D i a g r a m T a g A d d i t i o n a l I n f o " / > < / a : K e y V a l u e O f D i a g r a m O b j e c t K e y a n y T y p e z b w N T n L X > < a : K e y V a l u e O f D i a g r a m O b j e c t K e y a n y T y p e z b w N T n L X > < a : K e y > < K e y > M e a s u r e s \ T r a i l i n g   1 2   M o n t h s   V a l u e s < / K e y > < / a : K e y > < a : V a l u e   i : t y p e = " M e a s u r e G r i d N o d e V i e w S t a t e " > < L a y e d O u t > t r u e < / L a y e d O u t > < R o w > 7 < / R o w > < / a : V a l u e > < / a : K e y V a l u e O f D i a g r a m O b j e c t K e y a n y T y p e z b w N T n L X > < a : K e y V a l u e O f D i a g r a m O b j e c t K e y a n y T y p e z b w N T n L X > < a : K e y > < K e y > M e a s u r e s \ T r a i l i n g   1 2   M o n t h s   V a l u e s \ T a g I n f o \ F o r m u l a < / K e y > < / a : K e y > < a : V a l u e   i : t y p e = " M e a s u r e G r i d V i e w S t a t e I D i a g r a m T a g A d d i t i o n a l I n f o " / > < / a : K e y V a l u e O f D i a g r a m O b j e c t K e y a n y T y p e z b w N T n L X > < a : K e y V a l u e O f D i a g r a m O b j e c t K e y a n y T y p e z b w N T n L X > < a : K e y > < K e y > M e a s u r e s \ T r a i l i n g   1 2   M o n t h s   V a l u e s \ T a g I n f o \ V a l u e < / K e y > < / a : K e y > < a : V a l u e   i : t y p e = " M e a s u r e G r i d V i e w S t a t e I D i a g r a m T a g A d d i t i o n a l I n f o " / > < / a : K e y V a l u e O f D i a g r a m O b j e c t K e y a n y T y p e z b w N T n L X > < a : K e y V a l u e O f D i a g r a m O b j e c t K e y a n y T y p e z b w N T n L X > < a : K e y > < K e y > M e a s u r e s \ T r a i l i n g   3   M o n t h s   V a l u e s < / K e y > < / a : K e y > < a : V a l u e   i : t y p e = " M e a s u r e G r i d N o d e V i e w S t a t e " > < L a y e d O u t > t r u e < / L a y e d O u t > < R o w > 8 < / R o w > < / a : V a l u e > < / a : K e y V a l u e O f D i a g r a m O b j e c t K e y a n y T y p e z b w N T n L X > < a : K e y V a l u e O f D i a g r a m O b j e c t K e y a n y T y p e z b w N T n L X > < a : K e y > < K e y > M e a s u r e s \ T r a i l i n g   3   M o n t h s   V a l u e s \ T a g I n f o \ F o r m u l a < / K e y > < / a : K e y > < a : V a l u e   i : t y p e = " M e a s u r e G r i d V i e w S t a t e I D i a g r a m T a g A d d i t i o n a l I n f o " / > < / a : K e y V a l u e O f D i a g r a m O b j e c t K e y a n y T y p e z b w N T n L X > < a : K e y V a l u e O f D i a g r a m O b j e c t K e y a n y T y p e z b w N T n L X > < a : K e y > < K e y > M e a s u r e s \ T r a i l i n g   3   M o n t h s   V a l u e s \ T a g I n f o \ V a l u e < / K e y > < / a : K e y > < a : V a l u e   i : t y p e = " M e a s u r e G r i d V i e w S t a t e I D i a g r a m T a g A d d i t i o n a l I n f o " / > < / a : K e y V a l u e O f D i a g r a m O b j e c t K e y a n y T y p e z b w N T n L X > < a : K e y V a l u e O f D i a g r a m O b j e c t K e y a n y T y p e z b w N T n L X > < a : K e y > < K e y > M e a s u r e s \ T r a i l i n g   6   M o n t h s   V a l u e s < / K e y > < / a : K e y > < a : V a l u e   i : t y p e = " M e a s u r e G r i d N o d e V i e w S t a t e " > < L a y e d O u t > t r u e < / L a y e d O u t > < R o w > 9 < / R o w > < / a : V a l u e > < / a : K e y V a l u e O f D i a g r a m O b j e c t K e y a n y T y p e z b w N T n L X > < a : K e y V a l u e O f D i a g r a m O b j e c t K e y a n y T y p e z b w N T n L X > < a : K e y > < K e y > M e a s u r e s \ T r a i l i n g   6   M o n t h s   V a l u e s \ T a g I n f o \ F o r m u l a < / K e y > < / a : K e y > < a : V a l u e   i : t y p e = " M e a s u r e G r i d V i e w S t a t e I D i a g r a m T a g A d d i t i o n a l I n f o " / > < / a : K e y V a l u e O f D i a g r a m O b j e c t K e y a n y T y p e z b w N T n L X > < a : K e y V a l u e O f D i a g r a m O b j e c t K e y a n y T y p e z b w N T n L X > < a : K e y > < K e y > M e a s u r e s \ T r a i l i n g   6   M o n t h s   V a l u e s \ T a g I n f o \ V a l u e < / K e y > < / a : K e y > < a : V a l u e   i : t y p e = " M e a s u r e G r i d V i e w S t a t e I D i a g r a m T a g A d d i t i o n a l I n f o " / > < / a : K e y V a l u e O f D i a g r a m O b j e c t K e y a n y T y p e z b w N T n L X > < a : K e y V a l u e O f D i a g r a m O b j e c t K e y a n y T y p e z b w N T n L X > < a : K e y > < K e y > M e a s u r e s \ R e v e n u e < / K e y > < / a : K e y > < a : V a l u e   i : t y p e = " M e a s u r e G r i d N o d e V i e w S t a t e " > < L a y e d O u t > t r u e < / L a y e d O u t > < R o w > 1 0 < / R o w > < / a : V a l u e > < / a : K e y V a l u e O f D i a g r a m O b j e c t K e y a n y T y p e z b w N T n L X > < a : K e y V a l u e O f D i a g r a m O b j e c t K e y a n y T y p e z b w N T n L X > < a : K e y > < K e y > M e a s u r e s \ R e v e n u e \ T a g I n f o \ F o r m u l a < / K e y > < / a : K e y > < a : V a l u e   i : t y p e = " M e a s u r e G r i d V i e w S t a t e I D i a g r a m T a g A d d i t i o n a l I n f o " / > < / a : K e y V a l u e O f D i a g r a m O b j e c t K e y a n y T y p e z b w N T n L X > < a : K e y V a l u e O f D i a g r a m O b j e c t K e y a n y T y p e z b w N T n L X > < a : K e y > < K e y > M e a s u r e s \ R e v e n u e \ T a g I n f o \ V a l u e < / K e y > < / a : K e y > < a : V a l u e   i : t y p e = " M e a s u r e G r i d V i e w S t a t e I D i a g r a m T a g A d d i t i o n a l I n f o " / > < / a : K e y V a l u e O f D i a g r a m O b j e c t K e y a n y T y p e z b w N T n L X > < a : K e y V a l u e O f D i a g r a m O b j e c t K e y a n y T y p e z b w N T n L X > < a : K e y > < K e y > M e a s u r e s \ G r o s s   P r o f i t < / K e y > < / a : K e y > < a : V a l u e   i : t y p e = " M e a s u r e G r i d N o d e V i e w S t a t e " > < L a y e d O u t > t r u e < / L a y e d O u t > < R o w > 1 1 < / R o w > < / a : V a l u e > < / a : K e y V a l u e O f D i a g r a m O b j e c t K e y a n y T y p e z b w N T n L X > < a : K e y V a l u e O f D i a g r a m O b j e c t K e y a n y T y p e z b w N T n L X > < a : K e y > < K e y > M e a s u r e s \ G r o s s   P r o f i t \ T a g I n f o \ F o r m u l a < / K e y > < / a : K e y > < a : V a l u e   i : t y p e = " M e a s u r e G r i d V i e w S t a t e I D i a g r a m T a g A d d i t i o n a l I n f o " / > < / a : K e y V a l u e O f D i a g r a m O b j e c t K e y a n y T y p e z b w N T n L X > < a : K e y V a l u e O f D i a g r a m O b j e c t K e y a n y T y p e z b w N T n L X > < a : K e y > < K e y > M e a s u r e s \ G r o s s   P r o f i t \ T a g I n f o \ V a l u e < / K e y > < / a : K e y > < a : V a l u e   i : t y p e = " M e a s u r e G r i d V i e w S t a t e I D i a g r a m T a g A d d i t i o n a l I n f o " / > < / a : K e y V a l u e O f D i a g r a m O b j e c t K e y a n y T y p e z b w N T n L X > < a : K e y V a l u e O f D i a g r a m O b j e c t K e y a n y T y p e z b w N T n L X > < a : K e y > < K e y > M e a s u r e s \ G r o s s   m a r g i n < / K e y > < / a : K e y > < a : V a l u e   i : t y p e = " M e a s u r e G r i d N o d e V i e w S t a t e " > < L a y e d O u t > t r u e < / L a y e d O u t > < R o w > 1 2 < / R o w > < / a : V a l u e > < / a : K e y V a l u e O f D i a g r a m O b j e c t K e y a n y T y p e z b w N T n L X > < a : K e y V a l u e O f D i a g r a m O b j e c t K e y a n y T y p e z b w N T n L X > < a : K e y > < K e y > M e a s u r e s \ G r o s s   m a r g i n \ T a g I n f o \ F o r m u l a < / K e y > < / a : K e y > < a : V a l u e   i : t y p e = " M e a s u r e G r i d V i e w S t a t e I D i a g r a m T a g A d d i t i o n a l I n f o " / > < / a : K e y V a l u e O f D i a g r a m O b j e c t K e y a n y T y p e z b w N T n L X > < a : K e y V a l u e O f D i a g r a m O b j e c t K e y a n y T y p e z b w N T n L X > < a : K e y > < K e y > M e a s u r e s \ G r o s s   m a r g i n \ T a g I n f o \ V a l u e < / K e y > < / a : K e y > < a : V a l u e   i : t y p e = " M e a s u r e G r i d V i e w S t a t e I D i a g r a m T a g A d d i t i o n a l I n f o " / > < / a : K e y V a l u e O f D i a g r a m O b j e c t K e y a n y T y p e z b w N T n L X > < a : K e y V a l u e O f D i a g r a m O b j e c t K e y a n y T y p e z b w N T n L X > < a : K e y > < K e y > M e a s u r e s \ P r i o r   P e r i o d   C u r r e n t   M o n t h s   V a l u e s < / K e y > < / a : K e y > < a : V a l u e   i : t y p e = " M e a s u r e G r i d N o d e V i e w S t a t e " > < L a y e d O u t > t r u e < / L a y e d O u t > < R o w > 1 4 < / R o w > < / a : V a l u e > < / a : K e y V a l u e O f D i a g r a m O b j e c t K e y a n y T y p e z b w N T n L X > < a : K e y V a l u e O f D i a g r a m O b j e c t K e y a n y T y p e z b w N T n L X > < a : K e y > < K e y > M e a s u r e s \ P r i o r   P e r i o d   C u r r e n t   M o n t h s   V a l u e s \ T a g I n f o \ F o r m u l a < / K e y > < / a : K e y > < a : V a l u e   i : t y p e = " M e a s u r e G r i d V i e w S t a t e I D i a g r a m T a g A d d i t i o n a l I n f o " / > < / a : K e y V a l u e O f D i a g r a m O b j e c t K e y a n y T y p e z b w N T n L X > < a : K e y V a l u e O f D i a g r a m O b j e c t K e y a n y T y p e z b w N T n L X > < a : K e y > < K e y > M e a s u r e s \ P r i o r   P e r i o d   C u r r e n t   M o n t h s   V a l u e s \ T a g I n f o \ V a l u e < / K e y > < / a : K e y > < a : V a l u e   i : t y p e = " M e a s u r e G r i d V i e w S t a t e I D i a g r a m T a g A d d i t i o n a l I n f o " / > < / a : K e y V a l u e O f D i a g r a m O b j e c t K e y a n y T y p e z b w N T n L X > < a : K e y V a l u e O f D i a g r a m O b j e c t K e y a n y T y p e z b w N T n L X > < a : K e y > < K e y > M e a s u r e s \ P r i o r   P e r i o d   T r a i l i n g   1 2   M o n t h s   V a l u e s < / K e y > < / a : K e y > < a : V a l u e   i : t y p e = " M e a s u r e G r i d N o d e V i e w S t a t e " > < L a y e d O u t > t r u e < / L a y e d O u t > < R o w > 1 5 < / R o w > < / a : V a l u e > < / a : K e y V a l u e O f D i a g r a m O b j e c t K e y a n y T y p e z b w N T n L X > < a : K e y V a l u e O f D i a g r a m O b j e c t K e y a n y T y p e z b w N T n L X > < a : K e y > < K e y > M e a s u r e s \ P r i o r   P e r i o d   T r a i l i n g   1 2   M o n t h s   V a l u e s \ T a g I n f o \ F o r m u l a < / K e y > < / a : K e y > < a : V a l u e   i : t y p e = " M e a s u r e G r i d V i e w S t a t e I D i a g r a m T a g A d d i t i o n a l I n f o " / > < / a : K e y V a l u e O f D i a g r a m O b j e c t K e y a n y T y p e z b w N T n L X > < a : K e y V a l u e O f D i a g r a m O b j e c t K e y a n y T y p e z b w N T n L X > < a : K e y > < K e y > M e a s u r e s \ P r i o r   P e r i o d   T r a i l i n g   1 2   M o n t h s   V a l u e s \ T a g I n f o \ V a l u e < / K e y > < / a : K e y > < a : V a l u e   i : t y p e = " M e a s u r e G r i d V i e w S t a t e I D i a g r a m T a g A d d i t i o n a l I n f o " / > < / a : K e y V a l u e O f D i a g r a m O b j e c t K e y a n y T y p e z b w N T n L X > < a : K e y V a l u e O f D i a g r a m O b j e c t K e y a n y T y p e z b w N T n L X > < a : K e y > < K e y > M e a s u r e s \ P r i o r   Y e a r   Y T D   V a l u e s < / K e y > < / a : K e y > < a : V a l u e   i : t y p e = " M e a s u r e G r i d N o d e V i e w S t a t e " > < L a y e d O u t > t r u e < / L a y e d O u t > < R o w > 1 6 < / R o w > < / a : V a l u e > < / a : K e y V a l u e O f D i a g r a m O b j e c t K e y a n y T y p e z b w N T n L X > < a : K e y V a l u e O f D i a g r a m O b j e c t K e y a n y T y p e z b w N T n L X > < a : K e y > < K e y > M e a s u r e s \ P r i o r   Y e a r   Y T D   V a l u e s \ T a g I n f o \ F o r m u l a < / K e y > < / a : K e y > < a : V a l u e   i : t y p e = " M e a s u r e G r i d V i e w S t a t e I D i a g r a m T a g A d d i t i o n a l I n f o " / > < / a : K e y V a l u e O f D i a g r a m O b j e c t K e y a n y T y p e z b w N T n L X > < a : K e y V a l u e O f D i a g r a m O b j e c t K e y a n y T y p e z b w N T n L X > < a : K e y > < K e y > M e a s u r e s \ P r i o r   Y e a r   Y T D   V a l u e s \ T a g I n f o \ V a l u e < / K e y > < / a : K e y > < a : V a l u e   i : t y p e = " M e a s u r e G r i d V i e w S t a t e I D i a g r a m T a g A d d i t i o n a l I n f o " / > < / a : K e y V a l u e O f D i a g r a m O b j e c t K e y a n y T y p e z b w N T n L X > < a : K e y V a l u e O f D i a g r a m O b j e c t K e y a n y T y p e z b w N T n L X > < a : K e y > < K e y > M e a s u r e s \ P r i o r   P e r i o d   Y T D   V a l u e s < / K e y > < / a : K e y > < a : V a l u e   i : t y p e = " M e a s u r e G r i d N o d e V i e w S t a t e " > < L a y e d O u t > t r u e < / L a y e d O u t > < R o w > 1 7 < / R o w > < / a : V a l u e > < / a : K e y V a l u e O f D i a g r a m O b j e c t K e y a n y T y p e z b w N T n L X > < a : K e y V a l u e O f D i a g r a m O b j e c t K e y a n y T y p e z b w N T n L X > < a : K e y > < K e y > M e a s u r e s \ P r i o r   P e r i o d   Y T D   V a l u e s \ T a g I n f o \ F o r m u l a < / K e y > < / a : K e y > < a : V a l u e   i : t y p e = " M e a s u r e G r i d V i e w S t a t e I D i a g r a m T a g A d d i t i o n a l I n f o " / > < / a : K e y V a l u e O f D i a g r a m O b j e c t K e y a n y T y p e z b w N T n L X > < a : K e y V a l u e O f D i a g r a m O b j e c t K e y a n y T y p e z b w N T n L X > < a : K e y > < K e y > M e a s u r e s \ P r i o r   P e r i o d   Y T D   V a l u e s \ T a g I n f o \ V a l u e < / K e y > < / a : K e y > < a : V a l u e   i : t y p e = " M e a s u r e G r i d V i e w S t a t e I D i a g r a m T a g A d d i t i o n a l I n f o " / > < / a : K e y V a l u e O f D i a g r a m O b j e c t K e y a n y T y p e z b w N T n L X > < a : K e y V a l u e O f D i a g r a m O b j e c t K e y a n y T y p e z b w N T n L X > < a : K e y > < K e y > M e a s u r e s \ P r i o r   P e r i o d   T r a i l i n g   3   M o n t h s   V a l u e s < / K e y > < / a : K e y > < a : V a l u e   i : t y p e = " M e a s u r e G r i d N o d e V i e w S t a t e " > < L a y e d O u t > t r u e < / L a y e d O u t > < R o w > 1 8 < / R o w > < / a : V a l u e > < / a : K e y V a l u e O f D i a g r a m O b j e c t K e y a n y T y p e z b w N T n L X > < a : K e y V a l u e O f D i a g r a m O b j e c t K e y a n y T y p e z b w N T n L X > < a : K e y > < K e y > M e a s u r e s \ P r i o r   P e r i o d   T r a i l i n g   3   M o n t h s   V a l u e s \ T a g I n f o \ F o r m u l a < / K e y > < / a : K e y > < a : V a l u e   i : t y p e = " M e a s u r e G r i d V i e w S t a t e I D i a g r a m T a g A d d i t i o n a l I n f o " / > < / a : K e y V a l u e O f D i a g r a m O b j e c t K e y a n y T y p e z b w N T n L X > < a : K e y V a l u e O f D i a g r a m O b j e c t K e y a n y T y p e z b w N T n L X > < a : K e y > < K e y > M e a s u r e s \ P r i o r   P e r i o d   T r a i l i n g   3   M o n t h s   V a l u e s \ T a g I n f o \ V a l u e < / K e y > < / a : K e y > < a : V a l u e   i : t y p e = " M e a s u r e G r i d V i e w S t a t e I D i a g r a m T a g A d d i t i o n a l I n f o " / > < / a : K e y V a l u e O f D i a g r a m O b j e c t K e y a n y T y p e z b w N T n L X > < a : K e y V a l u e O f D i a g r a m O b j e c t K e y a n y T y p e z b w N T n L X > < a : K e y > < K e y > M e a s u r e s \ P r i o r   P e r i o d   T r a i l i n g   6   M o n t h s   V a l u e s < / K e y > < / a : K e y > < a : V a l u e   i : t y p e = " M e a s u r e G r i d N o d e V i e w S t a t e " > < L a y e d O u t > t r u e < / L a y e d O u t > < R o w > 1 9 < / R o w > < / a : V a l u e > < / a : K e y V a l u e O f D i a g r a m O b j e c t K e y a n y T y p e z b w N T n L X > < a : K e y V a l u e O f D i a g r a m O b j e c t K e y a n y T y p e z b w N T n L X > < a : K e y > < K e y > M e a s u r e s \ P r i o r   P e r i o d   T r a i l i n g   6   M o n t h s   V a l u e s \ T a g I n f o \ F o r m u l a < / K e y > < / a : K e y > < a : V a l u e   i : t y p e = " M e a s u r e G r i d V i e w S t a t e I D i a g r a m T a g A d d i t i o n a l I n f o " / > < / a : K e y V a l u e O f D i a g r a m O b j e c t K e y a n y T y p e z b w N T n L X > < a : K e y V a l u e O f D i a g r a m O b j e c t K e y a n y T y p e z b w N T n L X > < a : K e y > < K e y > M e a s u r e s \ P r i o r   P e r i o d   T r a i l i n g   6   M o n t h s   V a l u e s \ T a g I n f o \ V a l u e < / K e y > < / a : K e y > < a : V a l u e   i : t y p e = " M e a s u r e G r i d V i e w S t a t e I D i a g r a m T a g A d d i t i o n a l I n f o " / > < / a : K e y V a l u e O f D i a g r a m O b j e c t K e y a n y T y p e z b w N T n L X > < a : K e y V a l u e O f D i a g r a m O b j e c t K e y a n y T y p e z b w N T n L X > < a : K e y > < K e y > M e a s u r e s \ P r i o r   P e r i o d < / K e y > < / a : K e y > < a : V a l u e   i : t y p e = " M e a s u r e G r i d N o d e V i e w S t a t e " > < C o l u m n > 1 < / C o l u m n > < L a y e d O u t > t r u e < / L a y e d O u t > < / a : V a l u e > < / a : K e y V a l u e O f D i a g r a m O b j e c t K e y a n y T y p e z b w N T n L X > < a : K e y V a l u e O f D i a g r a m O b j e c t K e y a n y T y p e z b w N T n L X > < a : K e y > < K e y > M e a s u r e s \ P r i o r   P e r i o d \ T a g I n f o \ F o r m u l a < / K e y > < / a : K e y > < a : V a l u e   i : t y p e = " M e a s u r e G r i d V i e w S t a t e I D i a g r a m T a g A d d i t i o n a l I n f o " / > < / a : K e y V a l u e O f D i a g r a m O b j e c t K e y a n y T y p e z b w N T n L X > < a : K e y V a l u e O f D i a g r a m O b j e c t K e y a n y T y p e z b w N T n L X > < a : K e y > < K e y > M e a s u r e s \ P r i o r   P e r i o d \ T a g I n f o \ V a l u e < / K e y > < / a : K e y > < a : V a l u e   i : t y p e = " M e a s u r e G r i d V i e w S t a t e I D i a g r a m T a g A d d i t i o n a l I n f o " / > < / a : K e y V a l u e O f D i a g r a m O b j e c t K e y a n y T y p e z b w N T n L X > < a : K e y V a l u e O f D i a g r a m O b j e c t K e y a n y T y p e z b w N T n L X > < a : K e y > < K e y > M e a s u r e s \ P r i o r   Y e a r   C u r r e n t   M o n t h s   V a l u e s < / K e y > < / a : K e y > < a : V a l u e   i : t y p e = " M e a s u r e G r i d N o d e V i e w S t a t e " > < C o l u m n > 1 < / C o l u m n > < L a y e d O u t > t r u e < / L a y e d O u t > < R o w > 1 < / R o w > < / a : V a l u e > < / a : K e y V a l u e O f D i a g r a m O b j e c t K e y a n y T y p e z b w N T n L X > < a : K e y V a l u e O f D i a g r a m O b j e c t K e y a n y T y p e z b w N T n L X > < a : K e y > < K e y > M e a s u r e s \ P r i o r   Y e a r   C u r r e n t   M o n t h s   V a l u e s \ T a g I n f o \ F o r m u l a < / K e y > < / a : K e y > < a : V a l u e   i : t y p e = " M e a s u r e G r i d V i e w S t a t e I D i a g r a m T a g A d d i t i o n a l I n f o " / > < / a : K e y V a l u e O f D i a g r a m O b j e c t K e y a n y T y p e z b w N T n L X > < a : K e y V a l u e O f D i a g r a m O b j e c t K e y a n y T y p e z b w N T n L X > < a : K e y > < K e y > M e a s u r e s \ P r i o r   Y e a r   C u r r e n t   M o n t h s   V a l u e s \ T a g I n f o \ V a l u e < / K e y > < / a : K e y > < a : V a l u e   i : t y p e = " M e a s u r e G r i d V i e w S t a t e I D i a g r a m T a g A d d i t i o n a l I n f o " / > < / a : K e y V a l u e O f D i a g r a m O b j e c t K e y a n y T y p e z b w N T n L X > < a : K e y V a l u e O f D i a g r a m O b j e c t K e y a n y T y p e z b w N T n L X > < a : K e y > < K e y > M e a s u r e s \ P r i o r   Y e a r   T r a i l i n g   3   M o n t h s   V a l u e s < / K e y > < / a : K e y > < a : V a l u e   i : t y p e = " M e a s u r e G r i d N o d e V i e w S t a t e " > < C o l u m n > 1 < / C o l u m n > < L a y e d O u t > t r u e < / L a y e d O u t > < R o w > 2 < / R o w > < / a : V a l u e > < / a : K e y V a l u e O f D i a g r a m O b j e c t K e y a n y T y p e z b w N T n L X > < a : K e y V a l u e O f D i a g r a m O b j e c t K e y a n y T y p e z b w N T n L X > < a : K e y > < K e y > M e a s u r e s \ P r i o r   Y e a r   T r a i l i n g   3   M o n t h s   V a l u e s \ T a g I n f o \ F o r m u l a < / K e y > < / a : K e y > < a : V a l u e   i : t y p e = " M e a s u r e G r i d V i e w S t a t e I D i a g r a m T a g A d d i t i o n a l I n f o " / > < / a : K e y V a l u e O f D i a g r a m O b j e c t K e y a n y T y p e z b w N T n L X > < a : K e y V a l u e O f D i a g r a m O b j e c t K e y a n y T y p e z b w N T n L X > < a : K e y > < K e y > M e a s u r e s \ P r i o r   Y e a r   T r a i l i n g   3   M o n t h s   V a l u e s \ T a g I n f o \ V a l u e < / K e y > < / a : K e y > < a : V a l u e   i : t y p e = " M e a s u r e G r i d V i e w S t a t e I D i a g r a m T a g A d d i t i o n a l I n f o " / > < / a : K e y V a l u e O f D i a g r a m O b j e c t K e y a n y T y p e z b w N T n L X > < a : K e y V a l u e O f D i a g r a m O b j e c t K e y a n y T y p e z b w N T n L X > < a : K e y > < K e y > M e a s u r e s \ P r i o r   Y e a r   T r a i l i n g   6   M o n t h s   V a l u e s < / K e y > < / a : K e y > < a : V a l u e   i : t y p e = " M e a s u r e G r i d N o d e V i e w S t a t e " > < C o l u m n > 1 < / C o l u m n > < L a y e d O u t > t r u e < / L a y e d O u t > < R o w > 3 < / R o w > < / a : V a l u e > < / a : K e y V a l u e O f D i a g r a m O b j e c t K e y a n y T y p e z b w N T n L X > < a : K e y V a l u e O f D i a g r a m O b j e c t K e y a n y T y p e z b w N T n L X > < a : K e y > < K e y > M e a s u r e s \ P r i o r   Y e a r   T r a i l i n g   6   M o n t h s   V a l u e s \ T a g I n f o \ F o r m u l a < / K e y > < / a : K e y > < a : V a l u e   i : t y p e = " M e a s u r e G r i d V i e w S t a t e I D i a g r a m T a g A d d i t i o n a l I n f o " / > < / a : K e y V a l u e O f D i a g r a m O b j e c t K e y a n y T y p e z b w N T n L X > < a : K e y V a l u e O f D i a g r a m O b j e c t K e y a n y T y p e z b w N T n L X > < a : K e y > < K e y > M e a s u r e s \ P r i o r   Y e a r   T r a i l i n g   6   M o n t h s   V a l u e s \ T a g I n f o \ V a l u e < / K e y > < / a : K e y > < a : V a l u e   i : t y p e = " M e a s u r e G r i d V i e w S t a t e I D i a g r a m T a g A d d i t i o n a l I n f o " / > < / a : K e y V a l u e O f D i a g r a m O b j e c t K e y a n y T y p e z b w N T n L X > < a : K e y V a l u e O f D i a g r a m O b j e c t K e y a n y T y p e z b w N T n L X > < a : K e y > < K e y > M e a s u r e s \ P r i o r   Y e a r   T r a i l i n g   1 2   M o n t h s   V a l u e s < / K e y > < / a : K e y > < a : V a l u e   i : t y p e = " M e a s u r e G r i d N o d e V i e w S t a t e " > < C o l u m n > 1 < / C o l u m n > < L a y e d O u t > t r u e < / L a y e d O u t > < R o w > 4 < / R o w > < / a : V a l u e > < / a : K e y V a l u e O f D i a g r a m O b j e c t K e y a n y T y p e z b w N T n L X > < a : K e y V a l u e O f D i a g r a m O b j e c t K e y a n y T y p e z b w N T n L X > < a : K e y > < K e y > M e a s u r e s \ P r i o r   Y e a r   T r a i l i n g   1 2   M o n t h s   V a l u e s \ T a g I n f o \ F o r m u l a < / K e y > < / a : K e y > < a : V a l u e   i : t y p e = " M e a s u r e G r i d V i e w S t a t e I D i a g r a m T a g A d d i t i o n a l I n f o " / > < / a : K e y V a l u e O f D i a g r a m O b j e c t K e y a n y T y p e z b w N T n L X > < a : K e y V a l u e O f D i a g r a m O b j e c t K e y a n y T y p e z b w N T n L X > < a : K e y > < K e y > M e a s u r e s \ P r i o r   Y e a r   T r a i l i n g   1 2   M o n t h s   V a l u e s \ T a g I n f o \ V a l u e < / K e y > < / a : K e y > < a : V a l u e   i : t y p e = " M e a s u r e G r i d V i e w S t a t e I D i a g r a m T a g A d d i t i o n a l I n f o " / > < / a : K e y V a l u e O f D i a g r a m O b j e c t K e y a n y T y p e z b w N T n L X > < a : K e y V a l u e O f D i a g r a m O b j e c t K e y a n y T y p e z b w N T n L X > < a : K e y > < K e y > M e a s u r e s \ P r i o r   Y e a r < / K e y > < / a : K e y > < a : V a l u e   i : t y p e = " M e a s u r e G r i d N o d e V i e w S t a t e " > < C o l u m n > 1 < / C o l u m n > < L a y e d O u t > t r u e < / L a y e d O u t > < R o w > 5 < / R o w > < / a : V a l u e > < / a : K e y V a l u e O f D i a g r a m O b j e c t K e y a n y T y p e z b w N T n L X > < a : K e y V a l u e O f D i a g r a m O b j e c t K e y a n y T y p e z b w N T n L X > < a : K e y > < K e y > M e a s u r e s \ P r i o r   Y e a r \ T a g I n f o \ F o r m u l a < / K e y > < / a : K e y > < a : V a l u e   i : t y p e = " M e a s u r e G r i d V i e w S t a t e I D i a g r a m T a g A d d i t i o n a l I n f o " / > < / a : K e y V a l u e O f D i a g r a m O b j e c t K e y a n y T y p e z b w N T n L X > < a : K e y V a l u e O f D i a g r a m O b j e c t K e y a n y T y p e z b w N T n L X > < a : K e y > < K e y > M e a s u r e s \ P r i o r   Y e a r \ T a g I n f o \ V a l u e < / K e y > < / a : K e y > < a : V a l u e   i : t y p e = " M e a s u r e G r i d V i e w S t a t e I D i a g r a m T a g A d d i t i o n a l I n f o " / > < / a : K e y V a l u e O f D i a g r a m O b j e c t K e y a n y T y p e z b w N T n L X > < a : K e y V a l u e O f D i a g r a m O b j e c t K e y a n y T y p e z b w N T n L X > < a : K e y > < K e y > M e a s u r e s \ V a r   t o   B u d g e t   E x p e n s e   ( $ ) < / K e y > < / a : K e y > < a : V a l u e   i : t y p e = " M e a s u r e G r i d N o d e V i e w S t a t e " > < L a y e d O u t > t r u e < / L a y e d O u t > < R o w > 3 < / R o w > < / a : V a l u e > < / a : K e y V a l u e O f D i a g r a m O b j e c t K e y a n y T y p e z b w N T n L X > < a : K e y V a l u e O f D i a g r a m O b j e c t K e y a n y T y p e z b w N T n L X > < a : K e y > < K e y > M e a s u r e s \ V a r   t o   B u d g e t   E x p e n s e   ( $ ) \ T a g I n f o \ F o r m u l a < / K e y > < / a : K e y > < a : V a l u e   i : t y p e = " M e a s u r e G r i d V i e w S t a t e I D i a g r a m T a g A d d i t i o n a l I n f o " / > < / a : K e y V a l u e O f D i a g r a m O b j e c t K e y a n y T y p e z b w N T n L X > < a : K e y V a l u e O f D i a g r a m O b j e c t K e y a n y T y p e z b w N T n L X > < a : K e y > < K e y > M e a s u r e s \ V a r   t o   B u d g e t   E x p e n s e   ( $ ) \ T a g I n f o \ V a l u e < / K e y > < / a : K e y > < a : V a l u e   i : t y p e = " M e a s u r e G r i d V i e w S t a t e I D i a g r a m T a g A d d i t i o n a l I n f o " / > < / a : K e y V a l u e O f D i a g r a m O b j e c t K e y a n y T y p e z b w N T n L X > < a : K e y V a l u e O f D i a g r a m O b j e c t K e y a n y T y p e z b w N T n L X > < a : K e y > < K e y > M e a s u r e s \ V a r   t o   B u d g e t   E x p e n s e   ( % ) < / K e y > < / a : K e y > < a : V a l u e   i : t y p e = " M e a s u r e G r i d N o d e V i e w S t a t e " > < L a y e d O u t > t r u e < / L a y e d O u t > < R o w > 1 3 < / R o w > < / a : V a l u e > < / a : K e y V a l u e O f D i a g r a m O b j e c t K e y a n y T y p e z b w N T n L X > < a : K e y V a l u e O f D i a g r a m O b j e c t K e y a n y T y p e z b w N T n L X > < a : K e y > < K e y > M e a s u r e s \ V a r   t o   B u d g e t   E x p e n s e   ( % ) \ T a g I n f o \ F o r m u l a < / K e y > < / a : K e y > < a : V a l u e   i : t y p e = " M e a s u r e G r i d V i e w S t a t e I D i a g r a m T a g A d d i t i o n a l I n f o " / > < / a : K e y V a l u e O f D i a g r a m O b j e c t K e y a n y T y p e z b w N T n L X > < a : K e y V a l u e O f D i a g r a m O b j e c t K e y a n y T y p e z b w N T n L X > < a : K e y > < K e y > M e a s u r e s \ V a r   t o   B u d g e t   E x p e n s e   ( % ) \ T a g I n f o \ V a l u e < / K e y > < / a : K e y > < a : V a l u e   i : t y p e = " M e a s u r e G r i d V i e w S t a t e I D i a g r a m T a g A d d i t i o n a l I n f o " / > < / a : K e y V a l u e O f D i a g r a m O b j e c t K e y a n y T y p e z b w N T n L X > < a : K e y V a l u e O f D i a g r a m O b j e c t K e y a n y T y p e z b w N T n L X > < a : K e y > < K e y > M e a s u r e s \ V a r   t o   B u d g e t   I n c o m e   ( $ ) < / K e y > < / a : K e y > < a : V a l u e   i : t y p e = " M e a s u r e G r i d N o d e V i e w S t a t e " > < C o l u m n > 1 < / C o l u m n > < L a y e d O u t > t r u e < / L a y e d O u t > < R o w > 6 < / R o w > < / a : V a l u e > < / a : K e y V a l u e O f D i a g r a m O b j e c t K e y a n y T y p e z b w N T n L X > < a : K e y V a l u e O f D i a g r a m O b j e c t K e y a n y T y p e z b w N T n L X > < a : K e y > < K e y > M e a s u r e s \ V a r   t o   B u d g e t   I n c o m e   ( $ ) \ T a g I n f o \ F o r m u l a < / K e y > < / a : K e y > < a : V a l u e   i : t y p e = " M e a s u r e G r i d V i e w S t a t e I D i a g r a m T a g A d d i t i o n a l I n f o " / > < / a : K e y V a l u e O f D i a g r a m O b j e c t K e y a n y T y p e z b w N T n L X > < a : K e y V a l u e O f D i a g r a m O b j e c t K e y a n y T y p e z b w N T n L X > < a : K e y > < K e y > M e a s u r e s \ V a r   t o   B u d g e t   I n c o m e   ( $ ) \ T a g I n f o \ V a l u e < / K e y > < / a : K e y > < a : V a l u e   i : t y p e = " M e a s u r e G r i d V i e w S t a t e I D i a g r a m T a g A d d i t i o n a l I n f o " / > < / a : K e y V a l u e O f D i a g r a m O b j e c t K e y a n y T y p e z b w N T n L X > < a : K e y V a l u e O f D i a g r a m O b j e c t K e y a n y T y p e z b w N T n L X > < a : K e y > < K e y > M e a s u r e s \ V a r   t o   B u d g e t   I n c o m e   ( % ) < / K e y > < / a : K e y > < a : V a l u e   i : t y p e = " M e a s u r e G r i d N o d e V i e w S t a t e " > < C o l u m n > 1 < / C o l u m n > < L a y e d O u t > t r u e < / L a y e d O u t > < R o w > 7 < / R o w > < / a : V a l u e > < / a : K e y V a l u e O f D i a g r a m O b j e c t K e y a n y T y p e z b w N T n L X > < a : K e y V a l u e O f D i a g r a m O b j e c t K e y a n y T y p e z b w N T n L X > < a : K e y > < K e y > M e a s u r e s \ V a r   t o   B u d g e t   I n c o m e   ( % ) \ T a g I n f o \ F o r m u l a < / K e y > < / a : K e y > < a : V a l u e   i : t y p e = " M e a s u r e G r i d V i e w S t a t e I D i a g r a m T a g A d d i t i o n a l I n f o " / > < / a : K e y V a l u e O f D i a g r a m O b j e c t K e y a n y T y p e z b w N T n L X > < a : K e y V a l u e O f D i a g r a m O b j e c t K e y a n y T y p e z b w N T n L X > < a : K e y > < K e y > M e a s u r e s \ V a r   t o   B u d g e t   I n c o m e   ( % ) \ T a g I n f o \ V a l u e < / K e y > < / a : K e y > < a : V a l u e   i : t y p e = " M e a s u r e G r i d V i e w S t a t e I D i a g r a m T a g A d d i t i o n a l I n f o " / > < / a : K e y V a l u e O f D i a g r a m O b j e c t K e y a n y T y p e z b w N T n L X > < a : K e y V a l u e O f D i a g r a m O b j e c t K e y a n y T y p e z b w N T n L X > < a : K e y > < K e y > M e a s u r e s \ V a r   t o   P r i o r   P e r i o d   ( $ ) < / K e y > < / a : K e y > < a : V a l u e   i : t y p e = " M e a s u r e G r i d N o d e V i e w S t a t e " > < C o l u m n > 1 < / C o l u m n > < L a y e d O u t > t r u e < / L a y e d O u t > < R o w > 8 < / R o w > < / a : V a l u e > < / a : K e y V a l u e O f D i a g r a m O b j e c t K e y a n y T y p e z b w N T n L X > < a : K e y V a l u e O f D i a g r a m O b j e c t K e y a n y T y p e z b w N T n L X > < a : K e y > < K e y > M e a s u r e s \ V a r   t o   P r i o r   P e r i o d   ( $ ) \ T a g I n f o \ F o r m u l a < / K e y > < / a : K e y > < a : V a l u e   i : t y p e = " M e a s u r e G r i d V i e w S t a t e I D i a g r a m T a g A d d i t i o n a l I n f o " / > < / a : K e y V a l u e O f D i a g r a m O b j e c t K e y a n y T y p e z b w N T n L X > < a : K e y V a l u e O f D i a g r a m O b j e c t K e y a n y T y p e z b w N T n L X > < a : K e y > < K e y > M e a s u r e s \ V a r   t o   P r i o r   P e r i o d   ( $ ) \ T a g I n f o \ V a l u e < / K e y > < / a : K e y > < a : V a l u e   i : t y p e = " M e a s u r e G r i d V i e w S t a t e I D i a g r a m T a g A d d i t i o n a l I n f o " / > < / a : K e y V a l u e O f D i a g r a m O b j e c t K e y a n y T y p e z b w N T n L X > < a : K e y V a l u e O f D i a g r a m O b j e c t K e y a n y T y p e z b w N T n L X > < a : K e y > < K e y > M e a s u r e s \ V a r   t o   P r i o r   P e r i o d   ( % ) < / K e y > < / a : K e y > < a : V a l u e   i : t y p e = " M e a s u r e G r i d N o d e V i e w S t a t e " > < C o l u m n > 1 < / C o l u m n > < L a y e d O u t > t r u e < / L a y e d O u t > < R o w > 9 < / R o w > < / a : V a l u e > < / a : K e y V a l u e O f D i a g r a m O b j e c t K e y a n y T y p e z b w N T n L X > < a : K e y V a l u e O f D i a g r a m O b j e c t K e y a n y T y p e z b w N T n L X > < a : K e y > < K e y > M e a s u r e s \ V a r   t o   P r i o r   P e r i o d   ( % ) \ T a g I n f o \ F o r m u l a < / K e y > < / a : K e y > < a : V a l u e   i : t y p e = " M e a s u r e G r i d V i e w S t a t e I D i a g r a m T a g A d d i t i o n a l I n f o " / > < / a : K e y V a l u e O f D i a g r a m O b j e c t K e y a n y T y p e z b w N T n L X > < a : K e y V a l u e O f D i a g r a m O b j e c t K e y a n y T y p e z b w N T n L X > < a : K e y > < K e y > M e a s u r e s \ V a r   t o   P r i o r   P e r i o d   ( % ) \ T a g I n f o \ V a l u e < / K e y > < / a : K e y > < a : V a l u e   i : t y p e = " M e a s u r e G r i d V i e w S t a t e I D i a g r a m T a g A d d i t i o n a l I n f o " / > < / a : K e y V a l u e O f D i a g r a m O b j e c t K e y a n y T y p e z b w N T n L X > < a : K e y V a l u e O f D i a g r a m O b j e c t K e y a n y T y p e z b w N T n L X > < a : K e y > < K e y > M e a s u r e s \ V a r   t o   P r i o r   Y e a r   ( $ ) < / K e y > < / a : K e y > < a : V a l u e   i : t y p e = " M e a s u r e G r i d N o d e V i e w S t a t e " > < C o l u m n > 1 < / C o l u m n > < L a y e d O u t > t r u e < / L a y e d O u t > < R o w > 1 0 < / R o w > < / a : V a l u e > < / a : K e y V a l u e O f D i a g r a m O b j e c t K e y a n y T y p e z b w N T n L X > < a : K e y V a l u e O f D i a g r a m O b j e c t K e y a n y T y p e z b w N T n L X > < a : K e y > < K e y > M e a s u r e s \ V a r   t o   P r i o r   Y e a r   ( $ ) \ T a g I n f o \ F o r m u l a < / K e y > < / a : K e y > < a : V a l u e   i : t y p e = " M e a s u r e G r i d V i e w S t a t e I D i a g r a m T a g A d d i t i o n a l I n f o " / > < / a : K e y V a l u e O f D i a g r a m O b j e c t K e y a n y T y p e z b w N T n L X > < a : K e y V a l u e O f D i a g r a m O b j e c t K e y a n y T y p e z b w N T n L X > < a : K e y > < K e y > M e a s u r e s \ V a r   t o   P r i o r   Y e a r   ( $ ) \ T a g I n f o \ V a l u e < / K e y > < / a : K e y > < a : V a l u e   i : t y p e = " M e a s u r e G r i d V i e w S t a t e I D i a g r a m T a g A d d i t i o n a l I n f o " / > < / a : K e y V a l u e O f D i a g r a m O b j e c t K e y a n y T y p e z b w N T n L X > < a : K e y V a l u e O f D i a g r a m O b j e c t K e y a n y T y p e z b w N T n L X > < a : K e y > < K e y > M e a s u r e s \ V a r   t o   P r i o r   Y e a r   ( % ) < / K e y > < / a : K e y > < a : V a l u e   i : t y p e = " M e a s u r e G r i d N o d e V i e w S t a t e " > < C o l u m n > 1 < / C o l u m n > < L a y e d O u t > t r u e < / L a y e d O u t > < R o w > 1 1 < / R o w > < / a : V a l u e > < / a : K e y V a l u e O f D i a g r a m O b j e c t K e y a n y T y p e z b w N T n L X > < a : K e y V a l u e O f D i a g r a m O b j e c t K e y a n y T y p e z b w N T n L X > < a : K e y > < K e y > M e a s u r e s \ V a r   t o   P r i o r   Y e a r   ( % ) \ T a g I n f o \ F o r m u l a < / K e y > < / a : K e y > < a : V a l u e   i : t y p e = " M e a s u r e G r i d V i e w S t a t e I D i a g r a m T a g A d d i t i o n a l I n f o " / > < / a : K e y V a l u e O f D i a g r a m O b j e c t K e y a n y T y p e z b w N T n L X > < a : K e y V a l u e O f D i a g r a m O b j e c t K e y a n y T y p e z b w N T n L X > < a : K e y > < K e y > M e a s u r e s \ V a r   t o   P r i o r   Y e a r   ( % ) \ T a g I n f o \ V a l u e < / K e y > < / a : K e y > < a : V a l u e   i : t y p e = " M e a s u r e G r i d V i e w S t a t e I D i a g r a m T a g A d d i t i o n a l I n f o " / > < / a : K e y V a l u e O f D i a g r a m O b j e c t K e y a n y T y p e z b w N T n L X > < a : K e y V a l u e O f D i a g r a m O b j e c t K e y a n y T y p e z b w N T n L X > < a : K e y > < K e y > C o l u m n s \ A c c o u n t < / K e y > < / a : K e y > < a : V a l u e   i : t y p e = " M e a s u r e G r i d N o d e V i e w S t a t e " > < L a y e d O u t > t r u e < / L a y e d O u t > < / a : V a l u e > < / a : K e y V a l u e O f D i a g r a m O b j e c t K e y a n y T y p e z b w N T n L X > < a : K e y V a l u e O f D i a g r a m O b j e c t K e y a n y T y p e z b w N T n L X > < a : K e y > < K e y > C o l u m n s \ D e p a r t m e n t < / K e y > < / a : K e y > < a : V a l u e   i : t y p e = " M e a s u r e G r i d N o d e V i e w S t a t e " > < C o l u m n > 1 < / C o l u m n > < L a y e d O u t > t r u e < / L a y e d O u t > < / a : V a l u e > < / a : K e y V a l u e O f D i a g r a m O b j e c t K e y a n y T y p e z b w N T n L X > < a : K e y V a l u e O f D i a g r a m O b j e c t K e y a n y T y p e z b w N T n L X > < a : K e y > < K e y > C o l u m n s \ D a t e < / K e y > < / a : K e y > < a : V a l u e   i : t y p e = " M e a s u r e G r i d N o d e V i e w S t a t e " > < C o l u m n > 2 < / C o l u m n > < L a y e d O u t > t r u e < / L a y e d O u t > < / a : V a l u e > < / a : K e y V a l u e O f D i a g r a m O b j e c t K e y a n y T y p e z b w N T n L X > < a : K e y V a l u e O f D i a g r a m O b j e c t K e y a n y T y p e z b w N T n L X > < a : K e y > < K e y > C o l u m n s \ V a l u e < / K e y > < / a : K e y > < a : V a l u e   i : t y p e = " M e a s u r e G r i d N o d e V i e w S t a t e " > < C o l u m n > 3 < / C o l u m n > < L a y e d O u t > t r u e < / L a y e d O u t > < / a : V a l u e > < / a : K e y V a l u e O f D i a g r a m O b j e c t K e y a n y T y p e z b w N T n L X > < a : K e y V a l u e O f D i a g r a m O b j e c t K e y a n y T y p e z b w N T n L X > < a : K e y > < K e y > C o l u m n s \ D a t e   ( M o n t h   I n d e x ) < / K e y > < / a : K e y > < a : V a l u e   i : t y p e = " M e a s u r e G r i d N o d e V i e w S t a t e " > < C o l u m n > 4 < / C o l u m n > < L a y e d O u t > t r u e < / L a y e d O u t > < / a : V a l u e > < / a : K e y V a l u e O f D i a g r a m O b j e c t K e y a n y T y p e z b w N T n L X > < a : K e y V a l u e O f D i a g r a m O b j e c t K e y a n y T y p e z b w N T n L X > < a : K e y > < K e y > C o l u m n s \ D a t e   ( M o n t h ) < / K e y > < / a : K e y > < a : V a l u e   i : t y p e = " M e a s u r e G r i d N o d e V i e w S t a t e " > < C o l u m n > 5 < / C o l u m n > < L a y e d O u t > t r u e < / L a y e d O u t > < / a : V a l u e > < / a : K e y V a l u e O f D i a g r a m O b j e c t K e y a n y T y p e z b w N T n L X > < a : K e y V a l u e O f D i a g r a m O b j e c t K e y a n y T y p e z b w N T n L X > < a : K e y > < K e y > C o l u m n s \ S i g n < / K e y > < / a : K e y > < a : V a l u e   i : t y p e = " M e a s u r e G r i d N o d e V i e w S t a t e " > < C o l u m n > 6 < / C o l u m n > < L a y e d O u t > t r u e < / L a y e d O u t > < / a : V a l u e > < / a : K e y V a l u e O f D i a g r a m O b j e c t K e y a n y T y p e z b w N T n L X > < a : K e y V a l u e O f D i a g r a m O b j e c t K e y a n y T y p e z b w N T n L X > < a : K e y > < K e y > L i n k s \ & l t ; C o l u m n s \ S u m   o f   V a l u e & g t ; - & l t ; M e a s u r e s \ V a l u e & g t ; < / K e y > < / a : K e y > < a : V a l u e   i : t y p e = " M e a s u r e G r i d V i e w S t a t e I D i a g r a m L i n k " / > < / a : K e y V a l u e O f D i a g r a m O b j e c t K e y a n y T y p e z b w N T n L X > < a : K e y V a l u e O f D i a g r a m O b j e c t K e y a n y T y p e z b w N T n L X > < a : K e y > < K e y > L i n k s \ & l t ; C o l u m n s \ S u m   o f   V a l u e & g t ; - & l t ; M e a s u r e s \ V a l u e & g t ; \ C O L U M N < / K e y > < / a : K e y > < a : V a l u e   i : t y p e = " M e a s u r e G r i d V i e w S t a t e I D i a g r a m L i n k E n d p o i n t " / > < / a : K e y V a l u e O f D i a g r a m O b j e c t K e y a n y T y p e z b w N T n L X > < a : K e y V a l u e O f D i a g r a m O b j e c t K e y a n y T y p e z b w N T n L X > < a : K e y > < K e y > L i n k s \ & l t ; C o l u m n s \ S u m   o f   V a l u e & g t ; - & l t ; M e a s u r e s \ V a l u e & g t ; \ M E A S U R E < / K e y > < / a : K e y > < a : V a l u e   i : t y p e = " M e a s u r e G r i d V i e w S t a t e I D i a g r a m L i n k E n d p o i n t " / > < / 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K e y > < / D i a g r a m O b j e c t K e y > < D i a g r a m O b j e c t K e y > < K e y > C o l u m n s \ D a y   O f   W e e k   N u m b e r < / K e y > < / D i a g r a m O b j e c t K e y > < D i a g r a m O b j e c t K e y > < K e y > C o l u m n s \ D a y   O f   W e e k < / K e y > < / D i a g r a m O b j e c t K e y > < D i a g r a m O b j e c t K e y > < K e y > C o l u m n s \ D a t e   V a l u e 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a : K e y V a l u e O f D i a g r a m O b j e c t K e y a n y T y p e z b w N T n L X > < a : K e y > < K e y > C o l u m n s \ D a t e   V a l u e < / K e y > < / a : K e y > < a : V a l u e   i : t y p e = " M e a s u r e G r i d N o d e V i e w S t a t e " > < C o l u m n > 7 < / C o l u m n > < L a y e d O u t > t r u e < / L a y e d O u t > < / a : V a l u e > < / a : K e y V a l u e O f D i a g r a m O b j e c t K e y a n y T y p e z b w N T n L X > < / V i e w S t a t e s > < / D i a g r a m M a n a g e r . S e r i a l i z a b l e D i a g r a m > < D i a g r a m M a n a g e r . S e r i a l i z a b l e D i a g r a m > < A d a p t e r   i : t y p e = " M e a s u r e D i a g r a m S a n d b o x A d a p t e r " > < T a b l e N a m e > T a b l e V i e w < / 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 T a b l e V i e w < / 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 P e r i o d < / K e y > < / D i a g r a m O b j e c t K e y > < D i a g r a m O b j e c t K e y > < K e y > M e a s u r e s \ C o u n t   o f   P e r i o d \ T a g I n f o \ F o r m u l a < / K e y > < / D i a g r a m O b j e c t K e y > < D i a g r a m O b j e c t K e y > < K e y > M e a s u r e s \ S e l e c t e d V i e w < / K e y > < / D i a g r a m O b j e c t K e y > < D i a g r a m O b j e c t K e y > < K e y > M e a s u r e s \ S e l e c t e d V i e w \ T a g I n f o \ F o r m u l a < / K e y > < / D i a g r a m O b j e c t K e y > < D i a g r a m O b j e c t K e y > < K e y > C o l u m n s \ P e r i o d < / K e y > < / D i a g r a m O b j e c t K e y > < D i a g r a m O b j e c t K e y > < K e y > L i n k s \ & l t ; C o l u m n s \ C o u n t   o f   P e r i o d & g t ; - & l t ; M e a s u r e s \ P e r i o d & g t ; < / K e y > < / D i a g r a m O b j e c t K e y > < D i a g r a m O b j e c t K e y > < K e y > L i n k s \ & l t ; C o l u m n s \ C o u n t   o f   P e r i o d & g t ; - & l t ; M e a s u r e s \ P e r i o d & g t ; \ C O L U M N < / K e y > < / D i a g r a m O b j e c t K e y > < D i a g r a m O b j e c t K e y > < K e y > L i n k s \ & l t ; C o l u m n s \ C o u n t   o f   P e r i o d & g t ; - & l t ; M e a s u r e s \ P e r i o d & g t ; \ M E A S U R E 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 P e r i o d < / K e y > < / a : K e y > < a : V a l u e   i : t y p e = " M e a s u r e G r i d N o d e V i e w S t a t e " > < L a y e d O u t > t r u e < / L a y e d O u t > < R o w > 1 < / R o w > < W a s U I I n v i s i b l e > t r u e < / W a s U I I n v i s i b l e > < / a : V a l u e > < / a : K e y V a l u e O f D i a g r a m O b j e c t K e y a n y T y p e z b w N T n L X > < a : K e y V a l u e O f D i a g r a m O b j e c t K e y a n y T y p e z b w N T n L X > < a : K e y > < K e y > M e a s u r e s \ C o u n t   o f   P e r i o d \ T a g I n f o \ F o r m u l a < / K e y > < / a : K e y > < a : V a l u e   i : t y p e = " M e a s u r e G r i d V i e w S t a t e I D i a g r a m T a g A d d i t i o n a l I n f o " / > < / a : K e y V a l u e O f D i a g r a m O b j e c t K e y a n y T y p e z b w N T n L X > < a : K e y V a l u e O f D i a g r a m O b j e c t K e y a n y T y p e z b w N T n L X > < a : K e y > < K e y > M e a s u r e s \ S e l e c t e d V i e w < / K e y > < / a : K e y > < a : V a l u e   i : t y p e = " M e a s u r e G r i d N o d e V i e w S t a t e " > < L a y e d O u t > t r u e < / L a y e d O u t > < / a : V a l u e > < / a : K e y V a l u e O f D i a g r a m O b j e c t K e y a n y T y p e z b w N T n L X > < a : K e y V a l u e O f D i a g r a m O b j e c t K e y a n y T y p e z b w N T n L X > < a : K e y > < K e y > M e a s u r e s \ S e l e c t e d V i e w \ T a g I n f o \ F o r m u l a < / K e y > < / a : K e y > < a : V a l u e   i : t y p e = " M e a s u r e G r i d V i e w S t a t e I D i a g r a m T a g A d d i t i o n a l I n f o " / > < / a : K e y V a l u e O f D i a g r a m O b j e c t K e y a n y T y p e z b w N T n L X > < a : K e y V a l u e O f D i a g r a m O b j e c t K e y a n y T y p e z b w N T n L X > < a : K e y > < K e y > C o l u m n s \ P e r i o d < / K e y > < / a : K e y > < a : V a l u e   i : t y p e = " M e a s u r e G r i d N o d e V i e w S t a t e " > < L a y e d O u t > t r u e < / L a y e d O u t > < / a : V a l u e > < / a : K e y V a l u e O f D i a g r a m O b j e c t K e y a n y T y p e z b w N T n L X > < a : K e y V a l u e O f D i a g r a m O b j e c t K e y a n y T y p e z b w N T n L X > < a : K e y > < K e y > L i n k s \ & l t ; C o l u m n s \ C o u n t   o f   P e r i o d & g t ; - & l t ; M e a s u r e s \ P e r i o d & g t ; < / K e y > < / a : K e y > < a : V a l u e   i : t y p e = " M e a s u r e G r i d V i e w S t a t e I D i a g r a m L i n k " / > < / a : K e y V a l u e O f D i a g r a m O b j e c t K e y a n y T y p e z b w N T n L X > < a : K e y V a l u e O f D i a g r a m O b j e c t K e y a n y T y p e z b w N T n L X > < a : K e y > < K e y > L i n k s \ & l t ; C o l u m n s \ C o u n t   o f   P e r i o d & g t ; - & l t ; M e a s u r e s \ P e r i o d & g t ; \ C O L U M N < / K e y > < / a : K e y > < a : V a l u e   i : t y p e = " M e a s u r e G r i d V i e w S t a t e I D i a g r a m L i n k E n d p o i n t " / > < / a : K e y V a l u e O f D i a g r a m O b j e c t K e y a n y T y p e z b w N T n L X > < a : K e y V a l u e O f D i a g r a m O b j e c t K e y a n y T y p e z b w N T n L X > < a : K e y > < K e y > L i n k s \ & l t ; C o l u m n s \ C o u n t   o f   P e r i o d & g t ; - & l t ; M e a s u r e s \ P e r i o d & g t ; \ M E A S U R E < / K e y > < / a : K e y > < a : V a l u e   i : t y p e = " M e a s u r e G r i d V i e w S t a t e I D i a g r a m L i n k E n d p o i n t " / > < / a : K e y V a l u e O f D i a g r a m O b j e c t K e y a n y T y p e z b w N T n L X > < / V i e w S t a t e s > < / D i a g r a m M a n a g e r . S e r i a l i z a b l e D i a g r a m > < D i a g r a m M a n a g e r . S e r i a l i z a b l e D i a g r a m > < A d a p t e r   i : t y p e = " M e a s u r e D i a g r a m S a n d b o x A d a p t e r " > < T a b l e N a m e > D e p a r t m e n t a l   P r o f i t       L o s s _ B u d g e t 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 D e p a r t m e n t a l   P r o f i t       L o s s _ B u d g e t 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  2 < / K e y > < / D i a g r a m O b j e c t K e y > < D i a g r a m O b j e c t K e y > < K e y > M e a s u r e s \ S u m   o f   V a l u e   2 \ T a g I n f o \ F o r m u l a < / K e y > < / D i a g r a m O b j e c t K e y > < D i a g r a m O b j e c t K e y > < K e y > M e a s u r e s \ S u m   o f   V a l u e   2 \ T a g I n f o \ V a l u e < / K e y > < / D i a g r a m O b j e c t K e y > < D i a g r a m O b j e c t K e y > < K e y > M e a s u r e s \ Y T D   V a l u e s _ B u d g e t < / K e y > < / D i a g r a m O b j e c t K e y > < D i a g r a m O b j e c t K e y > < K e y > M e a s u r e s \ Y T D   V a l u e s _ B u d g e t \ T a g I n f o \ F o r m u l a < / K e y > < / D i a g r a m O b j e c t K e y > < D i a g r a m O b j e c t K e y > < K e y > M e a s u r e s \ Y T D   V a l u e s _ B u d g e t \ T a g I n f o \ V a l u e < / K e y > < / D i a g r a m O b j e c t K e y > < D i a g r a m O b j e c t K e y > < K e y > M e a s u r e s \ 2 0 2 4   V a l u e s _ B u d g e t < / K e y > < / D i a g r a m O b j e c t K e y > < D i a g r a m O b j e c t K e y > < K e y > M e a s u r e s \ 2 0 2 4   V a l u e s _ B u d g e t \ T a g I n f o \ F o r m u l a < / K e y > < / D i a g r a m O b j e c t K e y > < D i a g r a m O b j e c t K e y > < K e y > M e a s u r e s \ 2 0 2 4   V a l u e s _ B u d g e t \ T a g I n f o \ V a l u e < / K e y > < / D i a g r a m O b j e c t K e y > < D i a g r a m O b j e c t K e y > < K e y > M e a s u r e s \ B u d g e t < / K e y > < / D i a g r a m O b j e c t K e y > < D i a g r a m O b j e c t K e y > < K e y > M e a s u r e s \ B u d g e t \ T a g I n f o \ F o r m u l a < / K e y > < / D i a g r a m O b j e c t K e y > < D i a g r a m O b j e c t K e y > < K e y > M e a s u r e s \ B u d g e t \ T a g I n f o \ V a l u e < / K e y > < / D i a g r a m O b j e c t K e y > < D i a g r a m O b j e c t K e y > < K e y > M e a s u r e s \ 2 0 2 3   V a l u e s _ B u d g e t < / K e y > < / D i a g r a m O b j e c t K e y > < D i a g r a m O b j e c t K e y > < K e y > M e a s u r e s \ 2 0 2 3   V a l u e s _ B u d g e t \ T a g I n f o \ F o r m u l a < / K e y > < / D i a g r a m O b j e c t K e y > < D i a g r a m O b j e c t K e y > < K e y > M e a s u r e s \ 2 0 2 3   V a l u e s _ B u d g e t \ T a g I n f o \ V a l u e < / K e y > < / D i a g r a m O b j e c t K e y > < D i a g r a m O b j e c t K e y > < K e y > M e a s u r e s \ 2 0 2 5   V a l u e s _ B u d g e t < / K e y > < / D i a g r a m O b j e c t K e y > < D i a g r a m O b j e c t K e y > < K e y > M e a s u r e s \ 2 0 2 5   V a l u e s _ B u d g e t \ T a g I n f o \ F o r m u l a < / K e y > < / D i a g r a m O b j e c t K e y > < D i a g r a m O b j e c t K e y > < K e y > M e a s u r e s \ 2 0 2 5   V a l u e s _ B u d g e t \ T a g I n f o \ V a l u e < / K e y > < / D i a g r a m O b j e c t K e y > < D i a g r a m O b j e c t K e y > < K e y > M e a s u r e s \ C u r r e n t   M o n t h s   V a l u e s _ B u d g e t < / K e y > < / D i a g r a m O b j e c t K e y > < D i a g r a m O b j e c t K e y > < K e y > M e a s u r e s \ C u r r e n t   M o n t h s   V a l u e s _ B u d g e t \ T a g I n f o \ F o r m u l a < / K e y > < / D i a g r a m O b j e c t K e y > < D i a g r a m O b j e c t K e y > < K e y > M e a s u r e s \ C u r r e n t   M o n t h s   V a l u e s _ B u d g e t \ T a g I n f o \ V a l u e < / K e y > < / D i a g r a m O b j e c t K e y > < D i a g r a m O b j e c t K e y > < K e y > M e a s u r e s \ T r a i l i n g   1 2   M o n t h s   V a l u e s _ B u d g e t < / K e y > < / D i a g r a m O b j e c t K e y > < D i a g r a m O b j e c t K e y > < K e y > M e a s u r e s \ T r a i l i n g   1 2   M o n t h s   V a l u e s _ B u d g e t \ T a g I n f o \ F o r m u l a < / K e y > < / D i a g r a m O b j e c t K e y > < D i a g r a m O b j e c t K e y > < K e y > M e a s u r e s \ T r a i l i n g   1 2   M o n t h s   V a l u e s _ B u d g e t \ T a g I n f o \ V a l u e < / K e y > < / D i a g r a m O b j e c t K e y > < D i a g r a m O b j e c t K e y > < K e y > M e a s u r e s \ T r a i l i n g   3   M o n t h s   V a l u e s _ B u d g e t < / K e y > < / D i a g r a m O b j e c t K e y > < D i a g r a m O b j e c t K e y > < K e y > M e a s u r e s \ T r a i l i n g   3   M o n t h s   V a l u e s _ B u d g e t \ T a g I n f o \ F o r m u l a < / K e y > < / D i a g r a m O b j e c t K e y > < D i a g r a m O b j e c t K e y > < K e y > M e a s u r e s \ T r a i l i n g   3   M o n t h s   V a l u e s _ B u d g e t \ T a g I n f o \ V a l u e < / K e y > < / D i a g r a m O b j e c t K e y > < D i a g r a m O b j e c t K e y > < K e y > M e a s u r e s \ T r a i l i n g   6   M o n t h s   V a l u e s _ B u d g e t < / K e y > < / D i a g r a m O b j e c t K e y > < D i a g r a m O b j e c t K e y > < K e y > M e a s u r e s \ T r a i l i n g   6   M o n t h s   V a l u e s _ B u d g e t \ T a g I n f o \ F o r m u l a < / K e y > < / D i a g r a m O b j e c t K e y > < D i a g r a m O b j e c t K e y > < K e y > M e a s u r e s \ T r a i l i n g   6   M o n t h s   V a l u e s _ B u d g e t \ T a g I n f o \ V a l u e < / K e y > < / D i a g r a m O b j e c t K e y > < D i a g r a m O b j e c t K e y > < K e y > C o l u m n s \ A c c o u n t < / K e y > < / D i a g r a m O b j e c t K e y > < D i a g r a m O b j e c t K e y > < K e y > C o l u m n s \ D e p a r t m e n t < / K e y > < / D i a g r a m O b j e c t K e y > < D i a g r a m O b j e c t K e y > < K e y > C o l u m n s \ D a t e < / K e y > < / D i a g r a m O b j e c t K e y > < D i a g r a m O b j e c t K e y > < K e y > C o l u m n s \ V a l u e < / K e y > < / D i a g r a m O b j e c t K e y > < D i a g r a m O b j e c t K e y > < K e y > C o l u m n s \ S i g n < / K e y > < / D i a g r a m O b j e c t K e y > < D i a g r a m O b j e c t K e y > < K e y > L i n k s \ & l t ; C o l u m n s \ S u m   o f   V a l u e   2 & g t ; - & l t ; M e a s u r e s \ V a l u e & g t ; < / K e y > < / D i a g r a m O b j e c t K e y > < D i a g r a m O b j e c t K e y > < K e y > L i n k s \ & l t ; C o l u m n s \ S u m   o f   V a l u e   2 & g t ; - & l t ; M e a s u r e s \ V a l u e & g t ; \ C O L U M N < / K e y > < / D i a g r a m O b j e c t K e y > < D i a g r a m O b j e c t K e y > < K e y > L i n k s \ & l t ; C o l u m n s \ S u m   o f   V a l u e   2 & g t ; - & l t ; M e a s u r e s \ V a l u e & g t ; \ M E A S U R E 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  2 < / K e y > < / a : K e y > < a : V a l u e   i : t y p e = " M e a s u r e G r i d N o d e V i e w S t a t e " > < C o l u m n > 3 < / C o l u m n > < L a y e d O u t > t r u e < / L a y e d O u t > < W a s U I I n v i s i b l e > t r u e < / W a s U I I n v i s i b l e > < / a : V a l u e > < / a : K e y V a l u e O f D i a g r a m O b j e c t K e y a n y T y p e z b w N T n L X > < a : K e y V a l u e O f D i a g r a m O b j e c t K e y a n y T y p e z b w N T n L X > < a : K e y > < K e y > M e a s u r e s \ S u m   o f   V a l u e   2 \ T a g I n f o \ F o r m u l a < / K e y > < / a : K e y > < a : V a l u e   i : t y p e = " M e a s u r e G r i d V i e w S t a t e I D i a g r a m T a g A d d i t i o n a l I n f o " / > < / a : K e y V a l u e O f D i a g r a m O b j e c t K e y a n y T y p e z b w N T n L X > < a : K e y V a l u e O f D i a g r a m O b j e c t K e y a n y T y p e z b w N T n L X > < a : K e y > < K e y > M e a s u r e s \ S u m   o f   V a l u e   2 \ T a g I n f o \ V a l u e < / K e y > < / a : K e y > < a : V a l u e   i : t y p e = " M e a s u r e G r i d V i e w S t a t e I D i a g r a m T a g A d d i t i o n a l I n f o " / > < / a : K e y V a l u e O f D i a g r a m O b j e c t K e y a n y T y p e z b w N T n L X > < a : K e y V a l u e O f D i a g r a m O b j e c t K e y a n y T y p e z b w N T n L X > < a : K e y > < K e y > M e a s u r e s \ Y T D   V a l u e s _ B u d g e t < / K e y > < / a : K e y > < a : V a l u e   i : t y p e = " M e a s u r e G r i d N o d e V i e w S t a t e " > < L a y e d O u t > t r u e < / L a y e d O u t > < R o w > 1 < / R o w > < / a : V a l u e > < / a : K e y V a l u e O f D i a g r a m O b j e c t K e y a n y T y p e z b w N T n L X > < a : K e y V a l u e O f D i a g r a m O b j e c t K e y a n y T y p e z b w N T n L X > < a : K e y > < K e y > M e a s u r e s \ Y T D   V a l u e s _ B u d g e t \ T a g I n f o \ F o r m u l a < / K e y > < / a : K e y > < a : V a l u e   i : t y p e = " M e a s u r e G r i d V i e w S t a t e I D i a g r a m T a g A d d i t i o n a l I n f o " / > < / a : K e y V a l u e O f D i a g r a m O b j e c t K e y a n y T y p e z b w N T n L X > < a : K e y V a l u e O f D i a g r a m O b j e c t K e y a n y T y p e z b w N T n L X > < a : K e y > < K e y > M e a s u r e s \ Y T D   V a l u e s _ B u d g e t \ T a g I n f o \ V a l u e < / K e y > < / a : K e y > < a : V a l u e   i : t y p e = " M e a s u r e G r i d V i e w S t a t e I D i a g r a m T a g A d d i t i o n a l I n f o " / > < / a : K e y V a l u e O f D i a g r a m O b j e c t K e y a n y T y p e z b w N T n L X > < a : K e y V a l u e O f D i a g r a m O b j e c t K e y a n y T y p e z b w N T n L X > < a : K e y > < K e y > M e a s u r e s \ 2 0 2 4   V a l u e s _ B u d g e t < / K e y > < / a : K e y > < a : V a l u e   i : t y p e = " M e a s u r e G r i d N o d e V i e w S t a t e " > < L a y e d O u t > t r u e < / L a y e d O u t > < / a : V a l u e > < / a : K e y V a l u e O f D i a g r a m O b j e c t K e y a n y T y p e z b w N T n L X > < a : K e y V a l u e O f D i a g r a m O b j e c t K e y a n y T y p e z b w N T n L X > < a : K e y > < K e y > M e a s u r e s \ 2 0 2 4   V a l u e s _ B u d g e t \ T a g I n f o \ F o r m u l a < / K e y > < / a : K e y > < a : V a l u e   i : t y p e = " M e a s u r e G r i d V i e w S t a t e I D i a g r a m T a g A d d i t i o n a l I n f o " / > < / a : K e y V a l u e O f D i a g r a m O b j e c t K e y a n y T y p e z b w N T n L X > < a : K e y V a l u e O f D i a g r a m O b j e c t K e y a n y T y p e z b w N T n L X > < a : K e y > < K e y > M e a s u r e s \ 2 0 2 4   V a l u e s _ B u d g e t \ T a g I n f o \ V a l u e < / K e y > < / a : K e y > < a : V a l u e   i : t y p e = " M e a s u r e G r i d V i e w S t a t e I D i a g r a m T a g A d d i t i o n a l I n f o " / > < / a : K e y V a l u e O f D i a g r a m O b j e c t K e y a n y T y p e z b w N T n L X > < a : K e y V a l u e O f D i a g r a m O b j e c t K e y a n y T y p e z b w N T n L X > < a : K e y > < K e y > M e a s u r e s \ B u d g e t < / K e y > < / a : K e y > < a : V a l u e   i : t y p e = " M e a s u r e G r i d N o d e V i e w S t a t e " > < L a y e d O u t > t r u e < / L a y e d O u t > < R o w > 2 < / R o w > < / a : V a l u e > < / a : K e y V a l u e O f D i a g r a m O b j e c t K e y a n y T y p e z b w N T n L X > < a : K e y V a l u e O f D i a g r a m O b j e c t K e y a n y T y p e z b w N T n L X > < a : K e y > < K e y > M e a s u r e s \ B u d g e t \ T a g I n f o \ F o r m u l a < / K e y > < / a : K e y > < a : V a l u e   i : t y p e = " M e a s u r e G r i d V i e w S t a t e I D i a g r a m T a g A d d i t i o n a l I n f o " / > < / a : K e y V a l u e O f D i a g r a m O b j e c t K e y a n y T y p e z b w N T n L X > < a : K e y V a l u e O f D i a g r a m O b j e c t K e y a n y T y p e z b w N T n L X > < a : K e y > < K e y > M e a s u r e s \ B u d g e t \ T a g I n f o \ V a l u e < / K e y > < / a : K e y > < a : V a l u e   i : t y p e = " M e a s u r e G r i d V i e w S t a t e I D i a g r a m T a g A d d i t i o n a l I n f o " / > < / a : K e y V a l u e O f D i a g r a m O b j e c t K e y a n y T y p e z b w N T n L X > < a : K e y V a l u e O f D i a g r a m O b j e c t K e y a n y T y p e z b w N T n L X > < a : K e y > < K e y > M e a s u r e s \ 2 0 2 3   V a l u e s _ B u d g e t < / K e y > < / a : K e y > < a : V a l u e   i : t y p e = " M e a s u r e G r i d N o d e V i e w S t a t e " > < L a y e d O u t > t r u e < / L a y e d O u t > < R o w > 3 < / R o w > < / a : V a l u e > < / a : K e y V a l u e O f D i a g r a m O b j e c t K e y a n y T y p e z b w N T n L X > < a : K e y V a l u e O f D i a g r a m O b j e c t K e y a n y T y p e z b w N T n L X > < a : K e y > < K e y > M e a s u r e s \ 2 0 2 3   V a l u e s _ B u d g e t \ T a g I n f o \ F o r m u l a < / K e y > < / a : K e y > < a : V a l u e   i : t y p e = " M e a s u r e G r i d V i e w S t a t e I D i a g r a m T a g A d d i t i o n a l I n f o " / > < / a : K e y V a l u e O f D i a g r a m O b j e c t K e y a n y T y p e z b w N T n L X > < a : K e y V a l u e O f D i a g r a m O b j e c t K e y a n y T y p e z b w N T n L X > < a : K e y > < K e y > M e a s u r e s \ 2 0 2 3   V a l u e s _ B u d g e t \ T a g I n f o \ V a l u e < / K e y > < / a : K e y > < a : V a l u e   i : t y p e = " M e a s u r e G r i d V i e w S t a t e I D i a g r a m T a g A d d i t i o n a l I n f o " / > < / a : K e y V a l u e O f D i a g r a m O b j e c t K e y a n y T y p e z b w N T n L X > < a : K e y V a l u e O f D i a g r a m O b j e c t K e y a n y T y p e z b w N T n L X > < a : K e y > < K e y > M e a s u r e s \ 2 0 2 5   V a l u e s _ B u d g e t < / K e y > < / a : K e y > < a : V a l u e   i : t y p e = " M e a s u r e G r i d N o d e V i e w S t a t e " > < L a y e d O u t > t r u e < / L a y e d O u t > < R o w > 5 < / R o w > < / a : V a l u e > < / a : K e y V a l u e O f D i a g r a m O b j e c t K e y a n y T y p e z b w N T n L X > < a : K e y V a l u e O f D i a g r a m O b j e c t K e y a n y T y p e z b w N T n L X > < a : K e y > < K e y > M e a s u r e s \ 2 0 2 5   V a l u e s _ B u d g e t \ T a g I n f o \ F o r m u l a < / K e y > < / a : K e y > < a : V a l u e   i : t y p e = " M e a s u r e G r i d V i e w S t a t e I D i a g r a m T a g A d d i t i o n a l I n f o " / > < / a : K e y V a l u e O f D i a g r a m O b j e c t K e y a n y T y p e z b w N T n L X > < a : K e y V a l u e O f D i a g r a m O b j e c t K e y a n y T y p e z b w N T n L X > < a : K e y > < K e y > M e a s u r e s \ 2 0 2 5   V a l u e s _ B u d g e t \ T a g I n f o \ V a l u e < / K e y > < / a : K e y > < a : V a l u e   i : t y p e = " M e a s u r e G r i d V i e w S t a t e I D i a g r a m T a g A d d i t i o n a l I n f o " / > < / a : K e y V a l u e O f D i a g r a m O b j e c t K e y a n y T y p e z b w N T n L X > < a : K e y V a l u e O f D i a g r a m O b j e c t K e y a n y T y p e z b w N T n L X > < a : K e y > < K e y > M e a s u r e s \ C u r r e n t   M o n t h s   V a l u e s _ B u d g e t < / K e y > < / a : K e y > < a : V a l u e   i : t y p e = " M e a s u r e G r i d N o d e V i e w S t a t e " > < L a y e d O u t > t r u e < / L a y e d O u t > < R o w > 4 < / R o w > < / a : V a l u e > < / a : K e y V a l u e O f D i a g r a m O b j e c t K e y a n y T y p e z b w N T n L X > < a : K e y V a l u e O f D i a g r a m O b j e c t K e y a n y T y p e z b w N T n L X > < a : K e y > < K e y > M e a s u r e s \ C u r r e n t   M o n t h s   V a l u e s _ B u d g e t \ T a g I n f o \ F o r m u l a < / K e y > < / a : K e y > < a : V a l u e   i : t y p e = " M e a s u r e G r i d V i e w S t a t e I D i a g r a m T a g A d d i t i o n a l I n f o " / > < / a : K e y V a l u e O f D i a g r a m O b j e c t K e y a n y T y p e z b w N T n L X > < a : K e y V a l u e O f D i a g r a m O b j e c t K e y a n y T y p e z b w N T n L X > < a : K e y > < K e y > M e a s u r e s \ C u r r e n t   M o n t h s   V a l u e s _ B u d g e t \ T a g I n f o \ V a l u e < / K e y > < / a : K e y > < a : V a l u e   i : t y p e = " M e a s u r e G r i d V i e w S t a t e I D i a g r a m T a g A d d i t i o n a l I n f o " / > < / a : K e y V a l u e O f D i a g r a m O b j e c t K e y a n y T y p e z b w N T n L X > < a : K e y V a l u e O f D i a g r a m O b j e c t K e y a n y T y p e z b w N T n L X > < a : K e y > < K e y > M e a s u r e s \ T r a i l i n g   1 2   M o n t h s   V a l u e s _ B u d g e t < / K e y > < / a : K e y > < a : V a l u e   i : t y p e = " M e a s u r e G r i d N o d e V i e w S t a t e " > < L a y e d O u t > t r u e < / L a y e d O u t > < R o w > 6 < / R o w > < / a : V a l u e > < / a : K e y V a l u e O f D i a g r a m O b j e c t K e y a n y T y p e z b w N T n L X > < a : K e y V a l u e O f D i a g r a m O b j e c t K e y a n y T y p e z b w N T n L X > < a : K e y > < K e y > M e a s u r e s \ T r a i l i n g   1 2   M o n t h s   V a l u e s _ B u d g e t \ T a g I n f o \ F o r m u l a < / K e y > < / a : K e y > < a : V a l u e   i : t y p e = " M e a s u r e G r i d V i e w S t a t e I D i a g r a m T a g A d d i t i o n a l I n f o " / > < / a : K e y V a l u e O f D i a g r a m O b j e c t K e y a n y T y p e z b w N T n L X > < a : K e y V a l u e O f D i a g r a m O b j e c t K e y a n y T y p e z b w N T n L X > < a : K e y > < K e y > M e a s u r e s \ T r a i l i n g   1 2   M o n t h s   V a l u e s _ B u d g e t \ T a g I n f o \ V a l u e < / K e y > < / a : K e y > < a : V a l u e   i : t y p e = " M e a s u r e G r i d V i e w S t a t e I D i a g r a m T a g A d d i t i o n a l I n f o " / > < / a : K e y V a l u e O f D i a g r a m O b j e c t K e y a n y T y p e z b w N T n L X > < a : K e y V a l u e O f D i a g r a m O b j e c t K e y a n y T y p e z b w N T n L X > < a : K e y > < K e y > M e a s u r e s \ T r a i l i n g   3   M o n t h s   V a l u e s _ B u d g e t < / K e y > < / a : K e y > < a : V a l u e   i : t y p e = " M e a s u r e G r i d N o d e V i e w S t a t e " > < L a y e d O u t > t r u e < / L a y e d O u t > < R o w > 7 < / R o w > < / a : V a l u e > < / a : K e y V a l u e O f D i a g r a m O b j e c t K e y a n y T y p e z b w N T n L X > < a : K e y V a l u e O f D i a g r a m O b j e c t K e y a n y T y p e z b w N T n L X > < a : K e y > < K e y > M e a s u r e s \ T r a i l i n g   3   M o n t h s   V a l u e s _ B u d g e t \ T a g I n f o \ F o r m u l a < / K e y > < / a : K e y > < a : V a l u e   i : t y p e = " M e a s u r e G r i d V i e w S t a t e I D i a g r a m T a g A d d i t i o n a l I n f o " / > < / a : K e y V a l u e O f D i a g r a m O b j e c t K e y a n y T y p e z b w N T n L X > < a : K e y V a l u e O f D i a g r a m O b j e c t K e y a n y T y p e z b w N T n L X > < a : K e y > < K e y > M e a s u r e s \ T r a i l i n g   3   M o n t h s   V a l u e s _ B u d g e t \ T a g I n f o \ V a l u e < / K e y > < / a : K e y > < a : V a l u e   i : t y p e = " M e a s u r e G r i d V i e w S t a t e I D i a g r a m T a g A d d i t i o n a l I n f o " / > < / a : K e y V a l u e O f D i a g r a m O b j e c t K e y a n y T y p e z b w N T n L X > < a : K e y V a l u e O f D i a g r a m O b j e c t K e y a n y T y p e z b w N T n L X > < a : K e y > < K e y > M e a s u r e s \ T r a i l i n g   6   M o n t h s   V a l u e s _ B u d g e t < / K e y > < / a : K e y > < a : V a l u e   i : t y p e = " M e a s u r e G r i d N o d e V i e w S t a t e " > < L a y e d O u t > t r u e < / L a y e d O u t > < R o w > 8 < / R o w > < / a : V a l u e > < / a : K e y V a l u e O f D i a g r a m O b j e c t K e y a n y T y p e z b w N T n L X > < a : K e y V a l u e O f D i a g r a m O b j e c t K e y a n y T y p e z b w N T n L X > < a : K e y > < K e y > M e a s u r e s \ T r a i l i n g   6   M o n t h s   V a l u e s _ B u d g e t \ T a g I n f o \ F o r m u l a < / K e y > < / a : K e y > < a : V a l u e   i : t y p e = " M e a s u r e G r i d V i e w S t a t e I D i a g r a m T a g A d d i t i o n a l I n f o " / > < / a : K e y V a l u e O f D i a g r a m O b j e c t K e y a n y T y p e z b w N T n L X > < a : K e y V a l u e O f D i a g r a m O b j e c t K e y a n y T y p e z b w N T n L X > < a : K e y > < K e y > M e a s u r e s \ T r a i l i n g   6   M o n t h s   V a l u e s _ B u d g e t \ T a g I n f o \ V a l u e < / K e y > < / a : K e y > < a : V a l u e   i : t y p e = " M e a s u r e G r i d V i e w S t a t e I D i a g r a m T a g A d d i t i o n a l I n f o " / > < / a : K e y V a l u e O f D i a g r a m O b j e c t K e y a n y T y p e z b w N T n L X > < a : K e y V a l u e O f D i a g r a m O b j e c t K e y a n y T y p e z b w N T n L X > < a : K e y > < K e y > C o l u m n s \ A c c o u n t < / K e y > < / a : K e y > < a : V a l u e   i : t y p e = " M e a s u r e G r i d N o d e V i e w S t a t e " > < L a y e d O u t > t r u e < / L a y e d O u t > < / a : V a l u e > < / a : K e y V a l u e O f D i a g r a m O b j e c t K e y a n y T y p e z b w N T n L X > < a : K e y V a l u e O f D i a g r a m O b j e c t K e y a n y T y p e z b w N T n L X > < a : K e y > < K e y > C o l u m n s \ D e p a r t m e n t < / K e y > < / a : K e y > < a : V a l u e   i : t y p e = " M e a s u r e G r i d N o d e V i e w S t a t e " > < C o l u m n > 1 < / C o l u m n > < L a y e d O u t > t r u e < / L a y e d O u t > < / a : V a l u e > < / a : K e y V a l u e O f D i a g r a m O b j e c t K e y a n y T y p e z b w N T n L X > < a : K e y V a l u e O f D i a g r a m O b j e c t K e y a n y T y p e z b w N T n L X > < a : K e y > < K e y > C o l u m n s \ D a t e < / K e y > < / a : K e y > < a : V a l u e   i : t y p e = " M e a s u r e G r i d N o d e V i e w S t a t e " > < C o l u m n > 2 < / C o l u m n > < L a y e d O u t > t r u e < / L a y e d O u t > < / a : V a l u e > < / a : K e y V a l u e O f D i a g r a m O b j e c t K e y a n y T y p e z b w N T n L X > < a : K e y V a l u e O f D i a g r a m O b j e c t K e y a n y T y p e z b w N T n L X > < a : K e y > < K e y > C o l u m n s \ V a l u e < / K e y > < / a : K e y > < a : V a l u e   i : t y p e = " M e a s u r e G r i d N o d e V i e w S t a t e " > < C o l u m n > 3 < / C o l u m n > < L a y e d O u t > t r u e < / L a y e d O u t > < / a : V a l u e > < / a : K e y V a l u e O f D i a g r a m O b j e c t K e y a n y T y p e z b w N T n L X > < a : K e y V a l u e O f D i a g r a m O b j e c t K e y a n y T y p e z b w N T n L X > < a : K e y > < K e y > C o l u m n s \ S i g n < / K e y > < / a : K e y > < a : V a l u e   i : t y p e = " M e a s u r e G r i d N o d e V i e w S t a t e " > < C o l u m n > 4 < / C o l u m n > < L a y e d O u t > t r u e < / L a y e d O u t > < / a : V a l u e > < / a : K e y V a l u e O f D i a g r a m O b j e c t K e y a n y T y p e z b w N T n L X > < a : K e y V a l u e O f D i a g r a m O b j e c t K e y a n y T y p e z b w N T n L X > < a : K e y > < K e y > L i n k s \ & l t ; C o l u m n s \ S u m   o f   V a l u e   2 & g t ; - & l t ; M e a s u r e s \ V a l u e & g t ; < / K e y > < / a : K e y > < a : V a l u e   i : t y p e = " M e a s u r e G r i d V i e w S t a t e I D i a g r a m L i n k " / > < / a : K e y V a l u e O f D i a g r a m O b j e c t K e y a n y T y p e z b w N T n L X > < a : K e y V a l u e O f D i a g r a m O b j e c t K e y a n y T y p e z b w N T n L X > < a : K e y > < K e y > L i n k s \ & l t ; C o l u m n s \ S u m   o f   V a l u e   2 & g t ; - & l t ; M e a s u r e s \ V a l u e & g t ; \ C O L U M N < / K e y > < / a : K e y > < a : V a l u e   i : t y p e = " M e a s u r e G r i d V i e w S t a t e I D i a g r a m L i n k E n d p o i n t " / > < / a : K e y V a l u e O f D i a g r a m O b j e c t K e y a n y T y p e z b w N T n L X > < a : K e y V a l u e O f D i a g r a m O b j e c t K e y a n y T y p e z b w N T n L X > < a : K e y > < K e y > L i n k s \ & l t ; C o l u m n s \ S u m   o f   V a l u e   2 & g t ; - & l t ; M e a s u r e s \ V a l u e & g t ; \ M E A S U R E 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 T a g s \ T a b l e s \ & l t ; T a b l e s \ T a b l e V i e w & g t ; < / K e y > < / D i a g r a m O b j e c t K e y > < D i a g r a m O b j e c t K e y > < K e y > D y n a m i c   T a g s \ T a b l e s \ & l t ; T a b l e s \ M a p p i n g s & g t ; < / K e y > < / D i a g r a m O b j e c t K e y > < D i a g r a m O b j e c t K e y > < K e y > D y n a m i c   T a g s \ T a b l e s \ & l t ; T a b l e s \ D e p a r t m e n t a l   P r o f i t       L o s s & g t ; < / K e y > < / D i a g r a m O b j e c t K e y > < D i a g r a m O b j e c t K e y > < K e y > D y n a m i c   T a g s \ T a b l e s \ & l t ; T a b l e s \ D e p a r t m e n t a l   P r o f i t       L o s s _ B u d g e t & g t ; < / K e y > < / D i a g r a m O b j e c t K e y > < D i a g r a m O b j e c t K e y > < K e y > D y n a m i c   T a g s \ T a b l e s \ & l t ; T a b l e s \ C a l e n d a r & g t ; < / K e y > < / D i a g r a m O b j e c t K e y > < D i a g r a m O b j e c t K e y > < K e y > D y n a m i c   T a g s \ H i e r a r c h i e s \ & l t ; T a b l e s \ C a l e n d a r \ H i e r a r c h i e s \ D a t e   H i e r a r c h y & g t ; < / K e y > < / D i a g r a m O b j e c t K e y > < D i a g r a m O b j e c t K e y > < K e y > D y n a m i c   T a g s \ T a b l e s \ & l t ; T a b l e s \ D e p a r t m e n t s & g t ; < / K e y > < / D i a g r a m O b j e c t K e y > < D i a g r a m O b j e c t K e y > < K e y > D y n a m i c   T a g s \ T a b l e s \ & l t ; T a b l e s \ P r e d e f i n e d _ D a t e s & g t ; < / K e y > < / D i a g r a m O b j e c t K e y > < D i a g r a m O b j e c t K e y > < K e y > T a b l e s \ T a b l e V i e w < / K e y > < / D i a g r a m O b j e c t K e y > < D i a g r a m O b j e c t K e y > < K e y > T a b l e s \ T a b l e V i e w \ C o l u m n s \ P e r i o d < / K e y > < / D i a g r a m O b j e c t K e y > < D i a g r a m O b j e c t K e y > < K e y > T a b l e s \ T a b l e V i e w \ M e a s u r e s \ C o u n t   o f   P e r i o d < / K e y > < / D i a g r a m O b j e c t K e y > < D i a g r a m O b j e c t K e y > < K e y > T a b l e s \ T a b l e V i e w \ C o u n t   o f   P e r i o d \ A d d i t i o n a l   I n f o \ I m p l i c i t   M e a s u r e < / K e y > < / D i a g r a m O b j e c t K e y > < D i a g r a m O b j e c t K e y > < K e y > T a b l e s \ T a b l e V i e w \ M e a s u r e s \ S e l e c t e d V i e w < / K e y > < / D i a g r a m O b j e c t K e y > < D i a g r a m O b j e c t K e y > < K e y > T a b l e s \ M a p p i n g s < / K e y > < / D i a g r a m O b j e c t K e y > < D i a g r a m O b j e c t K e y > < K e y > T a b l e s \ M a p p i n g s \ C o l u m n s \ A c c o u n t < / K e y > < / D i a g r a m O b j e c t K e y > < D i a g r a m O b j e c t K e y > < K e y > T a b l e s \ M a p p i n g s \ C o l u m n s \ S e c t i o n < / K e y > < / D i a g r a m O b j e c t K e y > < D i a g r a m O b j e c t K e y > < K e y > T a b l e s \ M a p p i n g s \ C o l u m n s \ S u m m a r y   G r o u p i n g < / K e y > < / D i a g r a m O b j e c t K e y > < D i a g r a m O b j e c t K e y > < K e y > T a b l e s \ M a p p i n g s \ C o l u m n s \ S i g n < / K e y > < / D i a g r a m O b j e c t K e y > < D i a g r a m O b j e c t K e y > < K e y > T a b l e s \ D e p a r t m e n t a l   P r o f i t       L o s s < / K e y > < / D i a g r a m O b j e c t K e y > < D i a g r a m O b j e c t K e y > < K e y > T a b l e s \ D e p a r t m e n t a l   P r o f i t       L o s s \ C o l u m n s \ A c c o u n t < / K e y > < / D i a g r a m O b j e c t K e y > < D i a g r a m O b j e c t K e y > < K e y > T a b l e s \ D e p a r t m e n t a l   P r o f i t       L o s s \ C o l u m n s \ D e p a r t m e n t < / K e y > < / D i a g r a m O b j e c t K e y > < D i a g r a m O b j e c t K e y > < K e y > T a b l e s \ D e p a r t m e n t a l   P r o f i t       L o s s \ C o l u m n s \ D a t e < / K e y > < / D i a g r a m O b j e c t K e y > < D i a g r a m O b j e c t K e y > < K e y > T a b l e s \ D e p a r t m e n t a l   P r o f i t       L o s s \ C o l u m n s \ V a l u e < / K e y > < / D i a g r a m O b j e c t K e y > < D i a g r a m O b j e c t K e y > < K e y > T a b l e s \ D e p a r t m e n t a l   P r o f i t       L o s s \ C o l u m n s \ D a t e   ( M o n t h   I n d e x ) < / K e y > < / D i a g r a m O b j e c t K e y > < D i a g r a m O b j e c t K e y > < K e y > T a b l e s \ D e p a r t m e n t a l   P r o f i t       L o s s \ C o l u m n s \ D a t e   ( M o n t h ) < / K e y > < / D i a g r a m O b j e c t K e y > < D i a g r a m O b j e c t K e y > < K e y > T a b l e s \ D e p a r t m e n t a l   P r o f i t       L o s s \ C o l u m n s \ S i g n < / K e y > < / D i a g r a m O b j e c t K e y > < D i a g r a m O b j e c t K e y > < K e y > T a b l e s \ D e p a r t m e n t a l   P r o f i t       L o s s \ M e a s u r e s \ S u m   o f   V a l u e < / K e y > < / D i a g r a m O b j e c t K e y > < D i a g r a m O b j e c t K e y > < K e y > T a b l e s \ D e p a r t m e n t a l   P r o f i t       L o s s \ S u m   o f   V a l u e \ A d d i t i o n a l   I n f o \ I m p l i c i t   M e a s u r e < / K e y > < / D i a g r a m O b j e c t K e y > < D i a g r a m O b j e c t K e y > < K e y > T a b l e s \ D e p a r t m e n t a l   P r o f i t       L o s s \ M e a s u r e s \ 2 0 2 4   V a l u e s < / K e y > < / D i a g r a m O b j e c t K e y > < D i a g r a m O b j e c t K e y > < K e y > T a b l e s \ D e p a r t m e n t a l   P r o f i t       L o s s \ M e a s u r e s \ Y T D   V a l u e s < / K e y > < / D i a g r a m O b j e c t K e y > < D i a g r a m O b j e c t K e y > < K e y > T a b l e s \ D e p a r t m e n t a l   P r o f i t       L o s s \ M e a s u r e s \ A c t u a l < / K e y > < / D i a g r a m O b j e c t K e y > < D i a g r a m O b j e c t K e y > < K e y > T a b l e s \ D e p a r t m e n t a l   P r o f i t       L o s s \ M e a s u r e s \ 2 0 2 3   V a l u e s < / K e y > < / D i a g r a m O b j e c t K e y > < D i a g r a m O b j e c t K e y > < K e y > T a b l e s \ D e p a r t m e n t a l   P r o f i t       L o s s \ M e a s u r e s \ 2 0 2 5   V a l u e s < / K e y > < / D i a g r a m O b j e c t K e y > < D i a g r a m O b j e c t K e y > < K e y > T a b l e s \ D e p a r t m e n t a l   P r o f i t       L o s s \ M e a s u r e s \ C u r r e n t   M o n t h s   V a l u e s < / K e y > < / D i a g r a m O b j e c t K e y > < D i a g r a m O b j e c t K e y > < K e y > T a b l e s \ D e p a r t m e n t a l   P r o f i t       L o s s \ M e a s u r e s \ T r a i l i n g   1 2   M o n t h s   V a l u e s < / K e y > < / D i a g r a m O b j e c t K e y > < D i a g r a m O b j e c t K e y > < K e y > T a b l e s \ D e p a r t m e n t a l   P r o f i t       L o s s \ M e a s u r e s \ T r a i l i n g   3   M o n t h s   V a l u e s < / K e y > < / D i a g r a m O b j e c t K e y > < D i a g r a m O b j e c t K e y > < K e y > T a b l e s \ D e p a r t m e n t a l   P r o f i t       L o s s \ M e a s u r e s \ T r a i l i n g   6   M o n t h s   V a l u e s < / K e y > < / D i a g r a m O b j e c t K e y > < D i a g r a m O b j e c t K e y > < K e y > T a b l e s \ D e p a r t m e n t a l   P r o f i t       L o s s \ M e a s u r e s \ R e v e n u e < / K e y > < / D i a g r a m O b j e c t K e y > < D i a g r a m O b j e c t K e y > < K e y > T a b l e s \ D e p a r t m e n t a l   P r o f i t       L o s s \ M e a s u r e s \ G r o s s   P r o f i t < / K e y > < / D i a g r a m O b j e c t K e y > < D i a g r a m O b j e c t K e y > < K e y > T a b l e s \ D e p a r t m e n t a l   P r o f i t       L o s s \ M e a s u r e s \ G r o s s   m a r g i n < / K e y > < / D i a g r a m O b j e c t K e y > < D i a g r a m O b j e c t K e y > < K e y > T a b l e s \ D e p a r t m e n t a l   P r o f i t       L o s s \ M e a s u r e s \ P r i o r   P e r i o d   C u r r e n t   M o n t h s   V a l u e s < / K e y > < / D i a g r a m O b j e c t K e y > < D i a g r a m O b j e c t K e y > < K e y > T a b l e s \ D e p a r t m e n t a l   P r o f i t       L o s s \ M e a s u r e s \ P r i o r   P e r i o d   T r a i l i n g   1 2   M o n t h s   V a l u e s < / K e y > < / D i a g r a m O b j e c t K e y > < D i a g r a m O b j e c t K e y > < K e y > T a b l e s \ D e p a r t m e n t a l   P r o f i t       L o s s \ M e a s u r e s \ P r i o r   Y e a r   Y T D   V a l u e s < / K e y > < / D i a g r a m O b j e c t K e y > < D i a g r a m O b j e c t K e y > < K e y > T a b l e s \ D e p a r t m e n t a l   P r o f i t       L o s s \ M e a s u r e s \ P r i o r   P e r i o d   Y T D   V a l u e s < / K e y > < / D i a g r a m O b j e c t K e y > < D i a g r a m O b j e c t K e y > < K e y > T a b l e s \ D e p a r t m e n t a l   P r o f i t       L o s s \ M e a s u r e s \ P r i o r   P e r i o d   T r a i l i n g   3   M o n t h s   V a l u e s < / K e y > < / D i a g r a m O b j e c t K e y > < D i a g r a m O b j e c t K e y > < K e y > T a b l e s \ D e p a r t m e n t a l   P r o f i t       L o s s \ M e a s u r e s \ P r i o r   P e r i o d   T r a i l i n g   6   M o n t h s   V a l u e s < / K e y > < / D i a g r a m O b j e c t K e y > < D i a g r a m O b j e c t K e y > < K e y > T a b l e s \ D e p a r t m e n t a l   P r o f i t       L o s s \ M e a s u r e s \ P r i o r   P e r i o d < / K e y > < / D i a g r a m O b j e c t K e y > < D i a g r a m O b j e c t K e y > < K e y > T a b l e s \ D e p a r t m e n t a l   P r o f i t       L o s s \ M e a s u r e s \ P r i o r   Y e a r   C u r r e n t   M o n t h s   V a l u e s < / K e y > < / D i a g r a m O b j e c t K e y > < D i a g r a m O b j e c t K e y > < K e y > T a b l e s \ D e p a r t m e n t a l   P r o f i t       L o s s \ M e a s u r e s \ P r i o r   Y e a r   T r a i l i n g   3   M o n t h s   V a l u e s < / K e y > < / D i a g r a m O b j e c t K e y > < D i a g r a m O b j e c t K e y > < K e y > T a b l e s \ D e p a r t m e n t a l   P r o f i t       L o s s \ M e a s u r e s \ P r i o r   Y e a r   T r a i l i n g   6   M o n t h s   V a l u e s < / K e y > < / D i a g r a m O b j e c t K e y > < D i a g r a m O b j e c t K e y > < K e y > T a b l e s \ D e p a r t m e n t a l   P r o f i t       L o s s \ M e a s u r e s \ P r i o r   Y e a r   T r a i l i n g   1 2   M o n t h s   V a l u e s < / K e y > < / D i a g r a m O b j e c t K e y > < D i a g r a m O b j e c t K e y > < K e y > T a b l e s \ D e p a r t m e n t a l   P r o f i t       L o s s \ M e a s u r e s \ P r i o r   Y e a r < / K e y > < / D i a g r a m O b j e c t K e y > < D i a g r a m O b j e c t K e y > < K e y > T a b l e s \ D e p a r t m e n t a l   P r o f i t       L o s s \ M e a s u r e s \ V a r   t o   B u d g e t   E x p e n s e   ( $ ) < / K e y > < / D i a g r a m O b j e c t K e y > < D i a g r a m O b j e c t K e y > < K e y > T a b l e s \ D e p a r t m e n t a l   P r o f i t       L o s s \ M e a s u r e s \ V a r   t o   B u d g e t   E x p e n s e   ( % ) < / K e y > < / D i a g r a m O b j e c t K e y > < D i a g r a m O b j e c t K e y > < K e y > T a b l e s \ D e p a r t m e n t a l   P r o f i t       L o s s \ M e a s u r e s \ V a r   t o   B u d g e t   I n c o m e   ( $ ) < / K e y > < / D i a g r a m O b j e c t K e y > < D i a g r a m O b j e c t K e y > < K e y > T a b l e s \ D e p a r t m e n t a l   P r o f i t       L o s s \ M e a s u r e s \ V a r   t o   B u d g e t   I n c o m e   ( % ) < / K e y > < / D i a g r a m O b j e c t K e y > < D i a g r a m O b j e c t K e y > < K e y > T a b l e s \ D e p a r t m e n t a l   P r o f i t       L o s s \ M e a s u r e s \ V a r   t o   P r i o r   P e r i o d   ( $ ) < / K e y > < / D i a g r a m O b j e c t K e y > < D i a g r a m O b j e c t K e y > < K e y > T a b l e s \ D e p a r t m e n t a l   P r o f i t       L o s s \ M e a s u r e s \ V a r   t o   P r i o r   P e r i o d   ( % ) < / K e y > < / D i a g r a m O b j e c t K e y > < D i a g r a m O b j e c t K e y > < K e y > T a b l e s \ D e p a r t m e n t a l   P r o f i t       L o s s \ M e a s u r e s \ V a r   t o   P r i o r   Y e a r   ( $ ) < / K e y > < / D i a g r a m O b j e c t K e y > < D i a g r a m O b j e c t K e y > < K e y > T a b l e s \ D e p a r t m e n t a l   P r o f i t       L o s s \ M e a s u r e s \ V a r   t o   P r i o r   Y e a r   ( % ) < / K e y > < / D i a g r a m O b j e c t K e y > < D i a g r a m O b j e c t K e y > < K e y > T a b l e s \ D e p a r t m e n t a l   P r o f i t       L o s s _ B u d g e t < / K e y > < / D i a g r a m O b j e c t K e y > < D i a g r a m O b j e c t K e y > < K e y > T a b l e s \ D e p a r t m e n t a l   P r o f i t       L o s s _ B u d g e t \ C o l u m n s \ A c c o u n t < / K e y > < / D i a g r a m O b j e c t K e y > < D i a g r a m O b j e c t K e y > < K e y > T a b l e s \ D e p a r t m e n t a l   P r o f i t       L o s s _ B u d g e t \ C o l u m n s \ D e p a r t m e n t < / K e y > < / D i a g r a m O b j e c t K e y > < D i a g r a m O b j e c t K e y > < K e y > T a b l e s \ D e p a r t m e n t a l   P r o f i t       L o s s _ B u d g e t \ C o l u m n s \ D a t e < / K e y > < / D i a g r a m O b j e c t K e y > < D i a g r a m O b j e c t K e y > < K e y > T a b l e s \ D e p a r t m e n t a l   P r o f i t       L o s s _ B u d g e t \ C o l u m n s \ V a l u e < / K e y > < / D i a g r a m O b j e c t K e y > < D i a g r a m O b j e c t K e y > < K e y > T a b l e s \ D e p a r t m e n t a l   P r o f i t       L o s s _ B u d g e t \ C o l u m n s \ S i g n < / K e y > < / D i a g r a m O b j e c t K e y > < D i a g r a m O b j e c t K e y > < K e y > T a b l e s \ D e p a r t m e n t a l   P r o f i t       L o s s _ B u d g e t \ M e a s u r e s \ S u m   o f   V a l u e   2 < / K e y > < / D i a g r a m O b j e c t K e y > < D i a g r a m O b j e c t K e y > < K e y > T a b l e s \ D e p a r t m e n t a l   P r o f i t       L o s s _ B u d g e t \ S u m   o f   V a l u e   2 \ A d d i t i o n a l   I n f o \ I m p l i c i t   M e a s u r e < / K e y > < / D i a g r a m O b j e c t K e y > < D i a g r a m O b j e c t K e y > < K e y > T a b l e s \ D e p a r t m e n t a l   P r o f i t       L o s s _ B u d g e t \ M e a s u r e s \ Y T D   V a l u e s _ B u d g e t < / K e y > < / D i a g r a m O b j e c t K e y > < D i a g r a m O b j e c t K e y > < K e y > T a b l e s \ D e p a r t m e n t a l   P r o f i t       L o s s _ B u d g e t \ M e a s u r e s \ 2 0 2 4   V a l u e s _ B u d g e t < / K e y > < / D i a g r a m O b j e c t K e y > < D i a g r a m O b j e c t K e y > < K e y > T a b l e s \ D e p a r t m e n t a l   P r o f i t       L o s s _ B u d g e t \ M e a s u r e s \ B u d g e t < / K e y > < / D i a g r a m O b j e c t K e y > < D i a g r a m O b j e c t K e y > < K e y > T a b l e s \ D e p a r t m e n t a l   P r o f i t       L o s s _ B u d g e t \ M e a s u r e s \ 2 0 2 3   V a l u e s _ B u d g e t < / K e y > < / D i a g r a m O b j e c t K e y > < D i a g r a m O b j e c t K e y > < K e y > T a b l e s \ D e p a r t m e n t a l   P r o f i t       L o s s _ B u d g e t \ M e a s u r e s \ 2 0 2 5   V a l u e s _ B u d g e t < / K e y > < / D i a g r a m O b j e c t K e y > < D i a g r a m O b j e c t K e y > < K e y > T a b l e s \ D e p a r t m e n t a l   P r o f i t       L o s s _ B u d g e t \ M e a s u r e s \ C u r r e n t   M o n t h s   V a l u e s _ B u d g e t < / K e y > < / D i a g r a m O b j e c t K e y > < D i a g r a m O b j e c t K e y > < K e y > T a b l e s \ D e p a r t m e n t a l   P r o f i t       L o s s _ B u d g e t \ M e a s u r e s \ T r a i l i n g   1 2   M o n t h s   V a l u e s _ B u d g e t < / K e y > < / D i a g r a m O b j e c t K e y > < D i a g r a m O b j e c t K e y > < K e y > T a b l e s \ D e p a r t m e n t a l   P r o f i t       L o s s _ B u d g e t \ M e a s u r e s \ T r a i l i n g   3   M o n t h s   V a l u e s _ B u d g e t < / K e y > < / D i a g r a m O b j e c t K e y > < D i a g r a m O b j e c t K e y > < K e y > T a b l e s \ D e p a r t m e n t a l   P r o f i t       L o s s _ B u d g e t \ M e a s u r e s \ T r a i l i n g   6   M o n t h s   V a l u e s _ B u d g e t < / K e y > < / D i a g r a m O b j e c t K e y > < D i a g r a m O b j e c t K e y > < K e y > T a b l e s \ C a l e n d a r < / 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 T a b l e s \ C a l e n d a r \ C o l u m n s \ M M M - Y Y < / K e y > < / D i a g r a m O b j e c t K e y > < D i a g r a m O b j e c t K e y > < K e y > T a b l e s \ C a l e n d a r \ C o l u m n s \ D a y   O f   W e e k   N u m b e r < / K e y > < / D i a g r a m O b j e c t K e y > < D i a g r a m O b j e c t K e y > < K e y > T a b l e s \ C a l e n d a r \ C o l u m n s \ D a y   O f   W e e k < / K e y > < / D i a g r a m O b j e c t K e y > < D i a g r a m O b j e c t K e y > < K e y > T a b l e s \ C a l e n d a r \ C o l u m n s \ D a t e   V a l u e < / 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 T a b l e s \ D e p a r t m e n t s < / K e y > < / D i a g r a m O b j e c t K e y > < D i a g r a m O b j e c t K e y > < K e y > T a b l e s \ D e p a r t m e n t s \ C o l u m n s \ D e p a r t m e n t s < / K e y > < / D i a g r a m O b j e c t K e y > < D i a g r a m O b j e c t K e y > < K e y > T a b l e s \ P r e d e f i n e d _ D a t e s < / K e y > < / D i a g r a m O b j e c t K e y > < D i a g r a m O b j e c t K e y > < K e y > T a b l e s \ P r e d e f i n e d _ D a t e s \ C o l u m n s \ P e r i o d < / K e y > < / D i a g r a m O b j e c t K e y > < D i a g r a m O b j e c t K e y > < K e y > T a b l e s \ P r e d e f i n e d _ D a t e s \ C o l u m n s \ D a t e < / K e y > < / D i a g r a m O b j e c t K e y > < D i a g r a m O b j e c t K e y > < K e y > R e l a t i o n s h i p s \ & l t ; T a b l e s \ D e p a r t m e n t a l   P r o f i t       L o s s \ C o l u m n s \ A c c o u n t & g t ; - & l t ; T a b l e s \ M a p p i n g s \ C o l u m n s \ A c c o u n t & g t ; < / K e y > < / D i a g r a m O b j e c t K e y > < D i a g r a m O b j e c t K e y > < K e y > R e l a t i o n s h i p s \ & l t ; T a b l e s \ D e p a r t m e n t a l   P r o f i t       L o s s \ C o l u m n s \ A c c o u n t & g t ; - & l t ; T a b l e s \ M a p p i n g s \ C o l u m n s \ A c c o u n t & g t ; \ F K < / K e y > < / D i a g r a m O b j e c t K e y > < D i a g r a m O b j e c t K e y > < K e y > R e l a t i o n s h i p s \ & l t ; T a b l e s \ D e p a r t m e n t a l   P r o f i t       L o s s \ C o l u m n s \ A c c o u n t & g t ; - & l t ; T a b l e s \ M a p p i n g s \ C o l u m n s \ A c c o u n t & g t ; \ P K < / K e y > < / D i a g r a m O b j e c t K e y > < D i a g r a m O b j e c t K e y > < K e y > R e l a t i o n s h i p s \ & l t ; T a b l e s \ D e p a r t m e n t a l   P r o f i t       L o s s \ C o l u m n s \ A c c o u n t & g t ; - & l t ; T a b l e s \ M a p p i n g s \ C o l u m n s \ A c c o u n t & g t ; \ C r o s s F i l t e r < / K e y > < / D i a g r a m O b j e c t K e y > < D i a g r a m O b j e c t K e y > < K e y > R e l a t i o n s h i p s \ & l t ; T a b l e s \ D e p a r t m e n t a l   P r o f i t       L o s s \ C o l u m n s \ D a t e & g t ; - & l t ; T a b l e s \ C a l e n d a r \ C o l u m n s \ D a t e & g t ; < / K e y > < / D i a g r a m O b j e c t K e y > < D i a g r a m O b j e c t K e y > < K e y > R e l a t i o n s h i p s \ & l t ; T a b l e s \ D e p a r t m e n t a l   P r o f i t       L o s s \ C o l u m n s \ D a t e & g t ; - & l t ; T a b l e s \ C a l e n d a r \ C o l u m n s \ D a t e & g t ; \ F K < / K e y > < / D i a g r a m O b j e c t K e y > < D i a g r a m O b j e c t K e y > < K e y > R e l a t i o n s h i p s \ & l t ; T a b l e s \ D e p a r t m e n t a l   P r o f i t       L o s s \ C o l u m n s \ D a t e & g t ; - & l t ; T a b l e s \ C a l e n d a r \ C o l u m n s \ D a t e & g t ; \ P K < / K e y > < / D i a g r a m O b j e c t K e y > < D i a g r a m O b j e c t K e y > < K e y > R e l a t i o n s h i p s \ & l t ; T a b l e s \ D e p a r t m e n t a l   P r o f i t       L o s s \ C o l u m n s \ D a t e & g t ; - & l t ; T a b l e s \ C a l e n d a r \ C o l u m n s \ D a t e & g t ; \ C r o s s F i l t e r < / K e y > < / D i a g r a m O b j e c t K e y > < D i a g r a m O b j e c t K e y > < K e y > R e l a t i o n s h i p s \ & l t ; T a b l e s \ D e p a r t m e n t a l   P r o f i t       L o s s \ C o l u m n s \ D e p a r t m e n t & g t ; - & l t ; T a b l e s \ D e p a r t m e n t s \ C o l u m n s \ D e p a r t m e n t s & g t ; < / K e y > < / D i a g r a m O b j e c t K e y > < D i a g r a m O b j e c t K e y > < K e y > R e l a t i o n s h i p s \ & l t ; T a b l e s \ D e p a r t m e n t a l   P r o f i t       L o s s \ C o l u m n s \ D e p a r t m e n t & g t ; - & l t ; T a b l e s \ D e p a r t m e n t s \ C o l u m n s \ D e p a r t m e n t s & g t ; \ F K < / K e y > < / D i a g r a m O b j e c t K e y > < D i a g r a m O b j e c t K e y > < K e y > R e l a t i o n s h i p s \ & l t ; T a b l e s \ D e p a r t m e n t a l   P r o f i t       L o s s \ C o l u m n s \ D e p a r t m e n t & g t ; - & l t ; T a b l e s \ D e p a r t m e n t s \ C o l u m n s \ D e p a r t m e n t s & g t ; \ P K < / K e y > < / D i a g r a m O b j e c t K e y > < D i a g r a m O b j e c t K e y > < K e y > R e l a t i o n s h i p s \ & l t ; T a b l e s \ D e p a r t m e n t a l   P r o f i t       L o s s \ C o l u m n s \ D e p a r t m e n t & g t ; - & l t ; T a b l e s \ D e p a r t m e n t s \ C o l u m n s \ D e p a r t m e n t s & g t ; \ C r o s s F i l t e r < / K e y > < / D i a g r a m O b j e c t K e y > < D i a g r a m O b j e c t K e y > < K e y > R e l a t i o n s h i p s \ & l t ; T a b l e s \ D e p a r t m e n t a l   P r o f i t       L o s s _ B u d g e t \ C o l u m n s \ A c c o u n t & g t ; - & l t ; T a b l e s \ M a p p i n g s \ C o l u m n s \ A c c o u n t & g t ; < / K e y > < / D i a g r a m O b j e c t K e y > < D i a g r a m O b j e c t K e y > < K e y > R e l a t i o n s h i p s \ & l t ; T a b l e s \ D e p a r t m e n t a l   P r o f i t       L o s s _ B u d g e t \ C o l u m n s \ A c c o u n t & g t ; - & l t ; T a b l e s \ M a p p i n g s \ C o l u m n s \ A c c o u n t & g t ; \ F K < / K e y > < / D i a g r a m O b j e c t K e y > < D i a g r a m O b j e c t K e y > < K e y > R e l a t i o n s h i p s \ & l t ; T a b l e s \ D e p a r t m e n t a l   P r o f i t       L o s s _ B u d g e t \ C o l u m n s \ A c c o u n t & g t ; - & l t ; T a b l e s \ M a p p i n g s \ C o l u m n s \ A c c o u n t & g t ; \ P K < / K e y > < / D i a g r a m O b j e c t K e y > < D i a g r a m O b j e c t K e y > < K e y > R e l a t i o n s h i p s \ & l t ; T a b l e s \ D e p a r t m e n t a l   P r o f i t       L o s s _ B u d g e t \ C o l u m n s \ A c c o u n t & g t ; - & l t ; T a b l e s \ M a p p i n g s \ C o l u m n s \ A c c o u n t & g t ; \ C r o s s F i l t e r < / K e y > < / D i a g r a m O b j e c t K e y > < D i a g r a m O b j e c t K e y > < K e y > R e l a t i o n s h i p s \ & l t ; T a b l e s \ D e p a r t m e n t a l   P r o f i t       L o s s _ B u d g e t \ C o l u m n s \ D a t e & g t ; - & l t ; T a b l e s \ C a l e n d a r \ C o l u m n s \ D a t e & g t ; < / K e y > < / D i a g r a m O b j e c t K e y > < D i a g r a m O b j e c t K e y > < K e y > R e l a t i o n s h i p s \ & l t ; T a b l e s \ D e p a r t m e n t a l   P r o f i t       L o s s _ B u d g e t \ C o l u m n s \ D a t e & g t ; - & l t ; T a b l e s \ C a l e n d a r \ C o l u m n s \ D a t e & g t ; \ F K < / K e y > < / D i a g r a m O b j e c t K e y > < D i a g r a m O b j e c t K e y > < K e y > R e l a t i o n s h i p s \ & l t ; T a b l e s \ D e p a r t m e n t a l   P r o f i t       L o s s _ B u d g e t \ C o l u m n s \ D a t e & g t ; - & l t ; T a b l e s \ C a l e n d a r \ C o l u m n s \ D a t e & g t ; \ P K < / K e y > < / D i a g r a m O b j e c t K e y > < D i a g r a m O b j e c t K e y > < K e y > R e l a t i o n s h i p s \ & l t ; T a b l e s \ D e p a r t m e n t a l   P r o f i t       L o s s _ B u d g e t \ C o l u m n s \ D a t e & g t ; - & l t ; T a b l e s \ C a l e n d a r \ C o l u m n s \ D a t e & g t ; \ C r o s s F i l t e r < / K e y > < / D i a g r a m O b j e c t K e y > < D i a g r a m O b j e c t K e y > < K e y > R e l a t i o n s h i p s \ & l t ; T a b l e s \ D e p a r t m e n t a l   P r o f i t       L o s s _ B u d g e t \ C o l u m n s \ D e p a r t m e n t & g t ; - & l t ; T a b l e s \ D e p a r t m e n t s \ C o l u m n s \ D e p a r t m e n t s & g t ; < / K e y > < / D i a g r a m O b j e c t K e y > < D i a g r a m O b j e c t K e y > < K e y > R e l a t i o n s h i p s \ & l t ; T a b l e s \ D e p a r t m e n t a l   P r o f i t       L o s s _ B u d g e t \ C o l u m n s \ D e p a r t m e n t & g t ; - & l t ; T a b l e s \ D e p a r t m e n t s \ C o l u m n s \ D e p a r t m e n t s & g t ; \ F K < / K e y > < / D i a g r a m O b j e c t K e y > < D i a g r a m O b j e c t K e y > < K e y > R e l a t i o n s h i p s \ & l t ; T a b l e s \ D e p a r t m e n t a l   P r o f i t       L o s s _ B u d g e t \ C o l u m n s \ D e p a r t m e n t & g t ; - & l t ; T a b l e s \ D e p a r t m e n t s \ C o l u m n s \ D e p a r t m e n t s & g t ; \ P K < / K e y > < / D i a g r a m O b j e c t K e y > < D i a g r a m O b j e c t K e y > < K e y > R e l a t i o n s h i p s \ & l t ; T a b l e s \ D e p a r t m e n t a l   P r o f i t       L o s s _ B u d g e t \ C o l u m n s \ D e p a r t m e n t & g t ; - & l t ; T a b l e s \ D e p a r t m e n t s \ C o l u m n s \ D e p a r t m e n t s & g t ; \ C r o s s F i l t e r < / K e y > < / D i a g r a m O b j e c t K e y > < / A l l K e y s > < S e l e c t e d K e y s > < D i a g r a m O b j e c t K e y > < K e y > T a b l e s \ T a b l e V i e w < / 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 T a g s \ T a b l e s \ & l t ; T a b l e s \ T a b l e V i e w & g t ; < / K e y > < / a : K e y > < a : V a l u e   i : t y p e = " D i a g r a m D i s p l a y T a g V i e w S t a t e " > < I s N o t F i l t e r e d O u t > t r u e < / I s N o t F i l t e r e d O u t > < / a : V a l u e > < / a : K e y V a l u e O f D i a g r a m O b j e c t K e y a n y T y p e z b w N T n L X > < a : K e y V a l u e O f D i a g r a m O b j e c t K e y a n y T y p e z b w N T n L X > < a : K e y > < K e y > D y n a m i c   T a g s \ T a b l e s \ & l t ; T a b l e s \ M a p p i n g s & g t ; < / K e y > < / a : K e y > < a : V a l u e   i : t y p e = " D i a g r a m D i s p l a y T a g V i e w S t a t e " > < I s N o t F i l t e r e d O u t > t r u e < / I s N o t F i l t e r e d O u t > < / a : V a l u e > < / a : K e y V a l u e O f D i a g r a m O b j e c t K e y a n y T y p e z b w N T n L X > < a : K e y V a l u e O f D i a g r a m O b j e c t K e y a n y T y p e z b w N T n L X > < a : K e y > < K e y > D y n a m i c   T a g s \ T a b l e s \ & l t ; T a b l e s \ D e p a r t m e n t a l   P r o f i t       L o s s & g t ; < / K e y > < / a : K e y > < a : V a l u e   i : t y p e = " D i a g r a m D i s p l a y T a g V i e w S t a t e " > < I s N o t F i l t e r e d O u t > t r u e < / I s N o t F i l t e r e d O u t > < / a : V a l u e > < / a : K e y V a l u e O f D i a g r a m O b j e c t K e y a n y T y p e z b w N T n L X > < a : K e y V a l u e O f D i a g r a m O b j e c t K e y a n y T y p e z b w N T n L X > < a : K e y > < K e y > D y n a m i c   T a g s \ T a b l e s \ & l t ; T a b l e s \ D e p a r t m e n t a l   P r o f i t       L o s s _ B u d g e t & g t ; 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 D y n a m i c   T a g s \ T a b l e s \ & l t ; T a b l e s \ D e p a r t m e n t s & g t ; < / K e y > < / a : K e y > < a : V a l u e   i : t y p e = " D i a g r a m D i s p l a y T a g V i e w S t a t e " > < I s N o t F i l t e r e d O u t > t r u e < / I s N o t F i l t e r e d O u t > < / a : V a l u e > < / a : K e y V a l u e O f D i a g r a m O b j e c t K e y a n y T y p e z b w N T n L X > < a : K e y V a l u e O f D i a g r a m O b j e c t K e y a n y T y p e z b w N T n L X > < a : K e y > < K e y > D y n a m i c   T a g s \ T a b l e s \ & l t ; T a b l e s \ P r e d e f i n e d _ D a t e s & g t ; < / K e y > < / a : K e y > < a : V a l u e   i : t y p e = " D i a g r a m D i s p l a y T a g V i e w S t a t e " > < I s N o t F i l t e r e d O u t > t r u e < / I s N o t F i l t e r e d O u t > < / a : V a l u e > < / a : K e y V a l u e O f D i a g r a m O b j e c t K e y a n y T y p e z b w N T n L X > < a : K e y V a l u e O f D i a g r a m O b j e c t K e y a n y T y p e z b w N T n L X > < a : K e y > < K e y > T a b l e s \ T a b l e V i e w < / K e y > < / a : K e y > < a : V a l u e   i : t y p e = " D i a g r a m D i s p l a y N o d e V i e w S t a t e " > < H e i g h t > 1 5 0 < / H e i g h t > < I s E x p a n d e d > t r u e < / I s E x p a n d e d > < I s F o c u s e d > t r u e < / I s F o c u s e d > < L a y e d O u t > t r u e < / L a y e d O u t > < L e f t > 1 2 4 3 < / L e f t > < T a b I n d e x > 6 < / T a b I n d e x > < T o p > 5 3 4 < / T o p > < W i d t h > 2 0 0 < / W i d t h > < / a : V a l u e > < / a : K e y V a l u e O f D i a g r a m O b j e c t K e y a n y T y p e z b w N T n L X > < a : K e y V a l u e O f D i a g r a m O b j e c t K e y a n y T y p e z b w N T n L X > < a : K e y > < K e y > T a b l e s \ T a b l e V i e w \ C o l u m n s \ P e r i o d < / K e y > < / a : K e y > < a : V a l u e   i : t y p e = " D i a g r a m D i s p l a y N o d e V i e w S t a t e " > < H e i g h t > 1 5 0 < / H e i g h t > < I s E x p a n d e d > t r u e < / I s E x p a n d e d > < W i d t h > 2 0 0 < / W i d t h > < / a : V a l u e > < / a : K e y V a l u e O f D i a g r a m O b j e c t K e y a n y T y p e z b w N T n L X > < a : K e y V a l u e O f D i a g r a m O b j e c t K e y a n y T y p e z b w N T n L X > < a : K e y > < K e y > T a b l e s \ T a b l e V i e w \ M e a s u r e s \ C o u n t   o f   P e r i o d < / K e y > < / a : K e y > < a : V a l u e   i : t y p e = " D i a g r a m D i s p l a y N o d e V i e w S t a t e " > < H e i g h t > 1 5 0 < / H e i g h t > < I s E x p a n d e d > t r u e < / I s E x p a n d e d > < W i d t h > 2 0 0 < / W i d t h > < / a : V a l u e > < / a : K e y V a l u e O f D i a g r a m O b j e c t K e y a n y T y p e z b w N T n L X > < a : K e y V a l u e O f D i a g r a m O b j e c t K e y a n y T y p e z b w N T n L X > < a : K e y > < K e y > T a b l e s \ T a b l e V i e w \ C o u n t   o f   P e r i o d \ A d d i t i o n a l   I n f o \ I m p l i c i t   M e a s u r e < / K e y > < / a : K e y > < a : V a l u e   i : t y p e = " D i a g r a m D i s p l a y V i e w S t a t e I D i a g r a m T a g A d d i t i o n a l I n f o " / > < / a : K e y V a l u e O f D i a g r a m O b j e c t K e y a n y T y p e z b w N T n L X > < a : K e y V a l u e O f D i a g r a m O b j e c t K e y a n y T y p e z b w N T n L X > < a : K e y > < K e y > T a b l e s \ T a b l e V i e w \ M e a s u r e s \ S e l e c t e d V i e w < / K e y > < / a : K e y > < a : V a l u e   i : t y p e = " D i a g r a m D i s p l a y N o d e V i e w S t a t e " > < H e i g h t > 1 5 0 < / H e i g h t > < I s E x p a n d e d > t r u e < / I s E x p a n d e d > < W i d t h > 2 0 0 < / W i d t h > < / a : V a l u e > < / a : K e y V a l u e O f D i a g r a m O b j e c t K e y a n y T y p e z b w N T n L X > < a : K e y V a l u e O f D i a g r a m O b j e c t K e y a n y T y p e z b w N T n L X > < a : K e y > < K e y > T a b l e s \ M a p p i n g s < / K e y > < / a : K e y > < a : V a l u e   i : t y p e = " D i a g r a m D i s p l a y N o d e V i e w S t a t e " > < H e i g h t > 1 5 0 < / H e i g h t > < I s E x p a n d e d > t r u e < / I s E x p a n d e d > < L a y e d O u t > t r u e < / L a y e d O u t > < L e f t > 6 2 7 . 9 9 9 9 9 9 9 9 9 9 9 9 8 9 < / L e f t > < T a b I n d e x > 3 < / T a b I n d e x > < T o p > 3 2 3 < / T o p > < W i d t h > 2 0 0 < / W i d t h > < / a : V a l u e > < / a : K e y V a l u e O f D i a g r a m O b j e c t K e y a n y T y p e z b w N T n L X > < a : K e y V a l u e O f D i a g r a m O b j e c t K e y a n y T y p e z b w N T n L X > < a : K e y > < K e y > T a b l e s \ M a p p i n g s \ C o l u m n s \ A c c o u n t < / K e y > < / a : K e y > < a : V a l u e   i : t y p e = " D i a g r a m D i s p l a y N o d e V i e w S t a t e " > < H e i g h t > 1 5 0 < / H e i g h t > < I s E x p a n d e d > t r u e < / I s E x p a n d e d > < W i d t h > 2 0 0 < / W i d t h > < / a : V a l u e > < / a : K e y V a l u e O f D i a g r a m O b j e c t K e y a n y T y p e z b w N T n L X > < a : K e y V a l u e O f D i a g r a m O b j e c t K e y a n y T y p e z b w N T n L X > < a : K e y > < K e y > T a b l e s \ M a p p i n g s \ C o l u m n s \ S e c t i o n < / K e y > < / a : K e y > < a : V a l u e   i : t y p e = " D i a g r a m D i s p l a y N o d e V i e w S t a t e " > < H e i g h t > 1 5 0 < / H e i g h t > < I s E x p a n d e d > t r u e < / I s E x p a n d e d > < W i d t h > 2 0 0 < / W i d t h > < / a : V a l u e > < / a : K e y V a l u e O f D i a g r a m O b j e c t K e y a n y T y p e z b w N T n L X > < a : K e y V a l u e O f D i a g r a m O b j e c t K e y a n y T y p e z b w N T n L X > < a : K e y > < K e y > T a b l e s \ M a p p i n g s \ C o l u m n s \ S u m m a r y   G r o u p i n g < / K e y > < / a : K e y > < a : V a l u e   i : t y p e = " D i a g r a m D i s p l a y N o d e V i e w S t a t e " > < H e i g h t > 1 5 0 < / H e i g h t > < I s E x p a n d e d > t r u e < / I s E x p a n d e d > < W i d t h > 2 0 0 < / W i d t h > < / a : V a l u e > < / a : K e y V a l u e O f D i a g r a m O b j e c t K e y a n y T y p e z b w N T n L X > < a : K e y V a l u e O f D i a g r a m O b j e c t K e y a n y T y p e z b w N T n L X > < a : K e y > < K e y > T a b l e s \ M a p p i n g s \ C o l u m n s \ S i g n < / K e y > < / a : K e y > < a : V a l u e   i : t y p e = " D i a g r a m D i s p l a y N o d e V i e w S t a t e " > < H e i g h t > 1 5 0 < / H e i g h t > < I s E x p a n d e d > t r u e < / I s E x p a n d e d > < W i d t h > 2 0 0 < / W i d t h > < / a : V a l u e > < / a : K e y V a l u e O f D i a g r a m O b j e c t K e y a n y T y p e z b w N T n L X > < a : K e y V a l u e O f D i a g r a m O b j e c t K e y a n y T y p e z b w N T n L X > < a : K e y > < K e y > T a b l e s \ D e p a r t m e n t a l   P r o f i t       L o s s < / K e y > < / a : K e y > < a : V a l u e   i : t y p e = " D i a g r a m D i s p l a y N o d e V i e w S t a t e " > < H e i g h t > 3 3 5 < / H e i g h t > < I s E x p a n d e d > t r u e < / I s E x p a n d e d > < L a y e d O u t > t r u e < / L a y e d O u t > < W i d t h > 2 6 6 < / W i d t h > < / a : V a l u e > < / a : K e y V a l u e O f D i a g r a m O b j e c t K e y a n y T y p e z b w N T n L X > < a : K e y V a l u e O f D i a g r a m O b j e c t K e y a n y T y p e z b w N T n L X > < a : K e y > < K e y > T a b l e s \ D e p a r t m e n t a l   P r o f i t       L o s s \ C o l u m n s \ A c c o u n t < / K e y > < / a : K e y > < a : V a l u e   i : t y p e = " D i a g r a m D i s p l a y N o d e V i e w S t a t e " > < H e i g h t > 1 5 0 < / H e i g h t > < I s E x p a n d e d > t r u e < / I s E x p a n d e d > < W i d t h > 2 0 0 < / W i d t h > < / a : V a l u e > < / a : K e y V a l u e O f D i a g r a m O b j e c t K e y a n y T y p e z b w N T n L X > < a : K e y V a l u e O f D i a g r a m O b j e c t K e y a n y T y p e z b w N T n L X > < a : K e y > < K e y > T a b l e s \ D e p a r t m e n t a l   P r o f i t       L o s s \ C o l u m n s \ D e p a r t m e n t < / K e y > < / a : K e y > < a : V a l u e   i : t y p e = " D i a g r a m D i s p l a y N o d e V i e w S t a t e " > < H e i g h t > 1 5 0 < / H e i g h t > < I s E x p a n d e d > t r u e < / I s E x p a n d e d > < W i d t h > 2 0 0 < / W i d t h > < / a : V a l u e > < / a : K e y V a l u e O f D i a g r a m O b j e c t K e y a n y T y p e z b w N T n L X > < a : K e y V a l u e O f D i a g r a m O b j e c t K e y a n y T y p e z b w N T n L X > < a : K e y > < K e y > T a b l e s \ D e p a r t m e n t a l   P r o f i t       L o s s \ C o l u m n s \ D a t e < / K e y > < / a : K e y > < a : V a l u e   i : t y p e = " D i a g r a m D i s p l a y N o d e V i e w S t a t e " > < H e i g h t > 1 5 0 < / H e i g h t > < I s E x p a n d e d > t r u e < / I s E x p a n d e d > < W i d t h > 2 0 0 < / W i d t h > < / a : V a l u e > < / a : K e y V a l u e O f D i a g r a m O b j e c t K e y a n y T y p e z b w N T n L X > < a : K e y V a l u e O f D i a g r a m O b j e c t K e y a n y T y p e z b w N T n L X > < a : K e y > < K e y > T a b l e s \ D e p a r t m e n t a l   P r o f i t       L o s s \ C o l u m n s \ V a l u e < / K e y > < / a : K e y > < a : V a l u e   i : t y p e = " D i a g r a m D i s p l a y N o d e V i e w S t a t e " > < H e i g h t > 1 5 0 < / H e i g h t > < I s E x p a n d e d > t r u e < / I s E x p a n d e d > < W i d t h > 2 0 0 < / W i d t h > < / a : V a l u e > < / a : K e y V a l u e O f D i a g r a m O b j e c t K e y a n y T y p e z b w N T n L X > < a : K e y V a l u e O f D i a g r a m O b j e c t K e y a n y T y p e z b w N T n L X > < a : K e y > < K e y > T a b l e s \ D e p a r t m e n t a l   P r o f i t       L o s s \ C o l u m n s \ D a t e   ( M o n t h   I n d e x ) < / K e y > < / a : K e y > < a : V a l u e   i : t y p e = " D i a g r a m D i s p l a y N o d e V i e w S t a t e " > < H e i g h t > 1 5 0 < / H e i g h t > < I s E x p a n d e d > t r u e < / I s E x p a n d e d > < W i d t h > 2 0 0 < / W i d t h > < / a : V a l u e > < / a : K e y V a l u e O f D i a g r a m O b j e c t K e y a n y T y p e z b w N T n L X > < a : K e y V a l u e O f D i a g r a m O b j e c t K e y a n y T y p e z b w N T n L X > < a : K e y > < K e y > T a b l e s \ D e p a r t m e n t a l   P r o f i t       L o s s \ C o l u m n s \ D a t e   ( M o n t h ) < / K e y > < / a : K e y > < a : V a l u e   i : t y p e = " D i a g r a m D i s p l a y N o d e V i e w S t a t e " > < H e i g h t > 1 5 0 < / H e i g h t > < I s E x p a n d e d > t r u e < / I s E x p a n d e d > < W i d t h > 2 0 0 < / W i d t h > < / a : V a l u e > < / a : K e y V a l u e O f D i a g r a m O b j e c t K e y a n y T y p e z b w N T n L X > < a : K e y V a l u e O f D i a g r a m O b j e c t K e y a n y T y p e z b w N T n L X > < a : K e y > < K e y > T a b l e s \ D e p a r t m e n t a l   P r o f i t       L o s s \ C o l u m n s \ S i g n < / K e y > < / a : K e y > < a : V a l u e   i : t y p e = " D i a g r a m D i s p l a y N o d e V i e w S t a t e " > < H e i g h t > 1 5 0 < / H e i g h t > < I s E x p a n d e d > t r u e < / I s E x p a n d e d > < W i d t h > 2 0 0 < / W i d t h > < / a : V a l u e > < / a : K e y V a l u e O f D i a g r a m O b j e c t K e y a n y T y p e z b w N T n L X > < a : K e y V a l u e O f D i a g r a m O b j e c t K e y a n y T y p e z b w N T n L X > < a : K e y > < K e y > T a b l e s \ D e p a r t m e n t a l   P r o f i t       L o s s \ M e a s u r e s \ S u m   o f   V a l u e < / K e y > < / a : K e y > < a : V a l u e   i : t y p e = " D i a g r a m D i s p l a y N o d e V i e w S t a t e " > < H e i g h t > 1 5 0 < / H e i g h t > < I s E x p a n d e d > t r u e < / I s E x p a n d e d > < W i d t h > 2 0 0 < / W i d t h > < / a : V a l u e > < / a : K e y V a l u e O f D i a g r a m O b j e c t K e y a n y T y p e z b w N T n L X > < a : K e y V a l u e O f D i a g r a m O b j e c t K e y a n y T y p e z b w N T n L X > < a : K e y > < K e y > T a b l e s \ D e p a r t m e n t a l   P r o f i t       L o s s \ S u m   o f   V a l u e \ A d d i t i o n a l   I n f o \ I m p l i c i t   M e a s u r e < / K e y > < / a : K e y > < a : V a l u e   i : t y p e = " D i a g r a m D i s p l a y V i e w S t a t e I D i a g r a m T a g A d d i t i o n a l I n f o " / > < / a : K e y V a l u e O f D i a g r a m O b j e c t K e y a n y T y p e z b w N T n L X > < a : K e y V a l u e O f D i a g r a m O b j e c t K e y a n y T y p e z b w N T n L X > < a : K e y > < K e y > T a b l e s \ D e p a r t m e n t a l   P r o f i t       L o s s \ M e a s u r e s \ 2 0 2 4   V a l u e s < / K e y > < / a : K e y > < a : V a l u e   i : t y p e = " D i a g r a m D i s p l a y N o d e V i e w S t a t e " > < H e i g h t > 1 5 0 < / H e i g h t > < I s E x p a n d e d > t r u e < / I s E x p a n d e d > < W i d t h > 2 0 0 < / W i d t h > < / a : V a l u e > < / a : K e y V a l u e O f D i a g r a m O b j e c t K e y a n y T y p e z b w N T n L X > < a : K e y V a l u e O f D i a g r a m O b j e c t K e y a n y T y p e z b w N T n L X > < a : K e y > < K e y > T a b l e s \ D e p a r t m e n t a l   P r o f i t       L o s s \ M e a s u r e s \ Y T D   V a l u e s < / K e y > < / a : K e y > < a : V a l u e   i : t y p e = " D i a g r a m D i s p l a y N o d e V i e w S t a t e " > < H e i g h t > 1 5 0 < / H e i g h t > < I s E x p a n d e d > t r u e < / I s E x p a n d e d > < W i d t h > 2 0 0 < / W i d t h > < / a : V a l u e > < / a : K e y V a l u e O f D i a g r a m O b j e c t K e y a n y T y p e z b w N T n L X > < a : K e y V a l u e O f D i a g r a m O b j e c t K e y a n y T y p e z b w N T n L X > < a : K e y > < K e y > T a b l e s \ D e p a r t m e n t a l   P r o f i t       L o s s \ M e a s u r e s \ A c t u a l < / K e y > < / a : K e y > < a : V a l u e   i : t y p e = " D i a g r a m D i s p l a y N o d e V i e w S t a t e " > < H e i g h t > 1 5 0 < / H e i g h t > < I s E x p a n d e d > t r u e < / I s E x p a n d e d > < W i d t h > 2 0 0 < / W i d t h > < / a : V a l u e > < / a : K e y V a l u e O f D i a g r a m O b j e c t K e y a n y T y p e z b w N T n L X > < a : K e y V a l u e O f D i a g r a m O b j e c t K e y a n y T y p e z b w N T n L X > < a : K e y > < K e y > T a b l e s \ D e p a r t m e n t a l   P r o f i t       L o s s \ M e a s u r e s \ 2 0 2 3   V a l u e s < / K e y > < / a : K e y > < a : V a l u e   i : t y p e = " D i a g r a m D i s p l a y N o d e V i e w S t a t e " > < H e i g h t > 1 5 0 < / H e i g h t > < I s E x p a n d e d > t r u e < / I s E x p a n d e d > < W i d t h > 2 0 0 < / W i d t h > < / a : V a l u e > < / a : K e y V a l u e O f D i a g r a m O b j e c t K e y a n y T y p e z b w N T n L X > < a : K e y V a l u e O f D i a g r a m O b j e c t K e y a n y T y p e z b w N T n L X > < a : K e y > < K e y > T a b l e s \ D e p a r t m e n t a l   P r o f i t       L o s s \ M e a s u r e s \ 2 0 2 5   V a l u e s < / K e y > < / a : K e y > < a : V a l u e   i : t y p e = " D i a g r a m D i s p l a y N o d e V i e w S t a t e " > < H e i g h t > 1 5 0 < / H e i g h t > < I s E x p a n d e d > t r u e < / I s E x p a n d e d > < W i d t h > 2 0 0 < / W i d t h > < / a : V a l u e > < / a : K e y V a l u e O f D i a g r a m O b j e c t K e y a n y T y p e z b w N T n L X > < a : K e y V a l u e O f D i a g r a m O b j e c t K e y a n y T y p e z b w N T n L X > < a : K e y > < K e y > T a b l e s \ D e p a r t m e n t a l   P r o f i t       L o s s \ M e a s u r e s \ C u r r e n t   M o n t h s   V a l u e s < / K e y > < / a : K e y > < a : V a l u e   i : t y p e = " D i a g r a m D i s p l a y N o d e V i e w S t a t e " > < H e i g h t > 1 5 0 < / H e i g h t > < I s E x p a n d e d > t r u e < / I s E x p a n d e d > < W i d t h > 2 0 0 < / W i d t h > < / a : V a l u e > < / a : K e y V a l u e O f D i a g r a m O b j e c t K e y a n y T y p e z b w N T n L X > < a : K e y V a l u e O f D i a g r a m O b j e c t K e y a n y T y p e z b w N T n L X > < a : K e y > < K e y > T a b l e s \ D e p a r t m e n t a l   P r o f i t       L o s s \ M e a s u r e s \ T r a i l i n g   1 2   M o n t h s   V a l u e s < / K e y > < / a : K e y > < a : V a l u e   i : t y p e = " D i a g r a m D i s p l a y N o d e V i e w S t a t e " > < H e i g h t > 1 5 0 < / H e i g h t > < I s E x p a n d e d > t r u e < / I s E x p a n d e d > < W i d t h > 2 0 0 < / W i d t h > < / a : V a l u e > < / a : K e y V a l u e O f D i a g r a m O b j e c t K e y a n y T y p e z b w N T n L X > < a : K e y V a l u e O f D i a g r a m O b j e c t K e y a n y T y p e z b w N T n L X > < a : K e y > < K e y > T a b l e s \ D e p a r t m e n t a l   P r o f i t       L o s s \ M e a s u r e s \ T r a i l i n g   3   M o n t h s   V a l u e s < / K e y > < / a : K e y > < a : V a l u e   i : t y p e = " D i a g r a m D i s p l a y N o d e V i e w S t a t e " > < H e i g h t > 1 5 0 < / H e i g h t > < I s E x p a n d e d > t r u e < / I s E x p a n d e d > < W i d t h > 2 0 0 < / W i d t h > < / a : V a l u e > < / a : K e y V a l u e O f D i a g r a m O b j e c t K e y a n y T y p e z b w N T n L X > < a : K e y V a l u e O f D i a g r a m O b j e c t K e y a n y T y p e z b w N T n L X > < a : K e y > < K e y > T a b l e s \ D e p a r t m e n t a l   P r o f i t       L o s s \ M e a s u r e s \ T r a i l i n g   6   M o n t h s   V a l u e s < / K e y > < / a : K e y > < a : V a l u e   i : t y p e = " D i a g r a m D i s p l a y N o d e V i e w S t a t e " > < H e i g h t > 1 5 0 < / H e i g h t > < I s E x p a n d e d > t r u e < / I s E x p a n d e d > < W i d t h > 2 0 0 < / W i d t h > < / a : V a l u e > < / a : K e y V a l u e O f D i a g r a m O b j e c t K e y a n y T y p e z b w N T n L X > < a : K e y V a l u e O f D i a g r a m O b j e c t K e y a n y T y p e z b w N T n L X > < a : K e y > < K e y > T a b l e s \ D e p a r t m e n t a l   P r o f i t       L o s s \ M e a s u r e s \ R e v e n u e < / K e y > < / a : K e y > < a : V a l u e   i : t y p e = " D i a g r a m D i s p l a y N o d e V i e w S t a t e " > < H e i g h t > 1 5 0 < / H e i g h t > < I s E x p a n d e d > t r u e < / I s E x p a n d e d > < W i d t h > 2 0 0 < / W i d t h > < / a : V a l u e > < / a : K e y V a l u e O f D i a g r a m O b j e c t K e y a n y T y p e z b w N T n L X > < a : K e y V a l u e O f D i a g r a m O b j e c t K e y a n y T y p e z b w N T n L X > < a : K e y > < K e y > T a b l e s \ D e p a r t m e n t a l   P r o f i t       L o s s \ M e a s u r e s \ G r o s s   P r o f i t < / K e y > < / a : K e y > < a : V a l u e   i : t y p e = " D i a g r a m D i s p l a y N o d e V i e w S t a t e " > < H e i g h t > 1 5 0 < / H e i g h t > < I s E x p a n d e d > t r u e < / I s E x p a n d e d > < W i d t h > 2 0 0 < / W i d t h > < / a : V a l u e > < / a : K e y V a l u e O f D i a g r a m O b j e c t K e y a n y T y p e z b w N T n L X > < a : K e y V a l u e O f D i a g r a m O b j e c t K e y a n y T y p e z b w N T n L X > < a : K e y > < K e y > T a b l e s \ D e p a r t m e n t a l   P r o f i t       L o s s \ M e a s u r e s \ G r o s s   m a r g i n < / K e y > < / a : K e y > < a : V a l u e   i : t y p e = " D i a g r a m D i s p l a y N o d e V i e w S t a t e " > < H e i g h t > 1 5 0 < / H e i g h t > < I s E x p a n d e d > t r u e < / I s E x p a n d e d > < W i d t h > 2 0 0 < / W i d t h > < / a : V a l u e > < / a : K e y V a l u e O f D i a g r a m O b j e c t K e y a n y T y p e z b w N T n L X > < a : K e y V a l u e O f D i a g r a m O b j e c t K e y a n y T y p e z b w N T n L X > < a : K e y > < K e y > T a b l e s \ D e p a r t m e n t a l   P r o f i t       L o s s \ M e a s u r e s \ P r i o r   P e r i o d   C u r r e n t   M o n t h s   V a l u e s < / K e y > < / a : K e y > < a : V a l u e   i : t y p e = " D i a g r a m D i s p l a y N o d e V i e w S t a t e " > < H e i g h t > 1 5 0 < / H e i g h t > < I s E x p a n d e d > t r u e < / I s E x p a n d e d > < W i d t h > 2 0 0 < / W i d t h > < / a : V a l u e > < / a : K e y V a l u e O f D i a g r a m O b j e c t K e y a n y T y p e z b w N T n L X > < a : K e y V a l u e O f D i a g r a m O b j e c t K e y a n y T y p e z b w N T n L X > < a : K e y > < K e y > T a b l e s \ D e p a r t m e n t a l   P r o f i t       L o s s \ M e a s u r e s \ P r i o r   P e r i o d   T r a i l i n g   1 2   M o n t h s   V a l u e s < / K e y > < / a : K e y > < a : V a l u e   i : t y p e = " D i a g r a m D i s p l a y N o d e V i e w S t a t e " > < H e i g h t > 1 5 0 < / H e i g h t > < I s E x p a n d e d > t r u e < / I s E x p a n d e d > < W i d t h > 2 0 0 < / W i d t h > < / a : V a l u e > < / a : K e y V a l u e O f D i a g r a m O b j e c t K e y a n y T y p e z b w N T n L X > < a : K e y V a l u e O f D i a g r a m O b j e c t K e y a n y T y p e z b w N T n L X > < a : K e y > < K e y > T a b l e s \ D e p a r t m e n t a l   P r o f i t       L o s s \ M e a s u r e s \ P r i o r   Y e a r   Y T D   V a l u e s < / K e y > < / a : K e y > < a : V a l u e   i : t y p e = " D i a g r a m D i s p l a y N o d e V i e w S t a t e " > < H e i g h t > 1 5 0 < / H e i g h t > < I s E x p a n d e d > t r u e < / I s E x p a n d e d > < W i d t h > 2 0 0 < / W i d t h > < / a : V a l u e > < / a : K e y V a l u e O f D i a g r a m O b j e c t K e y a n y T y p e z b w N T n L X > < a : K e y V a l u e O f D i a g r a m O b j e c t K e y a n y T y p e z b w N T n L X > < a : K e y > < K e y > T a b l e s \ D e p a r t m e n t a l   P r o f i t       L o s s \ M e a s u r e s \ P r i o r   P e r i o d   Y T D   V a l u e s < / K e y > < / a : K e y > < a : V a l u e   i : t y p e = " D i a g r a m D i s p l a y N o d e V i e w S t a t e " > < H e i g h t > 1 5 0 < / H e i g h t > < I s E x p a n d e d > t r u e < / I s E x p a n d e d > < W i d t h > 2 0 0 < / W i d t h > < / a : V a l u e > < / a : K e y V a l u e O f D i a g r a m O b j e c t K e y a n y T y p e z b w N T n L X > < a : K e y V a l u e O f D i a g r a m O b j e c t K e y a n y T y p e z b w N T n L X > < a : K e y > < K e y > T a b l e s \ D e p a r t m e n t a l   P r o f i t       L o s s \ M e a s u r e s \ P r i o r   P e r i o d   T r a i l i n g   3   M o n t h s   V a l u e s < / K e y > < / a : K e y > < a : V a l u e   i : t y p e = " D i a g r a m D i s p l a y N o d e V i e w S t a t e " > < H e i g h t > 1 5 0 < / H e i g h t > < I s E x p a n d e d > t r u e < / I s E x p a n d e d > < W i d t h > 2 0 0 < / W i d t h > < / a : V a l u e > < / a : K e y V a l u e O f D i a g r a m O b j e c t K e y a n y T y p e z b w N T n L X > < a : K e y V a l u e O f D i a g r a m O b j e c t K e y a n y T y p e z b w N T n L X > < a : K e y > < K e y > T a b l e s \ D e p a r t m e n t a l   P r o f i t       L o s s \ M e a s u r e s \ P r i o r   P e r i o d   T r a i l i n g   6   M o n t h s   V a l u e s < / K e y > < / a : K e y > < a : V a l u e   i : t y p e = " D i a g r a m D i s p l a y N o d e V i e w S t a t e " > < H e i g h t > 1 5 0 < / H e i g h t > < I s E x p a n d e d > t r u e < / I s E x p a n d e d > < W i d t h > 2 0 0 < / W i d t h > < / a : V a l u e > < / a : K e y V a l u e O f D i a g r a m O b j e c t K e y a n y T y p e z b w N T n L X > < a : K e y V a l u e O f D i a g r a m O b j e c t K e y a n y T y p e z b w N T n L X > < a : K e y > < K e y > T a b l e s \ D e p a r t m e n t a l   P r o f i t       L o s s \ M e a s u r e s \ P r i o r   P e r i o d < / K e y > < / a : K e y > < a : V a l u e   i : t y p e = " D i a g r a m D i s p l a y N o d e V i e w S t a t e " > < H e i g h t > 1 5 0 < / H e i g h t > < I s E x p a n d e d > t r u e < / I s E x p a n d e d > < W i d t h > 2 0 0 < / W i d t h > < / a : V a l u e > < / a : K e y V a l u e O f D i a g r a m O b j e c t K e y a n y T y p e z b w N T n L X > < a : K e y V a l u e O f D i a g r a m O b j e c t K e y a n y T y p e z b w N T n L X > < a : K e y > < K e y > T a b l e s \ D e p a r t m e n t a l   P r o f i t       L o s s \ M e a s u r e s \ P r i o r   Y e a r   C u r r e n t   M o n t h s   V a l u e s < / K e y > < / a : K e y > < a : V a l u e   i : t y p e = " D i a g r a m D i s p l a y N o d e V i e w S t a t e " > < H e i g h t > 1 5 0 < / H e i g h t > < I s E x p a n d e d > t r u e < / I s E x p a n d e d > < W i d t h > 2 0 0 < / W i d t h > < / a : V a l u e > < / a : K e y V a l u e O f D i a g r a m O b j e c t K e y a n y T y p e z b w N T n L X > < a : K e y V a l u e O f D i a g r a m O b j e c t K e y a n y T y p e z b w N T n L X > < a : K e y > < K e y > T a b l e s \ D e p a r t m e n t a l   P r o f i t       L o s s \ M e a s u r e s \ P r i o r   Y e a r   T r a i l i n g   3   M o n t h s   V a l u e s < / K e y > < / a : K e y > < a : V a l u e   i : t y p e = " D i a g r a m D i s p l a y N o d e V i e w S t a t e " > < H e i g h t > 1 5 0 < / H e i g h t > < I s E x p a n d e d > t r u e < / I s E x p a n d e d > < W i d t h > 2 0 0 < / W i d t h > < / a : V a l u e > < / a : K e y V a l u e O f D i a g r a m O b j e c t K e y a n y T y p e z b w N T n L X > < a : K e y V a l u e O f D i a g r a m O b j e c t K e y a n y T y p e z b w N T n L X > < a : K e y > < K e y > T a b l e s \ D e p a r t m e n t a l   P r o f i t       L o s s \ M e a s u r e s \ P r i o r   Y e a r   T r a i l i n g   6   M o n t h s   V a l u e s < / K e y > < / a : K e y > < a : V a l u e   i : t y p e = " D i a g r a m D i s p l a y N o d e V i e w S t a t e " > < H e i g h t > 1 5 0 < / H e i g h t > < I s E x p a n d e d > t r u e < / I s E x p a n d e d > < W i d t h > 2 0 0 < / W i d t h > < / a : V a l u e > < / a : K e y V a l u e O f D i a g r a m O b j e c t K e y a n y T y p e z b w N T n L X > < a : K e y V a l u e O f D i a g r a m O b j e c t K e y a n y T y p e z b w N T n L X > < a : K e y > < K e y > T a b l e s \ D e p a r t m e n t a l   P r o f i t       L o s s \ M e a s u r e s \ P r i o r   Y e a r   T r a i l i n g   1 2   M o n t h s   V a l u e s < / K e y > < / a : K e y > < a : V a l u e   i : t y p e = " D i a g r a m D i s p l a y N o d e V i e w S t a t e " > < H e i g h t > 1 5 0 < / H e i g h t > < I s E x p a n d e d > t r u e < / I s E x p a n d e d > < W i d t h > 2 0 0 < / W i d t h > < / a : V a l u e > < / a : K e y V a l u e O f D i a g r a m O b j e c t K e y a n y T y p e z b w N T n L X > < a : K e y V a l u e O f D i a g r a m O b j e c t K e y a n y T y p e z b w N T n L X > < a : K e y > < K e y > T a b l e s \ D e p a r t m e n t a l   P r o f i t       L o s s \ M e a s u r e s \ P r i o r   Y e a r < / K e y > < / a : K e y > < a : V a l u e   i : t y p e = " D i a g r a m D i s p l a y N o d e V i e w S t a t e " > < H e i g h t > 1 5 0 < / H e i g h t > < I s E x p a n d e d > t r u e < / I s E x p a n d e d > < W i d t h > 2 0 0 < / W i d t h > < / a : V a l u e > < / a : K e y V a l u e O f D i a g r a m O b j e c t K e y a n y T y p e z b w N T n L X > < a : K e y V a l u e O f D i a g r a m O b j e c t K e y a n y T y p e z b w N T n L X > < a : K e y > < K e y > T a b l e s \ D e p a r t m e n t a l   P r o f i t       L o s s \ M e a s u r e s \ V a r   t o   B u d g e t   E x p e n s e   ( $ ) < / K e y > < / a : K e y > < a : V a l u e   i : t y p e = " D i a g r a m D i s p l a y N o d e V i e w S t a t e " > < H e i g h t > 1 5 0 < / H e i g h t > < I s E x p a n d e d > t r u e < / I s E x p a n d e d > < W i d t h > 2 0 0 < / W i d t h > < / a : V a l u e > < / a : K e y V a l u e O f D i a g r a m O b j e c t K e y a n y T y p e z b w N T n L X > < a : K e y V a l u e O f D i a g r a m O b j e c t K e y a n y T y p e z b w N T n L X > < a : K e y > < K e y > T a b l e s \ D e p a r t m e n t a l   P r o f i t       L o s s \ M e a s u r e s \ V a r   t o   B u d g e t   E x p e n s e   ( % ) < / K e y > < / a : K e y > < a : V a l u e   i : t y p e = " D i a g r a m D i s p l a y N o d e V i e w S t a t e " > < H e i g h t > 1 5 0 < / H e i g h t > < I s E x p a n d e d > t r u e < / I s E x p a n d e d > < W i d t h > 2 0 0 < / W i d t h > < / a : V a l u e > < / a : K e y V a l u e O f D i a g r a m O b j e c t K e y a n y T y p e z b w N T n L X > < a : K e y V a l u e O f D i a g r a m O b j e c t K e y a n y T y p e z b w N T n L X > < a : K e y > < K e y > T a b l e s \ D e p a r t m e n t a l   P r o f i t       L o s s \ M e a s u r e s \ V a r   t o   B u d g e t   I n c o m e   ( $ ) < / K e y > < / a : K e y > < a : V a l u e   i : t y p e = " D i a g r a m D i s p l a y N o d e V i e w S t a t e " > < H e i g h t > 1 5 0 < / H e i g h t > < I s E x p a n d e d > t r u e < / I s E x p a n d e d > < W i d t h > 2 0 0 < / W i d t h > < / a : V a l u e > < / a : K e y V a l u e O f D i a g r a m O b j e c t K e y a n y T y p e z b w N T n L X > < a : K e y V a l u e O f D i a g r a m O b j e c t K e y a n y T y p e z b w N T n L X > < a : K e y > < K e y > T a b l e s \ D e p a r t m e n t a l   P r o f i t       L o s s \ M e a s u r e s \ V a r   t o   B u d g e t   I n c o m e   ( % ) < / K e y > < / a : K e y > < a : V a l u e   i : t y p e = " D i a g r a m D i s p l a y N o d e V i e w S t a t e " > < H e i g h t > 1 5 0 < / H e i g h t > < I s E x p a n d e d > t r u e < / I s E x p a n d e d > < W i d t h > 2 0 0 < / W i d t h > < / a : V a l u e > < / a : K e y V a l u e O f D i a g r a m O b j e c t K e y a n y T y p e z b w N T n L X > < a : K e y V a l u e O f D i a g r a m O b j e c t K e y a n y T y p e z b w N T n L X > < a : K e y > < K e y > T a b l e s \ D e p a r t m e n t a l   P r o f i t       L o s s \ M e a s u r e s \ V a r   t o   P r i o r   P e r i o d   ( $ ) < / K e y > < / a : K e y > < a : V a l u e   i : t y p e = " D i a g r a m D i s p l a y N o d e V i e w S t a t e " > < H e i g h t > 1 5 0 < / H e i g h t > < I s E x p a n d e d > t r u e < / I s E x p a n d e d > < W i d t h > 2 0 0 < / W i d t h > < / a : V a l u e > < / a : K e y V a l u e O f D i a g r a m O b j e c t K e y a n y T y p e z b w N T n L X > < a : K e y V a l u e O f D i a g r a m O b j e c t K e y a n y T y p e z b w N T n L X > < a : K e y > < K e y > T a b l e s \ D e p a r t m e n t a l   P r o f i t       L o s s \ M e a s u r e s \ V a r   t o   P r i o r   P e r i o d   ( % ) < / K e y > < / a : K e y > < a : V a l u e   i : t y p e = " D i a g r a m D i s p l a y N o d e V i e w S t a t e " > < H e i g h t > 1 5 0 < / H e i g h t > < I s E x p a n d e d > t r u e < / I s E x p a n d e d > < W i d t h > 2 0 0 < / W i d t h > < / a : V a l u e > < / a : K e y V a l u e O f D i a g r a m O b j e c t K e y a n y T y p e z b w N T n L X > < a : K e y V a l u e O f D i a g r a m O b j e c t K e y a n y T y p e z b w N T n L X > < a : K e y > < K e y > T a b l e s \ D e p a r t m e n t a l   P r o f i t       L o s s \ M e a s u r e s \ V a r   t o   P r i o r   Y e a r   ( $ ) < / K e y > < / a : K e y > < a : V a l u e   i : t y p e = " D i a g r a m D i s p l a y N o d e V i e w S t a t e " > < H e i g h t > 1 5 0 < / H e i g h t > < I s E x p a n d e d > t r u e < / I s E x p a n d e d > < W i d t h > 2 0 0 < / W i d t h > < / a : V a l u e > < / a : K e y V a l u e O f D i a g r a m O b j e c t K e y a n y T y p e z b w N T n L X > < a : K e y V a l u e O f D i a g r a m O b j e c t K e y a n y T y p e z b w N T n L X > < a : K e y > < K e y > T a b l e s \ D e p a r t m e n t a l   P r o f i t       L o s s \ M e a s u r e s \ V a r   t o   P r i o r   Y e a r   ( % ) < / K e y > < / a : K e y > < a : V a l u e   i : t y p e = " D i a g r a m D i s p l a y N o d e V i e w S t a t e " > < H e i g h t > 1 5 0 < / H e i g h t > < I s E x p a n d e d > t r u e < / I s E x p a n d e d > < W i d t h > 2 0 0 < / W i d t h > < / a : V a l u e > < / a : K e y V a l u e O f D i a g r a m O b j e c t K e y a n y T y p e z b w N T n L X > < a : K e y V a l u e O f D i a g r a m O b j e c t K e y a n y T y p e z b w N T n L X > < a : K e y > < K e y > T a b l e s \ D e p a r t m e n t a l   P r o f i t       L o s s _ B u d g e t < / K e y > < / a : K e y > < a : V a l u e   i : t y p e = " D i a g r a m D i s p l a y N o d e V i e w S t a t e " > < H e i g h t > 3 1 6 < / H e i g h t > < I s E x p a n d e d > t r u e < / I s E x p a n d e d > < L a y e d O u t > t r u e < / L a y e d O u t > < L e f t > 1 2 2 0 < / L e f t > < T a b I n d e x > 2 < / T a b I n d e x > < W i d t h > 3 2 2 < / W i d t h > < / a : V a l u e > < / a : K e y V a l u e O f D i a g r a m O b j e c t K e y a n y T y p e z b w N T n L X > < a : K e y V a l u e O f D i a g r a m O b j e c t K e y a n y T y p e z b w N T n L X > < a : K e y > < K e y > T a b l e s \ D e p a r t m e n t a l   P r o f i t       L o s s _ B u d g e t \ C o l u m n s \ A c c o u n t < / K e y > < / a : K e y > < a : V a l u e   i : t y p e = " D i a g r a m D i s p l a y N o d e V i e w S t a t e " > < H e i g h t > 1 5 0 < / H e i g h t > < I s E x p a n d e d > t r u e < / I s E x p a n d e d > < W i d t h > 2 0 0 < / W i d t h > < / a : V a l u e > < / a : K e y V a l u e O f D i a g r a m O b j e c t K e y a n y T y p e z b w N T n L X > < a : K e y V a l u e O f D i a g r a m O b j e c t K e y a n y T y p e z b w N T n L X > < a : K e y > < K e y > T a b l e s \ D e p a r t m e n t a l   P r o f i t       L o s s _ B u d g e t \ C o l u m n s \ D e p a r t m e n t < / K e y > < / a : K e y > < a : V a l u e   i : t y p e = " D i a g r a m D i s p l a y N o d e V i e w S t a t e " > < H e i g h t > 1 5 0 < / H e i g h t > < I s E x p a n d e d > t r u e < / I s E x p a n d e d > < W i d t h > 2 0 0 < / W i d t h > < / a : V a l u e > < / a : K e y V a l u e O f D i a g r a m O b j e c t K e y a n y T y p e z b w N T n L X > < a : K e y V a l u e O f D i a g r a m O b j e c t K e y a n y T y p e z b w N T n L X > < a : K e y > < K e y > T a b l e s \ D e p a r t m e n t a l   P r o f i t       L o s s _ B u d g e t \ C o l u m n s \ D a t e < / K e y > < / a : K e y > < a : V a l u e   i : t y p e = " D i a g r a m D i s p l a y N o d e V i e w S t a t e " > < H e i g h t > 1 5 0 < / H e i g h t > < I s E x p a n d e d > t r u e < / I s E x p a n d e d > < W i d t h > 2 0 0 < / W i d t h > < / a : V a l u e > < / a : K e y V a l u e O f D i a g r a m O b j e c t K e y a n y T y p e z b w N T n L X > < a : K e y V a l u e O f D i a g r a m O b j e c t K e y a n y T y p e z b w N T n L X > < a : K e y > < K e y > T a b l e s \ D e p a r t m e n t a l   P r o f i t       L o s s _ B u d g e t \ C o l u m n s \ V a l u e < / K e y > < / a : K e y > < a : V a l u e   i : t y p e = " D i a g r a m D i s p l a y N o d e V i e w S t a t e " > < H e i g h t > 1 5 0 < / H e i g h t > < I s E x p a n d e d > t r u e < / I s E x p a n d e d > < W i d t h > 2 0 0 < / W i d t h > < / a : V a l u e > < / a : K e y V a l u e O f D i a g r a m O b j e c t K e y a n y T y p e z b w N T n L X > < a : K e y V a l u e O f D i a g r a m O b j e c t K e y a n y T y p e z b w N T n L X > < a : K e y > < K e y > T a b l e s \ D e p a r t m e n t a l   P r o f i t       L o s s _ B u d g e t \ C o l u m n s \ S i g n < / K e y > < / a : K e y > < a : V a l u e   i : t y p e = " D i a g r a m D i s p l a y N o d e V i e w S t a t e " > < H e i g h t > 1 5 0 < / H e i g h t > < I s E x p a n d e d > t r u e < / I s E x p a n d e d > < W i d t h > 2 0 0 < / W i d t h > < / a : V a l u e > < / a : K e y V a l u e O f D i a g r a m O b j e c t K e y a n y T y p e z b w N T n L X > < a : K e y V a l u e O f D i a g r a m O b j e c t K e y a n y T y p e z b w N T n L X > < a : K e y > < K e y > T a b l e s \ D e p a r t m e n t a l   P r o f i t       L o s s _ B u d g e t \ M e a s u r e s \ S u m   o f   V a l u e   2 < / K e y > < / a : K e y > < a : V a l u e   i : t y p e = " D i a g r a m D i s p l a y N o d e V i e w S t a t e " > < H e i g h t > 1 5 0 < / H e i g h t > < I s E x p a n d e d > t r u e < / I s E x p a n d e d > < W i d t h > 2 0 0 < / W i d t h > < / a : V a l u e > < / a : K e y V a l u e O f D i a g r a m O b j e c t K e y a n y T y p e z b w N T n L X > < a : K e y V a l u e O f D i a g r a m O b j e c t K e y a n y T y p e z b w N T n L X > < a : K e y > < K e y > T a b l e s \ D e p a r t m e n t a l   P r o f i t       L o s s _ B u d g e t \ S u m   o f   V a l u e   2 \ A d d i t i o n a l   I n f o \ I m p l i c i t   M e a s u r e < / K e y > < / a : K e y > < a : V a l u e   i : t y p e = " D i a g r a m D i s p l a y V i e w S t a t e I D i a g r a m T a g A d d i t i o n a l I n f o " / > < / a : K e y V a l u e O f D i a g r a m O b j e c t K e y a n y T y p e z b w N T n L X > < a : K e y V a l u e O f D i a g r a m O b j e c t K e y a n y T y p e z b w N T n L X > < a : K e y > < K e y > T a b l e s \ D e p a r t m e n t a l   P r o f i t       L o s s _ B u d g e t \ M e a s u r e s \ Y T D   V a l u e s _ B u d g e t < / K e y > < / a : K e y > < a : V a l u e   i : t y p e = " D i a g r a m D i s p l a y N o d e V i e w S t a t e " > < H e i g h t > 1 5 0 < / H e i g h t > < I s E x p a n d e d > t r u e < / I s E x p a n d e d > < W i d t h > 2 0 0 < / W i d t h > < / a : V a l u e > < / a : K e y V a l u e O f D i a g r a m O b j e c t K e y a n y T y p e z b w N T n L X > < a : K e y V a l u e O f D i a g r a m O b j e c t K e y a n y T y p e z b w N T n L X > < a : K e y > < K e y > T a b l e s \ D e p a r t m e n t a l   P r o f i t       L o s s _ B u d g e t \ M e a s u r e s \ 2 0 2 4   V a l u e s _ B u d g e t < / K e y > < / a : K e y > < a : V a l u e   i : t y p e = " D i a g r a m D i s p l a y N o d e V i e w S t a t e " > < H e i g h t > 1 5 0 < / H e i g h t > < I s E x p a n d e d > t r u e < / I s E x p a n d e d > < W i d t h > 2 0 0 < / W i d t h > < / a : V a l u e > < / a : K e y V a l u e O f D i a g r a m O b j e c t K e y a n y T y p e z b w N T n L X > < a : K e y V a l u e O f D i a g r a m O b j e c t K e y a n y T y p e z b w N T n L X > < a : K e y > < K e y > T a b l e s \ D e p a r t m e n t a l   P r o f i t       L o s s _ B u d g e t \ M e a s u r e s \ B u d g e t < / K e y > < / a : K e y > < a : V a l u e   i : t y p e = " D i a g r a m D i s p l a y N o d e V i e w S t a t e " > < H e i g h t > 1 5 0 < / H e i g h t > < I s E x p a n d e d > t r u e < / I s E x p a n d e d > < W i d t h > 2 0 0 < / W i d t h > < / a : V a l u e > < / a : K e y V a l u e O f D i a g r a m O b j e c t K e y a n y T y p e z b w N T n L X > < a : K e y V a l u e O f D i a g r a m O b j e c t K e y a n y T y p e z b w N T n L X > < a : K e y > < K e y > T a b l e s \ D e p a r t m e n t a l   P r o f i t       L o s s _ B u d g e t \ M e a s u r e s \ 2 0 2 3   V a l u e s _ B u d g e t < / K e y > < / a : K e y > < a : V a l u e   i : t y p e = " D i a g r a m D i s p l a y N o d e V i e w S t a t e " > < H e i g h t > 1 5 0 < / H e i g h t > < I s E x p a n d e d > t r u e < / I s E x p a n d e d > < W i d t h > 2 0 0 < / W i d t h > < / a : V a l u e > < / a : K e y V a l u e O f D i a g r a m O b j e c t K e y a n y T y p e z b w N T n L X > < a : K e y V a l u e O f D i a g r a m O b j e c t K e y a n y T y p e z b w N T n L X > < a : K e y > < K e y > T a b l e s \ D e p a r t m e n t a l   P r o f i t       L o s s _ B u d g e t \ M e a s u r e s \ 2 0 2 5   V a l u e s _ B u d g e t < / K e y > < / a : K e y > < a : V a l u e   i : t y p e = " D i a g r a m D i s p l a y N o d e V i e w S t a t e " > < H e i g h t > 1 5 0 < / H e i g h t > < I s E x p a n d e d > t r u e < / I s E x p a n d e d > < W i d t h > 2 0 0 < / W i d t h > < / a : V a l u e > < / a : K e y V a l u e O f D i a g r a m O b j e c t K e y a n y T y p e z b w N T n L X > < a : K e y V a l u e O f D i a g r a m O b j e c t K e y a n y T y p e z b w N T n L X > < a : K e y > < K e y > T a b l e s \ D e p a r t m e n t a l   P r o f i t       L o s s _ B u d g e t \ M e a s u r e s \ C u r r e n t   M o n t h s   V a l u e s _ B u d g e t < / K e y > < / a : K e y > < a : V a l u e   i : t y p e = " D i a g r a m D i s p l a y N o d e V i e w S t a t e " > < H e i g h t > 1 5 0 < / H e i g h t > < I s E x p a n d e d > t r u e < / I s E x p a n d e d > < W i d t h > 2 0 0 < / W i d t h > < / a : V a l u e > < / a : K e y V a l u e O f D i a g r a m O b j e c t K e y a n y T y p e z b w N T n L X > < a : K e y V a l u e O f D i a g r a m O b j e c t K e y a n y T y p e z b w N T n L X > < a : K e y > < K e y > T a b l e s \ D e p a r t m e n t a l   P r o f i t       L o s s _ B u d g e t \ M e a s u r e s \ T r a i l i n g   1 2   M o n t h s   V a l u e s _ B u d g e t < / K e y > < / a : K e y > < a : V a l u e   i : t y p e = " D i a g r a m D i s p l a y N o d e V i e w S t a t e " > < H e i g h t > 1 5 0 < / H e i g h t > < I s E x p a n d e d > t r u e < / I s E x p a n d e d > < W i d t h > 2 0 0 < / W i d t h > < / a : V a l u e > < / a : K e y V a l u e O f D i a g r a m O b j e c t K e y a n y T y p e z b w N T n L X > < a : K e y V a l u e O f D i a g r a m O b j e c t K e y a n y T y p e z b w N T n L X > < a : K e y > < K e y > T a b l e s \ D e p a r t m e n t a l   P r o f i t       L o s s _ B u d g e t \ M e a s u r e s \ T r a i l i n g   3   M o n t h s   V a l u e s _ B u d g e t < / K e y > < / a : K e y > < a : V a l u e   i : t y p e = " D i a g r a m D i s p l a y N o d e V i e w S t a t e " > < H e i g h t > 1 5 0 < / H e i g h t > < I s E x p a n d e d > t r u e < / I s E x p a n d e d > < W i d t h > 2 0 0 < / W i d t h > < / a : V a l u e > < / a : K e y V a l u e O f D i a g r a m O b j e c t K e y a n y T y p e z b w N T n L X > < a : K e y V a l u e O f D i a g r a m O b j e c t K e y a n y T y p e z b w N T n L X > < a : K e y > < K e y > T a b l e s \ D e p a r t m e n t a l   P r o f i t       L o s s _ B u d g e t \ M e a s u r e s \ T r a i l i n g   6   M o n t h s   V a l u e s _ B u d g e t < / K e y > < / a : K e y > < a : V a l u e   i : t y p e = " D i a g r a m D i s p l a y N o d e V i e w S t a t e " > < H e i g h t > 1 5 0 < / H e i g h t > < I s E x p a n d e d > t r u e < / I s E x p a n d e d > < W i d t h > 2 0 0 < / W i d t h > < / a : V a l u e > < / a : K e y V a l u e O f D i a g r a m O b j e c t K e y a n y T y p e z b w N T n L X > < a : K e y V a l u e O f D i a g r a m O b j e c t K e y a n y T y p e z b w N T n L X > < a : K e y > < K e y > T a b l e s \ C a l e n d a r < / K e y > < / a : K e y > < a : V a l u e   i : t y p e = " D i a g r a m D i s p l a y N o d e V i e w S t a t e " > < H e i g h t > 3 0 5 < / H e i g h t > < I s E x p a n d e d > t r u e < / I s E x p a n d e d > < L a y e d O u t > t r u e < / L a y e d O u t > < L e f t > 6 3 0 < / L e f t > < T a b I n d e x > 1 < / T a b I n d e x > < 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 T a b l e s \ C a l e n d a r \ C o l u m n s \ M M M - Y Y 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 T a b l e s \ C a l e n d a r \ C o l u m n s \ D a t e   V a l u e < / 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 T a b l e s \ D e p a r t m e n t s < / K e y > < / a : K e y > < a : V a l u e   i : t y p e = " D i a g r a m D i s p l a y N o d e V i e w S t a t e " > < H e i g h t > 1 5 0 < / H e i g h t > < I s E x p a n d e d > t r u e < / I s E x p a n d e d > < L a y e d O u t > t r u e < / L a y e d O u t > < L e f t > 6 1 4 < / L e f t > < T a b I n d e x > 5 < / T a b I n d e x > < T o p > 6 0 8 < / T o p > < W i d t h > 2 0 0 < / W i d t h > < / a : V a l u e > < / a : K e y V a l u e O f D i a g r a m O b j e c t K e y a n y T y p e z b w N T n L X > < a : K e y V a l u e O f D i a g r a m O b j e c t K e y a n y T y p e z b w N T n L X > < a : K e y > < K e y > T a b l e s \ D e p a r t m e n t s \ C o l u m n s \ D e p a r t m e n t s < / K e y > < / a : K e y > < a : V a l u e   i : t y p e = " D i a g r a m D i s p l a y N o d e V i e w S t a t e " > < H e i g h t > 1 5 0 < / H e i g h t > < I s E x p a n d e d > t r u e < / I s E x p a n d e d > < W i d t h > 2 0 0 < / W i d t h > < / a : V a l u e > < / a : K e y V a l u e O f D i a g r a m O b j e c t K e y a n y T y p e z b w N T n L X > < a : K e y V a l u e O f D i a g r a m O b j e c t K e y a n y T y p e z b w N T n L X > < a : K e y > < K e y > T a b l e s \ P r e d e f i n e d _ D a t e s < / K e y > < / a : K e y > < a : V a l u e   i : t y p e = " D i a g r a m D i s p l a y N o d e V i e w S t a t e " > < H e i g h t > 1 5 0 < / H e i g h t > < I s E x p a n d e d > t r u e < / I s E x p a n d e d > < L a y e d O u t > t r u e < / L a y e d O u t > < L e f t > 1 2 2 5 < / L e f t > < T a b I n d e x > 4 < / T a b I n d e x > < T o p > 3 3 8 . 5 < / T o p > < W i d t h > 2 0 0 < / W i d t h > < / a : V a l u e > < / a : K e y V a l u e O f D i a g r a m O b j e c t K e y a n y T y p e z b w N T n L X > < a : K e y V a l u e O f D i a g r a m O b j e c t K e y a n y T y p e z b w N T n L X > < a : K e y > < K e y > T a b l e s \ P r e d e f i n e d _ D a t e s \ C o l u m n s \ P e r i o d < / K e y > < / a : K e y > < a : V a l u e   i : t y p e = " D i a g r a m D i s p l a y N o d e V i e w S t a t e " > < H e i g h t > 1 5 0 < / H e i g h t > < I s E x p a n d e d > t r u e < / I s E x p a n d e d > < W i d t h > 2 0 0 < / W i d t h > < / a : V a l u e > < / a : K e y V a l u e O f D i a g r a m O b j e c t K e y a n y T y p e z b w N T n L X > < a : K e y V a l u e O f D i a g r a m O b j e c t K e y a n y T y p e z b w N T n L X > < a : K e y > < K e y > T a b l e s \ P r e d e f i n e d _ D a t e s \ C o l u m n s \ D a t e < / K e y > < / a : K e y > < a : V a l u e   i : t y p e = " D i a g r a m D i s p l a y N o d e V i e w S t a t e " > < H e i g h t > 1 5 0 < / H e i g h t > < I s E x p a n d e d > t r u e < / I s E x p a n d e d > < W i d t h > 2 0 0 < / W i d t h > < / a : V a l u e > < / a : K e y V a l u e O f D i a g r a m O b j e c t K e y a n y T y p e z b w N T n L X > < a : K e y V a l u e O f D i a g r a m O b j e c t K e y a n y T y p e z b w N T n L X > < a : K e y > < K e y > R e l a t i o n s h i p s \ & l t ; T a b l e s \ D e p a r t m e n t a l   P r o f i t       L o s s \ C o l u m n s \ A c c o u n t & g t ; - & l t ; T a b l e s \ M a p p i n g s \ C o l u m n s \ A c c o u n t & g t ; < / K e y > < / a : K e y > < a : V a l u e   i : t y p e = " D i a g r a m D i s p l a y L i n k V i e w S t a t e " > < A u t o m a t i o n P r o p e r t y H e l p e r T e x t > E n d   p o i n t   1 :   ( 1 4 3 , 3 5 1 ) .   E n d   p o i n t   2 :   ( 6 1 2 , 3 9 8 )   < / A u t o m a t i o n P r o p e r t y H e l p e r T e x t > < L a y e d O u t > t r u e < / L a y e d O u t > < P o i n t s   x m l n s : b = " h t t p : / / s c h e m a s . d a t a c o n t r a c t . o r g / 2 0 0 4 / 0 7 / S y s t e m . W i n d o w s " > < b : P o i n t > < b : _ x > 1 4 3 < / b : _ x > < b : _ y > 3 5 1 < / b : _ y > < / b : P o i n t > < b : P o i n t > < b : _ x > 1 4 3 < / b : _ x > < b : _ y > 3 9 6 < / b : _ y > < / b : P o i n t > < b : P o i n t > < b : _ x > 1 4 5 < / b : _ x > < b : _ y > 3 9 8 < / b : _ y > < / b : P o i n t > < b : P o i n t > < b : _ x > 6 1 2 < / b : _ x > < b : _ y > 3 9 8 < / b : _ y > < / b : P o i n t > < / P o i n t s > < / a : V a l u e > < / a : K e y V a l u e O f D i a g r a m O b j e c t K e y a n y T y p e z b w N T n L X > < a : K e y V a l u e O f D i a g r a m O b j e c t K e y a n y T y p e z b w N T n L X > < a : K e y > < K e y > R e l a t i o n s h i p s \ & l t ; T a b l e s \ D e p a r t m e n t a l   P r o f i t       L o s s \ C o l u m n s \ A c c o u n t & g t ; - & l t ; T a b l e s \ M a p p i n g s \ C o l u m n s \ A c c o u n t & g t ; \ F K < / K e y > < / a : K e y > < a : V a l u e   i : t y p e = " D i a g r a m D i s p l a y L i n k E n d p o i n t V i e w S t a t e " > < H e i g h t > 1 6 < / H e i g h t > < L a b e l L o c a t i o n   x m l n s : b = " h t t p : / / s c h e m a s . d a t a c o n t r a c t . o r g / 2 0 0 4 / 0 7 / S y s t e m . W i n d o w s " > < b : _ x > 1 3 5 < / b : _ x > < b : _ y > 3 3 5 < / b : _ y > < / L a b e l L o c a t i o n > < L o c a t i o n   x m l n s : b = " h t t p : / / s c h e m a s . d a t a c o n t r a c t . o r g / 2 0 0 4 / 0 7 / S y s t e m . W i n d o w s " > < b : _ x > 1 4 3 < / b : _ x > < b : _ y > 3 3 5 < / b : _ y > < / L o c a t i o n > < S h a p e R o t a t e A n g l e > 9 0 < / S h a p e R o t a t e A n g l e > < W i d t h > 1 6 < / W i d t h > < / a : V a l u e > < / a : K e y V a l u e O f D i a g r a m O b j e c t K e y a n y T y p e z b w N T n L X > < a : K e y V a l u e O f D i a g r a m O b j e c t K e y a n y T y p e z b w N T n L X > < a : K e y > < K e y > R e l a t i o n s h i p s \ & l t ; T a b l e s \ D e p a r t m e n t a l   P r o f i t       L o s s \ C o l u m n s \ A c c o u n t & g t ; - & l t ; T a b l e s \ M a p p i n g s \ C o l u m n s \ A c c o u n t & g t ; \ P K < / K e y > < / a : K e y > < a : V a l u e   i : t y p e = " D i a g r a m D i s p l a y L i n k E n d p o i n t V i e w S t a t e " > < H e i g h t > 1 6 < / H e i g h t > < L a b e l L o c a t i o n   x m l n s : b = " h t t p : / / s c h e m a s . d a t a c o n t r a c t . o r g / 2 0 0 4 / 0 7 / S y s t e m . W i n d o w s " > < b : _ x > 6 1 2 < / b : _ x > < b : _ y > 3 9 0 < / b : _ y > < / L a b e l L o c a t i o n > < L o c a t i o n   x m l n s : b = " h t t p : / / s c h e m a s . d a t a c o n t r a c t . o r g / 2 0 0 4 / 0 7 / S y s t e m . W i n d o w s " > < b : _ x > 6 2 8 < / b : _ x > < b : _ y > 3 9 8 < / b : _ y > < / L o c a t i o n > < S h a p e R o t a t e A n g l e > 1 8 0 < / S h a p e R o t a t e A n g l e > < W i d t h > 1 6 < / W i d t h > < / a : V a l u e > < / a : K e y V a l u e O f D i a g r a m O b j e c t K e y a n y T y p e z b w N T n L X > < a : K e y V a l u e O f D i a g r a m O b j e c t K e y a n y T y p e z b w N T n L X > < a : K e y > < K e y > R e l a t i o n s h i p s \ & l t ; T a b l e s \ D e p a r t m e n t a l   P r o f i t       L o s s \ C o l u m n s \ A c c o u n t & g t ; - & l t ; T a b l e s \ M a p p i n g s \ C o l u m n s \ A c c o u n t & g t ; \ C r o s s F i l t e r < / K e y > < / a : K e y > < a : V a l u e   i : t y p e = " D i a g r a m D i s p l a y L i n k C r o s s F i l t e r V i e w S t a t e " > < P o i n t s   x m l n s : b = " h t t p : / / s c h e m a s . d a t a c o n t r a c t . o r g / 2 0 0 4 / 0 7 / S y s t e m . W i n d o w s " > < b : P o i n t > < b : _ x > 1 4 3 < / b : _ x > < b : _ y > 3 5 1 < / b : _ y > < / b : P o i n t > < b : P o i n t > < b : _ x > 1 4 3 < / b : _ x > < b : _ y > 3 9 6 < / b : _ y > < / b : P o i n t > < b : P o i n t > < b : _ x > 1 4 5 < / b : _ x > < b : _ y > 3 9 8 < / b : _ y > < / b : P o i n t > < b : P o i n t > < b : _ x > 6 1 2 < / b : _ x > < b : _ y > 3 9 8 < / b : _ y > < / b : P o i n t > < / P o i n t s > < / a : V a l u e > < / a : K e y V a l u e O f D i a g r a m O b j e c t K e y a n y T y p e z b w N T n L X > < a : K e y V a l u e O f D i a g r a m O b j e c t K e y a n y T y p e z b w N T n L X > < a : K e y > < K e y > R e l a t i o n s h i p s \ & l t ; T a b l e s \ D e p a r t m e n t a l   P r o f i t       L o s s \ C o l u m n s \ D a t e & g t ; - & l t ; T a b l e s \ C a l e n d a r \ C o l u m n s \ D a t e & g t ; < / K e y > < / a : K e y > < a : V a l u e   i : t y p e = " D i a g r a m D i s p l a y L i n k V i e w S t a t e " > < A u t o m a t i o n P r o p e r t y H e l p e r T e x t > E n d   p o i n t   1 :   ( 2 8 2 , 1 7 0 ) .   E n d   p o i n t   2 :   ( 6 1 4 , 1 5 0 )   < / A u t o m a t i o n P r o p e r t y H e l p e r T e x t > < L a y e d O u t > t r u e < / L a y e d O u t > < P o i n t s   x m l n s : b = " h t t p : / / s c h e m a s . d a t a c o n t r a c t . o r g / 2 0 0 4 / 0 7 / S y s t e m . W i n d o w s " > < b : P o i n t > < b : _ x > 2 8 2 < / b : _ x > < b : _ y > 1 7 0 < / b : _ y > < / b : P o i n t > < b : P o i n t > < b : _ x > 4 4 6 < / b : _ x > < b : _ y > 1 7 0 < / b : _ y > < / b : P o i n t > < b : P o i n t > < b : _ x > 4 4 8 < / b : _ x > < b : _ y > 1 6 8 < / b : _ y > < / b : P o i n t > < b : P o i n t > < b : _ x > 4 4 8 < / b : _ x > < b : _ y > 1 5 2 < / b : _ y > < / b : P o i n t > < b : P o i n t > < b : _ x > 4 5 0 < / b : _ x > < b : _ y > 1 5 0 < / b : _ y > < / b : P o i n t > < b : P o i n t > < b : _ x > 6 1 4 . 0 0 0 0 0 0 0 0 0 0 0 0 2 3 < / b : _ x > < b : _ y > 1 5 0 < / b : _ y > < / b : P o i n t > < / P o i n t s > < / a : V a l u e > < / a : K e y V a l u e O f D i a g r a m O b j e c t K e y a n y T y p e z b w N T n L X > < a : K e y V a l u e O f D i a g r a m O b j e c t K e y a n y T y p e z b w N T n L X > < a : K e y > < K e y > R e l a t i o n s h i p s \ & l t ; T a b l e s \ D e p a r t m e n t a l   P r o f i t       L o s s \ C o l u m n s \ D a t e & g t ; - & l t ; T a b l e s \ C a l e n d a r \ C o l u m n s \ D a t e & g t ; \ F K < / K e y > < / a : K e y > < a : V a l u e   i : t y p e = " D i a g r a m D i s p l a y L i n k E n d p o i n t V i e w S t a t e " > < H e i g h t > 1 6 < / H e i g h t > < L a b e l L o c a t i o n   x m l n s : b = " h t t p : / / s c h e m a s . d a t a c o n t r a c t . o r g / 2 0 0 4 / 0 7 / S y s t e m . W i n d o w s " > < b : _ x > 2 6 6 < / b : _ x > < b : _ y > 1 6 2 < / b : _ y > < / L a b e l L o c a t i o n > < L o c a t i o n   x m l n s : b = " h t t p : / / s c h e m a s . d a t a c o n t r a c t . o r g / 2 0 0 4 / 0 7 / S y s t e m . W i n d o w s " > < b : _ x > 2 6 6 < / b : _ x > < b : _ y > 1 7 0 < / b : _ y > < / L o c a t i o n > < S h a p e R o t a t e A n g l e > 3 6 0 < / S h a p e R o t a t e A n g l e > < W i d t h > 1 6 < / W i d t h > < / a : V a l u e > < / a : K e y V a l u e O f D i a g r a m O b j e c t K e y a n y T y p e z b w N T n L X > < a : K e y V a l u e O f D i a g r a m O b j e c t K e y a n y T y p e z b w N T n L X > < a : K e y > < K e y > R e l a t i o n s h i p s \ & l t ; T a b l e s \ D e p a r t m e n t a l   P r o f i t       L o s s \ C o l u m n s \ D a t e & g t ; - & l t ; T a b l e s \ C a l e n d a r \ C o l u m n s \ D a t e & g t ; \ P K < / K e y > < / a : K e y > < a : V a l u e   i : t y p e = " D i a g r a m D i s p l a y L i n k E n d p o i n t V i e w S t a t e " > < H e i g h t > 1 6 < / H e i g h t > < L a b e l L o c a t i o n   x m l n s : b = " h t t p : / / s c h e m a s . d a t a c o n t r a c t . o r g / 2 0 0 4 / 0 7 / S y s t e m . W i n d o w s " > < b : _ x > 6 1 4 . 0 0 0 0 0 0 0 0 0 0 0 0 2 3 < / b : _ x > < b : _ y > 1 4 2 < / b : _ y > < / L a b e l L o c a t i o n > < L o c a t i o n   x m l n s : b = " h t t p : / / s c h e m a s . d a t a c o n t r a c t . o r g / 2 0 0 4 / 0 7 / S y s t e m . W i n d o w s " > < b : _ x > 6 3 0 . 0 0 0 0 0 0 0 0 0 0 0 0 1 1 < / b : _ x > < b : _ y > 1 5 0 < / b : _ y > < / L o c a t i o n > < S h a p e R o t a t e A n g l e > 1 8 0 < / S h a p e R o t a t e A n g l e > < W i d t h > 1 6 < / W i d t h > < / a : V a l u e > < / a : K e y V a l u e O f D i a g r a m O b j e c t K e y a n y T y p e z b w N T n L X > < a : K e y V a l u e O f D i a g r a m O b j e c t K e y a n y T y p e z b w N T n L X > < a : K e y > < K e y > R e l a t i o n s h i p s \ & l t ; T a b l e s \ D e p a r t m e n t a l   P r o f i t       L o s s \ C o l u m n s \ D a t e & g t ; - & l t ; T a b l e s \ C a l e n d a r \ C o l u m n s \ D a t e & g t ; \ C r o s s F i l t e r < / K e y > < / a : K e y > < a : V a l u e   i : t y p e = " D i a g r a m D i s p l a y L i n k C r o s s F i l t e r V i e w S t a t e " > < P o i n t s   x m l n s : b = " h t t p : / / s c h e m a s . d a t a c o n t r a c t . o r g / 2 0 0 4 / 0 7 / S y s t e m . W i n d o w s " > < b : P o i n t > < b : _ x > 2 8 2 < / b : _ x > < b : _ y > 1 7 0 < / b : _ y > < / b : P o i n t > < b : P o i n t > < b : _ x > 4 4 6 < / b : _ x > < b : _ y > 1 7 0 < / b : _ y > < / b : P o i n t > < b : P o i n t > < b : _ x > 4 4 8 < / b : _ x > < b : _ y > 1 6 8 < / b : _ y > < / b : P o i n t > < b : P o i n t > < b : _ x > 4 4 8 < / b : _ x > < b : _ y > 1 5 2 < / b : _ y > < / b : P o i n t > < b : P o i n t > < b : _ x > 4 5 0 < / b : _ x > < b : _ y > 1 5 0 < / b : _ y > < / b : P o i n t > < b : P o i n t > < b : _ x > 6 1 4 . 0 0 0 0 0 0 0 0 0 0 0 0 2 3 < / b : _ x > < b : _ y > 1 5 0 < / b : _ y > < / b : P o i n t > < / P o i n t s > < / a : V a l u e > < / a : K e y V a l u e O f D i a g r a m O b j e c t K e y a n y T y p e z b w N T n L X > < a : K e y V a l u e O f D i a g r a m O b j e c t K e y a n y T y p e z b w N T n L X > < a : K e y > < K e y > R e l a t i o n s h i p s \ & l t ; T a b l e s \ D e p a r t m e n t a l   P r o f i t       L o s s \ C o l u m n s \ D e p a r t m e n t & g t ; - & l t ; T a b l e s \ D e p a r t m e n t s \ C o l u m n s \ D e p a r t m e n t s & g t ; < / K e y > < / a : K e y > < a : V a l u e   i : t y p e = " D i a g r a m D i s p l a y L i n k V i e w S t a t e " > < A u t o m a t i o n P r o p e r t y H e l p e r T e x t > E n d   p o i n t   1 :   ( 1 2 3 , 3 5 1 ) .   E n d   p o i n t   2 :   ( 5 9 8 , 6 8 3 )   < / A u t o m a t i o n P r o p e r t y H e l p e r T e x t > < L a y e d O u t > t r u e < / L a y e d O u t > < P o i n t s   x m l n s : b = " h t t p : / / s c h e m a s . d a t a c o n t r a c t . o r g / 2 0 0 4 / 0 7 / S y s t e m . W i n d o w s " > < b : P o i n t > < b : _ x > 1 2 3 < / b : _ x > < b : _ y > 3 5 1 . 0 0 0 0 0 0 0 0 0 0 0 0 0 6 < / b : _ y > < / b : P o i n t > < b : P o i n t > < b : _ x > 1 2 3 < / b : _ x > < b : _ y > 6 8 1 < / b : _ y > < / b : P o i n t > < b : P o i n t > < b : _ x > 1 2 5 < / b : _ x > < b : _ y > 6 8 3 < / b : _ y > < / b : P o i n t > < b : P o i n t > < b : _ x > 5 9 7 . 9 9 9 9 9 9 9 9 9 9 9 9 8 9 < / b : _ x > < b : _ y > 6 8 3 < / b : _ y > < / b : P o i n t > < / P o i n t s > < / a : V a l u e > < / a : K e y V a l u e O f D i a g r a m O b j e c t K e y a n y T y p e z b w N T n L X > < a : K e y V a l u e O f D i a g r a m O b j e c t K e y a n y T y p e z b w N T n L X > < a : K e y > < K e y > R e l a t i o n s h i p s \ & l t ; T a b l e s \ D e p a r t m e n t a l   P r o f i t       L o s s \ C o l u m n s \ D e p a r t m e n t & g t ; - & l t ; T a b l e s \ D e p a r t m e n t s \ C o l u m n s \ D e p a r t m e n t s & g t ; \ F K < / K e y > < / a : K e y > < a : V a l u e   i : t y p e = " D i a g r a m D i s p l a y L i n k E n d p o i n t V i e w S t a t e " > < H e i g h t > 1 6 < / H e i g h t > < L a b e l L o c a t i o n   x m l n s : b = " h t t p : / / s c h e m a s . d a t a c o n t r a c t . o r g / 2 0 0 4 / 0 7 / S y s t e m . W i n d o w s " > < b : _ x > 1 1 5 < / b : _ x > < b : _ y > 3 3 5 . 0 0 0 0 0 0 0 0 0 0 0 0 0 6 < / b : _ y > < / L a b e l L o c a t i o n > < L o c a t i o n   x m l n s : b = " h t t p : / / s c h e m a s . d a t a c o n t r a c t . o r g / 2 0 0 4 / 0 7 / S y s t e m . W i n d o w s " > < b : _ x > 1 2 3 < / b : _ x > < b : _ y > 3 3 5 < / b : _ y > < / L o c a t i o n > < S h a p e R o t a t e A n g l e > 9 0 < / S h a p e R o t a t e A n g l e > < W i d t h > 1 6 < / W i d t h > < / a : V a l u e > < / a : K e y V a l u e O f D i a g r a m O b j e c t K e y a n y T y p e z b w N T n L X > < a : K e y V a l u e O f D i a g r a m O b j e c t K e y a n y T y p e z b w N T n L X > < a : K e y > < K e y > R e l a t i o n s h i p s \ & l t ; T a b l e s \ D e p a r t m e n t a l   P r o f i t       L o s s \ C o l u m n s \ D e p a r t m e n t & g t ; - & l t ; T a b l e s \ D e p a r t m e n t s \ C o l u m n s \ D e p a r t m e n t s & g t ; \ P K < / K e y > < / a : K e y > < a : V a l u e   i : t y p e = " D i a g r a m D i s p l a y L i n k E n d p o i n t V i e w S t a t e " > < H e i g h t > 1 6 < / H e i g h t > < L a b e l L o c a t i o n   x m l n s : b = " h t t p : / / s c h e m a s . d a t a c o n t r a c t . o r g / 2 0 0 4 / 0 7 / S y s t e m . W i n d o w s " > < b : _ x > 5 9 7 . 9 9 9 9 9 9 9 9 9 9 9 9 8 9 < / b : _ x > < b : _ y > 6 7 5 < / b : _ y > < / L a b e l L o c a t i o n > < L o c a t i o n   x m l n s : b = " h t t p : / / s c h e m a s . d a t a c o n t r a c t . o r g / 2 0 0 4 / 0 7 / S y s t e m . W i n d o w s " > < b : _ x > 6 1 3 . 9 9 9 9 9 9 9 9 9 9 9 9 8 9 < / b : _ x > < b : _ y > 6 8 3 < / b : _ y > < / L o c a t i o n > < S h a p e R o t a t e A n g l e > 1 8 0 < / S h a p e R o t a t e A n g l e > < W i d t h > 1 6 < / W i d t h > < / a : V a l u e > < / a : K e y V a l u e O f D i a g r a m O b j e c t K e y a n y T y p e z b w N T n L X > < a : K e y V a l u e O f D i a g r a m O b j e c t K e y a n y T y p e z b w N T n L X > < a : K e y > < K e y > R e l a t i o n s h i p s \ & l t ; T a b l e s \ D e p a r t m e n t a l   P r o f i t       L o s s \ C o l u m n s \ D e p a r t m e n t & g t ; - & l t ; T a b l e s \ D e p a r t m e n t s \ C o l u m n s \ D e p a r t m e n t s & g t ; \ C r o s s F i l t e r < / K e y > < / a : K e y > < a : V a l u e   i : t y p e = " D i a g r a m D i s p l a y L i n k C r o s s F i l t e r V i e w S t a t e " > < P o i n t s   x m l n s : b = " h t t p : / / s c h e m a s . d a t a c o n t r a c t . o r g / 2 0 0 4 / 0 7 / S y s t e m . W i n d o w s " > < b : P o i n t > < b : _ x > 1 2 3 < / b : _ x > < b : _ y > 3 5 1 . 0 0 0 0 0 0 0 0 0 0 0 0 0 6 < / b : _ y > < / b : P o i n t > < b : P o i n t > < b : _ x > 1 2 3 < / b : _ x > < b : _ y > 6 8 1 < / b : _ y > < / b : P o i n t > < b : P o i n t > < b : _ x > 1 2 5 < / b : _ x > < b : _ y > 6 8 3 < / b : _ y > < / b : P o i n t > < b : P o i n t > < b : _ x > 5 9 7 . 9 9 9 9 9 9 9 9 9 9 9 9 8 9 < / b : _ x > < b : _ y > 6 8 3 < / b : _ y > < / b : P o i n t > < / P o i n t s > < / a : V a l u e > < / a : K e y V a l u e O f D i a g r a m O b j e c t K e y a n y T y p e z b w N T n L X > < a : K e y V a l u e O f D i a g r a m O b j e c t K e y a n y T y p e z b w N T n L X > < a : K e y > < K e y > R e l a t i o n s h i p s \ & l t ; T a b l e s \ D e p a r t m e n t a l   P r o f i t       L o s s _ B u d g e t \ C o l u m n s \ A c c o u n t & g t ; - & l t ; T a b l e s \ M a p p i n g s \ C o l u m n s \ A c c o u n t & g t ; < / K e y > < / a : K e y > < a : V a l u e   i : t y p e = " D i a g r a m D i s p l a y L i n k V i e w S t a t e " > < A u t o m a t i o n P r o p e r t y H e l p e r T e x t > E n d   p o i n t   1 :   ( 1 2 0 4 , 1 6 1 . 6 2 5 ) .   E n d   p o i n t   2 :   ( 8 4 4 , 3 9 8 )   < / A u t o m a t i o n P r o p e r t y H e l p e r T e x t > < L a y e d O u t > t r u e < / L a y e d O u t > < P o i n t s   x m l n s : b = " h t t p : / / s c h e m a s . d a t a c o n t r a c t . o r g / 2 0 0 4 / 0 7 / S y s t e m . W i n d o w s " > < b : P o i n t > < b : _ x > 1 2 0 4 < / b : _ x > < b : _ y > 1 6 1 . 6 2 5 < / b : _ y > < / b : P o i n t > < b : P o i n t > < b : _ x > 1 0 2 0 < / b : _ x > < b : _ y > 1 6 1 . 6 2 5 < / b : _ y > < / b : P o i n t > < b : P o i n t > < b : _ x > 1 0 1 8 < / b : _ x > < b : _ y > 1 6 3 . 6 2 5 < / b : _ y > < / b : P o i n t > < b : P o i n t > < b : _ x > 1 0 1 8 < / b : _ x > < b : _ y > 3 9 6 < / b : _ y > < / b : P o i n t > < b : P o i n t > < b : _ x > 1 0 1 6 < / b : _ x > < b : _ y > 3 9 8 < / b : _ y > < / b : P o i n t > < b : P o i n t > < b : _ x > 8 4 4 < / b : _ x > < b : _ y > 3 9 8 < / b : _ y > < / b : P o i n t > < / P o i n t s > < / a : V a l u e > < / a : K e y V a l u e O f D i a g r a m O b j e c t K e y a n y T y p e z b w N T n L X > < a : K e y V a l u e O f D i a g r a m O b j e c t K e y a n y T y p e z b w N T n L X > < a : K e y > < K e y > R e l a t i o n s h i p s \ & l t ; T a b l e s \ D e p a r t m e n t a l   P r o f i t       L o s s _ B u d g e t \ C o l u m n s \ A c c o u n t & g t ; - & l t ; T a b l e s \ M a p p i n g s \ C o l u m n s \ A c c o u n t & g t ; \ F K < / K e y > < / a : K e y > < a : V a l u e   i : t y p e = " D i a g r a m D i s p l a y L i n k E n d p o i n t V i e w S t a t e " > < H e i g h t > 1 6 < / H e i g h t > < L a b e l L o c a t i o n   x m l n s : b = " h t t p : / / s c h e m a s . d a t a c o n t r a c t . o r g / 2 0 0 4 / 0 7 / S y s t e m . W i n d o w s " > < b : _ x > 1 2 0 4 < / b : _ x > < b : _ y > 1 5 3 . 6 2 5 < / b : _ y > < / L a b e l L o c a t i o n > < L o c a t i o n   x m l n s : b = " h t t p : / / s c h e m a s . d a t a c o n t r a c t . o r g / 2 0 0 4 / 0 7 / S y s t e m . W i n d o w s " > < b : _ x > 1 2 2 0 < / b : _ x > < b : _ y > 1 6 1 . 6 2 5 < / b : _ y > < / L o c a t i o n > < S h a p e R o t a t e A n g l e > 1 8 0 < / S h a p e R o t a t e A n g l e > < W i d t h > 1 6 < / W i d t h > < / a : V a l u e > < / a : K e y V a l u e O f D i a g r a m O b j e c t K e y a n y T y p e z b w N T n L X > < a : K e y V a l u e O f D i a g r a m O b j e c t K e y a n y T y p e z b w N T n L X > < a : K e y > < K e y > R e l a t i o n s h i p s \ & l t ; T a b l e s \ D e p a r t m e n t a l   P r o f i t       L o s s _ B u d g e t \ C o l u m n s \ A c c o u n t & g t ; - & l t ; T a b l e s \ M a p p i n g s \ C o l u m n s \ A c c o u n t & g t ; \ P K < / K e y > < / a : K e y > < a : V a l u e   i : t y p e = " D i a g r a m D i s p l a y L i n k E n d p o i n t V i e w S t a t e " > < H e i g h t > 1 6 < / H e i g h t > < L a b e l L o c a t i o n   x m l n s : b = " h t t p : / / s c h e m a s . d a t a c o n t r a c t . o r g / 2 0 0 4 / 0 7 / S y s t e m . W i n d o w s " > < b : _ x > 8 2 8 < / b : _ x > < b : _ y > 3 9 0 < / b : _ y > < / L a b e l L o c a t i o n > < L o c a t i o n   x m l n s : b = " h t t p : / / s c h e m a s . d a t a c o n t r a c t . o r g / 2 0 0 4 / 0 7 / S y s t e m . W i n d o w s " > < b : _ x > 8 2 8 < / b : _ x > < b : _ y > 3 9 8 < / b : _ y > < / L o c a t i o n > < S h a p e R o t a t e A n g l e > 3 6 0 < / S h a p e R o t a t e A n g l e > < W i d t h > 1 6 < / W i d t h > < / a : V a l u e > < / a : K e y V a l u e O f D i a g r a m O b j e c t K e y a n y T y p e z b w N T n L X > < a : K e y V a l u e O f D i a g r a m O b j e c t K e y a n y T y p e z b w N T n L X > < a : K e y > < K e y > R e l a t i o n s h i p s \ & l t ; T a b l e s \ D e p a r t m e n t a l   P r o f i t       L o s s _ B u d g e t \ C o l u m n s \ A c c o u n t & g t ; - & l t ; T a b l e s \ M a p p i n g s \ C o l u m n s \ A c c o u n t & g t ; \ C r o s s F i l t e r < / K e y > < / a : K e y > < a : V a l u e   i : t y p e = " D i a g r a m D i s p l a y L i n k C r o s s F i l t e r V i e w S t a t e " > < P o i n t s   x m l n s : b = " h t t p : / / s c h e m a s . d a t a c o n t r a c t . o r g / 2 0 0 4 / 0 7 / S y s t e m . W i n d o w s " > < b : P o i n t > < b : _ x > 1 2 0 4 < / b : _ x > < b : _ y > 1 6 1 . 6 2 5 < / b : _ y > < / b : P o i n t > < b : P o i n t > < b : _ x > 1 0 2 0 < / b : _ x > < b : _ y > 1 6 1 . 6 2 5 < / b : _ y > < / b : P o i n t > < b : P o i n t > < b : _ x > 1 0 1 8 < / b : _ x > < b : _ y > 1 6 3 . 6 2 5 < / b : _ y > < / b : P o i n t > < b : P o i n t > < b : _ x > 1 0 1 8 < / b : _ x > < b : _ y > 3 9 6 < / b : _ y > < / b : P o i n t > < b : P o i n t > < b : _ x > 1 0 1 6 < / b : _ x > < b : _ y > 3 9 8 < / b : _ y > < / b : P o i n t > < b : P o i n t > < b : _ x > 8 4 4 < / b : _ x > < b : _ y > 3 9 8 < / b : _ y > < / b : P o i n t > < / P o i n t s > < / a : V a l u e > < / a : K e y V a l u e O f D i a g r a m O b j e c t K e y a n y T y p e z b w N T n L X > < a : K e y V a l u e O f D i a g r a m O b j e c t K e y a n y T y p e z b w N T n L X > < a : K e y > < K e y > R e l a t i o n s h i p s \ & l t ; T a b l e s \ D e p a r t m e n t a l   P r o f i t       L o s s _ B u d g e t \ C o l u m n s \ D a t e & g t ; - & l t ; T a b l e s \ C a l e n d a r \ C o l u m n s \ D a t e & g t ; < / K e y > < / a : K e y > < a : V a l u e   i : t y p e = " D i a g r a m D i s p l a y L i n k V i e w S t a t e " > < A u t o m a t i o n P r o p e r t y H e l p e r T e x t > E n d   p o i n t   1 :   ( 1 2 0 4 , 1 4 1 . 6 2 5 ) .   E n d   p o i n t   2 :   ( 8 4 6 , 1 4 1 . 6 2 5 )   < / A u t o m a t i o n P r o p e r t y H e l p e r T e x t > < L a y e d O u t > t r u e < / L a y e d O u t > < P o i n t s   x m l n s : b = " h t t p : / / s c h e m a s . d a t a c o n t r a c t . o r g / 2 0 0 4 / 0 7 / S y s t e m . W i n d o w s " > < b : P o i n t > < b : _ x > 1 2 0 4 < / b : _ x > < b : _ y > 1 4 1 . 6 2 5 < / b : _ y > < / b : P o i n t > < b : P o i n t > < b : _ x > 8 4 6 < / b : _ x > < b : _ y > 1 4 1 . 6 2 5 < / b : _ y > < / b : P o i n t > < / P o i n t s > < / a : V a l u e > < / a : K e y V a l u e O f D i a g r a m O b j e c t K e y a n y T y p e z b w N T n L X > < a : K e y V a l u e O f D i a g r a m O b j e c t K e y a n y T y p e z b w N T n L X > < a : K e y > < K e y > R e l a t i o n s h i p s \ & l t ; T a b l e s \ D e p a r t m e n t a l   P r o f i t       L o s s _ B u d g e t \ C o l u m n s \ D a t e & g t ; - & l t ; T a b l e s \ C a l e n d a r \ C o l u m n s \ D a t e & g t ; \ F K < / K e y > < / a : K e y > < a : V a l u e   i : t y p e = " D i a g r a m D i s p l a y L i n k E n d p o i n t V i e w S t a t e " > < H e i g h t > 1 6 < / H e i g h t > < L a b e l L o c a t i o n   x m l n s : b = " h t t p : / / s c h e m a s . d a t a c o n t r a c t . o r g / 2 0 0 4 / 0 7 / S y s t e m . W i n d o w s " > < b : _ x > 1 2 0 4 < / b : _ x > < b : _ y > 1 3 3 . 6 2 5 < / b : _ y > < / L a b e l L o c a t i o n > < L o c a t i o n   x m l n s : b = " h t t p : / / s c h e m a s . d a t a c o n t r a c t . o r g / 2 0 0 4 / 0 7 / S y s t e m . W i n d o w s " > < b : _ x > 1 2 2 0 < / b : _ x > < b : _ y > 1 4 1 . 6 2 5 < / b : _ y > < / L o c a t i o n > < S h a p e R o t a t e A n g l e > 1 8 0 < / S h a p e R o t a t e A n g l e > < W i d t h > 1 6 < / W i d t h > < / a : V a l u e > < / a : K e y V a l u e O f D i a g r a m O b j e c t K e y a n y T y p e z b w N T n L X > < a : K e y V a l u e O f D i a g r a m O b j e c t K e y a n y T y p e z b w N T n L X > < a : K e y > < K e y > R e l a t i o n s h i p s \ & l t ; T a b l e s \ D e p a r t m e n t a l   P r o f i t       L o s s _ B u d g e t \ C o l u m n s \ D a t e & g t ; - & l t ; T a b l e s \ C a l e n d a r \ C o l u m n s \ D a t e & g t ; \ P K < / K e y > < / a : K e y > < a : V a l u e   i : t y p e = " D i a g r a m D i s p l a y L i n k E n d p o i n t V i e w S t a t e " > < H e i g h t > 1 6 < / H e i g h t > < L a b e l L o c a t i o n   x m l n s : b = " h t t p : / / s c h e m a s . d a t a c o n t r a c t . o r g / 2 0 0 4 / 0 7 / S y s t e m . W i n d o w s " > < b : _ x > 8 3 0 < / b : _ x > < b : _ y > 1 3 3 . 6 2 5 < / b : _ y > < / L a b e l L o c a t i o n > < L o c a t i o n   x m l n s : b = " h t t p : / / s c h e m a s . d a t a c o n t r a c t . o r g / 2 0 0 4 / 0 7 / S y s t e m . W i n d o w s " > < b : _ x > 8 3 0 < / b : _ x > < b : _ y > 1 4 1 . 6 2 5 < / b : _ y > < / L o c a t i o n > < S h a p e R o t a t e A n g l e > 3 6 0 < / S h a p e R o t a t e A n g l e > < W i d t h > 1 6 < / W i d t h > < / a : V a l u e > < / a : K e y V a l u e O f D i a g r a m O b j e c t K e y a n y T y p e z b w N T n L X > < a : K e y V a l u e O f D i a g r a m O b j e c t K e y a n y T y p e z b w N T n L X > < a : K e y > < K e y > R e l a t i o n s h i p s \ & l t ; T a b l e s \ D e p a r t m e n t a l   P r o f i t       L o s s _ B u d g e t \ C o l u m n s \ D a t e & g t ; - & l t ; T a b l e s \ C a l e n d a r \ C o l u m n s \ D a t e & g t ; \ C r o s s F i l t e r < / K e y > < / a : K e y > < a : V a l u e   i : t y p e = " D i a g r a m D i s p l a y L i n k C r o s s F i l t e r V i e w S t a t e " > < P o i n t s   x m l n s : b = " h t t p : / / s c h e m a s . d a t a c o n t r a c t . o r g / 2 0 0 4 / 0 7 / S y s t e m . W i n d o w s " > < b : P o i n t > < b : _ x > 1 2 0 4 < / b : _ x > < b : _ y > 1 4 1 . 6 2 5 < / b : _ y > < / b : P o i n t > < b : P o i n t > < b : _ x > 8 4 6 < / b : _ x > < b : _ y > 1 4 1 . 6 2 5 < / b : _ y > < / b : P o i n t > < / P o i n t s > < / a : V a l u e > < / a : K e y V a l u e O f D i a g r a m O b j e c t K e y a n y T y p e z b w N T n L X > < a : K e y V a l u e O f D i a g r a m O b j e c t K e y a n y T y p e z b w N T n L X > < a : K e y > < K e y > R e l a t i o n s h i p s \ & l t ; T a b l e s \ D e p a r t m e n t a l   P r o f i t       L o s s _ B u d g e t \ C o l u m n s \ D e p a r t m e n t & g t ; - & l t ; T a b l e s \ D e p a r t m e n t s \ C o l u m n s \ D e p a r t m e n t s & g t ; < / K e y > < / a : K e y > < a : V a l u e   i : t y p e = " D i a g r a m D i s p l a y L i n k V i e w S t a t e " > < A u t o m a t i o n P r o p e r t y H e l p e r T e x t > E n d   p o i n t   1 :   ( 1 2 0 4 , 1 8 1 . 6 2 5 ) .   E n d   p o i n t   2 :   ( 8 3 0 , 6 8 3 )   < / A u t o m a t i o n P r o p e r t y H e l p e r T e x t > < L a y e d O u t > t r u e < / L a y e d O u t > < P o i n t s   x m l n s : b = " h t t p : / / s c h e m a s . d a t a c o n t r a c t . o r g / 2 0 0 4 / 0 7 / S y s t e m . W i n d o w s " > < b : P o i n t > < b : _ x > 1 2 0 4 < / b : _ x > < b : _ y > 1 8 1 . 6 2 5 < / b : _ y > < / b : P o i n t > < b : P o i n t > < b : _ x > 1 0 2 5 < / b : _ x > < b : _ y > 1 8 1 . 6 2 5 < / b : _ y > < / b : P o i n t > < b : P o i n t > < b : _ x > 1 0 2 3 < / b : _ x > < b : _ y > 1 8 3 . 6 2 5 < / b : _ y > < / b : P o i n t > < b : P o i n t > < b : _ x > 1 0 2 3 < / b : _ x > < b : _ y > 6 8 1 < / b : _ y > < / b : P o i n t > < b : P o i n t > < b : _ x > 1 0 2 1 < / b : _ x > < b : _ y > 6 8 3 < / b : _ y > < / b : P o i n t > < b : P o i n t > < b : _ x > 8 3 0 . 0 0 0 0 0 0 0 0 0 0 0 0 1 1 < / b : _ x > < b : _ y > 6 8 3 < / b : _ y > < / b : P o i n t > < / P o i n t s > < / a : V a l u e > < / a : K e y V a l u e O f D i a g r a m O b j e c t K e y a n y T y p e z b w N T n L X > < a : K e y V a l u e O f D i a g r a m O b j e c t K e y a n y T y p e z b w N T n L X > < a : K e y > < K e y > R e l a t i o n s h i p s \ & l t ; T a b l e s \ D e p a r t m e n t a l   P r o f i t       L o s s _ B u d g e t \ C o l u m n s \ D e p a r t m e n t & g t ; - & l t ; T a b l e s \ D e p a r t m e n t s \ C o l u m n s \ D e p a r t m e n t s & g t ; \ F K < / K e y > < / a : K e y > < a : V a l u e   i : t y p e = " D i a g r a m D i s p l a y L i n k E n d p o i n t V i e w S t a t e " > < H e i g h t > 1 6 < / H e i g h t > < L a b e l L o c a t i o n   x m l n s : b = " h t t p : / / s c h e m a s . d a t a c o n t r a c t . o r g / 2 0 0 4 / 0 7 / S y s t e m . W i n d o w s " > < b : _ x > 1 2 0 4 < / b : _ x > < b : _ y > 1 7 3 . 6 2 5 < / b : _ y > < / L a b e l L o c a t i o n > < L o c a t i o n   x m l n s : b = " h t t p : / / s c h e m a s . d a t a c o n t r a c t . o r g / 2 0 0 4 / 0 7 / S y s t e m . W i n d o w s " > < b : _ x > 1 2 2 0 < / b : _ x > < b : _ y > 1 8 1 . 6 2 5 < / b : _ y > < / L o c a t i o n > < S h a p e R o t a t e A n g l e > 1 8 0 < / S h a p e R o t a t e A n g l e > < W i d t h > 1 6 < / W i d t h > < / a : V a l u e > < / a : K e y V a l u e O f D i a g r a m O b j e c t K e y a n y T y p e z b w N T n L X > < a : K e y V a l u e O f D i a g r a m O b j e c t K e y a n y T y p e z b w N T n L X > < a : K e y > < K e y > R e l a t i o n s h i p s \ & l t ; T a b l e s \ D e p a r t m e n t a l   P r o f i t       L o s s _ B u d g e t \ C o l u m n s \ D e p a r t m e n t & g t ; - & l t ; T a b l e s \ D e p a r t m e n t s \ C o l u m n s \ D e p a r t m e n t s & g t ; \ P K < / K e y > < / a : K e y > < a : V a l u e   i : t y p e = " D i a g r a m D i s p l a y L i n k E n d p o i n t V i e w S t a t e " > < H e i g h t > 1 6 < / H e i g h t > < L a b e l L o c a t i o n   x m l n s : b = " h t t p : / / s c h e m a s . d a t a c o n t r a c t . o r g / 2 0 0 4 / 0 7 / S y s t e m . W i n d o w s " > < b : _ x > 8 1 4 . 0 0 0 0 0 0 0 0 0 0 0 0 1 1 < / b : _ x > < b : _ y > 6 7 5 < / b : _ y > < / L a b e l L o c a t i o n > < L o c a t i o n   x m l n s : b = " h t t p : / / s c h e m a s . d a t a c o n t r a c t . o r g / 2 0 0 4 / 0 7 / S y s t e m . W i n d o w s " > < b : _ x > 8 1 4 < / b : _ x > < b : _ y > 6 8 3 < / b : _ y > < / L o c a t i o n > < S h a p e R o t a t e A n g l e > 3 6 0 < / S h a p e R o t a t e A n g l e > < W i d t h > 1 6 < / W i d t h > < / a : V a l u e > < / a : K e y V a l u e O f D i a g r a m O b j e c t K e y a n y T y p e z b w N T n L X > < a : K e y V a l u e O f D i a g r a m O b j e c t K e y a n y T y p e z b w N T n L X > < a : K e y > < K e y > R e l a t i o n s h i p s \ & l t ; T a b l e s \ D e p a r t m e n t a l   P r o f i t       L o s s _ B u d g e t \ C o l u m n s \ D e p a r t m e n t & g t ; - & l t ; T a b l e s \ D e p a r t m e n t s \ C o l u m n s \ D e p a r t m e n t s & g t ; \ C r o s s F i l t e r < / K e y > < / a : K e y > < a : V a l u e   i : t y p e = " D i a g r a m D i s p l a y L i n k C r o s s F i l t e r V i e w S t a t e " > < P o i n t s   x m l n s : b = " h t t p : / / s c h e m a s . d a t a c o n t r a c t . o r g / 2 0 0 4 / 0 7 / S y s t e m . W i n d o w s " > < b : P o i n t > < b : _ x > 1 2 0 4 < / b : _ x > < b : _ y > 1 8 1 . 6 2 5 < / b : _ y > < / b : P o i n t > < b : P o i n t > < b : _ x > 1 0 2 5 < / b : _ x > < b : _ y > 1 8 1 . 6 2 5 < / b : _ y > < / b : P o i n t > < b : P o i n t > < b : _ x > 1 0 2 3 < / b : _ x > < b : _ y > 1 8 3 . 6 2 5 < / b : _ y > < / b : P o i n t > < b : P o i n t > < b : _ x > 1 0 2 3 < / b : _ x > < b : _ y > 6 8 1 < / b : _ y > < / b : P o i n t > < b : P o i n t > < b : _ x > 1 0 2 1 < / b : _ x > < b : _ y > 6 8 3 < / b : _ y > < / b : P o i n t > < b : P o i n t > < b : _ x > 8 3 0 . 0 0 0 0 0 0 0 0 0 0 0 0 1 1 < / b : _ x > < b : _ y > 6 8 3 < / b : _ y > < / b : P o i n t > < / P o i n t s > < / a : V a l u e > < / a : K e y V a l u e O f D i a g r a m O b j e c t K e y a n y T y p e z b w N T n L X > < / V i e w S t a t e s > < / D i a g r a m M a n a g e r . S e r i a l i z a b l e D i a g r a m > < / A r r a y O f D i a g r a m M a n a g e r . S e r i a l i z a b l e D i a g r a m > ] ] > < / C u s t o m C o n t e n t > < / G e m i n i > 
</file>

<file path=customXml/item165.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 3 5 6 < / 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66.xml>��< ? x m l   v e r s i o n = " 1 . 0 "   e n c o d i n g = " U T F - 1 6 " ? > < G e m i n i   x m l n s = " h t t p : / / g e m i n i / p i v o t c u s t o m i z a t i o n / T a b l e X M L _ R e s e a r c h       D e v e l o p m e n t _ b 5 e e f a f 4 - b a 6 d - 4 3 0 7 - b 6 e 1 - 3 a 6 d b 9 c a 5 5 9 a " > < C u s t o m C o n t e n t   x m l n s = " h t t p : / / g e m i n i / p i v o t c u s t o m i z a t i o n / T a b l e X M L _ R e s e a r c h   D e v e l o p m e n t _ b 5 e e f a f 4 - b a 6 d - 4 3 0 7 - b 6 e 1 - 3 a 6 d b 9 c a 5 5 9 a " > < ! [ 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67.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168.xml>��< ? x m l   v e r s i o n = " 1 . 0 "   e n c o d i n g = " U T F - 1 6 " ? > < G e m i n i   x m l n s = " h t t p : / / g e m i n i / p i v o t c u s t o m i z a t i o n / 9 f a 0 7 c f c - a a 6 a - 4 1 f 1 - a c 4 4 - 4 b f b 2 8 e f 4 9 8 c " > < 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69.xml>��< ? x m l   v e r s i o n = " 1 . 0 "   e n c o d i n g = " U T F - 1 6 " ? > < G e m i n i   x m l n s = " h t t p : / / g e m i n i / p i v o t c u s t o m i z a t i o n / e 2 9 3 2 7 b f - c 9 6 5 - 4 1 7 1 - 9 2 1 e - 9 e 9 f b e d 2 0 1 a a " > < 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 V a r i a n c e   t o   B u d g e t   E x p e n s e   ( $ ) < / M e a s u r e N a m e > < D i s p l a y N a m e > V a r i a n c e   t o   B u d g e t   E x p e n s e   ( $ ) < / D i s p l a y N a m e > < V i s i b l e > F a l s e < / V i s i b l e > < / i t e m > < i t e m > < M e a s u r e N a m e > V a r i a n c e   t o   B u d g e t   E x p e n s e   ( % ) < / M e a s u r e N a m e > < D i s p l a y N a m e > V a r i a n c e   t o   B u d g e t   E x p e n s e   ( % ) < / D i s p l a y N a m e > < V i s i b l e > F a l s e < / V i s i b l e > < / i t e m > < i t e m > < M e a s u r e N a m e > V a r i a n c e   t o   B u d g e t   I n c o m e   ( $ ) < / M e a s u r e N a m e > < D i s p l a y N a m e > V a r i a n c e   t o   B u d g e t   I n c o m e   ( $ ) < / D i s p l a y N a m e > < V i s i b l e > F a l s e < / V i s i b l e > < / i t e m > < i t e m > < M e a s u r e N a m e > V a r i a n c e   t o   B u d g e t   I n c o m e   ( % ) < / M e a s u r e N a m e > < D i s p l a y N a m e > V a r i a n c e 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7.xml>��< ? x m l   v e r s i o n = " 1 . 0 "   e n c o d i n g = " U T F - 1 6 " ? > < G e m i n i   x m l n s = " h t t p : / / g e m i n i / p i v o t c u s t o m i z a t i o n / a 8 1 2 b 2 f a - 4 4 3 5 - 4 4 7 8 - 8 7 9 d - e c f b e 7 0 8 a a 7 2 " > < 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70.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71.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172.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73.xml>��< ? x m l   v e r s i o n = " 1 . 0 "   e n c o d i n g = " U T F - 1 6 " ? > < G e m i n i   x m l n s = " h t t p : / / g e m i n i / p i v o t c u s t o m i z a t i o n / 8 c f 1 9 5 a 4 - 9 0 0 e - 4 4 e b - b b e 9 - a a 3 b d 3 c d b 0 7 a " > < 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174.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75.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76.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77.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 2 2 1 < / 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178.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79.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D e p a r t m e n t s   1 " > < C u s t o m C o n t e n t > < ! [ C D A T A [ < T a b l e W i d g e t G r i d S e r i a l i z a t i o n   x m l n s : x s d = " h t t p : / / w w w . w 3 . o r g / 2 0 0 1 / X M L S c h e m a "   x m l n s : x s i = " h t t p : / / w w w . w 3 . o r g / 2 0 0 1 / X M L S c h e m a - i n s t a n c e " > < C o l u m n S u g g e s t e d T y p e   / > < C o l u m n F o r m a t   / > < C o l u m n A c c u r a c y   / > < C o l u m n C u r r e n c y S y m b o l   / > < C o l u m n P o s i t i v e P a t t e r n   / > < C o l u m n N e g a t i v e P a t t e r n   / > < C o l u m n W i d t h s > < i t e m > < k e y > < s t r i n g > D e p a r t m e n t s < / s t r i n g > < / k e y > < v a l u e > < i n t > 1 2 0 < / i n t > < / v a l u e > < / i t e m > < / C o l u m n W i d t h s > < C o l u m n D i s p l a y I n d e x > < i t e m > < k e y > < s t r i n g > D e p a r t m e n t s < / s t r i n g > < / k e y > < v a l u e > < i n t > 0 < / i n t > < / v a l u e > < / i t e m > < / C o l u m n D i s p l a y I n d e x > < C o l u m n F r o z e n   / > < C o l u m n C h e c k e d   / > < C o l u m n F i l t e r   / > < S e l e c t i o n F i l t e r   / > < F i l t e r P a r a m e t e r s   / > < I s S o r t D e s c e n d i n g > f a l s e < / I s S o r t D e s c e n d i n g > < / T a b l e W i d g e t G r i d S e r i a l i z a t i o n > ] ] > < / C u s t o m C o n t e n t > < / G e m i n i > 
</file>

<file path=customXml/item180.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 S i g n < / s t r i n g > < / k e y > < v a l u e > < i n t > 4 < / i n t > < / v a l u e > < / i t e m > < / C o l u m n D i s p l a y I n d e x > < C o l u m n F r o z e n   / > < C o l u m n C h e c k e d   / > < C o l u m n F i l t e r   / > < S e l e c t i o n F i l t e r   / > < F i l t e r P a r a m e t e r s   / > < I s S o r t D e s c e n d i n g > f a l s e < / I s S o r t D e s c e n d i n g > < / T a b l e W i d g e t G r i d S e r i a l i z a t i o n > ] ] > < / C u s t o m C o n t e n t > < / G e m i n i > 
</file>

<file path=customXml/item181.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82.xml>��< ? x m l   v e r s i o n = " 1 . 0 "   e n c o d i n g = " U T F - 1 6 " ? > < G e m i n i   x m l n s = " h t t p : / / g e m i n i / p i v o t c u s t o m i z a t i o n / S h o w I m p l i c i t M e a s u r e s " > < C u s t o m C o n t e n t > < ! [ C D A T A [ F a l s e ] ] > < / C u s t o m C o n t e n t > < / G e m i n i > 
</file>

<file path=customXml/item183.xml>��< ? x m l   v e r s i o n = " 1 . 0 "   e n c o d i n g = " U T F - 1 6 " ? > < G e m i n i   x m l n s = " h t t p : / / g e m i n i / p i v o t c u s t o m i z a t i o n / d 7 1 1 5 f 6 1 - b 3 f 7 - 4 3 4 a - a 2 4 2 - e 4 b d d c e 2 b d d 5 " > < 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  ( $ ) < / M e a s u r e N a m e > < D i s p l a y N a m e > V a r   ( $ ) < / 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C a l c u l a t e d F i e l d s > < S A H o s t H a s h > 0 < / S A H o s t H a s h > < G e m i n i F i e l d L i s t V i s i b l e > T r u e < / G e m i n i F i e l d L i s t V i s i b l e > < / S e t t i n g s > ] ] > < / C u s t o m C o n t e n t > < / G e m i n i > 
</file>

<file path=customXml/item184.xml>��< ? x m l   v e r s i o n = " 1 . 0 "   e n c o d i n g = " U T F - 1 6 " ? > < G e m i n i   x m l n s = " h t t p : / / g e m i n i / p i v o t c u s t o m i z a t i o n / R e l a t i o n s h i p A u t o D e t e c t i o n E n a b l e d " > < C u s t o m C o n t e n t > < ! [ C D A T A [ T r u e ] ] > < / C u s t o m C o n t e n t > < / G e m i n i > 
</file>

<file path=customXml/item185.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86.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87.xml>��< ? x m l   v e r s i o n = " 1 . 0 "   e n c o d i n g = " U T F - 1 6 " ? > < G e m i n i   x m l n s = " h t t p : / / g e m i n i / p i v o t c u s t o m i z a t i o n / 7 f d 4 f f 7 6 - 7 8 5 2 - 4 a a a - b e 4 3 - c c 7 f e e 4 0 4 9 8 a " > < 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M e a s u r e N a m e > < D i s p l a y N a m e > V a r < / 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M e a s u r e N a m e > < D i s p l a y N a m e > C u r r e n t   M o n t h < / D i s p l a y N a m e > < V i s i b l e > F a l s e < / V i s i b l e > < / i t e m > < / C a l c u l a t e d F i e l d s > < S A H o s t H a s h > 0 < / S A H o s t H a s h > < G e m i n i F i e l d L i s t V i s i b l e > T r u e < / G e m i n i F i e l d L i s t V i s i b l e > < / S e t t i n g s > ] ] > < / C u s t o m C o n t e n t > < / G e m i n i > 
</file>

<file path=customXml/item188.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 S i g n < / s t r i n g > < / k e y > < v a l u e > < i n t > 4 < / i n t > < / v a l u e > < / i t e m > < / C o l u m n D i s p l a y I n d e x > < C o l u m n F r o z e n   / > < C o l u m n C h e c k e d   / > < C o l u m n F i l t e r   / > < S e l e c t i o n F i l t e r   / > < F i l t e r P a r a m e t e r s   / > < I s S o r t D e s c e n d i n g > f a l s e < / I s S o r t D e s c e n d i n g > < / T a b l e W i d g e t G r i d S e r i a l i z a t i o n > ] ] > < / C u s t o m C o n t e n t > < / G e m i n i > 
</file>

<file path=customXml/item189.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90.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 2 2 5 < / 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191.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 S i g n < / s t r i n g > < / k e y > < v a l u e > < i n t > 4 < / i n t > < / v a l u e > < / i t e m > < / C o l u m n D i s p l a y I n d e x > < C o l u m n F r o z e n   / > < C o l u m n C h e c k e d   / > < C o l u m n F i l t e r   / > < S e l e c t i o n F i l t e r   / > < F i l t e r P a r a m e t e r s   / > < I s S o r t D e s c e n d i n g > f a l s e < / I s S o r t D e s c e n d i n g > < / T a b l e W i d g e t G r i d S e r i a l i z a t i o n > ] ] > < / C u s t o m C o n t e n t > < / G e m i n i > 
</file>

<file path=customXml/item192.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193.xml>��< ? x m l   v e r s i o n = " 1 . 0 "   e n c o d i n g = " U T F - 1 6 " ? > < G e m i n i   x m l n s = " h t t p : / / g e m i n i / p i v o t c u s t o m i z a t i o n / L i n k e d T a b l e U p d a t e M o d e " > < C u s t o m C o n t e n t > < ! [ C D A T A [ T r u e ] ] > < / C u s t o m C o n t e n t > < / G e m i n i > 
</file>

<file path=customXml/item194.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 3 5 6 < / 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 1 1 7 < / 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21.xml>��< ? x m l   v e r s i o n = " 1 . 0 "   e n c o d i n g = " u t f - 1 6 " ? > < D a t a M a s h u p   s q m i d = " 6 5 1 c 3 7 1 7 - 1 6 f 7 - 4 a 8 7 - 8 1 6 d - a d 1 9 1 b f 7 4 f c c "   x m l n s = " h t t p : / / s c h e m a s . m i c r o s o f t . c o m / D a t a M a s h u p " > A A A A A O c H A A B Q S w M E F A A C A A g A e 4 g R W S 3 e 0 R a k A A A A 9 g A A A B I A H A B D b 2 5 m a W c v U G F j a 2 F n Z S 5 4 b W w g o h g A K K A U A A A A A A A A A A A A A A A A A A A A A A A A A A A A h Y 9 N D o I w G E S v Q r q n f 8 T E k I + y c C u J C d G 4 b U r F R i i G F s v d X H g k r y B G U X c u 5 8 1 b z N y v N 8 j H t o k u u n e m s x l i m K J I W 9 V V x t Y Z G v w h X q J c w E a q k 6 x 1 N M n W p a O r M n T 0 / p w S E k L A I c F d X x N O K S P 7 Y l 2 q o 2 4 l + s j m v x w b 6 7 y 0 S i M B u 9 c Y w T F L G F 5 Q j i m Q G U J h 7 F f g 0 9 5 n + w N h N T R + 6 L X Q N t 6 W Q O Y I 5 P 1 B P A B Q S w M E F A A C A A g A e 4 g R 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u I E V l x X e m 1 4 Q Q A A J R x A A A T A B w A R m 9 y b X V s Y X M v U 2 V j d G l v b j E u b S C i G A A o o B Q A A A A A A A A A A A A A A A A A A A A A A A A A A A D t n e 9 P 4 z Y Y x 9 8 j 8 T + k m d R r p Q h q h 0 K 7 i R d d 2 X E v 1 m 0 i b J O G 0 M l t f T Q i P y r H 4 e 6 E + N / n t E m b t n F r i h i n 3 R c h g R 4 / / v p 5 4 i T 2 R 3 m i J H w k / T i y v P l f 8 t P h w e F B M m G C j 6 1 L F o 1 7 1 r k V c H l 4 Y K k f L 0 7 F i C v L L 1 9 G P D j q p 0 L w S P 4 d i / t h H N 8 3 m o 8 3 v 7 G Q n 9 u z j v b t 0 0 0 / j q T y u H X m / X + w + x M W 3 S n p 6 6 9 T b i u h a z Y M + N G 1 Y F H y K R Z h P w 7 S M M o a k 8 Z 8 M O f x 0 Z 5 b i e 1 Y U r V Y k n + R T 4 5 V 2 G l h Z 9 H X k t m t N p 9 U m 9 v V 5 t N q 8 1 m 1 u V N t 7 l a b S U t j J x q 7 J l G i y Z R o U i W a X I k m W a L J l m j S J Z p 8 q S Z f q s m X a v K l m n y p J l + q y Z d q 8 q W a f K k m X 6 r J 1 9 X k 6 2 r y d X U n s i Z f V 5 O v q 8 n X 1 e T r a v J 1 N f m 6 K / k + N R f X 9 h 8 i D m O p L u 4 P n I 2 5 S J b X d 9 6 S 2 x t r t w H H u s k d e k H g j V j A R H I u R c p v m 5 X 3 D b L j x l E R y b a 7 y K W I P 8 t J Y Y 7 S c M j F t v s I O X b J M W 1 R 1 y L 0 x 1 Z L / V q 9 Q U V 3 e k w 7 J n 6 u o d 7 J s d s y 8 W s b 6 p 0 a 6 p 0 Z 6 n U M / b q G 4 5 K W o S A h p o r U V D H 3 O 9 k 9 x V 0 T P 9 d Q r 5 j i X X 5 t Q 7 1 T Q 7 0 z Q 7 2 O o V / X c N z F F O 9 0 J K a K 1 F Q x 9 2 s b X s W 7 / F x D v W K K d / m 1 D f V O D f X O D P U 6 h n 5 d w 3 E X U 7 z T k Z g q U g P F 0 r J 0 x S O 1 K R 1 b 8 9 t 5 a V W a N + T m x v o a s 7 p k 2 L 3 R K E 4 j a a 8 q h / F D t X L W s F R e D 8 F Z r D r 6 O K k + 0 P V x l 6 F m i 5 V 9 w a d M y J B v R D s N 2 E h 1 + 4 s F K S + r z + w z 6 2 a s a l M S p U H g 2 J c 8 4 o I F V t 3 q j U M / 8 h M p m P Q f 1 P K d C 4 g V J Z V i O Y 5 l G H 9 G U / 9 h t j j / L i d c b B 6 8 3 G H W W s 5 5 J f r s R C i m x F k Z K Z s r K Y U / T G X m Z s / 9 S 7 s U t b t Q M h d M 6 g E k G 1 A X Z 3 a w y w N w N p r M 1 I 7 e q 1 1 H I / v v 2 g / 5 P 3 G U W z 4 2 m / m 5 O V Z t W 8 5 M o p / x c t D r A d g z q 9 I 9 P P A j r X S Z 6 7 L m h D O h A q 9 b F / y B B / F 0 d v D 2 Y b 1 3 V / W L d 7 U r R X w X I D 4 Q H 4 g P x A f i A / G B + E B 8 I D 4 Q H 4 j P m P i 2 7 P / / S + I j B f F p I O H t e c / 6 n w D f F s R / K f D R N e D r p 4 m M Q 5 W V l 0 6 n s d g P 9 f p e r e 8 B 8 g B 5 g D x A H i A P k A f I A + Q B 8 g B 5 b w N 5 h i i 2 D n m 7 Q e z b 4 L A C w z a 2 7 s 8 E s O d Q 5 i p z 7 e b h v e F u n T i B d y / C O 4 8 F P F G c P m D i n k s / u t u L 7 7 z 6 o O a x a D w A 4 4 H x w H h g P D A e G A + M B 8 Y D 4 4 H x w H i v y H i b + 3 d A 3 v c C e Z n s M 1 B v e d h Y Y K n d 0 i d f q h P n 1 z h J q p l v H l s / D o d + x B u P V a z o z N / 0 c / S F o U 7 V I 8 T S Q X n v B 5 J n 8 V 3 F n 0 s n h s c D P p K Z r U D C + Z H P d o g r e L v a 3 6 R W 9 e P P 6 f i O 7 1 + y m v f P K 1 c L N X A v u B f c C + 4 F 9 4 J 7 w b 3 g X n A v u B c F r C h g R Q H r W z / h X K f P l / B f 3 8 t 7 1 x b / g f x A f i A / k B / I D + Q H 8 g P 5 g f x A f n j i i a p W P P D 8 l q p a X w J 9 X n 1 Q U N + s x h X g B / A D + A H 8 A H 4 A P 4 A f w A / g B / A D + L 0 + + K H U 9 f s l v 2 e V u s 5 q U n N K 2 + s j F P W i d 6 0 s B e A D 8 A H 4 A H w A P g A f g A / A B + A D 8 K H G M 8 V n K f B Z i j f / L I X + 3 c a t T / 7 W X n E s 0 1 7 V i 4 u F l r P t E a P + Z c j C 4 / V e f / w X U E s B A i 0 A F A A C A A g A e 4 g R W S 3 e 0 R a k A A A A 9 g A A A B I A A A A A A A A A A A A A A A A A A A A A A E N v b m Z p Z y 9 Q Y W N r Y W d l L n h t b F B L A Q I t A B Q A A g A I A H u I E V k P y u m r p A A A A O k A A A A T A A A A A A A A A A A A A A A A A P A A A A B b Q 2 9 u d G V u d F 9 U e X B l c 1 0 u e G 1 s U E s B A i 0 A F A A C A A g A e 4 g R W X F d 6 b X h B A A A l H E A A B M A A A A A A A A A A A A A A A A A 4 Q E A A E Z v c m 1 1 b G F z L 1 N l Y 3 R p b 2 4 x L m 1 Q S w U G A A A A A A M A A w D C A A A A D w c 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I Q A A A A A A A B 2 h 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2 F u Z E 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w M T U 4 N G E 3 Y i 0 z M z B m L T Q 3 Y T Y t O T U x N S 1 j Z T d j Z W R j O T J m Y 2 M 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M Y X N 0 V X B k Y X R l Z C I g V m F s d W U 9 I m Q y M D I 0 L T A 4 L T E 1 V D A y O j M y O j M 1 L j c 3 N z Y 4 O T F a I i A v P j x F b n R y e S B U e X B l P S J G a W x s Q 2 9 s d W 1 u V H l w Z X M i I F Z h b H V l P S J z Q m d B S k J R P T 0 i I C 8 + P E V u d H J 5 I F R 5 c G U 9 I k Z p b G x F c n J v c k N v Z G U i I F Z h b H V l P S J z V W 5 r b m 9 3 b i I g L z 4 8 R W 5 0 c n k g V H l w Z T 0 i Q W R k Z W R U b 0 R h d G F N b 2 R l b C I g V m F s d W U 9 I m w w I i A v P j x F b n R y e S B U e X B l P S J G a W x s Q 2 9 s d W 1 u T m F t Z X M i I F Z h b H V l P S J z W y Z x d W 9 0 O 0 F j Y 2 9 1 b n Q m c X V v d D s s J n F 1 b 3 Q 7 R G V w Y X J 0 b W V u d C Z x d W 9 0 O y w m c X V v d D t E Y X R l J n F 1 b 3 Q 7 L C Z x d W 9 0 O 1 Z h b H V l 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R 2 F u Z E E v V W 5 w a X Z v d G V k I E 9 0 a G V y I E N v b H V t b n M u e 0 F j Y 2 9 1 b n Q s M H 0 m c X V v d D s s J n F 1 b 3 Q 7 U 2 V j d G l v b j E v R 2 F u Z E E v V W 5 w a X Z v d G V k I E 9 0 a G V y I E N v b H V t b n M u e 0 R l c G F y d G 1 l b n Q s M X 0 m c X V v d D s s J n F 1 b 3 Q 7 U 2 V j d G l v b j E v R 2 F u Z E E v U G F y c 2 V k I E R h d G U u e 0 F 0 d H J p Y n V 0 Z S w y f S Z x d W 9 0 O y w m c X V v d D t T Z W N 0 a W 9 u M S 9 H Y W 5 k Q S 9 V b n B p d m 9 0 Z W Q g T 3 R o Z X I g Q 2 9 s d W 1 u c y 5 7 V m F s d W U s M 3 0 m c X V v d D t d L C Z x d W 9 0 O 0 N v b H V t b k N v d W 5 0 J n F 1 b 3 Q 7 O j Q s J n F 1 b 3 Q 7 S 2 V 5 Q 2 9 s d W 1 u T m F t Z X M m c X V v d D s 6 W 1 0 s J n F 1 b 3 Q 7 Q 2 9 s d W 1 u S W R l b n R p d G l l c y Z x d W 9 0 O z p b J n F 1 b 3 Q 7 U 2 V j d G l v b j E v R 2 F u Z E E v V W 5 w a X Z v d G V k I E 9 0 a G V y I E N v b H V t b n M u e 0 F j Y 2 9 1 b n Q s M H 0 m c X V v d D s s J n F 1 b 3 Q 7 U 2 V j d G l v b j E v R 2 F u Z E E v V W 5 w a X Z v d G V k I E 9 0 a G V y I E N v b H V t b n M u e 0 R l c G F y d G 1 l b n Q s M X 0 m c X V v d D s s J n F 1 b 3 Q 7 U 2 V j d G l v b j E v R 2 F u Z E E v U G F y c 2 V k I E R h d G U u e 0 F 0 d H J p Y n V 0 Z S w y f S Z x d W 9 0 O y w m c X V v d D t T Z W N 0 a W 9 u M S 9 H Y W 5 k Q S 9 V b n B p d m 9 0 Z W Q g T 3 R o Z X I g Q 2 9 s d W 1 u c y 5 7 V m F s d W U s M 3 0 m c X V v d D t d L C Z x d W 9 0 O 1 J l b G F 0 a W 9 u c 2 h p c E l u Z m 8 m c X V v d D s 6 W 1 1 9 I i A v P j w v U 3 R h Y m x l R W 5 0 c m l l c z 4 8 L 0 l 0 Z W 0 + P E l 0 Z W 0 + P E l 0 Z W 1 M b 2 N h d G l v b j 4 8 S X R l b V R 5 c G U + R m 9 y b X V s Y T w v S X R l b V R 5 c G U + P E l 0 Z W 1 Q Y X R o P l N l Y 3 R p b 2 4 x L 0 d h b m R B L 1 N v d X J j Z T w v S X R l b V B h d G g + P C 9 J d G V t T G 9 j Y X R p b 2 4 + P F N 0 Y W J s Z U V u d H J p Z X M g L z 4 8 L 0 l 0 Z W 0 + P E l 0 Z W 0 + P E l 0 Z W 1 M b 2 N h d G l v b j 4 8 S X R l b V R 5 c G U + R m 9 y b X V s Y T w v S X R l b V R 5 c G U + P E l 0 Z W 1 Q Y X R o P l N l Y 3 R p b 2 4 x L 0 d h b m R B L 0 N o Y W 5 n Z W Q l M j B U e X B l P C 9 J d G V t U G F 0 a D 4 8 L 0 l 0 Z W 1 M b 2 N h d G l v b j 4 8 U 3 R h Y m x l R W 5 0 c m l l c y A v P j w v S X R l b T 4 8 S X R l b T 4 8 S X R l b U x v Y 2 F 0 a W 9 u P j x J d G V t V H l w Z T 5 G b 3 J t d W x h P C 9 J d G V t V H l w Z T 4 8 S X R l b V B h d G g + U 2 V j d G l v b j E v R 2 F u Z E E v U H J v b W 9 0 Z W Q l M j B I Z W F k Z X J z P C 9 J d G V t U G F 0 a D 4 8 L 0 l 0 Z W 1 M b 2 N h d G l v b j 4 8 U 3 R h Y m x l R W 5 0 c m l l c y A v P j w v S X R l b T 4 8 S X R l b T 4 8 S X R l b U x v Y 2 F 0 a W 9 u P j x J d G V t V H l w Z T 5 G b 3 J t d W x h P C 9 J d G V t V H l w Z T 4 8 S X R l b V B h d G g + U 2 V j d G l v b j E v R 2 F u Z E E v Q 2 h h b m d l Z C U y M F R 5 c G U x P C 9 J d G V t U G F 0 a D 4 8 L 0 l 0 Z W 1 M b 2 N h d G l v b j 4 8 U 3 R h Y m x l R W 5 0 c m l l c y A v P j w v S X R l b T 4 8 S X R l b T 4 8 S X R l b U x v Y 2 F 0 a W 9 u P j x J d G V t V H l w Z T 5 G b 3 J t d W x h P C 9 J d G V t V H l w Z T 4 8 S X R l b V B h d G g + U 2 V j d G l v b j E v R 2 F u Z E E v U m V u Y W 1 l Z C U y M E N v b H V t b n M 8 L 0 l 0 Z W 1 Q Y X R o P j w v S X R l b U x v Y 2 F 0 a W 9 u P j x T d G F i b G V F b n R y a W V z I C 8 + P C 9 J d G V t P j x J d G V t P j x J d G V t T G 9 j Y X R p b 2 4 + P E l 0 Z W 1 U e X B l P k Z v c m 1 1 b G E 8 L 0 l 0 Z W 1 U e X B l P j x J d G V t U G F 0 a D 5 T Z W N 0 a W 9 u M S 9 H Y W 5 k Q S 9 S Z W 1 v d m V k J T I w Q 2 9 s d W 1 u c z w v S X R l b V B h d G g + P C 9 J d G V t T G 9 j Y X R p b 2 4 + P F N 0 Y W J s Z U V u d H J p Z X M g L z 4 8 L 0 l 0 Z W 0 + P E l 0 Z W 0 + P E l 0 Z W 1 M b 2 N h d G l v b j 4 8 S X R l b V R 5 c G U + R m 9 y b X V s Y T w v S X R l b V R 5 c G U + P E l 0 Z W 1 Q Y X R o P l N l Y 3 R p b 2 4 x L 0 d h b m R B L 1 V u c G l 2 b 3 R l Z C U y M E 9 0 a G V y J T I w Q 2 9 s d W 1 u c z w v S X R l b V B h d G g + P C 9 J d G V t T G 9 j Y X R p b 2 4 + P F N 0 Y W J s Z U V u d H J p Z X M g L z 4 8 L 0 l 0 Z W 0 + P E l 0 Z W 0 + P E l 0 Z W 1 M b 2 N h d G l v b j 4 8 S X R l b V R 5 c G U + R m 9 y b X V s Y T w v S X R l b V R 5 c G U + P E l 0 Z W 1 Q Y X R o P l N l Y 3 R p b 2 4 x L 0 d h b m R B L 1 B h c n N l Z C U y M E R h d G U 8 L 0 l 0 Z W 1 Q Y X R o P j w v S X R l b U x v Y 2 F 0 a W 9 u P j x T d G F i b G V F b n R y a W V z I C 8 + P C 9 J d G V t P j x J d G V t P j x J d G V t T G 9 j Y X R p b 2 4 + P E l 0 Z W 1 U e X B l P k Z v c m 1 1 b G E 8 L 0 l 0 Z W 1 U e X B l P j x J d G V t U G F 0 a D 5 T Z W N 0 a W 9 u M S 9 H Y W 5 k Q S 9 S Z W 5 h b W V k J T I w Q 2 9 s d W 1 u c z E 8 L 0 l 0 Z W 1 Q Y X R o P j w v S X R l b U x v Y 2 F 0 a W 9 u P j x T d G F i b G V F b n R y a W V z I C 8 + P C 9 J d G V t P j x J d G V t P j x J d G V t T G 9 j Y X R p b 2 4 + P E l 0 Z W 1 U e X B l P k Z v c m 1 1 b G E 8 L 0 l 0 Z W 1 U e X B l P j x J d G V t U G F 0 a D 5 T Z W N 0 a W 9 u M S 9 S Z X N l Y X J j a C U y M C U y N i U y M E R l d m V s b 3 B t Z W 5 0 P C 9 J d G V t U G F 0 a D 4 8 L 0 l 0 Z W 1 M b 2 N h d G l v b j 4 8 U 3 R h Y m x l R W 5 0 c m l l c z 4 8 R W 5 0 c n k g V H l w Z T 0 i S X N Q c m l 2 Y X R l I i B W Y W x 1 Z T 0 i b D A i I C 8 + P E V u d H J 5 I F R 5 c G U 9 I l F 1 Z X J 5 S U Q i I F Z h b H V l P S J z M D g x Y T I 4 M T g t Z T M 3 O S 0 0 M G I 5 L W F i Y z M t N D I w N 2 Z j Z T h m Y z l m 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T G F z d F V w Z G F 0 Z W Q i I F Z h b H V l P S J k M j A y N C 0 w O C 0 x N V Q w M j o z M j o z N S 4 4 M D c 0 O D I w W i I g L z 4 8 R W 5 0 c n k g V H l w Z T 0 i R m l s b E N v b H V t b l R 5 c G V z I i B W Y W x 1 Z T 0 i c 0 J n Q U p C U T 0 9 I i A v P j x F b n R y e S B U e X B l P S J G a W x s R X J y b 3 J D b 2 R l I i B W Y W x 1 Z T 0 i c 1 V u a 2 5 v d 2 4 i I C 8 + P E V u d H J 5 I F R 5 c G U 9 I k F k Z G V k V G 9 E Y X R h T W 9 k Z W w i I F Z h b H V l P S J s M C I g L z 4 8 R W 5 0 c n k g V H l w Z T 0 i R m l s b E N v b H V t b k 5 h b W V z I i B W Y W x 1 Z T 0 i c 1 s m c X V v d D t B Y 2 N v d W 5 0 J n F 1 b 3 Q 7 L C Z x d W 9 0 O 0 R l c G F y d G 1 l b n Q m c X V v d D s s J n F 1 b 3 Q 7 R G F 0 Z S Z x d W 9 0 O y w m c X V v d D t W Y W x 1 Z S 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J l c 2 V h c m N o I F x 1 M D A y N i B E Z X Z l b G 9 w b W V u d C 9 V b n B p d m 9 0 Z W Q g T 3 R o Z X I g Q 2 9 s d W 1 u c y 5 7 Q W N j b 3 V u d C w w f S Z x d W 9 0 O y w m c X V v d D t T Z W N 0 a W 9 u M S 9 S Z X N l Y X J j a C B c d T A w M j Y g R G V 2 Z W x v c G 1 l b n Q v V W 5 w a X Z v d G V k I E 9 0 a G V y I E N v b H V t b n M u e 0 R l c G F y d G 1 l b n Q s M X 0 m c X V v d D s s J n F 1 b 3 Q 7 U 2 V j d G l v b j E v U m V z Z W F y Y 2 g g X H U w M D I 2 I E R l d m V s b 3 B t Z W 5 0 L 1 B h c n N l Z C B E Y X R l L n t B d H R y a W J 1 d G U s M n 0 m c X V v d D s s J n F 1 b 3 Q 7 U 2 V j d G l v b j E v U m V z Z W F y Y 2 g g X H U w M D I 2 I E R l d m V s b 3 B t Z W 5 0 L 1 V u c G l 2 b 3 R l Z C B P d G h l c i B D b 2 x 1 b W 5 z L n t W Y W x 1 Z S w z f S Z x d W 9 0 O 1 0 s J n F 1 b 3 Q 7 Q 2 9 s d W 1 u Q 2 9 1 b n Q m c X V v d D s 6 N C w m c X V v d D t L Z X l D b 2 x 1 b W 5 O Y W 1 l c y Z x d W 9 0 O z p b X S w m c X V v d D t D b 2 x 1 b W 5 J Z G V u d G l 0 a W V z J n F 1 b 3 Q 7 O l s m c X V v d D t T Z W N 0 a W 9 u M S 9 S Z X N l Y X J j a C B c d T A w M j Y g R G V 2 Z W x v c G 1 l b n Q v V W 5 w a X Z v d G V k I E 9 0 a G V y I E N v b H V t b n M u e 0 F j Y 2 9 1 b n Q s M H 0 m c X V v d D s s J n F 1 b 3 Q 7 U 2 V j d G l v b j E v U m V z Z W F y Y 2 g g X H U w M D I 2 I E R l d m V s b 3 B t Z W 5 0 L 1 V u c G l 2 b 3 R l Z C B P d G h l c i B D b 2 x 1 b W 5 z L n t E Z X B h c n R t Z W 5 0 L D F 9 J n F 1 b 3 Q 7 L C Z x d W 9 0 O 1 N l Y 3 R p b 2 4 x L 1 J l c 2 V h c m N o I F x 1 M D A y N i B E Z X Z l b G 9 w b W V u d C 9 Q Y X J z Z W Q g R G F 0 Z S 5 7 Q X R 0 c m l i d X R l L D J 9 J n F 1 b 3 Q 7 L C Z x d W 9 0 O 1 N l Y 3 R p b 2 4 x L 1 J l c 2 V h c m N o I F x 1 M D A y N i B E Z X Z l b G 9 w b W V u d C 9 V b n B p d m 9 0 Z W Q g T 3 R o Z X I g Q 2 9 s d W 1 u c y 5 7 V m F s d W U s M 3 0 m c X V v d D t d L C Z x d W 9 0 O 1 J l b G F 0 a W 9 u c 2 h p c E l u Z m 8 m c X V v d D s 6 W 1 1 9 I i A v P j w v U 3 R h Y m x l R W 5 0 c m l l c z 4 8 L 0 l 0 Z W 0 + P E l 0 Z W 0 + P E l 0 Z W 1 M b 2 N h d G l v b j 4 8 S X R l b V R 5 c G U + R m 9 y b X V s Y T w v S X R l b V R 5 c G U + P E l 0 Z W 1 Q Y X R o P l N l Y 3 R p b 2 4 x L 1 J l c 2 V h c m N o J T I w J T I 2 J T I w R G V 2 Z W x v c G 1 l b n Q v U 2 9 1 c m N l P C 9 J d G V t U G F 0 a D 4 8 L 0 l 0 Z W 1 M b 2 N h d G l v b j 4 8 U 3 R h Y m x l R W 5 0 c m l l c y A v P j w v S X R l b T 4 8 S X R l b T 4 8 S X R l b U x v Y 2 F 0 a W 9 u P j x J d G V t V H l w Z T 5 G b 3 J t d W x h P C 9 J d G V t V H l w Z T 4 8 S X R l b V B h d G g + U 2 V j d G l v b j E v U m V z Z W F y Y 2 g l M j A l M j Y l M j B E Z X Z l b G 9 w b W V u d C 9 D a G F u Z 2 V k J T I w V H l w Z T w v S X R l b V B h d G g + P C 9 J d G V t T G 9 j Y X R p b 2 4 + P F N 0 Y W J s Z U V u d H J p Z X M g L z 4 8 L 0 l 0 Z W 0 + P E l 0 Z W 0 + P E l 0 Z W 1 M b 2 N h d G l v b j 4 8 S X R l b V R 5 c G U + R m 9 y b X V s Y T w v S X R l b V R 5 c G U + P E l 0 Z W 1 Q Y X R o P l N l Y 3 R p b 2 4 x L 1 J l c 2 V h c m N o J T I w J T I 2 J T I w R G V 2 Z W x v c G 1 l b n Q v U H J v b W 9 0 Z W Q l M j B I Z W F k Z X J z P C 9 J d G V t U G F 0 a D 4 8 L 0 l 0 Z W 1 M b 2 N h d G l v b j 4 8 U 3 R h Y m x l R W 5 0 c m l l c y A v P j w v S X R l b T 4 8 S X R l b T 4 8 S X R l b U x v Y 2 F 0 a W 9 u P j x J d G V t V H l w Z T 5 G b 3 J t d W x h P C 9 J d G V t V H l w Z T 4 8 S X R l b V B h d G g + U 2 V j d G l v b j E v U m V z Z W F y Y 2 g l M j A l M j Y l M j B E Z X Z l b G 9 w b W V u d C 9 D a G F u Z 2 V k J T I w V H l w Z T E 8 L 0 l 0 Z W 1 Q Y X R o P j w v S X R l b U x v Y 2 F 0 a W 9 u P j x T d G F i b G V F b n R y a W V z I C 8 + P C 9 J d G V t P j x J d G V t P j x J d G V t T G 9 j Y X R p b 2 4 + P E l 0 Z W 1 U e X B l P k Z v c m 1 1 b G E 8 L 0 l 0 Z W 1 U e X B l P j x J d G V t U G F 0 a D 5 T Z W N 0 a W 9 u M S 9 S Z X N l Y X J j a C U y M C U y N i U y M E R l d m V s b 3 B t Z W 5 0 L 1 J l b m F t Z W Q l M j B D b 2 x 1 b W 5 z P C 9 J d G V t U G F 0 a D 4 8 L 0 l 0 Z W 1 M b 2 N h d G l v b j 4 8 U 3 R h Y m x l R W 5 0 c m l l c y A v P j w v S X R l b T 4 8 S X R l b T 4 8 S X R l b U x v Y 2 F 0 a W 9 u P j x J d G V t V H l w Z T 5 G b 3 J t d W x h P C 9 J d G V t V H l w Z T 4 8 S X R l b V B h d G g + U 2 V j d G l v b j E v U m V z Z W F y Y 2 g l M j A l M j Y l M j B E Z X Z l b G 9 w b W V u d C 9 S Z W 1 v d m V k J T I w Q 2 9 s d W 1 u c z w v S X R l b V B h d G g + P C 9 J d G V t T G 9 j Y X R p b 2 4 + P F N 0 Y W J s Z U V u d H J p Z X M g L z 4 8 L 0 l 0 Z W 0 + P E l 0 Z W 0 + P E l 0 Z W 1 M b 2 N h d G l v b j 4 8 S X R l b V R 5 c G U + R m 9 y b X V s Y T w v S X R l b V R 5 c G U + P E l 0 Z W 1 Q Y X R o P l N l Y 3 R p b 2 4 x L 1 J l c 2 V h c m N o J T I w J T I 2 J T I w R G V 2 Z W x v c G 1 l b n Q v U m V u Y W 1 l Z C U y M E N v b H V t b n M x P C 9 J d G V t U G F 0 a D 4 8 L 0 l 0 Z W 1 M b 2 N h d G l v b j 4 8 U 3 R h Y m x l R W 5 0 c m l l c y A v P j w v S X R l b T 4 8 S X R l b T 4 8 S X R l b U x v Y 2 F 0 a W 9 u P j x J d G V t V H l w Z T 5 G b 3 J t d W x h P C 9 J d G V t V H l w Z T 4 8 S X R l b V B h d G g + U 2 V j d G l v b j E v U m V z Z W F y Y 2 g l M j A l M j Y l M j B E Z X Z l b G 9 w b W V u d C 9 S Z X B s Y W N l Z C U y M F Z h b H V l P C 9 J d G V t U G F 0 a D 4 8 L 0 l 0 Z W 1 M b 2 N h d G l v b j 4 8 U 3 R h Y m x l R W 5 0 c m l l c y A v P j w v S X R l b T 4 8 S X R l b T 4 8 S X R l b U x v Y 2 F 0 a W 9 u P j x J d G V t V H l w Z T 5 G b 3 J t d W x h P C 9 J d G V t V H l w Z T 4 8 S X R l b V B h d G g + U 2 V j d G l v b j E v U m V z Z W F y Y 2 g l M j A l M j Y l M j B E Z X Z l b G 9 w b W V u d C 9 V b n B p d m 9 0 Z W Q l M j B P d G h l c i U y M E N v b H V t b n M 8 L 0 l 0 Z W 1 Q Y X R o P j w v S X R l b U x v Y 2 F 0 a W 9 u P j x T d G F i b G V F b n R y a W V z I C 8 + P C 9 J d G V t P j x J d G V t P j x J d G V t T G 9 j Y X R p b 2 4 + P E l 0 Z W 1 U e X B l P k Z v c m 1 1 b G E 8 L 0 l 0 Z W 1 U e X B l P j x J d G V t U G F 0 a D 5 T Z W N 0 a W 9 u M S 9 S Z X N l Y X J j a C U y M C U y N i U y M E R l d m V s b 3 B t Z W 5 0 L 1 B h c n N l Z C U y M E R h d G U 8 L 0 l 0 Z W 1 Q Y X R o P j w v S X R l b U x v Y 2 F 0 a W 9 u P j x T d G F i b G V F b n R y a W V z I C 8 + P C 9 J d G V t P j x J d G V t P j x J d G V t T G 9 j Y X R p b 2 4 + P E l 0 Z W 1 U e X B l P k Z v c m 1 1 b G E 8 L 0 l 0 Z W 1 U e X B l P j x J d G V t U G F 0 a D 5 T Z W N 0 a W 9 u M S 9 S Z X N l Y X J j a C U y M C U y N i U y M E R l d m V s b 3 B t Z W 5 0 L 1 J l b m F t Z W Q l M j B D b 2 x 1 b W 5 z M j w v S X R l b V B h d G g + P C 9 J d G V t T G 9 j Y X R p b 2 4 + P F N 0 Y W J s Z U V u d H J p Z X M g L z 4 8 L 0 l 0 Z W 0 + P E l 0 Z W 0 + P E l 0 Z W 1 M b 2 N h d G l v b j 4 8 S X R l b V R 5 c G U + R m 9 y b X V s Y T w v S X R l b V R 5 c G U + P E l 0 Z W 1 Q Y X R o P l N l Y 3 R p b 2 4 x L 0 d h b m R B L 1 J l b m F t Z W Q l M j B D b 2 x 1 b W 5 z M j w v S X R l b V B h d G g + P C 9 J d G V t T G 9 j Y X R p b 2 4 + P F N 0 Y W J s Z U V u d H J p Z X M g L z 4 8 L 0 l 0 Z W 0 + P E l 0 Z W 0 + P E l 0 Z W 1 M b 2 N h d G l v b j 4 8 S X R l b V R 5 c G U + R m 9 y b X V s Y T w v S X R l b V R 5 c G U + P E l 0 Z W 1 Q Y X R o P l N l Y 3 R p b 2 4 x L 0 d h b m R B L 1 J l c G x h Y 2 V k J T I w V m F s d W U 8 L 0 l 0 Z W 1 Q Y X R o P j w v S X R l b U x v Y 2 F 0 a W 9 u P j x T d G F i b G V F b n R y a W V z I C 8 + P C 9 J d G V t P j x J d G V t P j x J d G V t T G 9 j Y X R p b 2 4 + P E l 0 Z W 1 U e X B l P k Z v c m 1 1 b G E 8 L 0 l 0 Z W 1 U e X B l P j x J d G V t U G F 0 a D 5 T Z W N 0 a W 9 u M S 9 D d X N 0 b 2 1 l c i U y M F N 1 c H B v c n Q 8 L 0 l 0 Z W 1 Q Y X R o P j w v S X R l b U x v Y 2 F 0 a W 9 u P j x T d G F i b G V F b n R y a W V z P j x F b n R y e S B U e X B l P S J J c 1 B y a X Z h d G U i I F Z h b H V l P S J s M C I g L z 4 8 R W 5 0 c n k g V H l w Z T 0 i U X V l c n l J R C I g V m F s d W U 9 I n M 5 O T B j Z m Q y N i 0 3 Z T g y L T R k O W I t O G Y 2 Y y 0 2 M T k 1 N W J i M T Q 0 Z T I i I C 8 + P E V u d H J 5 I F R 5 c G U 9 I k J 1 Z m Z l c k 5 l e H R S Z W Z y Z X N o I i B W Y W x 1 Z T 0 i b D E i I C 8 + P E V u d H J 5 I F R 5 c G U 9 I l J l c 3 V s d F R 5 c G U i I F Z h b H V l P S J z V G F i b G U 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Z p b G x D b 2 x 1 b W 5 O Y W 1 l c y I g V m F s d W U 9 I n N b J n F 1 b 3 Q 7 Q W N j b 3 V u d C Z x d W 9 0 O y w m c X V v d D t E Z X B h c n R t Z W 5 0 J n F 1 b 3 Q 7 L C Z x d W 9 0 O 0 R h d G U m c X V v d D s s J n F 1 b 3 Q 7 V m F s d W U m c X V v d D t d I i A v P j x F b n R y e S B U e X B l P S J G a W x s Q 2 9 s d W 1 u V H l w Z X M i I F Z h b H V l P S J z Q m d B S k J R P T 0 i I C 8 + P E V u d H J 5 I F R 5 c G U 9 I k Z p b G x M Y X N 0 V X B k Y X R l Z C I g V m F s d W U 9 I m Q y M D I 0 L T A 4 L T E 1 V D A y O j M y O j M 1 L j g 1 N z k z O T V a I i A v P j x F b n R y e S B U e X B l P S J G a W x s R X J y b 3 J D b 3 V u d C I g V m F s d W U 9 I m w w I i A v P j x F b n R y e S B U e X B l P S J G a W x s R X J y b 3 J D b 2 R l I i B W Y W x 1 Z T 0 i c 1 V u a 2 5 v d 2 4 i I C 8 + P E V u d H J 5 I F R 5 c G U 9 I k Z p b G x T d G F 0 d X M i I F Z h b H V l P S J z Q 2 9 t c G x l d G U i I C 8 + P E V u d H J 5 I F R 5 c G U 9 I k Z p b G x D b 3 V u d C I g V m F s d W U 9 I m w x N T g 0 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0 N 1 c 3 R v b W V y I F N 1 c H B v c n Q v Q X V 0 b 1 J l b W 9 2 Z W R D b 2 x 1 b W 5 z M S 5 7 Q W N j b 3 V u d C w w f S Z x d W 9 0 O y w m c X V v d D t T Z W N 0 a W 9 u M S 9 D d X N 0 b 2 1 l c i B T d X B w b 3 J 0 L 0 F 1 d G 9 S Z W 1 v d m V k Q 2 9 s d W 1 u c z E u e 0 R l c G F y d G 1 l b n Q s M X 0 m c X V v d D s s J n F 1 b 3 Q 7 U 2 V j d G l v b j E v Q 3 V z d G 9 t Z X I g U 3 V w c G 9 y d C 9 B d X R v U m V t b 3 Z l Z E N v b H V t b n M x L n t E Y X R l L D J 9 J n F 1 b 3 Q 7 L C Z x d W 9 0 O 1 N l Y 3 R p b 2 4 x L 0 N 1 c 3 R v b W V y I F N 1 c H B v c n Q v Q X V 0 b 1 J l b W 9 2 Z W R D b 2 x 1 b W 5 z M S 5 7 V m F s d W U s M 3 0 m c X V v d D t d L C Z x d W 9 0 O 0 N v b H V t b k N v d W 5 0 J n F 1 b 3 Q 7 O j Q s J n F 1 b 3 Q 7 S 2 V 5 Q 2 9 s d W 1 u T m F t Z X M m c X V v d D s 6 W 1 0 s J n F 1 b 3 Q 7 Q 2 9 s d W 1 u S W R l b n R p d G l l c y Z x d W 9 0 O z p b J n F 1 b 3 Q 7 U 2 V j d G l v b j E v Q 3 V z d G 9 t Z X I g U 3 V w c G 9 y d C 9 B d X R v U m V t b 3 Z l Z E N v b H V t b n M x L n t B Y 2 N v d W 5 0 L D B 9 J n F 1 b 3 Q 7 L C Z x d W 9 0 O 1 N l Y 3 R p b 2 4 x L 0 N 1 c 3 R v b W V y I F N 1 c H B v c n Q v Q X V 0 b 1 J l b W 9 2 Z W R D b 2 x 1 b W 5 z M S 5 7 R G V w Y X J 0 b W V u d C w x f S Z x d W 9 0 O y w m c X V v d D t T Z W N 0 a W 9 u M S 9 D d X N 0 b 2 1 l c i B T d X B w b 3 J 0 L 0 F 1 d G 9 S Z W 1 v d m V k Q 2 9 s d W 1 u c z E u e 0 R h d G U s M n 0 m c X V v d D s s J n F 1 b 3 Q 7 U 2 V j d G l v b j E v Q 3 V z d G 9 t Z X I g U 3 V w c G 9 y d C 9 B d X R v U m V t b 3 Z l Z E N v b H V t b n M x L n t W Y W x 1 Z S w z f S Z x d W 9 0 O 1 0 s J n F 1 b 3 Q 7 U m V s Y X R p b 2 5 z a G l w S W 5 m b y Z x d W 9 0 O z p b X X 0 i I C 8 + P C 9 T d G F i b G V F b n R y a W V z P j w v S X R l b T 4 8 S X R l b T 4 8 S X R l b U x v Y 2 F 0 a W 9 u P j x J d G V t V H l w Z T 5 G b 3 J t d W x h P C 9 J d G V t V H l w Z T 4 8 S X R l b V B h d G g + U 2 V j d G l v b j E v Q 3 V z d G 9 t Z X I l M j B T d X B w b 3 J 0 L 1 N v d X J j Z T w v S X R l b V B h d G g + P C 9 J d G V t T G 9 j Y X R p b 2 4 + P F N 0 Y W J s Z U V u d H J p Z X M g L z 4 8 L 0 l 0 Z W 0 + P E l 0 Z W 0 + P E l 0 Z W 1 M b 2 N h d G l v b j 4 8 S X R l b V R 5 c G U + R m 9 y b X V s Y T w v S X R l b V R 5 c G U + P E l 0 Z W 1 Q Y X R o P l N l Y 3 R p b 2 4 x L 0 N 1 c 3 R v b W V y J T I w U 3 V w c G 9 y d C 9 D a G F u Z 2 V k J T I w V H l w Z T w v S X R l b V B h d G g + P C 9 J d G V t T G 9 j Y X R p b 2 4 + P F N 0 Y W J s Z U V u d H J p Z X M g L z 4 8 L 0 l 0 Z W 0 + P E l 0 Z W 0 + P E l 0 Z W 1 M b 2 N h d G l v b j 4 8 S X R l b V R 5 c G U + R m 9 y b X V s Y T w v S X R l b V R 5 c G U + P E l 0 Z W 1 Q Y X R o P l N l Y 3 R p b 2 4 x L 0 N 1 c 3 R v b W V y J T I w U 3 V w c G 9 y d C 9 Q c m 9 t b 3 R l Z C U y M E h l Y W R l c n M 8 L 0 l 0 Z W 1 Q Y X R o P j w v S X R l b U x v Y 2 F 0 a W 9 u P j x T d G F i b G V F b n R y a W V z I C 8 + P C 9 J d G V t P j x J d G V t P j x J d G V t T G 9 j Y X R p b 2 4 + P E l 0 Z W 1 U e X B l P k Z v c m 1 1 b G E 8 L 0 l 0 Z W 1 U e X B l P j x J d G V t U G F 0 a D 5 T Z W N 0 a W 9 u M S 9 D d X N 0 b 2 1 l c i U y M F N 1 c H B v c n Q v Q 2 h h b m d l Z C U y M F R 5 c G U x P C 9 J d G V t U G F 0 a D 4 8 L 0 l 0 Z W 1 M b 2 N h d G l v b j 4 8 U 3 R h Y m x l R W 5 0 c m l l c y A v P j w v S X R l b T 4 8 S X R l b T 4 8 S X R l b U x v Y 2 F 0 a W 9 u P j x J d G V t V H l w Z T 5 G b 3 J t d W x h P C 9 J d G V t V H l w Z T 4 8 S X R l b V B h d G g + U 2 V j d G l v b j E v Q 3 V z d G 9 t Z X I l M j B T d X B w b 3 J 0 L 1 J l b W 9 2 Z W Q l M j B D b 2 x 1 b W 5 z P C 9 J d G V t U G F 0 a D 4 8 L 0 l 0 Z W 1 M b 2 N h d G l v b j 4 8 U 3 R h Y m x l R W 5 0 c m l l c y A v P j w v S X R l b T 4 8 S X R l b T 4 8 S X R l b U x v Y 2 F 0 a W 9 u P j x J d G V t V H l w Z T 5 G b 3 J t d W x h P C 9 J d G V t V H l w Z T 4 8 S X R l b V B h d G g + U 2 V j d G l v b j E v Q 3 V z d G 9 t Z X I l M j B T d X B w b 3 J 0 L 1 J l b m F t Z W Q l M j B D b 2 x 1 b W 5 z P C 9 J d G V t U G F 0 a D 4 8 L 0 l 0 Z W 1 M b 2 N h d G l v b j 4 8 U 3 R h Y m x l R W 5 0 c m l l c y A v P j w v S X R l b T 4 8 S X R l b T 4 8 S X R l b U x v Y 2 F 0 a W 9 u P j x J d G V t V H l w Z T 5 G b 3 J t d W x h P C 9 J d G V t V H l w Z T 4 8 S X R l b V B h d G g + U 2 V j d G l v b j E v Q 3 V z d G 9 t Z X I l M j B T d X B w b 3 J 0 L 1 J l c G x h Y 2 V k J T I w V m F s d W U 8 L 0 l 0 Z W 1 Q Y X R o P j w v S X R l b U x v Y 2 F 0 a W 9 u P j x T d G F i b G V F b n R y a W V z I C 8 + P C 9 J d G V t P j x J d G V t P j x J d G V t T G 9 j Y X R p b 2 4 + P E l 0 Z W 1 U e X B l P k Z v c m 1 1 b G E 8 L 0 l 0 Z W 1 U e X B l P j x J d G V t U G F 0 a D 5 T Z W N 0 a W 9 u M S 9 D d X N 0 b 2 1 l c i U y M F N 1 c H B v c n Q v U m V u Y W 1 l Z C U y M E N v b H V t b n M x P C 9 J d G V t U G F 0 a D 4 8 L 0 l 0 Z W 1 M b 2 N h d G l v b j 4 8 U 3 R h Y m x l R W 5 0 c m l l c y A v P j w v S X R l b T 4 8 S X R l b T 4 8 S X R l b U x v Y 2 F 0 a W 9 u P j x J d G V t V H l w Z T 5 G b 3 J t d W x h P C 9 J d G V t V H l w Z T 4 8 S X R l b V B h d G g + U 2 V j d G l v b j E v Q 3 V z d G 9 t Z X I l M j B T d X B w b 3 J 0 L 1 V u c G l 2 b 3 R l Z C U y M E 9 0 a G V y J T I w Q 2 9 s d W 1 u c z w v S X R l b V B h d G g + P C 9 J d G V t T G 9 j Y X R p b 2 4 + P F N 0 Y W J s Z U V u d H J p Z X M g L z 4 8 L 0 l 0 Z W 0 + P E l 0 Z W 0 + P E l 0 Z W 1 M b 2 N h d G l v b j 4 8 S X R l b V R 5 c G U + R m 9 y b X V s Y T w v S X R l b V R 5 c G U + P E l 0 Z W 1 Q Y X R o P l N l Y 3 R p b 2 4 x L 0 N 1 c 3 R v b W V y J T I w U 3 V w c G 9 y d C 9 Q Y X J z Z W Q l M j B E Y X R l P C 9 J d G V t U G F 0 a D 4 8 L 0 l 0 Z W 1 M b 2 N h d G l v b j 4 8 U 3 R h Y m x l R W 5 0 c m l l c y A v P j w v S X R l b T 4 8 S X R l b T 4 8 S X R l b U x v Y 2 F 0 a W 9 u P j x J d G V t V H l w Z T 5 G b 3 J t d W x h P C 9 J d G V t V H l w Z T 4 8 S X R l b V B h d G g + U 2 V j d G l v b j E v Q 3 V z d G 9 t Z X I l M j B T d X B w b 3 J 0 L 1 J l b m F t Z W Q l M j B D b 2 x 1 b W 5 z M j w v S X R l b V B h d G g + P C 9 J d G V t T G 9 j Y X R p b 2 4 + P F N 0 Y W J s Z U V u d H J p Z X M g L z 4 8 L 0 l 0 Z W 0 + P E l 0 Z W 0 + P E l 0 Z W 1 M b 2 N h d G l v b j 4 8 S X R l b V R 5 c G U + R m 9 y b X V s Y T w v S X R l b V R 5 c G U + P E l 0 Z W 1 Q Y X R o P l N l Y 3 R p b 2 4 x L 1 N h b G V z J T I w J T I 2 J T I w T W F y a 2 V 0 a W 5 n P C 9 J d G V t U G F 0 a D 4 8 L 0 l 0 Z W 1 M b 2 N h d G l v b j 4 8 U 3 R h Y m x l R W 5 0 c m l l c z 4 8 R W 5 0 c n k g V H l w Z T 0 i S X N Q c m l 2 Y X R l I i B W Y W x 1 Z T 0 i b D A i I C 8 + P E V u d H J 5 I F R 5 c G U 9 I l F 1 Z X J 5 S U Q i I F Z h b H V l P S J z M z A 2 M G Q z M G I t M 2 I 3 Y i 0 0 Y z c z L T k w N G E t M j c w O W N h Y z c 0 Z D k z I i A v P j x F b n R y e S B U e X B l P S J M b 2 F k Z W R U b 0 F u Y W x 5 c 2 l z U 2 V y d m l j Z X M i I F Z h b H V l P S J s M C I g L z 4 8 R W 5 0 c n k g V H l w Z T 0 i R m l s b E V y c m 9 y Q 2 9 1 b n Q i I F Z h b H V l P S J s M C I g L z 4 8 R W 5 0 c n k g V H l w Z T 0 i R m l s b E x h c 3 R V c G R h d G V k I i B W Y W x 1 Z T 0 i Z D I w M j Q t M D g t M T V U M D I 6 M z I 6 M z U u O D c z M T U 2 M V o i I C 8 + P E V u d H J 5 I F R 5 c G U 9 I k Z p b G x D b 2 x 1 b W 5 U e X B l c y I g V m F s d W U 9 I n N C Z 0 F K Q l E 9 P S I g L z 4 8 R W 5 0 c n k g V H l w Z T 0 i R m l s b E N v b H V t b k 5 h b W V z I i B W Y W x 1 Z T 0 i c 1 s m c X V v d D t B Y 2 N v d W 5 0 J n F 1 b 3 Q 7 L C Z x d W 9 0 O 0 R l c G F y d G 1 l b n Q m c X V v d D s s J n F 1 b 3 Q 7 R G F 0 Z S Z x d W 9 0 O y w m c X V v d D t W Y W x 1 Z S Z x d W 9 0 O 1 0 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Z p b G x F c n J v c k N v Z G U i I F Z h b H V l P S J z V W 5 r b m 9 3 b i I g L z 4 8 R W 5 0 c n k g V H l w Z T 0 i R m l s b F N 0 Y X R 1 c y I g V m F s d W U 9 I n N D b 2 1 w b G V 0 Z S I g L z 4 8 R W 5 0 c n k g V H l w Z T 0 i R m l s b E N v d W 5 0 I i B W Y W x 1 Z T 0 i b D E 1 O D Q 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U 2 F s Z X M g X H U w M D I 2 I E 1 h c m t l d G l u Z y 9 B d X R v U m V t b 3 Z l Z E N v b H V t b n M x L n t B Y 2 N v d W 5 0 L D B 9 J n F 1 b 3 Q 7 L C Z x d W 9 0 O 1 N l Y 3 R p b 2 4 x L 1 N h b G V z I F x 1 M D A y N i B N Y X J r Z X R p b m c v Q X V 0 b 1 J l b W 9 2 Z W R D b 2 x 1 b W 5 z M S 5 7 R G V w Y X J 0 b W V u d C w x f S Z x d W 9 0 O y w m c X V v d D t T Z W N 0 a W 9 u M S 9 T Y W x l c y B c d T A w M j Y g T W F y a 2 V 0 a W 5 n L 0 F 1 d G 9 S Z W 1 v d m V k Q 2 9 s d W 1 u c z E u e 0 R h d G U s M n 0 m c X V v d D s s J n F 1 b 3 Q 7 U 2 V j d G l v b j E v U 2 F s Z X M g X H U w M D I 2 I E 1 h c m t l d G l u Z y 9 B d X R v U m V t b 3 Z l Z E N v b H V t b n M x L n t W Y W x 1 Z S w z f S Z x d W 9 0 O 1 0 s J n F 1 b 3 Q 7 Q 2 9 s d W 1 u Q 2 9 1 b n Q m c X V v d D s 6 N C w m c X V v d D t L Z X l D b 2 x 1 b W 5 O Y W 1 l c y Z x d W 9 0 O z p b X S w m c X V v d D t D b 2 x 1 b W 5 J Z G V u d G l 0 a W V z J n F 1 b 3 Q 7 O l s m c X V v d D t T Z W N 0 a W 9 u M S 9 T Y W x l c y B c d T A w M j Y g T W F y a 2 V 0 a W 5 n L 0 F 1 d G 9 S Z W 1 v d m V k Q 2 9 s d W 1 u c z E u e 0 F j Y 2 9 1 b n Q s M H 0 m c X V v d D s s J n F 1 b 3 Q 7 U 2 V j d G l v b j E v U 2 F s Z X M g X H U w M D I 2 I E 1 h c m t l d G l u Z y 9 B d X R v U m V t b 3 Z l Z E N v b H V t b n M x L n t E Z X B h c n R t Z W 5 0 L D F 9 J n F 1 b 3 Q 7 L C Z x d W 9 0 O 1 N l Y 3 R p b 2 4 x L 1 N h b G V z I F x 1 M D A y N i B N Y X J r Z X R p b m c v Q X V 0 b 1 J l b W 9 2 Z W R D b 2 x 1 b W 5 z M S 5 7 R G F 0 Z S w y f S Z x d W 9 0 O y w m c X V v d D t T Z W N 0 a W 9 u M S 9 T Y W x l c y B c d T A w M j Y g T W F y a 2 V 0 a W 5 n L 0 F 1 d G 9 S Z W 1 v d m V k Q 2 9 s d W 1 u c z E u e 1 Z h b H V l L D N 9 J n F 1 b 3 Q 7 X S w m c X V v d D t S Z W x h d G l v b n N o a X B J b m Z v J n F 1 b 3 Q 7 O l t d f S I g L z 4 8 L 1 N 0 Y W J s Z U V u d H J p Z X M + P C 9 J d G V t P j x J d G V t P j x J d G V t T G 9 j Y X R p b 2 4 + P E l 0 Z W 1 U e X B l P k Z v c m 1 1 b G E 8 L 0 l 0 Z W 1 U e X B l P j x J d G V t U G F 0 a D 5 T Z W N 0 a W 9 u M S 9 T Y W x l c y U y M C U y N i U y M E 1 h c m t l d G l u Z y 9 T b 3 V y Y 2 U 8 L 0 l 0 Z W 1 Q Y X R o P j w v S X R l b U x v Y 2 F 0 a W 9 u P j x T d G F i b G V F b n R y a W V z I C 8 + P C 9 J d G V t P j x J d G V t P j x J d G V t T G 9 j Y X R p b 2 4 + P E l 0 Z W 1 U e X B l P k Z v c m 1 1 b G E 8 L 0 l 0 Z W 1 U e X B l P j x J d G V t U G F 0 a D 5 T Z W N 0 a W 9 u M S 9 T Y W x l c y U y M C U y N i U y M E 1 h c m t l d G l u Z y 9 D a G F u Z 2 V k J T I w V H l w Z T w v S X R l b V B h d G g + P C 9 J d G V t T G 9 j Y X R p b 2 4 + P F N 0 Y W J s Z U V u d H J p Z X M g L z 4 8 L 0 l 0 Z W 0 + P E l 0 Z W 0 + P E l 0 Z W 1 M b 2 N h d G l v b j 4 8 S X R l b V R 5 c G U + R m 9 y b X V s Y T w v S X R l b V R 5 c G U + P E l 0 Z W 1 Q Y X R o P l N l Y 3 R p b 2 4 x L 1 N h b G V z J T I w J T I 2 J T I w T W F y a 2 V 0 a W 5 n L 1 B y b 2 1 v d G V k J T I w S G V h Z G V y c z w v S X R l b V B h d G g + P C 9 J d G V t T G 9 j Y X R p b 2 4 + P F N 0 Y W J s Z U V u d H J p Z X M g L z 4 8 L 0 l 0 Z W 0 + P E l 0 Z W 0 + P E l 0 Z W 1 M b 2 N h d G l v b j 4 8 S X R l b V R 5 c G U + R m 9 y b X V s Y T w v S X R l b V R 5 c G U + P E l 0 Z W 1 Q Y X R o P l N l Y 3 R p b 2 4 x L 1 N h b G V z J T I w J T I 2 J T I w T W F y a 2 V 0 a W 5 n L 0 N o Y W 5 n Z W Q l M j B U e X B l M T w v S X R l b V B h d G g + P C 9 J d G V t T G 9 j Y X R p b 2 4 + P F N 0 Y W J s Z U V u d H J p Z X M g L z 4 8 L 0 l 0 Z W 0 + P E l 0 Z W 0 + P E l 0 Z W 1 M b 2 N h d G l v b j 4 8 S X R l b V R 5 c G U + R m 9 y b X V s Y T w v S X R l b V R 5 c G U + P E l 0 Z W 1 Q Y X R o P l N l Y 3 R p b 2 4 x L 1 N h b G V z J T I w J T I 2 J T I w T W F y a 2 V 0 a W 5 n L 1 J l b W 9 2 Z W Q l M j B D b 2 x 1 b W 5 z P C 9 J d G V t U G F 0 a D 4 8 L 0 l 0 Z W 1 M b 2 N h d G l v b j 4 8 U 3 R h Y m x l R W 5 0 c m l l c y A v P j w v S X R l b T 4 8 S X R l b T 4 8 S X R l b U x v Y 2 F 0 a W 9 u P j x J d G V t V H l w Z T 5 G b 3 J t d W x h P C 9 J d G V t V H l w Z T 4 8 S X R l b V B h d G g + U 2 V j d G l v b j E v U 2 F s Z X M l M j A l M j Y l M j B N Y X J r Z X R p b m c v U m V u Y W 1 l Z C U y M E N v b H V t b n M 8 L 0 l 0 Z W 1 Q Y X R o P j w v S X R l b U x v Y 2 F 0 a W 9 u P j x T d G F i b G V F b n R y a W V z I C 8 + P C 9 J d G V t P j x J d G V t P j x J d G V t T G 9 j Y X R p b 2 4 + P E l 0 Z W 1 U e X B l P k Z v c m 1 1 b G E 8 L 0 l 0 Z W 1 U e X B l P j x J d G V t U G F 0 a D 5 T Z W N 0 a W 9 u M S 9 T Y W x l c y U y M C U y N i U y M E 1 h c m t l d G l u Z y 9 S Z X B s Y W N l Z C U y M F Z h b H V l P C 9 J d G V t U G F 0 a D 4 8 L 0 l 0 Z W 1 M b 2 N h d G l v b j 4 8 U 3 R h Y m x l R W 5 0 c m l l c y A v P j w v S X R l b T 4 8 S X R l b T 4 8 S X R l b U x v Y 2 F 0 a W 9 u P j x J d G V t V H l w Z T 5 G b 3 J t d W x h P C 9 J d G V t V H l w Z T 4 8 S X R l b V B h d G g + U 2 V j d G l v b j E v U 2 F s Z X M l M j A l M j Y l M j B N Y X J r Z X R p b m c v U m V u Y W 1 l Z C U y M E N v b H V t b n M x P C 9 J d G V t U G F 0 a D 4 8 L 0 l 0 Z W 1 M b 2 N h d G l v b j 4 8 U 3 R h Y m x l R W 5 0 c m l l c y A v P j w v S X R l b T 4 8 S X R l b T 4 8 S X R l b U x v Y 2 F 0 a W 9 u P j x J d G V t V H l w Z T 5 G b 3 J t d W x h P C 9 J d G V t V H l w Z T 4 8 S X R l b V B h d G g + U 2 V j d G l v b j E v U 2 F s Z X M l M j A l M j Y l M j B N Y X J r Z X R p b m c v V W 5 w a X Z v d G V k J T I w T 3 R o Z X I l M j B D b 2 x 1 b W 5 z P C 9 J d G V t U G F 0 a D 4 8 L 0 l 0 Z W 1 M b 2 N h d G l v b j 4 8 U 3 R h Y m x l R W 5 0 c m l l c y A v P j w v S X R l b T 4 8 S X R l b T 4 8 S X R l b U x v Y 2 F 0 a W 9 u P j x J d G V t V H l w Z T 5 G b 3 J t d W x h P C 9 J d G V t V H l w Z T 4 8 S X R l b V B h d G g + U 2 V j d G l v b j E v U 2 F s Z X M l M j A l M j Y l M j B N Y X J r Z X R p b m c v U G F y c 2 V k J T I w R G F 0 Z T w v S X R l b V B h d G g + P C 9 J d G V t T G 9 j Y X R p b 2 4 + P F N 0 Y W J s Z U V u d H J p Z X M g L z 4 8 L 0 l 0 Z W 0 + P E l 0 Z W 0 + P E l 0 Z W 1 M b 2 N h d G l v b j 4 8 S X R l b V R 5 c G U + R m 9 y b X V s Y T w v S X R l b V R 5 c G U + P E l 0 Z W 1 Q Y X R o P l N l Y 3 R p b 2 4 x L 1 N h b G V z J T I w J T I 2 J T I w T W F y a 2 V 0 a W 5 n L 1 J l b m F t Z W Q l M j B D b 2 x 1 b W 5 z M j w v S X R l b V B h d G g + P C 9 J d G V t T G 9 j Y X R p b 2 4 + P F N 0 Y W J s Z U V u d H J p Z X M g L z 4 8 L 0 l 0 Z W 0 + P E l 0 Z W 0 + P E l 0 Z W 1 M b 2 N h d G l v b j 4 8 S X R l b V R 5 c G U + R m 9 y b X V s Y T w v S X R l b V R 5 c G U + P E l 0 Z W 1 Q Y X R o P l N l Y 3 R p b 2 4 x L 0 R l c G F y d G 1 l b n R h b C U y M F B y b 2 Z p d C U y M C U y N i U y M E x v c 3 M 8 L 0 l 0 Z W 1 Q Y X R o P j w v S X R l b U x v Y 2 F 0 a W 9 u P j x T d G F i b G V F b n R y a W V z P j x F b n R y e S B U e X B l P S J J c 1 B y a X Z h d G U i I F Z h b H V l P S J s M C I g L z 4 8 R W 5 0 c n k g V H l w Z T 0 i U X V l c n l J R C I g V m F s d W U 9 I n M 5 M m F m N W M 0 Z S 0 3 Y m Q 5 L T R h O D U t Y m F l M S 0 2 Y j Q x N W Z k N 2 Y w N m U i I C 8 + P E V u d H J 5 I F R 5 c G U 9 I k Z p b G x F b m F i b G V k I i B W Y W x 1 Z T 0 i b D A i I C 8 + P E V u d H J 5 I F R 5 c G U 9 I k Z p b G x P Y m p l Y 3 R U e X B l I i B W Y W x 1 Z T 0 i c 1 B p d m 9 0 V G F i b G U 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R m l s b E V y c m 9 y Q 2 9 k Z S I g V m F s d W U 9 I n N V b m t u b 3 d u I i A v P j x F b n R y e S B U e X B l P S J G a W x s R X J y b 3 J D b 3 V u d C I g V m F s d W U 9 I m w w I i A v P j x F b n R y e S B U e X B l P S J G a W x s T G F z d F V w Z G F 0 Z W Q i I F Z h b H V l P S J k M j A y N C 0 w O C 0 x N V Q w M j o z M j o x N C 4 0 N T I 1 O T E 3 W i I g L z 4 8 R W 5 0 c n k g V H l w Z T 0 i R m l s b E N v b H V t b l R 5 c G V z I i B W Y W x 1 Z T 0 i c 0 J n Q U p C U T 0 9 I i A v P j x F b n R y e S B U e X B l P S J G a W x s Q 2 9 s d W 1 u T m F t Z X M i I F Z h b H V l P S J z W y Z x d W 9 0 O 0 F j Y 2 9 1 b n Q m c X V v d D s s J n F 1 b 3 Q 7 R G V w Y X J 0 b W V u d C Z x d W 9 0 O y w m c X V v d D t E Y X R l J n F 1 b 3 Q 7 L C Z x d W 9 0 O 1 Z h b H V l J n F 1 b 3 Q 7 X S I g L z 4 8 R W 5 0 c n k g V H l w Z T 0 i U G l 2 b 3 R P Y m p l Y 3 R O Y W 1 l I i B W Y W x 1 Z T 0 i c 0 R h d G E h Q n V k Z 2 V 0 I H Z z I E F j d H V h b H M g Y n k g U H J v Z m l 0 I i A v P j x F b n R y e S B U e X B l P S J G a W x s U 3 R h d H V z I i B W Y W x 1 Z T 0 i c 0 N v b X B s Z X R l I i A v P j x F b n R y e S B U e X B l P S J G a W x s Q 2 9 1 b n Q i I F Z h b H V l P S J s N j M z N i I g L z 4 8 R W 5 0 c n k g V H l w Z T 0 i Q W R k Z W R U b 0 R h d G F N b 2 R l b C I g V m F s d W U 9 I m w x I i A v P j x F b n R y e S B U e X B l P S J S Z W x h d G l v b n N o a X B J b m Z v Q 2 9 u d G F p b m V y I i B W Y W x 1 Z T 0 i c 3 s m c X V v d D t j b 2 x 1 b W 5 D b 3 V u d C Z x d W 9 0 O z o 0 L C Z x d W 9 0 O 2 t l e U N v b H V t b k 5 h b W V z J n F 1 b 3 Q 7 O l t d L C Z x d W 9 0 O 3 F 1 Z X J 5 U m V s Y X R p b 2 5 z a G l w c y Z x d W 9 0 O z p b X S w m c X V v d D t j b 2 x 1 b W 5 J Z G V u d G l 0 a W V z J n F 1 b 3 Q 7 O l s m c X V v d D t T Z W N 0 a W 9 u M S 9 E Z X B h c n R t Z W 5 0 Y W w g U H J v Z m l 0 I F x 1 M D A y N i B M b 3 N z L 1 N v d X J j Z S 5 7 Q W N j b 3 V u d C w w f S Z x d W 9 0 O y w m c X V v d D t T Z W N 0 a W 9 u M S 9 E Z X B h c n R t Z W 5 0 Y W w g U H J v Z m l 0 I F x 1 M D A y N i B M b 3 N z L 1 N v d X J j Z S 5 7 R G V w Y X J 0 b W V u d C w x f S Z x d W 9 0 O y w m c X V v d D t T Z W N 0 a W 9 u M S 9 E Z X B h c n R t Z W 5 0 Y W w g U H J v Z m l 0 I F x 1 M D A y N i B M b 3 N z L 1 N v d X J j Z S 5 7 R G F 0 Z S w y f S Z x d W 9 0 O y w m c X V v d D t T Z W N 0 a W 9 u M S 9 E Z X B h c n R t Z W 5 0 Y W w g U H J v Z m l 0 I F x 1 M D A y N i B M b 3 N z L 1 N v d X J j Z S 5 7 V m F s d W U s M 3 0 m c X V v d D t d L C Z x d W 9 0 O 0 N v b H V t b k N v d W 5 0 J n F 1 b 3 Q 7 O j Q s J n F 1 b 3 Q 7 S 2 V 5 Q 2 9 s d W 1 u T m F t Z X M m c X V v d D s 6 W 1 0 s J n F 1 b 3 Q 7 Q 2 9 s d W 1 u S W R l b n R p d G l l c y Z x d W 9 0 O z p b J n F 1 b 3 Q 7 U 2 V j d G l v b j E v R G V w Y X J 0 b W V u d G F s I F B y b 2 Z p d C B c d T A w M j Y g T G 9 z c y 9 T b 3 V y Y 2 U u e 0 F j Y 2 9 1 b n Q s M H 0 m c X V v d D s s J n F 1 b 3 Q 7 U 2 V j d G l v b j E v R G V w Y X J 0 b W V u d G F s I F B y b 2 Z p d C B c d T A w M j Y g T G 9 z c y 9 T b 3 V y Y 2 U u e 0 R l c G F y d G 1 l b n Q s M X 0 m c X V v d D s s J n F 1 b 3 Q 7 U 2 V j d G l v b j E v R G V w Y X J 0 b W V u d G F s I F B y b 2 Z p d C B c d T A w M j Y g T G 9 z c y 9 T b 3 V y Y 2 U u e 0 R h d G U s M n 0 m c X V v d D s s J n F 1 b 3 Q 7 U 2 V j d G l v b j E v R G V w Y X J 0 b W V u d G F s I F B y b 2 Z p d C B c d T A w M j Y g T G 9 z c y 9 T b 3 V y Y 2 U u e 1 Z h b H V l L D N 9 J n F 1 b 3 Q 7 X S w m c X V v d D t S Z W x h d G l v b n N o a X B J b m Z v J n F 1 b 3 Q 7 O l t d f S I g L z 4 8 L 1 N 0 Y W J s Z U V u d H J p Z X M + P C 9 J d G V t P j x J d G V t P j x J d G V t T G 9 j Y X R p b 2 4 + P E l 0 Z W 1 U e X B l P k Z v c m 1 1 b G E 8 L 0 l 0 Z W 1 U e X B l P j x J d G V t U G F 0 a D 5 T Z W N 0 a W 9 u M S 9 E Z X B h c n R t Z W 5 0 Y W w l M j B Q c m 9 m a X Q l M j A l M j Y l M j B M b 3 N z L 1 N v d X J j Z T w v S X R l b V B h d G g + P C 9 J d G V t T G 9 j Y X R p b 2 4 + P F N 0 Y W J s Z U V u d H J p Z X M g L z 4 8 L 0 l 0 Z W 0 + P E l 0 Z W 0 + P E l 0 Z W 1 M b 2 N h d G l v b j 4 8 S X R l b V R 5 c G U + R m 9 y b X V s Y T w v S X R l b V R 5 c G U + P E l 0 Z W 1 Q Y X R o P l N l Y 3 R p b 2 4 x L 1 J l c 2 V h c m N o J T I w J T I 2 J T I w R G V 2 Z W x v c G 1 l b n R f Q n V k Z 2 V 0 P C 9 J d G V t U G F 0 a D 4 8 L 0 l 0 Z W 1 M b 2 N h d G l v b j 4 8 U 3 R h Y m x l R W 5 0 c m l l c z 4 8 R W 5 0 c n k g V H l w Z T 0 i S X N Q c m l 2 Y X R l I i B W Y W x 1 Z T 0 i b D A i I C 8 + P E V u d H J 5 I F R 5 c G U 9 I l F 1 Z X J 5 S U Q i I F Z h b H V l P S J z M 2 Z i O T d h Z j c t O D I 2 Z C 0 0 N D k z L W E 0 N 2 I t Y z k 2 Y T I w O W R m Z j N j 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M b 2 F k Z W R U b 0 F u Y W x 5 c 2 l z U 2 V y d m l j Z X M i I F Z h b H V l P S J s M C I g L z 4 8 R W 5 0 c n k g V H l w Z T 0 i R m l s b E V y c m 9 y Q 2 9 k Z S I g V m F s d W U 9 I n N V b m t u b 3 d u I i A v P j x F b n R y e S B U e X B l P S J B Z G R l Z F R v R G F 0 Y U 1 v Z G V s I i B W Y W x 1 Z T 0 i b D A i I C 8 + P E V u d H J 5 I F R 5 c G U 9 I k Z p b G x M Y X N 0 V X B k Y X R l Z C I g V m F s d W U 9 I m Q y M D I 0 L T A 4 L T E 1 V D A y O j M y O j M 1 L j g 4 N D k 0 M z V a 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S Z X N l Y X J j a C B c d T A w M j Y g R G V 2 Z W x v c G 1 l b n Q v V W 5 w a X Z v d G V k I E 9 0 a G V y I E N v b H V t b n M u e 0 F j Y 2 9 1 b n Q s M H 0 m c X V v d D s s J n F 1 b 3 Q 7 U 2 V j d G l v b j E v U m V z Z W F y Y 2 g g X H U w M D I 2 I E R l d m V s b 3 B t Z W 5 0 L 1 V u c G l 2 b 3 R l Z C B P d G h l c i B D b 2 x 1 b W 5 z L n t E Z X B h c n R t Z W 5 0 L D F 9 J n F 1 b 3 Q 7 L C Z x d W 9 0 O 1 N l Y 3 R p b 2 4 x L 1 J l c 2 V h c m N o I F x 1 M D A y N i B E Z X Z l b G 9 w b W V u d C 9 Q Y X J z Z W Q g R G F 0 Z S 5 7 Q X R 0 c m l i d X R l L D J 9 J n F 1 b 3 Q 7 L C Z x d W 9 0 O 1 N l Y 3 R p b 2 4 x L 1 J l c 2 V h c m N o I F x 1 M D A y N i B E Z X Z l b G 9 w b W V u d C 9 V b n B p d m 9 0 Z W Q g T 3 R o Z X I g Q 2 9 s d W 1 u c y 5 7 V m F s d W U s M 3 0 m c X V v d D t d L C Z x d W 9 0 O 0 N v b H V t b k N v d W 5 0 J n F 1 b 3 Q 7 O j Q s J n F 1 b 3 Q 7 S 2 V 5 Q 2 9 s d W 1 u T m F t Z X M m c X V v d D s 6 W 1 0 s J n F 1 b 3 Q 7 Q 2 9 s d W 1 u S W R l b n R p d G l l c y Z x d W 9 0 O z p b J n F 1 b 3 Q 7 U 2 V j d G l v b j E v U m V z Z W F y Y 2 g g X H U w M D I 2 I E R l d m V s b 3 B t Z W 5 0 L 1 V u c G l 2 b 3 R l Z C B P d G h l c i B D b 2 x 1 b W 5 z L n t B Y 2 N v d W 5 0 L D B 9 J n F 1 b 3 Q 7 L C Z x d W 9 0 O 1 N l Y 3 R p b 2 4 x L 1 J l c 2 V h c m N o I F x 1 M D A y N i B E Z X Z l b G 9 w b W V u d C 9 V b n B p d m 9 0 Z W Q g T 3 R o Z X I g Q 2 9 s d W 1 u c y 5 7 R G V w Y X J 0 b W V u d C w x f S Z x d W 9 0 O y w m c X V v d D t T Z W N 0 a W 9 u M S 9 S Z X N l Y X J j a C B c d T A w M j Y g R G V 2 Z W x v c G 1 l b n Q v U G F y c 2 V k I E R h d G U u e 0 F 0 d H J p Y n V 0 Z S w y f S Z x d W 9 0 O y w m c X V v d D t T Z W N 0 a W 9 u M S 9 S Z X N l Y X J j a C B c d T A w M j Y g R G V 2 Z W x v c G 1 l b n Q v V W 5 w a X Z v d G V k I E 9 0 a G V y I E N v b H V t b n M u e 1 Z h b H V l L D N 9 J n F 1 b 3 Q 7 X S w m c X V v d D t S Z W x h d G l v b n N o a X B J b m Z v J n F 1 b 3 Q 7 O l t d f S I g L z 4 8 L 1 N 0 Y W J s Z U V u d H J p Z X M + P C 9 J d G V t P j x J d G V t P j x J d G V t T G 9 j Y X R p b 2 4 + P E l 0 Z W 1 U e X B l P k Z v c m 1 1 b G E 8 L 0 l 0 Z W 1 U e X B l P j x J d G V t U G F 0 a D 5 T Z W N 0 a W 9 u M S 9 S Z X N l Y X J j a C U y M C U y N i U y M E R l d m V s b 3 B t Z W 5 0 X 0 J 1 Z G d l d C 9 T b 3 V y Y 2 U 8 L 0 l 0 Z W 1 Q Y X R o P j w v S X R l b U x v Y 2 F 0 a W 9 u P j x T d G F i b G V F b n R y a W V z I C 8 + P C 9 J d G V t P j x J d G V t P j x J d G V t T G 9 j Y X R p b 2 4 + P E l 0 Z W 1 U e X B l P k Z v c m 1 1 b G E 8 L 0 l 0 Z W 1 U e X B l P j x J d G V t U G F 0 a D 5 T Z W N 0 a W 9 u M S 9 S Z X N l Y X J j a C U y M C U y N i U y M E R l d m V s b 3 B t Z W 5 0 X 0 J 1 Z G d l d C 9 D a G F u Z 2 V k J T I w V H l w Z T w v S X R l b V B h d G g + P C 9 J d G V t T G 9 j Y X R p b 2 4 + P F N 0 Y W J s Z U V u d H J p Z X M g L z 4 8 L 0 l 0 Z W 0 + P E l 0 Z W 0 + P E l 0 Z W 1 M b 2 N h d G l v b j 4 8 S X R l b V R 5 c G U + R m 9 y b X V s Y T w v S X R l b V R 5 c G U + P E l 0 Z W 1 Q Y X R o P l N l Y 3 R p b 2 4 x L 1 J l c 2 V h c m N o J T I w J T I 2 J T I w R G V 2 Z W x v c G 1 l b n R f Q n V k Z 2 V 0 L 1 B y b 2 1 v d G V k J T I w S G V h Z G V y c z w v S X R l b V B h d G g + P C 9 J d G V t T G 9 j Y X R p b 2 4 + P F N 0 Y W J s Z U V u d H J p Z X M g L z 4 8 L 0 l 0 Z W 0 + P E l 0 Z W 0 + P E l 0 Z W 1 M b 2 N h d G l v b j 4 8 S X R l b V R 5 c G U + R m 9 y b X V s Y T w v S X R l b V R 5 c G U + P E l 0 Z W 1 Q Y X R o P l N l Y 3 R p b 2 4 x L 1 J l c 2 V h c m N o J T I w J T I 2 J T I w R G V 2 Z W x v c G 1 l b n R f Q n V k Z 2 V 0 L 0 N o Y W 5 n Z W Q l M j B U e X B l M T w v S X R l b V B h d G g + P C 9 J d G V t T G 9 j Y X R p b 2 4 + P F N 0 Y W J s Z U V u d H J p Z X M g L z 4 8 L 0 l 0 Z W 0 + P E l 0 Z W 0 + P E l 0 Z W 1 M b 2 N h d G l v b j 4 8 S X R l b V R 5 c G U + R m 9 y b X V s Y T w v S X R l b V R 5 c G U + P E l 0 Z W 1 Q Y X R o P l N l Y 3 R p b 2 4 x L 1 J l c 2 V h c m N o J T I w J T I 2 J T I w R G V 2 Z W x v c G 1 l b n R f Q n V k Z 2 V 0 L 1 J l b m F t Z W Q l M j B D b 2 x 1 b W 5 z P C 9 J d G V t U G F 0 a D 4 8 L 0 l 0 Z W 1 M b 2 N h d G l v b j 4 8 U 3 R h Y m x l R W 5 0 c m l l c y A v P j w v S X R l b T 4 8 S X R l b T 4 8 S X R l b U x v Y 2 F 0 a W 9 u P j x J d G V t V H l w Z T 5 G b 3 J t d W x h P C 9 J d G V t V H l w Z T 4 8 S X R l b V B h d G g + U 2 V j d G l v b j E v U m V z Z W F y Y 2 g l M j A l M j Y l M j B E Z X Z l b G 9 w b W V u d F 9 C d W R n Z X Q v U m V t b 3 Z l Z C U y M E N v b H V t b n M 8 L 0 l 0 Z W 1 Q Y X R o P j w v S X R l b U x v Y 2 F 0 a W 9 u P j x T d G F i b G V F b n R y a W V z I C 8 + P C 9 J d G V t P j x J d G V t P j x J d G V t T G 9 j Y X R p b 2 4 + P E l 0 Z W 1 U e X B l P k Z v c m 1 1 b G E 8 L 0 l 0 Z W 1 U e X B l P j x J d G V t U G F 0 a D 5 T Z W N 0 a W 9 u M S 9 S Z X N l Y X J j a C U y M C U y N i U y M E R l d m V s b 3 B t Z W 5 0 X 0 J 1 Z G d l d C 9 S Z W 5 h b W V k J T I w Q 2 9 s d W 1 u c z E 8 L 0 l 0 Z W 1 Q Y X R o P j w v S X R l b U x v Y 2 F 0 a W 9 u P j x T d G F i b G V F b n R y a W V z I C 8 + P C 9 J d G V t P j x J d G V t P j x J d G V t T G 9 j Y X R p b 2 4 + P E l 0 Z W 1 U e X B l P k Z v c m 1 1 b G E 8 L 0 l 0 Z W 1 U e X B l P j x J d G V t U G F 0 a D 5 T Z W N 0 a W 9 u M S 9 S Z X N l Y X J j a C U y M C U y N i U y M E R l d m V s b 3 B t Z W 5 0 X 0 J 1 Z G d l d C 9 S Z X B s Y W N l Z C U y M F Z h b H V l P C 9 J d G V t U G F 0 a D 4 8 L 0 l 0 Z W 1 M b 2 N h d G l v b j 4 8 U 3 R h Y m x l R W 5 0 c m l l c y A v P j w v S X R l b T 4 8 S X R l b T 4 8 S X R l b U x v Y 2 F 0 a W 9 u P j x J d G V t V H l w Z T 5 G b 3 J t d W x h P C 9 J d G V t V H l w Z T 4 8 S X R l b V B h d G g + U 2 V j d G l v b j E v U m V z Z W F y Y 2 g l M j A l M j Y l M j B E Z X Z l b G 9 w b W V u d F 9 C d W R n Z X Q v V W 5 w a X Z v d G V k J T I w T 3 R o Z X I l M j B D b 2 x 1 b W 5 z P C 9 J d G V t U G F 0 a D 4 8 L 0 l 0 Z W 1 M b 2 N h d G l v b j 4 8 U 3 R h Y m x l R W 5 0 c m l l c y A v P j w v S X R l b T 4 8 S X R l b T 4 8 S X R l b U x v Y 2 F 0 a W 9 u P j x J d G V t V H l w Z T 5 G b 3 J t d W x h P C 9 J d G V t V H l w Z T 4 8 S X R l b V B h d G g + U 2 V j d G l v b j E v U m V z Z W F y Y 2 g l M j A l M j Y l M j B E Z X Z l b G 9 w b W V u d F 9 C d W R n Z X Q v U G F y c 2 V k J T I w R G F 0 Z T w v S X R l b V B h d G g + P C 9 J d G V t T G 9 j Y X R p b 2 4 + P F N 0 Y W J s Z U V u d H J p Z X M g L z 4 8 L 0 l 0 Z W 0 + P E l 0 Z W 0 + P E l 0 Z W 1 M b 2 N h d G l v b j 4 8 S X R l b V R 5 c G U + R m 9 y b X V s Y T w v S X R l b V R 5 c G U + P E l 0 Z W 1 Q Y X R o P l N l Y 3 R p b 2 4 x L 0 N 1 c 3 R v b W V y J T I w U 3 V w c G 9 y d F 9 C d W R n Z X Q 8 L 0 l 0 Z W 1 Q Y X R o P j w v S X R l b U x v Y 2 F 0 a W 9 u P j x T d G F i b G V F b n R y a W V z P j x F b n R y e S B U e X B l P S J J c 1 B y a X Z h d G U i I F Z h b H V l P S J s M C I g L z 4 8 R W 5 0 c n k g V H l w Z T 0 i U X V l c n l J R C I g V m F s d W U 9 I n N j Y T I 4 Z G V m N y 1 h Y 2 M 1 L T R j O D M t O D Y 1 Z C 1 l Y 2 N j O T B m N D R l M 2 U 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x v Y W R l Z F R v Q W 5 h b H l z a X N T Z X J 2 a W N l c y I g V m F s d W U 9 I m w w I i A v P j x F b n R y e S B U e X B l P S J G a W x s R X J y b 3 J D b 2 R l I i B W Y W x 1 Z T 0 i c 1 V u a 2 5 v d 2 4 i I C 8 + P E V u d H J 5 I F R 5 c G U 9 I k F k Z G V k V G 9 E Y X R h T W 9 k Z W w i I F Z h b H V l P S J s M C I g L z 4 8 R W 5 0 c n k g V H l w Z T 0 i R m l s b E x h c 3 R V c G R h d G V k I i B W Y W x 1 Z T 0 i Z D I w M j Q t M D g t M T V U M D I 6 M z I 6 M z U u O T A 3 N z k 4 M F o 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0 N 1 c 3 R v b W V y I F N 1 c H B v c n Q v Q X V 0 b 1 J l b W 9 2 Z W R D b 2 x 1 b W 5 z M S 5 7 Q W N j b 3 V u d C w w f S Z x d W 9 0 O y w m c X V v d D t T Z W N 0 a W 9 u M S 9 D d X N 0 b 2 1 l c i B T d X B w b 3 J 0 L 0 F 1 d G 9 S Z W 1 v d m V k Q 2 9 s d W 1 u c z E u e 0 R l c G F y d G 1 l b n Q s M X 0 m c X V v d D s s J n F 1 b 3 Q 7 U 2 V j d G l v b j E v Q 3 V z d G 9 t Z X I g U 3 V w c G 9 y d C 9 B d X R v U m V t b 3 Z l Z E N v b H V t b n M x L n t E Y X R l L D J 9 J n F 1 b 3 Q 7 L C Z x d W 9 0 O 1 N l Y 3 R p b 2 4 x L 0 N 1 c 3 R v b W V y I F N 1 c H B v c n Q v Q X V 0 b 1 J l b W 9 2 Z W R D b 2 x 1 b W 5 z M S 5 7 V m F s d W U s M 3 0 m c X V v d D t d L C Z x d W 9 0 O 0 N v b H V t b k N v d W 5 0 J n F 1 b 3 Q 7 O j Q s J n F 1 b 3 Q 7 S 2 V 5 Q 2 9 s d W 1 u T m F t Z X M m c X V v d D s 6 W 1 0 s J n F 1 b 3 Q 7 Q 2 9 s d W 1 u S W R l b n R p d G l l c y Z x d W 9 0 O z p b J n F 1 b 3 Q 7 U 2 V j d G l v b j E v Q 3 V z d G 9 t Z X I g U 3 V w c G 9 y d C 9 B d X R v U m V t b 3 Z l Z E N v b H V t b n M x L n t B Y 2 N v d W 5 0 L D B 9 J n F 1 b 3 Q 7 L C Z x d W 9 0 O 1 N l Y 3 R p b 2 4 x L 0 N 1 c 3 R v b W V y I F N 1 c H B v c n Q v Q X V 0 b 1 J l b W 9 2 Z W R D b 2 x 1 b W 5 z M S 5 7 R G V w Y X J 0 b W V u d C w x f S Z x d W 9 0 O y w m c X V v d D t T Z W N 0 a W 9 u M S 9 D d X N 0 b 2 1 l c i B T d X B w b 3 J 0 L 0 F 1 d G 9 S Z W 1 v d m V k Q 2 9 s d W 1 u c z E u e 0 R h d G U s M n 0 m c X V v d D s s J n F 1 b 3 Q 7 U 2 V j d G l v b j E v Q 3 V z d G 9 t Z X I g U 3 V w c G 9 y d C 9 B d X R v U m V t b 3 Z l Z E N v b H V t b n M x L n t W Y W x 1 Z S w z f S Z x d W 9 0 O 1 0 s J n F 1 b 3 Q 7 U m V s Y X R p b 2 5 z a G l w S W 5 m b y Z x d W 9 0 O z p b X X 0 i I C 8 + P C 9 T d G F i b G V F b n R y a W V z P j w v S X R l b T 4 8 S X R l b T 4 8 S X R l b U x v Y 2 F 0 a W 9 u P j x J d G V t V H l w Z T 5 G b 3 J t d W x h P C 9 J d G V t V H l w Z T 4 8 S X R l b V B h d G g + U 2 V j d G l v b j E v Q 3 V z d G 9 t Z X I l M j B T d X B w b 3 J 0 X 0 J 1 Z G d l d C 9 T b 3 V y Y 2 U 8 L 0 l 0 Z W 1 Q Y X R o P j w v S X R l b U x v Y 2 F 0 a W 9 u P j x T d G F i b G V F b n R y a W V z I C 8 + P C 9 J d G V t P j x J d G V t P j x J d G V t T G 9 j Y X R p b 2 4 + P E l 0 Z W 1 U e X B l P k Z v c m 1 1 b G E 8 L 0 l 0 Z W 1 U e X B l P j x J d G V t U G F 0 a D 5 T Z W N 0 a W 9 u M S 9 D d X N 0 b 2 1 l c i U y M F N 1 c H B v c n R f Q n V k Z 2 V 0 L 0 N o Y W 5 n Z W Q l M j B U e X B l P C 9 J d G V t U G F 0 a D 4 8 L 0 l 0 Z W 1 M b 2 N h d G l v b j 4 8 U 3 R h Y m x l R W 5 0 c m l l c y A v P j w v S X R l b T 4 8 S X R l b T 4 8 S X R l b U x v Y 2 F 0 a W 9 u P j x J d G V t V H l w Z T 5 G b 3 J t d W x h P C 9 J d G V t V H l w Z T 4 8 S X R l b V B h d G g + U 2 V j d G l v b j E v Q 3 V z d G 9 t Z X I l M j B T d X B w b 3 J 0 X 0 J 1 Z G d l d C 9 Q c m 9 t b 3 R l Z C U y M E h l Y W R l c n M 8 L 0 l 0 Z W 1 Q Y X R o P j w v S X R l b U x v Y 2 F 0 a W 9 u P j x T d G F i b G V F b n R y a W V z I C 8 + P C 9 J d G V t P j x J d G V t P j x J d G V t T G 9 j Y X R p b 2 4 + P E l 0 Z W 1 U e X B l P k Z v c m 1 1 b G E 8 L 0 l 0 Z W 1 U e X B l P j x J d G V t U G F 0 a D 5 T Z W N 0 a W 9 u M S 9 D d X N 0 b 2 1 l c i U y M F N 1 c H B v c n R f Q n V k Z 2 V 0 L 0 N o Y W 5 n Z W Q l M j B U e X B l M T w v S X R l b V B h d G g + P C 9 J d G V t T G 9 j Y X R p b 2 4 + P F N 0 Y W J s Z U V u d H J p Z X M g L z 4 8 L 0 l 0 Z W 0 + P E l 0 Z W 0 + P E l 0 Z W 1 M b 2 N h d G l v b j 4 8 S X R l b V R 5 c G U + R m 9 y b X V s Y T w v S X R l b V R 5 c G U + P E l 0 Z W 1 Q Y X R o P l N l Y 3 R p b 2 4 x L 0 N 1 c 3 R v b W V y J T I w U 3 V w c G 9 y d F 9 C d W R n Z X Q v U m V t b 3 Z l Z C U y M E N v b H V t b n M 8 L 0 l 0 Z W 1 Q Y X R o P j w v S X R l b U x v Y 2 F 0 a W 9 u P j x T d G F i b G V F b n R y a W V z I C 8 + P C 9 J d G V t P j x J d G V t P j x J d G V t T G 9 j Y X R p b 2 4 + P E l 0 Z W 1 U e X B l P k Z v c m 1 1 b G E 8 L 0 l 0 Z W 1 U e X B l P j x J d G V t U G F 0 a D 5 T Z W N 0 a W 9 u M S 9 D d X N 0 b 2 1 l c i U y M F N 1 c H B v c n R f Q n V k Z 2 V 0 L 1 J l b m F t Z W Q l M j B D b 2 x 1 b W 5 z P C 9 J d G V t U G F 0 a D 4 8 L 0 l 0 Z W 1 M b 2 N h d G l v b j 4 8 U 3 R h Y m x l R W 5 0 c m l l c y A v P j w v S X R l b T 4 8 S X R l b T 4 8 S X R l b U x v Y 2 F 0 a W 9 u P j x J d G V t V H l w Z T 5 G b 3 J t d W x h P C 9 J d G V t V H l w Z T 4 8 S X R l b V B h d G g + U 2 V j d G l v b j E v Q 3 V z d G 9 t Z X I l M j B T d X B w b 3 J 0 X 0 J 1 Z G d l d C 9 S Z X B s Y W N l Z C U y M F Z h b H V l P C 9 J d G V t U G F 0 a D 4 8 L 0 l 0 Z W 1 M b 2 N h d G l v b j 4 8 U 3 R h Y m x l R W 5 0 c m l l c y A v P j w v S X R l b T 4 8 S X R l b T 4 8 S X R l b U x v Y 2 F 0 a W 9 u P j x J d G V t V H l w Z T 5 G b 3 J t d W x h P C 9 J d G V t V H l w Z T 4 8 S X R l b V B h d G g + U 2 V j d G l v b j E v Q 3 V z d G 9 t Z X I l M j B T d X B w b 3 J 0 X 0 J 1 Z G d l d C 9 S Z W 5 h b W V k J T I w Q 2 9 s d W 1 u c z E 8 L 0 l 0 Z W 1 Q Y X R o P j w v S X R l b U x v Y 2 F 0 a W 9 u P j x T d G F i b G V F b n R y a W V z I C 8 + P C 9 J d G V t P j x J d G V t P j x J d G V t T G 9 j Y X R p b 2 4 + P E l 0 Z W 1 U e X B l P k Z v c m 1 1 b G E 8 L 0 l 0 Z W 1 U e X B l P j x J d G V t U G F 0 a D 5 T Z W N 0 a W 9 u M S 9 D d X N 0 b 2 1 l c i U y M F N 1 c H B v c n R f Q n V k Z 2 V 0 L 1 V u c G l 2 b 3 R l Z C U y M E 9 0 a G V y J T I w Q 2 9 s d W 1 u c z w v S X R l b V B h d G g + P C 9 J d G V t T G 9 j Y X R p b 2 4 + P F N 0 Y W J s Z U V u d H J p Z X M g L z 4 8 L 0 l 0 Z W 0 + P E l 0 Z W 0 + P E l 0 Z W 1 M b 2 N h d G l v b j 4 8 S X R l b V R 5 c G U + R m 9 y b X V s Y T w v S X R l b V R 5 c G U + P E l 0 Z W 1 Q Y X R o P l N l Y 3 R p b 2 4 x L 0 N 1 c 3 R v b W V y J T I w U 3 V w c G 9 y d F 9 C d W R n Z X Q v U G F y c 2 V k J T I w R G F 0 Z T w v S X R l b V B h d G g + P C 9 J d G V t T G 9 j Y X R p b 2 4 + P F N 0 Y W J s Z U V u d H J p Z X M g L z 4 8 L 0 l 0 Z W 0 + P E l 0 Z W 0 + P E l 0 Z W 1 M b 2 N h d G l v b j 4 8 S X R l b V R 5 c G U + R m 9 y b X V s Y T w v S X R l b V R 5 c G U + P E l 0 Z W 1 Q Y X R o P l N l Y 3 R p b 2 4 x L 0 N 1 c 3 R v b W V y J T I w U 3 V w c G 9 y d F 9 C d W R n Z X Q v U m V u Y W 1 l Z C U y M E N v b H V t b n M y P C 9 J d G V t U G F 0 a D 4 8 L 0 l 0 Z W 1 M b 2 N h d G l v b j 4 8 U 3 R h Y m x l R W 5 0 c m l l c y A v P j w v S X R l b T 4 8 S X R l b T 4 8 S X R l b U x v Y 2 F 0 a W 9 u P j x J d G V t V H l w Z T 5 G b 3 J t d W x h P C 9 J d G V t V H l w Z T 4 8 S X R l b V B h d G g + U 2 V j d G l v b j E v U 2 F s Z X M l M j A l M j Y l M j B N Y X J r Z X R p b m d f Q n V k Z 2 V 0 P C 9 J d G V t U G F 0 a D 4 8 L 0 l 0 Z W 1 M b 2 N h d G l v b j 4 8 U 3 R h Y m x l R W 5 0 c m l l c z 4 8 R W 5 0 c n k g V H l w Z T 0 i S X N Q c m l 2 Y X R l I i B W Y W x 1 Z T 0 i b D A i I C 8 + P E V u d H J 5 I F R 5 c G U 9 I l F 1 Z X J 5 S U Q i I F Z h b H V l P S J z N j c y M m N i O D g t M 2 E z O S 0 0 Y z B m L T k w O G Y t Y W U w M j V m M T I y M 2 V h I i A v P j x F b n R y e S B U e X B l P S J M b 2 F k Z W R U b 0 F u Y W x 5 c 2 l z U 2 V y d m l j Z X M 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R m l s b E V y c m 9 y Q 2 9 k Z S I g V m F s d W U 9 I n N V b m t u b 3 d u I i A v P j x F b n R y e S B U e X B l P S J B Z G R l Z F R v R G F 0 Y U 1 v Z G V s I i B W Y W x 1 Z T 0 i b D A i I C 8 + P E V u d H J 5 I F R 5 c G U 9 I k Z p b G x M Y X N 0 V X B k Y X R l Z C I g V m F s d W U 9 I m Q y M D I 0 L T A 4 L T E 1 V D A y O j M y O j M 1 L j k x O T g 2 N T N a 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T Y W x l c y B c d T A w M j Y g T W F y a 2 V 0 a W 5 n L 0 F 1 d G 9 S Z W 1 v d m V k Q 2 9 s d W 1 u c z E u e 0 F j Y 2 9 1 b n Q s M H 0 m c X V v d D s s J n F 1 b 3 Q 7 U 2 V j d G l v b j E v U 2 F s Z X M g X H U w M D I 2 I E 1 h c m t l d G l u Z y 9 B d X R v U m V t b 3 Z l Z E N v b H V t b n M x L n t E Z X B h c n R t Z W 5 0 L D F 9 J n F 1 b 3 Q 7 L C Z x d W 9 0 O 1 N l Y 3 R p b 2 4 x L 1 N h b G V z I F x 1 M D A y N i B N Y X J r Z X R p b m c v Q X V 0 b 1 J l b W 9 2 Z W R D b 2 x 1 b W 5 z M S 5 7 R G F 0 Z S w y f S Z x d W 9 0 O y w m c X V v d D t T Z W N 0 a W 9 u M S 9 T Y W x l c y B c d T A w M j Y g T W F y a 2 V 0 a W 5 n L 0 F 1 d G 9 S Z W 1 v d m V k Q 2 9 s d W 1 u c z E u e 1 Z h b H V l L D N 9 J n F 1 b 3 Q 7 X S w m c X V v d D t D b 2 x 1 b W 5 D b 3 V u d C Z x d W 9 0 O z o 0 L C Z x d W 9 0 O 0 t l e U N v b H V t b k 5 h b W V z J n F 1 b 3 Q 7 O l t d L C Z x d W 9 0 O 0 N v b H V t b k l k Z W 5 0 a X R p Z X M m c X V v d D s 6 W y Z x d W 9 0 O 1 N l Y 3 R p b 2 4 x L 1 N h b G V z I F x 1 M D A y N i B N Y X J r Z X R p b m c v Q X V 0 b 1 J l b W 9 2 Z W R D b 2 x 1 b W 5 z M S 5 7 Q W N j b 3 V u d C w w f S Z x d W 9 0 O y w m c X V v d D t T Z W N 0 a W 9 u M S 9 T Y W x l c y B c d T A w M j Y g T W F y a 2 V 0 a W 5 n L 0 F 1 d G 9 S Z W 1 v d m V k Q 2 9 s d W 1 u c z E u e 0 R l c G F y d G 1 l b n Q s M X 0 m c X V v d D s s J n F 1 b 3 Q 7 U 2 V j d G l v b j E v U 2 F s Z X M g X H U w M D I 2 I E 1 h c m t l d G l u Z y 9 B d X R v U m V t b 3 Z l Z E N v b H V t b n M x L n t E Y X R l L D J 9 J n F 1 b 3 Q 7 L C Z x d W 9 0 O 1 N l Y 3 R p b 2 4 x L 1 N h b G V z I F x 1 M D A y N i B N Y X J r Z X R p b m c v Q X V 0 b 1 J l b W 9 2 Z W R D b 2 x 1 b W 5 z M S 5 7 V m F s d W U s M 3 0 m c X V v d D t d L C Z x d W 9 0 O 1 J l b G F 0 a W 9 u c 2 h p c E l u Z m 8 m c X V v d D s 6 W 1 1 9 I i A v P j w v U 3 R h Y m x l R W 5 0 c m l l c z 4 8 L 0 l 0 Z W 0 + P E l 0 Z W 0 + P E l 0 Z W 1 M b 2 N h d G l v b j 4 8 S X R l b V R 5 c G U + R m 9 y b X V s Y T w v S X R l b V R 5 c G U + P E l 0 Z W 1 Q Y X R o P l N l Y 3 R p b 2 4 x L 1 N h b G V z J T I w J T I 2 J T I w T W F y a 2 V 0 a W 5 n X 0 J 1 Z G d l d C 9 T b 3 V y Y 2 U 8 L 0 l 0 Z W 1 Q Y X R o P j w v S X R l b U x v Y 2 F 0 a W 9 u P j x T d G F i b G V F b n R y a W V z I C 8 + P C 9 J d G V t P j x J d G V t P j x J d G V t T G 9 j Y X R p b 2 4 + P E l 0 Z W 1 U e X B l P k Z v c m 1 1 b G E 8 L 0 l 0 Z W 1 U e X B l P j x J d G V t U G F 0 a D 5 T Z W N 0 a W 9 u M S 9 T Y W x l c y U y M C U y N i U y M E 1 h c m t l d G l u Z 1 9 C d W R n Z X Q v Q 2 h h b m d l Z C U y M F R 5 c G U 8 L 0 l 0 Z W 1 Q Y X R o P j w v S X R l b U x v Y 2 F 0 a W 9 u P j x T d G F i b G V F b n R y a W V z I C 8 + P C 9 J d G V t P j x J d G V t P j x J d G V t T G 9 j Y X R p b 2 4 + P E l 0 Z W 1 U e X B l P k Z v c m 1 1 b G E 8 L 0 l 0 Z W 1 U e X B l P j x J d G V t U G F 0 a D 5 T Z W N 0 a W 9 u M S 9 T Y W x l c y U y M C U y N i U y M E 1 h c m t l d G l u Z 1 9 C d W R n Z X Q v U H J v b W 9 0 Z W Q l M j B I Z W F k Z X J z P C 9 J d G V t U G F 0 a D 4 8 L 0 l 0 Z W 1 M b 2 N h d G l v b j 4 8 U 3 R h Y m x l R W 5 0 c m l l c y A v P j w v S X R l b T 4 8 S X R l b T 4 8 S X R l b U x v Y 2 F 0 a W 9 u P j x J d G V t V H l w Z T 5 G b 3 J t d W x h P C 9 J d G V t V H l w Z T 4 8 S X R l b V B h d G g + U 2 V j d G l v b j E v U 2 F s Z X M l M j A l M j Y l M j B N Y X J r Z X R p b m d f Q n V k Z 2 V 0 L 0 N o Y W 5 n Z W Q l M j B U e X B l M T w v S X R l b V B h d G g + P C 9 J d G V t T G 9 j Y X R p b 2 4 + P F N 0 Y W J s Z U V u d H J p Z X M g L z 4 8 L 0 l 0 Z W 0 + P E l 0 Z W 0 + P E l 0 Z W 1 M b 2 N h d G l v b j 4 8 S X R l b V R 5 c G U + R m 9 y b X V s Y T w v S X R l b V R 5 c G U + P E l 0 Z W 1 Q Y X R o P l N l Y 3 R p b 2 4 x L 1 N h b G V z J T I w J T I 2 J T I w T W F y a 2 V 0 a W 5 n X 0 J 1 Z G d l d C 9 S Z W 1 v d m V k J T I w Q 2 9 s d W 1 u c z w v S X R l b V B h d G g + P C 9 J d G V t T G 9 j Y X R p b 2 4 + P F N 0 Y W J s Z U V u d H J p Z X M g L z 4 8 L 0 l 0 Z W 0 + P E l 0 Z W 0 + P E l 0 Z W 1 M b 2 N h d G l v b j 4 8 S X R l b V R 5 c G U + R m 9 y b X V s Y T w v S X R l b V R 5 c G U + P E l 0 Z W 1 Q Y X R o P l N l Y 3 R p b 2 4 x L 1 N h b G V z J T I w J T I 2 J T I w T W F y a 2 V 0 a W 5 n X 0 J 1 Z G d l d C 9 S Z W 5 h b W V k J T I w Q 2 9 s d W 1 u c z w v S X R l b V B h d G g + P C 9 J d G V t T G 9 j Y X R p b 2 4 + P F N 0 Y W J s Z U V u d H J p Z X M g L z 4 8 L 0 l 0 Z W 0 + P E l 0 Z W 0 + P E l 0 Z W 1 M b 2 N h d G l v b j 4 8 S X R l b V R 5 c G U + R m 9 y b X V s Y T w v S X R l b V R 5 c G U + P E l 0 Z W 1 Q Y X R o P l N l Y 3 R p b 2 4 x L 1 N h b G V z J T I w J T I 2 J T I w T W F y a 2 V 0 a W 5 n X 0 J 1 Z G d l d C 9 S Z X B s Y W N l Z C U y M F Z h b H V l P C 9 J d G V t U G F 0 a D 4 8 L 0 l 0 Z W 1 M b 2 N h d G l v b j 4 8 U 3 R h Y m x l R W 5 0 c m l l c y A v P j w v S X R l b T 4 8 S X R l b T 4 8 S X R l b U x v Y 2 F 0 a W 9 u P j x J d G V t V H l w Z T 5 G b 3 J t d W x h P C 9 J d G V t V H l w Z T 4 8 S X R l b V B h d G g + U 2 V j d G l v b j E v U 2 F s Z X M l M j A l M j Y l M j B N Y X J r Z X R p b m d f Q n V k Z 2 V 0 L 1 J l b m F t Z W Q l M j B D b 2 x 1 b W 5 z M T w v S X R l b V B h d G g + P C 9 J d G V t T G 9 j Y X R p b 2 4 + P F N 0 Y W J s Z U V u d H J p Z X M g L z 4 8 L 0 l 0 Z W 0 + P E l 0 Z W 0 + P E l 0 Z W 1 M b 2 N h d G l v b j 4 8 S X R l b V R 5 c G U + R m 9 y b X V s Y T w v S X R l b V R 5 c G U + P E l 0 Z W 1 Q Y X R o P l N l Y 3 R p b 2 4 x L 1 N h b G V z J T I w J T I 2 J T I w T W F y a 2 V 0 a W 5 n X 0 J 1 Z G d l d C 9 V b n B p d m 9 0 Z W Q l M j B P d G h l c i U y M E N v b H V t b n M 8 L 0 l 0 Z W 1 Q Y X R o P j w v S X R l b U x v Y 2 F 0 a W 9 u P j x T d G F i b G V F b n R y a W V z I C 8 + P C 9 J d G V t P j x J d G V t P j x J d G V t T G 9 j Y X R p b 2 4 + P E l 0 Z W 1 U e X B l P k Z v c m 1 1 b G E 8 L 0 l 0 Z W 1 U e X B l P j x J d G V t U G F 0 a D 5 T Z W N 0 a W 9 u M S 9 T Y W x l c y U y M C U y N i U y M E 1 h c m t l d G l u Z 1 9 C d W R n Z X Q v U G F y c 2 V k J T I w R G F 0 Z T w v S X R l b V B h d G g + P C 9 J d G V t T G 9 j Y X R p b 2 4 + P F N 0 Y W J s Z U V u d H J p Z X M g L z 4 8 L 0 l 0 Z W 0 + P E l 0 Z W 0 + P E l 0 Z W 1 M b 2 N h d G l v b j 4 8 S X R l b V R 5 c G U + R m 9 y b X V s Y T w v S X R l b V R 5 c G U + P E l 0 Z W 1 Q Y X R o P l N l Y 3 R p b 2 4 x L 1 N h b G V z J T I w J T I 2 J T I w T W F y a 2 V 0 a W 5 n X 0 J 1 Z G d l d C 9 S Z W 5 h b W V k J T I w Q 2 9 s d W 1 u c z I 8 L 0 l 0 Z W 1 Q Y X R o P j w v S X R l b U x v Y 2 F 0 a W 9 u P j x T d G F i b G V F b n R y a W V z I C 8 + P C 9 J d G V t P j x J d G V t P j x J d G V t T G 9 j Y X R p b 2 4 + P E l 0 Z W 1 U e X B l P k Z v c m 1 1 b G E 8 L 0 l 0 Z W 1 U e X B l P j x J d G V t U G F 0 a D 5 T Z W N 0 a W 9 u M S 9 H Y W 5 k Q V 9 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1 Y j I 0 Z m U y M C 1 k Y 2 U 2 L T Q 2 N T g t O T d k M y 0 w Y T M w Z j N j N z Q y O D Q 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x v Y W R l Z F R v Q W 5 h b H l z a X N T Z X J 2 a W N l c y I g V m F s d W U 9 I m w w I i A v P j x F b n R y e S B U e X B l P S J G a W x s R X J y b 3 J D b 2 R l I i B W Y W x 1 Z T 0 i c 1 V u a 2 5 v d 2 4 i I C 8 + P E V u d H J 5 I F R 5 c G U 9 I k F k Z G V k V G 9 E Y X R h T W 9 k Z W w i I F Z h b H V l P S J s M C I g L z 4 8 R W 5 0 c n k g V H l w Z T 0 i R m l s b E x h c 3 R V c G R h d G V k I i B W Y W x 1 Z T 0 i Z D I w M j Q t M D g t M T V U M D I 6 M z I 6 M z U u O T M x N z Q 5 M F o 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0 d h b m R B L 1 V u c G l 2 b 3 R l Z C B P d G h l c i B D b 2 x 1 b W 5 z L n t B Y 2 N v d W 5 0 L D B 9 J n F 1 b 3 Q 7 L C Z x d W 9 0 O 1 N l Y 3 R p b 2 4 x L 0 d h b m R B L 1 V u c G l 2 b 3 R l Z C B P d G h l c i B D b 2 x 1 b W 5 z L n t E Z X B h c n R t Z W 5 0 L D F 9 J n F 1 b 3 Q 7 L C Z x d W 9 0 O 1 N l Y 3 R p b 2 4 x L 0 d h b m R B L 1 B h c n N l Z C B E Y X R l L n t B d H R y a W J 1 d G U s M n 0 m c X V v d D s s J n F 1 b 3 Q 7 U 2 V j d G l v b j E v R 2 F u Z E E v V W 5 w a X Z v d G V k I E 9 0 a G V y I E N v b H V t b n M u e 1 Z h b H V l L D N 9 J n F 1 b 3 Q 7 X S w m c X V v d D t D b 2 x 1 b W 5 D b 3 V u d C Z x d W 9 0 O z o 0 L C Z x d W 9 0 O 0 t l e U N v b H V t b k 5 h b W V z J n F 1 b 3 Q 7 O l t d L C Z x d W 9 0 O 0 N v b H V t b k l k Z W 5 0 a X R p Z X M m c X V v d D s 6 W y Z x d W 9 0 O 1 N l Y 3 R p b 2 4 x L 0 d h b m R B L 1 V u c G l 2 b 3 R l Z C B P d G h l c i B D b 2 x 1 b W 5 z L n t B Y 2 N v d W 5 0 L D B 9 J n F 1 b 3 Q 7 L C Z x d W 9 0 O 1 N l Y 3 R p b 2 4 x L 0 d h b m R B L 1 V u c G l 2 b 3 R l Z C B P d G h l c i B D b 2 x 1 b W 5 z L n t E Z X B h c n R t Z W 5 0 L D F 9 J n F 1 b 3 Q 7 L C Z x d W 9 0 O 1 N l Y 3 R p b 2 4 x L 0 d h b m R B L 1 B h c n N l Z C B E Y X R l L n t B d H R y a W J 1 d G U s M n 0 m c X V v d D s s J n F 1 b 3 Q 7 U 2 V j d G l v b j E v R 2 F u Z E E v V W 5 w a X Z v d G V k I E 9 0 a G V y I E N v b H V t b n M u e 1 Z h b H V l L D N 9 J n F 1 b 3 Q 7 X S w m c X V v d D t S Z W x h d G l v b n N o a X B J b m Z v J n F 1 b 3 Q 7 O l t d f S I g L z 4 8 L 1 N 0 Y W J s Z U V u d H J p Z X M + P C 9 J d G V t P j x J d G V t P j x J d G V t T G 9 j Y X R p b 2 4 + P E l 0 Z W 1 U e X B l P k Z v c m 1 1 b G E 8 L 0 l 0 Z W 1 U e X B l P j x J d G V t U G F 0 a D 5 T Z W N 0 a W 9 u M S 9 H Y W 5 k Q V 9 C d W R n Z X Q v U 2 9 1 c m N l P C 9 J d G V t U G F 0 a D 4 8 L 0 l 0 Z W 1 M b 2 N h d G l v b j 4 8 U 3 R h Y m x l R W 5 0 c m l l c y A v P j w v S X R l b T 4 8 S X R l b T 4 8 S X R l b U x v Y 2 F 0 a W 9 u P j x J d G V t V H l w Z T 5 G b 3 J t d W x h P C 9 J d G V t V H l w Z T 4 8 S X R l b V B h d G g + U 2 V j d G l v b j E v R 2 F u Z E F f Q n V k Z 2 V 0 L 0 N o Y W 5 n Z W Q l M j B U e X B l P C 9 J d G V t U G F 0 a D 4 8 L 0 l 0 Z W 1 M b 2 N h d G l v b j 4 8 U 3 R h Y m x l R W 5 0 c m l l c y A v P j w v S X R l b T 4 8 S X R l b T 4 8 S X R l b U x v Y 2 F 0 a W 9 u P j x J d G V t V H l w Z T 5 G b 3 J t d W x h P C 9 J d G V t V H l w Z T 4 8 S X R l b V B h d G g + U 2 V j d G l v b j E v R 2 F u Z E F f Q n V k Z 2 V 0 L 1 B y b 2 1 v d G V k J T I w S G V h Z G V y c z w v S X R l b V B h d G g + P C 9 J d G V t T G 9 j Y X R p b 2 4 + P F N 0 Y W J s Z U V u d H J p Z X M g L z 4 8 L 0 l 0 Z W 0 + P E l 0 Z W 0 + P E l 0 Z W 1 M b 2 N h d G l v b j 4 8 S X R l b V R 5 c G U + R m 9 y b X V s Y T w v S X R l b V R 5 c G U + P E l 0 Z W 1 Q Y X R o P l N l Y 3 R p b 2 4 x L 0 d h b m R B X 0 J 1 Z G d l d C 9 D a G F u Z 2 V k J T I w V H l w Z T E 8 L 0 l 0 Z W 1 Q Y X R o P j w v S X R l b U x v Y 2 F 0 a W 9 u P j x T d G F i b G V F b n R y a W V z I C 8 + P C 9 J d G V t P j x J d G V t P j x J d G V t T G 9 j Y X R p b 2 4 + P E l 0 Z W 1 U e X B l P k Z v c m 1 1 b G E 8 L 0 l 0 Z W 1 U e X B l P j x J d G V t U G F 0 a D 5 T Z W N 0 a W 9 u M S 9 H Y W 5 k Q V 9 C d W R n Z X Q v U m V u Y W 1 l Z C U y M E N v b H V t b n M 8 L 0 l 0 Z W 1 Q Y X R o P j w v S X R l b U x v Y 2 F 0 a W 9 u P j x T d G F i b G V F b n R y a W V z I C 8 + P C 9 J d G V t P j x J d G V t P j x J d G V t T G 9 j Y X R p b 2 4 + P E l 0 Z W 1 U e X B l P k Z v c m 1 1 b G E 8 L 0 l 0 Z W 1 U e X B l P j x J d G V t U G F 0 a D 5 T Z W N 0 a W 9 u M S 9 H Y W 5 k Q V 9 C d W R n Z X Q v U m V t b 3 Z l Z C U y M E N v b H V t b n M 8 L 0 l 0 Z W 1 Q Y X R o P j w v S X R l b U x v Y 2 F 0 a W 9 u P j x T d G F i b G V F b n R y a W V z I C 8 + P C 9 J d G V t P j x J d G V t P j x J d G V t T G 9 j Y X R p b 2 4 + P E l 0 Z W 1 U e X B l P k Z v c m 1 1 b G E 8 L 0 l 0 Z W 1 U e X B l P j x J d G V t U G F 0 a D 5 T Z W N 0 a W 9 u M S 9 H Y W 5 k Q V 9 C d W R n Z X Q v U m V u Y W 1 l Z C U y M E N v b H V t b n M y P C 9 J d G V t U G F 0 a D 4 8 L 0 l 0 Z W 1 M b 2 N h d G l v b j 4 8 U 3 R h Y m x l R W 5 0 c m l l c y A v P j w v S X R l b T 4 8 S X R l b T 4 8 S X R l b U x v Y 2 F 0 a W 9 u P j x J d G V t V H l w Z T 5 G b 3 J t d W x h P C 9 J d G V t V H l w Z T 4 8 S X R l b V B h d G g + U 2 V j d G l v b j E v R 2 F u Z E F f Q n V k Z 2 V 0 L 1 J l c G x h Y 2 V k J T I w V m F s d W U 8 L 0 l 0 Z W 1 Q Y X R o P j w v S X R l b U x v Y 2 F 0 a W 9 u P j x T d G F i b G V F b n R y a W V z I C 8 + P C 9 J d G V t P j x J d G V t P j x J d G V t T G 9 j Y X R p b 2 4 + P E l 0 Z W 1 U e X B l P k Z v c m 1 1 b G E 8 L 0 l 0 Z W 1 U e X B l P j x J d G V t U G F 0 a D 5 T Z W N 0 a W 9 u M S 9 H Y W 5 k Q V 9 C d W R n Z X Q v V W 5 w a X Z v d G V k J T I w T 3 R o Z X I l M j B D b 2 x 1 b W 5 z P C 9 J d G V t U G F 0 a D 4 8 L 0 l 0 Z W 1 M b 2 N h d G l v b j 4 8 U 3 R h Y m x l R W 5 0 c m l l c y A v P j w v S X R l b T 4 8 S X R l b T 4 8 S X R l b U x v Y 2 F 0 a W 9 u P j x J d G V t V H l w Z T 5 G b 3 J t d W x h P C 9 J d G V t V H l w Z T 4 8 S X R l b V B h d G g + U 2 V j d G l v b j E v R 2 F u Z E F f Q n V k Z 2 V 0 L 1 B h c n N l Z C U y M E R h d G U 8 L 0 l 0 Z W 1 Q Y X R o P j w v S X R l b U x v Y 2 F 0 a W 9 u P j x T d G F i b G V F b n R y a W V z I C 8 + P C 9 J d G V t P j x J d G V t P j x J d G V t T G 9 j Y X R p b 2 4 + P E l 0 Z W 1 U e X B l P k Z v c m 1 1 b G E 8 L 0 l 0 Z W 1 U e X B l P j x J d G V t U G F 0 a D 5 T Z W N 0 a W 9 u M S 9 H Y W 5 k Q V 9 C d W R n Z X Q v U m V u Y W 1 l Z C U y M E N v b H V t b n M x P C 9 J d G V t U G F 0 a D 4 8 L 0 l 0 Z W 1 M b 2 N h d G l v b j 4 8 U 3 R h Y m x l R W 5 0 c m l l c y A v P j w v S X R l b T 4 8 S X R l b T 4 8 S X R l b U x v Y 2 F 0 a W 9 u P j x J d G V t V H l w Z T 5 G b 3 J t d W x h P C 9 J d G V t V H l w Z T 4 8 S X R l b V B h d G g + U 2 V j d G l v b j E v U m V z Z W F y Y 2 g l M j A l M j Y l M j B E Z X Z l b G 9 w b W V u d F 9 C d W R n Z X Q v U m V u Y W 1 l Z C U y M E N v b H V t b n M y P C 9 J d G V t U G F 0 a D 4 8 L 0 l 0 Z W 1 M b 2 N h d G l v b j 4 8 U 3 R h Y m x l R W 5 0 c m l l c y A v P j w v S X R l b T 4 8 S X R l b T 4 8 S X R l b U x v Y 2 F 0 a W 9 u P j x J d G V t V H l w Z T 5 G b 3 J t d W x h P C 9 J d G V t V H l w Z T 4 8 S X R l b V B h d G g + U 2 V j d G l v b j E v R G V w Y X J 0 b W V u d G F s J T I w U H J v Z m l 0 J T I w J T I 2 J T I w T G 9 z c 1 9 C d W R n Z X Q 8 L 0 l 0 Z W 1 Q Y X R o P j w v S X R l b U x v Y 2 F 0 a W 9 u P j x T d G F i b G V F b n R y a W V z P j x F b n R y e S B U e X B l P S J J c 1 B y a X Z h d G U i I F Z h b H V l P S J s M C I g L z 4 8 R W 5 0 c n k g V H l w Z T 0 i U X V l c n l J R C I g V m F s d W U 9 I n M 5 M D B h N z E x M C 0 5 M T N i L T Q 2 N m E t Y j d i Z C 0 y N j I y M z I 0 Y z Y 0 O W I i I C 8 + P E V u d H J 5 I F R 5 c G U 9 I k Z p b G x F b m F i b G V k I i B W Y W x 1 Z T 0 i b D A i I C 8 + P E V u d H J 5 I F R 5 c G U 9 I k Z p b G x P Y m p l Y 3 R U e X B l I i B W Y W x 1 Z T 0 i c 1 B p d m 9 0 V G F i b G U 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l B p d m 9 0 T 2 J q Z W N 0 T m F t Z S I g V m F s d W U 9 I n N E Y X R h I U J 1 Z G d l d C B 2 c y B B Y 3 R 1 Y W x z I G J 5 I F B y b 2 Z p d C I g L z 4 8 R W 5 0 c n k g V H l w Z T 0 i R m l s b G V k Q 2 9 t c G x l d G V S Z X N 1 b H R U b 1 d v c m t z a G V l d C I g V m F s d W U 9 I m w w I i A v P j x F b n R y e S B U e X B l P S J G a W x s Q 2 9 1 b n Q i I F Z h b H V l P S J s N j M z N i I g L z 4 8 R W 5 0 c n k g V H l w Z T 0 i R m l s b E V y c m 9 y Q 2 9 k Z S I g V m F s d W U 9 I n N V b m t u b 3 d u I i A v P j x F b n R y e S B U e X B l P S J G a W x s R X J y b 3 J D b 3 V u d C I g V m F s d W U 9 I m w w I i A v P j x F b n R y e S B U e X B l P S J G a W x s T G F z d F V w Z G F 0 Z W Q i I F Z h b H V l P S J k M j A y N C 0 w O C 0 x N V Q w M j o z M j o x N C 4 0 N j Y w N z I 5 W i I g L z 4 8 R W 5 0 c n k g V H l w Z T 0 i R m l s b E N v b H V t b l R 5 c G V z I i B W Y W x 1 Z T 0 i c 0 J n Q U p C U T 0 9 I i A v P j x F b n R y e S B U e X B l P S J G a W x s Q 2 9 s d W 1 u T m F t Z X M i I F Z h b H V l P S J z W y Z x d W 9 0 O 0 F j Y 2 9 1 b n Q m c X V v d D s s J n F 1 b 3 Q 7 R G V w Y X J 0 b W V u d C Z x d W 9 0 O y w m c X V v d D t E Y X R l J n F 1 b 3 Q 7 L C Z x d W 9 0 O 1 Z h b H V l J n F 1 b 3 Q 7 X S I g L z 4 8 R W 5 0 c n k g V H l w Z T 0 i R m l s b F N 0 Y X R 1 c y I g V m F s d W U 9 I n N D b 2 1 w b G V 0 Z S I g L z 4 8 R W 5 0 c n k g V H l w Z T 0 i Q W R k Z W R U b 0 R h d G F N b 2 R l b C I g V m F s d W U 9 I m w x I i A v P j x F b n R y e S B U e X B l P S J S Z W x h d G l v b n N o a X B J b m Z v Q 2 9 u d G F p b m V y I i B W Y W x 1 Z T 0 i c 3 s m c X V v d D t j b 2 x 1 b W 5 D b 3 V u d C Z x d W 9 0 O z o 0 L C Z x d W 9 0 O 2 t l e U N v b H V t b k 5 h b W V z J n F 1 b 3 Q 7 O l t d L C Z x d W 9 0 O 3 F 1 Z X J 5 U m V s Y X R p b 2 5 z a G l w c y Z x d W 9 0 O z p b X S w m c X V v d D t j b 2 x 1 b W 5 J Z G V u d G l 0 a W V z J n F 1 b 3 Q 7 O l s m c X V v d D t T Z W N 0 a W 9 u M S 9 E Z X B h c n R t Z W 5 0 Y W w g U H J v Z m l 0 I F x 1 M D A y N i B M b 3 N z X 0 J 1 Z G d l d C 9 T b 3 V y Y 2 U u e 0 F j Y 2 9 1 b n Q s M H 0 m c X V v d D s s J n F 1 b 3 Q 7 U 2 V j d G l v b j E v R G V w Y X J 0 b W V u d G F s I F B y b 2 Z p d C B c d T A w M j Y g T G 9 z c 1 9 C d W R n Z X Q v U 2 9 1 c m N l L n t E Z X B h c n R t Z W 5 0 L D F 9 J n F 1 b 3 Q 7 L C Z x d W 9 0 O 1 N l Y 3 R p b 2 4 x L 0 R l c G F y d G 1 l b n R h b C B Q c m 9 m a X Q g X H U w M D I 2 I E x v c 3 N f Q n V k Z 2 V 0 L 1 N v d X J j Z S 5 7 R G F 0 Z S w y f S Z x d W 9 0 O y w m c X V v d D t T Z W N 0 a W 9 u M S 9 E Z X B h c n R t Z W 5 0 Y W w g U H J v Z m l 0 I F x 1 M D A y N i B M b 3 N z X 0 J 1 Z G d l d C 9 T b 3 V y Y 2 U u e 1 Z h b H V l L D N 9 J n F 1 b 3 Q 7 X S w m c X V v d D t D b 2 x 1 b W 5 D b 3 V u d C Z x d W 9 0 O z o 0 L C Z x d W 9 0 O 0 t l e U N v b H V t b k 5 h b W V z J n F 1 b 3 Q 7 O l t d L C Z x d W 9 0 O 0 N v b H V t b k l k Z W 5 0 a X R p Z X M m c X V v d D s 6 W y Z x d W 9 0 O 1 N l Y 3 R p b 2 4 x L 0 R l c G F y d G 1 l b n R h b C B Q c m 9 m a X Q g X H U w M D I 2 I E x v c 3 N f Q n V k Z 2 V 0 L 1 N v d X J j Z S 5 7 Q W N j b 3 V u d C w w f S Z x d W 9 0 O y w m c X V v d D t T Z W N 0 a W 9 u M S 9 E Z X B h c n R t Z W 5 0 Y W w g U H J v Z m l 0 I F x 1 M D A y N i B M b 3 N z X 0 J 1 Z G d l d C 9 T b 3 V y Y 2 U u e 0 R l c G F y d G 1 l b n Q s M X 0 m c X V v d D s s J n F 1 b 3 Q 7 U 2 V j d G l v b j E v R G V w Y X J 0 b W V u d G F s I F B y b 2 Z p d C B c d T A w M j Y g T G 9 z c 1 9 C d W R n Z X Q v U 2 9 1 c m N l L n t E Y X R l L D J 9 J n F 1 b 3 Q 7 L C Z x d W 9 0 O 1 N l Y 3 R p b 2 4 x L 0 R l c G F y d G 1 l b n R h b C B Q c m 9 m a X Q g X H U w M D I 2 I E x v c 3 N f Q n V k Z 2 V 0 L 1 N v d X J j Z S 5 7 V m F s d W U s M 3 0 m c X V v d D t d L C Z x d W 9 0 O 1 J l b G F 0 a W 9 u c 2 h p c E l u Z m 8 m c X V v d D s 6 W 1 1 9 I i A v P j w v U 3 R h Y m x l R W 5 0 c m l l c z 4 8 L 0 l 0 Z W 0 + P E l 0 Z W 0 + P E l 0 Z W 1 M b 2 N h d G l v b j 4 8 S X R l b V R 5 c G U + R m 9 y b X V s Y T w v S X R l b V R 5 c G U + P E l 0 Z W 1 Q Y X R o P l N l Y 3 R p b 2 4 x L 0 R l c G F y d G 1 l b n R h b C U y M F B y b 2 Z p d C U y M C U y N i U y M E x v c 3 N f Q n V k Z 2 V 0 L 1 N v d X J j Z T w v S X R l b V B h d G g + P C 9 J d G V t T G 9 j Y X R p b 2 4 + P F N 0 Y W J s Z U V u d H J p Z X M g L z 4 8 L 0 l 0 Z W 0 + P E l 0 Z W 0 + P E l 0 Z W 1 M b 2 N h d G l v b j 4 8 S X R l b V R 5 c G U + R m 9 y b X V s Y T w v S X R l b V R 5 c G U + P E l 0 Z W 1 Q Y X R o P l N l Y 3 R p b 2 4 x L 0 R l c G F y d G 1 l b n R h b C U y M F B y b 2 Z p d C U y M C U y N i U y M E x v c 3 N f Q n V k Z 2 V 0 L 0 Z p b H R l c m V k J T I w U m 9 3 c z w v S X R l b V B h d G g + P C 9 J d G V t T G 9 j Y X R p b 2 4 + P F N 0 Y W J s Z U V u d H J p Z X M g L z 4 8 L 0 l 0 Z W 0 + P E l 0 Z W 0 + P E l 0 Z W 1 M b 2 N h d G l v b j 4 8 S X R l b V R 5 c G U + R m 9 y b X V s Y T w v S X R l b V R 5 c G U + P E l 0 Z W 1 Q Y X R o P l N l Y 3 R p b 2 4 x L 0 R l c G F y d G 1 l b n R h b C U y M F B y b 2 Z p d C U y M C U y N i U y M E x v c 3 M v R m l s d G V y Z W Q l M j B S b 3 d z P C 9 J d G V t U G F 0 a D 4 8 L 0 l 0 Z W 1 M b 2 N h d G l v b j 4 8 U 3 R h Y m x l R W 5 0 c m l l c y A v P j w v S X R l b T 4 8 L 0 l 0 Z W 1 z P j w v T G 9 j Y W x Q Y W N r Y W d l T W V 0 Y W R h d G F G a W x l P h Y A A A B Q S w U G A A A A A A A A A A A A A A A A A A A A A A A A J g E A A A E A A A D Q j J 3 f A R X R E Y x 6 A M B P w p f r A Q A A A K 9 7 J W 5 V z l J A g s t + a m O S F 6 Q A A A A A A g A A A A A A E G Y A A A A B A A A g A A A A D 2 Y r 7 7 f f Z o U H H Z G N U z M d S s u N 6 d Y G w 7 b e w R P Z 3 u a D x N I A A A A A D o A A A A A C A A A g A A A A u Y t b b z V z v H 3 k c j W w Z 8 K b o h k J 0 u S 7 G e s p f H S O L o F R C N d Q A A A A 8 j i G k J A P p 4 k d 5 C l T + N 9 q X 1 f W P F s k e I h q X / b b 3 G R i c Z b Z Z j I q 4 W 9 K y b G p r H K + h L 7 e Z g O I z U N H 6 N r c Y y 4 B L R g x b O S N A g w y s I a n P 2 1 l h P o n h M l A A A A A C A I 3 c C e P s C 0 H l m 8 A x j L f h M d 9 r 1 N u G B h v / H a P q 9 C F v p I z H g J Z R r X D T N T c q N v G e 4 Z P F G y t / 6 y C G M 3 d u 4 T R Z 4 I J E w = = < / D a t a M a s h u p > 
</file>

<file path=customXml/item22.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 S i g n < / s t r i n g > < / k e y > < v a l u e > < i n t > 4 < / 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 3 5 6 < / 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 3 3 5 < / 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 V a r   S i g n < / s t r i n g > < / k e y > < v a l u e > < i n t > 1 7 2 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 V a r   S i g n < / s t r i n g > < / k e y > < v a l u e > < i n t > 6 < / 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c e 2 8 a e e f - 3 4 1 d - 4 0 5 7 - 8 8 1 b - 4 2 6 c a 7 e e 9 c 2 1 " > < 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i t e m > < M e a s u r e N a m e > V a r   ( % ) < / M e a s u r e N a m e > < D i s p l a y N a m e > V a r   ( % ) < / D i s p l a y N a m e > < V i s i b l e > F a l s e < / V i s i b l e > < / i t e m > < / C a l c u l a t e d F i e l d s > < S A H o s t H a s h > 0 < / S A H o s t H a s h > < G e m i n i F i e l d L i s t V i s i b l e > T r u e < / G e m i n i F i e l d L i s t V i s i b l e > < / S e t t i n g s > ] ] > < / C u s t o m C o n t e n t > < / G e m i n i > 
</file>

<file path=customXml/item26.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 S i g n < / s t r i n g > < / k e y > < v a l u e > < i n t > 6 < / 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 3 7 3 < / i n t > < / v a l u e > < / i t e m > < i t e m > < k e y > < s t r i n g > D e p a r t m e n t < / s t r i n g > < / k e y > < v a l u e > < i n t > 2 1 1 < / i n t > < / v a l u e > < / i t e m > < i t e m > < k e y > < s t r i n g > D a t e < / s t r i n g > < / k e y > < v a l u e > < i n t > 1 2 0 < / i n t > < / v a l u e > < / i t e m > < i t e m > < k e y > < s t r i n g > V a l u e < / s t r i n g > < / k e y > < v a l u e > < i n t > 1 3 6 < / i n t > < / v a l u e > < / i t e m > < i t e m > < k e y > < s t r i n g > D a t e   ( M o n t h   I n d e x ) < / s t r i n g > < / k e y > < v a l u e > < i n t > 3 1 3 < / i n t > < / v a l u e > < / i t e m > < i t e m > < k e y > < s t r i n g > D a t e   ( M o n t h ) < / s t r i n g > < / k e y > < v a l u e > < i n t > 2 3 2 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P o w e r P i v o t V e r s i o n " > < C u s t o m C o n t e n t > < ! [ C D A T A [ 2 0 1 5 . 1 3 0 . 1 6 0 5 . 1 5 6 7 ] ] > < / C u s t o m C o n t e n t > < / G e m i n i > 
</file>

<file path=customXml/item29.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F o r m u l a B a r S t a t e " > < C u s t o m C o n t e n t > < ! [ C D A T A [ < S a n d b o x E d i t o r . F o r m u l a B a r S t a t e   x m l n s = " h t t p : / / s c h e m a s . d a t a c o n t r a c t . o r g / 2 0 0 4 / 0 7 / M i c r o s o f t . A n a l y s i s S e r v i c e s . C o m m o n "   x m l n s : i = " h t t p : / / w w w . w 3 . o r g / 2 0 0 1 / X M L S c h e m a - i n s t a n c e " > < H e i g h t > 1 7 7 < / H e i g h t > < / S a n d b o x E d i t o r . F o r m u l a B a r S t a t e > ] ] > < / C u s t o m C o n t e n t > < / G e m i n i > 
</file>

<file path=customXml/item34.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 C a l c u l a t e d   C o l u m n   1 < / s t r i n g > < / k e y > < v a l u e > < i n t > 1 7 2 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 C a l c u l a t e d   C o l u m n   1 < / s t r i n g > < / k e y > < v a l u e > < i n t > 6 < / 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 1 1 7 < / 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 S i g n < / s t r i n g > < / k e y > < v a l u e > < i n t > 6 < / 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 S i g n < / s t r i n g > < / k e y > < v a l u e > < i n t > 6 < / 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D e p a r t m e n t s _ d 1 9 3 9 0 a 2 - f 7 e 8 - 4 2 3 4 - a 5 2 e - 0 3 9 0 3 a 8 a c b 0 c " > < C u s t o m C o n t e n t > < ! [ C D A T A [ < T a b l e W i d g e t G r i d S e r i a l i z a t i o n   x m l n s : x s d = " h t t p : / / w w w . w 3 . o r g / 2 0 0 1 / X M L S c h e m a "   x m l n s : x s i = " h t t p : / / w w w . w 3 . o r g / 2 0 0 1 / X M L S c h e m a - i n s t a n c e " > < C o l u m n S u g g e s t e d T y p e   / > < C o l u m n F o r m a t   / > < C o l u m n A c c u r a c y   / > < C o l u m n C u r r e n c y S y m b o l   / > < C o l u m n P o s i t i v e P a t t e r n   / > < C o l u m n N e g a t i v e P a t t e r n   / > < C o l u m n W i d t h s > < i t e m > < k e y > < s t r i n g > D e p a r t m e n t s < / s t r i n g > < / k e y > < v a l u e > < i n t > 1 2 0 < / i n t > < / v a l u e > < / i t e m > < / C o l u m n W i d t h s > < C o l u m n D i s p l a y I n d e x > < i t e m > < k e y > < s t r i n g > D e p a r t m e n t s < / s t r i n g > < / k e y > < v a l u e > < i n t > 0 < / 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b 5 8 8 d 0 3 c - f 3 f 5 - 4 a 8 f - a 9 0 d - c e 5 f 6 8 c a c 5 7 4 " > < 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43.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T a b l e O r d e r " > < C u s t o m C o n t e n t > < ! [ C D A T A [ T a b l e V i e w , M a p p i n g s , D e p a r t m e n t a l   P r o f i t       L o s s _ 7 2 4 6 9 c f 3 - d 3 7 4 - 4 c 6 c - 8 d 3 f - 4 4 e 6 e 4 c 8 9 a 0 c , D e p a r t m e n t a l   P r o f i t       L o s s _ B u d g e t _ 5 7 2 5 d e 2 7 - a 7 a 3 - 4 a b 3 - b 0 b a - d 0 f 1 7 2 a c 6 3 6 f , C a l e n d a r , D e p a r t m e n t s   1 , P r e d e f i n e d _ D a t e s ] ] > < / C u s t o m C o n t e n t > < / G e m i n i > 
</file>

<file path=customXml/item45.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 2 6 8 < / 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5 c 8 2 1 b 6 2 - 4 3 b f - 4 7 b f - 9 2 5 7 - 0 4 e 8 1 1 d 1 d 4 e f " > < 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47.xml>��< ? x m l   v e r s i o n = " 1 . 0 "   e n c o d i n g = " U T F - 1 6 " ? > < G e m i n i   x m l n s = " h t t p : / / g e m i n i / p i v o t c u s t o m i z a t i o n / 1 8 2 0 9 0 d 6 - 0 c e 3 - 4 f 3 2 - 8 a 9 b - 7 8 3 d 2 0 7 0 6 a 7 5 " > < 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48.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 C a l c u l a t e d   C o l u m n   1 < / s t r i n g > < / k e y > < v a l u e > < i n t > 1 7 2 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 C a l c u l a t e d   C o l u m n   1 < / s t r i n g > < / k e y > < v a l u e > < i n t > 6 < / 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7 8 9 c 3 f c 5 - c 4 1 8 - 4 6 b b - 9 a 3 1 - b 5 3 5 c 0 d 8 a 3 7 c " > < 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M e a s u r e N a m e > < D i s p l a y N a m e > V a r < / D i s p l a y N a m e > < V i s i b l e > F a l s e < / V i s i b l e > < / i t e m > < / C a l c u l a t e d F i e l d s > < S A H o s t H a s h > 0 < / S A H o s t H a s h > < G e m i n i F i e l d L i s t V i s i b l e > T r u e < / G e m i n i F i e l d L i s t V i s i b l e > < / S e t t i n g s > ] ] > < / C u s t o m C o n t e n t > < / G e m i n i > 
</file>

<file path=customXml/item51.xml>��< ? x m l   v e r s i o n = " 1 . 0 "   e n c o d i n g = " U T F - 1 6 " ? > < G e m i n i   x m l n s = " h t t p : / / g e m i n i / p i v o t c u s t o m i z a t i o n / S a n d b o x N o n E m p t y " > < C u s t o m C o n t e n t > < ! [ C D A T A [ 1 ] ] > < / C u s t o m C o n t e n t > < / G e m i n i > 
</file>

<file path=customXml/item52.xml>��< ? x m l   v e r s i o n = " 1 . 0 "   e n c o d i n g = " U T F - 1 6 " ? > < G e m i n i   x m l n s = " h t t p : / / g e m i n i / p i v o t c u s t o m i z a t i o n / T a b l e X M L _ S e c t i o n _ S i g n s " > < C u s t o m C o n t e n t > < ! [ C D A T A [ < T a b l e W i d g e t G r i d S e r i a l i z a t i o n   x m l n s : x s d = " h t t p : / / w w w . w 3 . o r g / 2 0 0 1 / X M L S c h e m a "   x m l n s : x s i = " h t t p : / / w w w . w 3 . o r g / 2 0 0 1 / X M L S c h e m a - i n s t a n c e " > < C o l u m n S u g g e s t e d T y p e   / > < C o l u m n F o r m a t   / > < C o l u m n A c c u r a c y   / > < C o l u m n C u r r e n c y S y m b o l   / > < C o l u m n P o s i t i v e P a t t e r n   / > < C o l u m n N e g a t i v e P a t t e r n   / > < C o l u m n W i d t h s > < i t e m > < k e y > < s t r i n g > S e c t i o n < / s t r i n g > < / k e y > < v a l u e > < i n t > 8 5 < / i n t > < / v a l u e > < / i t e m > < i t e m > < k e y > < s t r i n g > S i g n < / s t r i n g > < / k e y > < v a l u e > < i n t > 6 4 < / i n t > < / v a l u e > < / i t e m > < / C o l u m n W i d t h s > < C o l u m n D i s p l a y I n d e x > < i t e m > < k e y > < s t r i n g > S e c t i o n < / s t r i n g > < / k e y > < v a l u e > < i n t > 0 < / i n t > < / v a l u e > < / i t e m > < i t e m > < k e y > < s t r i n g > S i g n < / s t r i n g > < / k e y > < v a l u e > < i n t > 1 < / 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 2 6 8 < / 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 1 6 9 < / i n t > < / v a l u e > < / i t e m > < i t e m > < k e y > < s t r i n g > D e p a r t m e n t < / s t r i n g > < / k e y > < v a l u e > < i n t > 2 1 1 < / i n t > < / v a l u e > < / i t e m > < i t e m > < k e y > < s t r i n g > D a t e < / s t r i n g > < / k e y > < v a l u e > < i n t > 1 2 0 < / i n t > < / v a l u e > < / i t e m > < i t e m > < k e y > < s t r i n g > V a l u e < / s t r i n g > < / k e y > < v a l u e > < i n t > 1 3 6 < / i n t > < / v a l u e > < / i t e m > < i t e m > < k e y > < s t r i n g > D a t e   ( M o n t h   I n d e x ) < / s t r i n g > < / k e y > < v a l u e > < i n t > 3 1 3 < / i n t > < / v a l u e > < / i t e m > < i t e m > < k e y > < s t r i n g > D a t e   ( M o n t h ) < / s t r i n g > < / k e y > < v a l u e > < i n t > 2 3 2 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6 a 2 9 e 2 2 4 - 1 6 8 1 - 4 c f 4 - 8 5 4 0 - 1 c 3 a 8 8 5 d 3 1 c f " > < 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 V a r i a n c e   t o   B u d g e t   E x p e n s e   ( $ ) < / M e a s u r e N a m e > < D i s p l a y N a m e > V a r i a n c e   t o   B u d g e t   E x p e n s e   ( $ ) < / D i s p l a y N a m e > < V i s i b l e > F a l s e < / V i s i b l e > < / i t e m > < i t e m > < M e a s u r e N a m e > V a r i a n c e   t o   B u d g e t   E x p e n s e   ( % ) < / M e a s u r e N a m e > < D i s p l a y N a m e > V a r i a n c e   t o   B u d g e t   E x p e n s e   ( % ) < / D i s p l a y N a m e > < V i s i b l e > F a l s e < / V i s i b l e > < / i t e m > < i t e m > < M e a s u r e N a m e > V a r i a n c e   t o   B u d g e t   I n c o m e   ( $ ) < / M e a s u r e N a m e > < D i s p l a y N a m e > V a r i a n c e   t o   B u d g e t   I n c o m e   ( $ ) < / D i s p l a y N a m e > < V i s i b l e > F a l s e < / V i s i b l e > < / i t e m > < i t e m > < M e a s u r e N a m e > V a r i a n c e   t o   B u d g e t   I n c o m e   ( % ) < / M e a s u r e N a m e > < D i s p l a y N a m e > V a r i a n c e 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57.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 S i g n < / s t r i n g > < / k e y > < v a l u e > < i n t > 4 < / 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59.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 S i g n < / s t r i n g > < / k e y > < v a l u e > < i n t > 4 < / 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c 5 8 7 6 e 3 f - 0 3 e 3 - 4 3 2 8 - 9 6 7 1 - 4 4 9 0 2 c 7 e b f 8 c " > < 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  ( $ ) < / M e a s u r e N a m e > < D i s p l a y N a m e > V a r   ( $ ) < / 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C a l c u l a t e d F i e l d s > < S A H o s t H a s h > 0 < / S A H o s t H a s h > < G e m i n i F i e l d L i s t V i s i b l e > T r u e < / G e m i n i F i e l d L i s t V i s i b l e > < / S e t t i n g s > ] ] > < / C u s t o m C o n t e n t > < / G e m i n i > 
</file>

<file path=customXml/item63.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64.xml>��< ? x m l   v e r s i o n = " 1 . 0 "   e n c o d i n g = " U T F - 1 6 " ? > < G e m i n i   x m l n s = " h t t p : / / g e m i n i / p i v o t c u s t o m i z a t i o n / d d 9 2 c 9 3 1 - f 4 3 0 - 4 a b a - 8 9 a 7 - 4 f a e 2 f 3 8 3 1 8 c " > < 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M e a s u r e N a m e > < D i s p l a y N a m e > V a r < / 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C a l c u l a t e d F i e l d s > < S A H o s t H a s h > 0 < / S A H o s t H a s h > < G e m i n i F i e l d L i s t V i s i b l e > T r u e < / G e m i n i F i e l d L i s t V i s i b l e > < / S e t t i n g s > ] ] > < / C u s t o m C o n t e n t > < / G e m i n i > 
</file>

<file path=customXml/item65.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66.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67.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68.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69.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3 c 1 6 a 0 a 7 - 1 3 7 8 - 4 8 2 2 - 8 4 0 5 - c 4 4 1 b a 7 d 6 7 c 2 " > < 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 V a r i a n c e   t o   B u d g e t   E x p e n s e   ( $ ) < / M e a s u r e N a m e > < D i s p l a y N a m e > V a r i a n c e   t o   B u d g e t   E x p e n s e   ( $ ) < / D i s p l a y N a m e > < V i s i b l e > F a l s e < / V i s i b l e > < / i t e m > < i t e m > < M e a s u r e N a m e > V a r i a n c e   t o   B u d g e t   E x p e n s e   ( % ) < / M e a s u r e N a m e > < D i s p l a y N a m e > V a r i a n c e   t o   B u d g e t   E x p e n s e   ( % ) < / D i s p l a y N a m e > < V i s i b l e > F a l s e < / V i s i b l e > < / i t e m > < i t e m > < M e a s u r e N a m e > V a r i a n c e   t o   B u d g e t   I n c o m e   ( $ ) < / M e a s u r e N a m e > < D i s p l a y N a m e > V a r i a n c e   t o   B u d g e t   I n c o m e   ( $ ) < / D i s p l a y N a m e > < V i s i b l e > F a l s e < / V i s i b l e > < / i t e m > < i t e m > < M e a s u r e N a m e > V a r i a n c e   t o   B u d g e t   I n c o m e   ( % ) < / M e a s u r e N a m e > < D i s p l a y N a m e > V a r i a n c e 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70.xml>��< ? x m l   v e r s i o n = " 1 . 0 "   e n c o d i n g = " U T F - 1 6 " ? > < G e m i n i   x m l n s = " h t t p : / / g e m i n i / p i v o t c u s t o m i z a t i o n / M a n u a l C a l c M o d e " > < C u s t o m C o n t e n t > < ! [ C D A T A [ F a l s e ] ] > < / C u s t o m C o n t e n t > < / G e m i n i > 
</file>

<file path=customXml/item71.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 3 5 6 < / 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72.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73.xml>��< ? x m l   v e r s i o n = " 1 . 0 "   e n c o d i n g = " U T F - 1 6 " ? > < G e m i n i   x m l n s = " h t t p : / / g e m i n i / p i v o t c u s t o m i z a t i o n / T a b l e X M L _ R e s e a r c h       D e v e l o p m e n t _ b 5 e e f a f 4 - b a 6 d - 4 3 0 7 - b 6 e 1 - 3 a 6 d b 9 c a 5 5 9 a " > < C u s t o m C o n t e n t   x m l n s = " h t t p : / / g e m i n i / p i v o t c u s t o m i z a t i o n / T a b l e X M L _ R e s e a r c h   D e v e l o p m e n t _ b 5 e e f a f 4 - b a 6 d - 4 3 0 7 - b 6 e 1 - 3 a 6 d b 9 c a 5 5 9 a " > < ! [ 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74.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75.xml>��< ? x m l   v e r s i o n = " 1 . 0 "   e n c o d i n g = " U T F - 1 6 " ? > < G e m i n i   x m l n s = " h t t p : / / g e m i n i / p i v o t c u s t o m i z a t i o n / c 1 c d a 4 d f - b 3 8 3 - 4 2 6 3 - 9 e 1 a - 5 7 9 6 5 c 6 1 a d e b " > < 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  ( $ ) < / M e a s u r e N a m e > < D i s p l a y N a m e > V a r   ( $ ) < / 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C a l c u l a t e d F i e l d s > < S A H o s t H a s h > 0 < / S A H o s t H a s h > < G e m i n i F i e l d L i s t V i s i b l e > T r u e < / G e m i n i F i e l d L i s t V i s i b l e > < / S e t t i n g s > ] ] > < / C u s t o m C o n t e n t > < / G e m i n i > 
</file>

<file path=customXml/item76.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77.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 2 2 5 < / 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78.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 S i g n < / s t r i n g > < / k e y > < v a l u e > < i n t > 4 < / i n t > < / v a l u e > < / i t e m > < / C o l u m n D i s p l a y I n d e x > < C o l u m n F r o z e n   / > < C o l u m n C h e c k e d   / > < C o l u m n F i l t e r   / > < S e l e c t i o n F i l t e r   / > < F i l t e r P a r a m e t e r s   / > < I s S o r t D e s c e n d i n g > f a l s e < / I s S o r t D e s c e n d i n g > < / T a b l e W i d g e t G r i d S e r i a l i z a t i o n > ] ] > < / C u s t o m C o n t e n t > < / G e m i n i > 
</file>

<file path=customXml/item79.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80.xml>��< ? x m l   v e r s i o n = " 1 . 0 "   e n c o d i n g = " U T F - 1 6 " ? > < G e m i n i   x m l n s = " h t t p : / / g e m i n i / p i v o t c u s t o m i z a t i o n / I s S a n d b o x E m b e d d e d " > < C u s t o m C o n t e n t > < ! [ C D A T A [ y e s ] ] > < / C u s t o m C o n t e n t > < / G e m i n i > 
</file>

<file path=customXml/item81.xml>��< ? x m l   v e r s i o n = " 1 . 0 "   e n c o d i n g = " U T F - 1 6 " ? > < G e m i n i   x m l n s = " h t t p : / / g e m i n i / p i v o t c u s t o m i z a t i o n / 7 4 b 3 8 7 6 8 - 4 6 9 a - 4 b 2 e - a 6 3 3 - b 7 b 8 6 3 d e b e f 9 " > < 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  ( $ ) < / M e a s u r e N a m e > < D i s p l a y N a m e > V a r   ( $ ) < / 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C a l c u l a t e d F i e l d s > < S A H o s t H a s h > 0 < / S A H o s t H a s h > < G e m i n i F i e l d L i s t V i s i b l e > T r u e < / G e m i n i F i e l d L i s t V i s i b l e > < / S e t t i n g s > ] ] > < / C u s t o m C o n t e n t > < / G e m i n i > 
</file>

<file path=customXml/item82.xml>��< ? x m l   v e r s i o n = " 1 . 0 "   e n c o d i n g = " U T F - 1 6 " ? > < G e m i n i   x m l n s = " h t t p : / / g e m i n i / p i v o t c u s t o m i z a t i o n / 4 7 b 4 5 2 f 6 - f b 7 b - 4 d 7 8 - 9 c 7 f - 6 5 a 4 9 c a 5 5 c b 9 " > < 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 V a r i a n c e   t o   B u d g e t   E x p e n s e   ( % ) < / M e a s u r e N a m e > < D i s p l a y N a m e > V a r i a n c e   t o   B u d g e t   E x p e n s e   ( % ) < / D i s p l a y N a m e > < V i s i b l e > T r u e < / V i s i b l e > < / i t e m > < i t e m > < M e a s u r e N a m e > V a r i a n c e   t o   B u d g e t   E x p e n s e   ( $ ) < / M e a s u r e N a m e > < D i s p l a y N a m e > V a r i a n c e   t o   B u d g e t   E x p e n s e   ( $ ) < / D i s p l a y N a m e > < V i s i b l e > F a l s e < / V i s i b l e > < / i t e m > < i t e m > < M e a s u r e N a m e > V a r i a n c e   t o   B u d g e t   I n c o m e   ( $ ) < / M e a s u r e N a m e > < D i s p l a y N a m e > V a r i a n c e   t o   B u d g e t   I n c o m e   ( $ ) < / D i s p l a y N a m e > < V i s i b l e > T r u e < / V i s i b l e > < / i t e m > < i t e m > < M e a s u r e N a m e > V a r i a n c e   t o   B u d g e t   I n c o m e   ( % ) < / M e a s u r e N a m e > < D i s p l a y N a m e > V a r i a n c e 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83.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C o l u m n W i d t h s > < C o l u m n D i s p l a y I n d e x > < i t e m > < k e y > < s t r i n g > A c c o u n t < / s t r i n g > < / k e y > < v a l u e > < i n t > 0 < / i n t > < / v a l u e > < / i t e m > < i t e m > < k e y > < s t r i n g > D e p a r t m e n t < / s t r i n g > < / k e y > < v a l u e > < i n t > 1 < / i n t > < / v a l u e > < / i t e m > < i t e m > < k e y > < s t r i n g > D a t e < / s t r i n g > < / k e y > < v a l u e > < i n t > 2 < / i n t > < / v a l u e > < / i t e m > < i t e m > < k e y > < s t r i n g > V a l u e < / s t r i n g > < / k e y > < v a l u e > < i n t > 3 < / i n t > < / v a l u e > < / i t e m > < / C o l u m n D i s p l a y I n d e x > < C o l u m n F r o z e n   / > < C o l u m n C h e c k e d   / > < C o l u m n F i l t e r   / > < S e l e c t i o n F i l t e r   / > < F i l t e r P a r a m e t e r s   / > < I s S o r t D e s c e n d i n g > f a l s e < / I s S o r t D e s c e n d i n g > < / T a b l e W i d g e t G r i d S e r i a l i z a t i o n > ] ] > < / C u s t o m C o n t e n t > < / G e m i n i > 
</file>

<file path=customXml/item84.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8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 2 0 2 4 - 1 1 - 2 5 T 2 1 : 2 1 : 2 8 . 7 1 8 8 3 6 - 0 5 : 0 0 < / L a s t P r o c e s s e d T i m e > < / D a t a M o d e l i n g S a n d b o x . S e r i a l i z e d S a n d b o x E r r o r C a c h e > ] ] > < / C u s t o m C o n t e n t > < / G e m i n i > 
</file>

<file path=customXml/item86.xml>��< ? x m l   v e r s i o n = " 1 . 0 "   e n c o d i n g = " U T F - 1 6 " ? > < G e m i n i   x m l n s = " h t t p : / / g e m i n i / p i v o t c u s t o m i z a t i o n / 7 4 a c 8 1 6 0 - 6 e 1 9 - 4 f 1 e - a 0 9 4 - b 7 2 4 1 8 b 6 a d 0 9 " > < 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87.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 S i g n < / s t r i n g > < / k e y > < v a l u e > < i n t > 6 < / i n t > < / v a l u e > < / i t e m > < / C o l u m n D i s p l a y I n d e x > < C o l u m n F r o z e n   / > < C o l u m n C h e c k e d   / > < C o l u m n F i l t e r   / > < S e l e c t i o n F i l t e r   / > < F i l t e r P a r a m e t e r s   / > < I s S o r t D e s c e n d i n g > f a l s e < / I s S o r t D e s c e n d i n g > < / T a b l e W i d g e t G r i d S e r i a l i z a t i o n > ] ] > < / C u s t o m C o n t e n t > < / G e m i n i > 
</file>

<file path=customXml/item88.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89.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 V a r   S i g n < / s t r i n g > < / k e y > < v a l u e > < i n t > 9 0 < / 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 V a r   S i g n < / s t r i n g > < / k e y > < v a l u e > < i n t > 6 < / 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a a 0 0 0 6 6 5 - 8 8 7 9 - 4 e 6 a - b a 5 0 - 8 7 2 1 d e b 0 5 8 b c " > < 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i t e m > < M e a s u r e N a m e > P r i o r   Y e a r   Y T D   V a l u e s < / M e a s u r e N a m e > < D i s p l a y N a m e > P r i o r   Y e a r   Y T D   V a l u e s < / D i s p l a y N a m e > < V i s i b l e > F a l s e < / V i s i b l e > < / i t e m > < i t e m > < M e a s u r e N a m e > P r i o r   P e r i o d   Y T D   V a l u e s < / M e a s u r e N a m e > < D i s p l a y N a m e > P r i o r   P e r i o d   Y T D   V a l u e s < / D i s p l a y N a m e > < V i s i b l e > F a l s e < / V i s i b l e > < / i t e m > < i t e m > < M e a s u r e N a m e > P r i o r   P e r i o d   T r a i l i n g   3   M o n t h s   V a l u e s < / M e a s u r e N a m e > < D i s p l a y N a m e > P r i o r   P e r i o d   T r a i l i n g   3   M o n t h s   V a l u e s < / D i s p l a y N a m e > < V i s i b l e > F a l s e < / V i s i b l e > < / i t e m > < i t e m > < M e a s u r e N a m e > P r i o r   P e r i o d   T r a i l i n g   6   M o n t h s   V a l u e s < / M e a s u r e N a m e > < D i s p l a y N a m e > P r i o r   P e r i o d   T r a i l i n g   6   M o n t h s   V a l u e s < / D i s p l a y N a m e > < V i s i b l e > F a l s e < / V i s i b l e > < / i t e m > < i t e m > < M e a s u r e N a m e > P r i o r   P e r i o d < / M e a s u r e N a m e > < D i s p l a y N a m e > P r i o r   P e r i o d < / D i s p l a y N a m e > < V i s i b l e > F a l s e < / V i s i b l e > < / i t e m > < i t e m > < M e a s u r e N a m e > P r i o r   Y e a r   C u r r e n t   M o n t h s   V a l u e s < / M e a s u r e N a m e > < D i s p l a y N a m e > P r i o r   Y e a r   C u r r e n t   M o n t h s   V a l u e s < / D i s p l a y N a m e > < V i s i b l e > F a l s e < / V i s i b l e > < / i t e m > < i t e m > < M e a s u r e N a m e > P r i o r   Y e a r   T r a i l i n g   3   M o n t h s   V a l u e s < / M e a s u r e N a m e > < D i s p l a y N a m e > P r i o r   Y e a r   T r a i l i n g   3   M o n t h s   V a l u e s < / D i s p l a y N a m e > < V i s i b l e > F a l s e < / V i s i b l e > < / i t e m > < i t e m > < M e a s u r e N a m e > P r i o r   Y e a r   T r a i l i n g   6   M o n t h s   V a l u e s < / M e a s u r e N a m e > < D i s p l a y N a m e > P r i o r   Y e a r   T r a i l i n g   6   M o n t h s   V a l u e s < / D i s p l a y N a m e > < V i s i b l e > F a l s e < / V i s i b l e > < / i t e m > < i t e m > < M e a s u r e N a m e > P r i o r   Y e a r   T r a i l i n g   1 2   M o n t h s   V a l u e s < / M e a s u r e N a m e > < D i s p l a y N a m e > P r i o r   Y e a r   T r a i l i n g   1 2   M o n t h s   V a l u e s < / D i s p l a y N a m e > < V i s i b l e > F a l s e < / V i s i b l e > < / i t e m > < i t e m > < M e a s u r e N a m e > P r i o r   Y e a r < / M e a s u r e N a m e > < D i s p l a y N a m e > P r i o r   Y e a r < / D i s p l a y N a m e > < V i s i b l e > F a l s e < / V i s i b l e > < / i t e m > < i t e m > < M e a s u r e N a m e > V a r   t o   B u d g e t   E x p e n s e   ( $ ) < / M e a s u r e N a m e > < D i s p l a y N a m e > V a r   t o   B u d g e t   E x p e n s e   ( $ ) < / D i s p l a y N a m e > < V i s i b l e > F a l s e < / V i s i b l e > < / i t e m > < i t e m > < M e a s u r e N a m e > V a r   t o   B u d g e t   E x p e n s e   ( % ) < / M e a s u r e N a m e > < D i s p l a y N a m e > V a r   t o   B u d g e t   E x p e n s e   ( % ) < / D i s p l a y N a m e > < V i s i b l e > F a l s e < / V i s i b l e > < / i t e m > < i t e m > < M e a s u r e N a m e > V a r   t o   B u d g e t   I n c o m e   ( $ ) < / M e a s u r e N a m e > < D i s p l a y N a m e > V a r   t o   B u d g e t   I n c o m e   ( $ ) < / D i s p l a y N a m e > < V i s i b l e > F a l s e < / V i s i b l e > < / i t e m > < i t e m > < M e a s u r e N a m e > V a r   t o   B u d g e t   I n c o m e   ( % ) < / M e a s u r e N a m e > < D i s p l a y N a m e > V a r   t o   B u d g e t   I n c o m e   ( % ) < / D i s p l a y N a m e > < V i s i b l e > F a l s e < / V i s i b l e > < / i t e m > < i t e m > < M e a s u r e N a m e > V a r   t o   P r i o r   P e r i o d   ( $ ) < / M e a s u r e N a m e > < D i s p l a y N a m e > V a r   t o   P r i o r   P e r i o d   ( $ ) < / D i s p l a y N a m e > < V i s i b l e > F a l s e < / V i s i b l e > < / i t e m > < i t e m > < M e a s u r e N a m e > V a r   t o   P r i o r   P e r i o d   ( % ) < / M e a s u r e N a m e > < D i s p l a y N a m e > V a r   t o   P r i o r   P e r i o d   ( % ) < / D i s p l a y N a m e > < V i s i b l e > F a l s e < / V i s i b l e > < / i t e m > < i t e m > < M e a s u r e N a m e > V a r   t o   P r i o r   Y e a r   ( $ ) < / M e a s u r e N a m e > < D i s p l a y N a m e > V a r   t o   P r i o r   Y e a r   ( $ ) < / D i s p l a y N a m e > < V i s i b l e > F a l s e < / V i s i b l e > < / i t e m > < i t e m > < M e a s u r e N a m e > V a r   t o   P r i o r   Y e a r   ( % ) < / M e a s u r e N a m e > < D i s p l a y N a m e > V a r   t o   P r i o r   Y e a r   ( % ) < / D i s p l a y N a m e > < V i s i b l e > F a l s e < / V i s i b l e > < / i t e m > < / C a l c u l a t e d F i e l d s > < S A H o s t H a s h > 0 < / S A H o s t H a s h > < G e m i n i F i e l d L i s t V i s i b l e > T r u e < / G e m i n i F i e l d L i s t V i s i b l e > < / S e t t i n g s > ] ] > < / C u s t o m C o n t e n t > < / G e m i n i > 
</file>

<file path=customXml/item90.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91.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92.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93.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94.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C o l u m n D i s p l a y I n d e x > < C o l u m n F r o z e n   / > < C o l u m n C h e c k e d   / > < C o l u m n F i l t e r   / > < S e l e c t i o n F i l t e r   / > < F i l t e r P a r a m e t e r s   / > < I s S o r t D e s c e n d i n g > f a l s e < / I s S o r t D e s c e n d i n g > < / T a b l e W i d g e t G r i d S e r i a l i z a t i o n > ] ] > < / C u s t o m C o n t e n t > < / G e m i n i > 
</file>

<file path=customXml/item95.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 S i g n < / s t r i n g > < / k e y > < v a l u e > < i n t > 4 < / i n t > < / v a l u e > < / i t e m > < / C o l u m n D i s p l a y I n d e x > < C o l u m n F r o z e n   / > < C o l u m n C h e c k e d   / > < C o l u m n F i l t e r   / > < S e l e c t i o n F i l t e r   / > < F i l t e r P a r a m e t e r s   / > < I s S o r t D e s c e n d i n g > f a l s e < / I s S o r t D e s c e n d i n g > < / T a b l e W i d g e t G r i d S e r i a l i z a t i o n > ] ] > < / C u s t o m C o n t e n t > < / G e m i n i > 
</file>

<file path=customXml/item96.xml>��< ? x m l   v e r s i o n = " 1 . 0 "   e n c o d i n g = " U T F - 1 6 " ? > < G e m i n i   x m l n s = " h t t p : / / g e m i n i / p i v o t c u s t o m i z a t i o n / 1 3 9 e 2 8 b c - 8 d 9 3 - 4 a 1 e - 9 9 d 9 - a 5 b 6 8 1 2 6 6 f 1 0 " > < C u s t o m C o n t e n t > < ! [ C D A T A [ < ? x m l   v e r s i o n = " 1 . 0 "   e n c o d i n g = " u t f - 1 6 " ? > < S e t t i n g s > < C a l c u l a t e d F i e l d s > < i t e m > < M e a s u r e N a m e > S e l e c t e d V i e w < / M e a s u r e N a m e > < D i s p l a y N a m e > S e l e c t e d V i e w < / D i s p l a y N a m e > < V i s i b l e > F a l s e < / V i s i b l e > < / i t e m > < i t e m > < M e a s u r e N a m e > 2 0 2 4   V a l u e s < / M e a s u r e N a m e > < D i s p l a y N a m e > 2 0 2 4   V a l u e s < / D i s p l a y N a m e > < V i s i b l e > F a l s e < / V i s i b l e > < / i t e m > < i t e m > < M e a s u r e N a m e > Y T D   V a l u e s < / M e a s u r e N a m e > < D i s p l a y N a m e > Y T D   V a l u e s < / D i s p l a y N a m e > < V i s i b l e > F a l s e < / V i s i b l e > < / i t e m > < i t e m > < M e a s u r e N a m e > A c t u a l < / M e a s u r e N a m e > < D i s p l a y N a m e > A c t u a l < / D i s p l a y N a m e > < V i s i b l e > F a l s e < / V i s i b l e > < / i t e m > < i t e m > < M e a s u r e N a m e > V a r   ( $ ) < / M e a s u r e N a m e > < D i s p l a y N a m e > V a r   ( $ ) < / D i s p l a y N a m e > < V i s i b l e > F a l s e < / V i s i b l e > < / i t e m > < i t e m > < M e a s u r e N a m e > Y T D   V a l u e s _ B u d g e t < / M e a s u r e N a m e > < D i s p l a y N a m e > Y T D   V a l u e s _ B u d g e t < / D i s p l a y N a m e > < V i s i b l e > F a l s e < / V i s i b l e > < / i t e m > < i t e m > < M e a s u r e N a m e > 2 0 2 4   V a l u e s _ B u d g e t < / M e a s u r e N a m e > < D i s p l a y N a m e > 2 0 2 4   V a l u e s _ B u d g e t < / D i s p l a y N a m e > < V i s i b l e > F a l s e < / V i s i b l e > < / i t e m > < i t e m > < M e a s u r e N a m e > B u d g e t < / M e a s u r e N a m e > < D i s p l a y N a m e > B u d g e t < / D i s p l a y N a m e > < V i s i b l e > F a l s e < / V i s i b l e > < / i t e m > < i t e m > < M e a s u r e N a m e > 2 0 2 3   V a l u e s < / M e a s u r e N a m e > < D i s p l a y N a m e > 2 0 2 3   V a l u e s < / D i s p l a y N a m e > < V i s i b l e > F a l s e < / V i s i b l e > < / i t e m > < i t e m > < M e a s u r e N a m e > 2 0 2 3   V a l u e s _ B u d g e t < / M e a s u r e N a m e > < D i s p l a y N a m e > 2 0 2 3   V a l u e s _ B u d g e t < / D i s p l a y N a m e > < V i s i b l e > F a l s e < / V i s i b l e > < / i t e m > < i t e m > < M e a s u r e N a m e > 2 0 2 5   V a l u e s < / M e a s u r e N a m e > < D i s p l a y N a m e > 2 0 2 5   V a l u e s < / D i s p l a y N a m e > < V i s i b l e > F a l s e < / V i s i b l e > < / i t e m > < i t e m > < M e a s u r e N a m e > 2 0 2 5   V a l u e s _ B u d g e t < / M e a s u r e N a m e > < D i s p l a y N a m e > 2 0 2 5   V a l u e s _ B u d g e t < / D i s p l a y N a m e > < V i s i b l e > F a l s e < / V i s i b l e > < / i t e m > < i t e m > < M e a s u r e N a m e > C u r r e n t   M o n t h s   V a l u e s < / M e a s u r e N a m e > < D i s p l a y N a m e > C u r r e n t   M o n t h s   V a l u e s < / D i s p l a y N a m e > < V i s i b l e > F a l s e < / V i s i b l e > < / i t e m > < i t e m > < M e a s u r e N a m e > T r a i l i n g   1 2   M o n t h s   V a l u e s < / M e a s u r e N a m e > < D i s p l a y N a m e > T r a i l i n g   1 2   M o n t h s   V a l u e s < / D i s p l a y N a m e > < V i s i b l e > F a l s e < / V i s i b l e > < / i t e m > < i t e m > < M e a s u r e N a m e > T r a i l i n g   3   M o n t h s   V a l u e s < / M e a s u r e N a m e > < D i s p l a y N a m e > T r a i l i n g   3   M o n t h s   V a l u e s < / D i s p l a y N a m e > < V i s i b l e > F a l s e < / V i s i b l e > < / i t e m > < i t e m > < M e a s u r e N a m e > T r a i l i n g   6   M o n t h s   V a l u e s < / M e a s u r e N a m e > < D i s p l a y N a m e > T r a i l i n g   6   M o n t h s   V a l u e s < / D i s p l a y N a m e > < V i s i b l e > F a l s e < / V i s i b l e > < / i t e m > < i t e m > < M e a s u r e N a m e > C u r r e n t   M o n t h s   V a l u e s _ B u d g e t < / M e a s u r e N a m e > < D i s p l a y N a m e > C u r r e n t   M o n t h s   V a l u e s _ B u d g e t < / D i s p l a y N a m e > < V i s i b l e > F a l s e < / V i s i b l e > < / i t e m > < i t e m > < M e a s u r e N a m e > T r a i l i n g   1 2   M o n t h s   V a l u e s _ B u d g e t < / M e a s u r e N a m e > < D i s p l a y N a m e > T r a i l i n g   1 2   M o n t h s   V a l u e s _ B u d g e t < / D i s p l a y N a m e > < V i s i b l e > F a l s e < / V i s i b l e > < / i t e m > < i t e m > < M e a s u r e N a m e > T r a i l i n g   3   M o n t h s   V a l u e s _ B u d g e t < / M e a s u r e N a m e > < D i s p l a y N a m e > T r a i l i n g   3   M o n t h s   V a l u e s _ B u d g e t < / D i s p l a y N a m e > < V i s i b l e > F a l s e < / V i s i b l e > < / i t e m > < i t e m > < M e a s u r e N a m e > T r a i l i n g   6   M o n t h s   V a l u e s _ B u d g e t < / M e a s u r e N a m e > < D i s p l a y N a m e > T r a i l i n g   6   M o n t h s   V a l u e s _ B u d g e t < / D i s p l a y N a m e > < V i s i b l e > F a l s e < / V i s i b l e > < / i t e m > < i t e m > < M e a s u r e N a m e > R e v e n u e < / M e a s u r e N a m e > < D i s p l a y N a m e > R e v e n u e < / D i s p l a y N a m e > < V i s i b l e > F a l s e < / V i s i b l e > < / i t e m > < i t e m > < M e a s u r e N a m e > G r o s s   P r o f i t < / M e a s u r e N a m e > < D i s p l a y N a m e > G r o s s   P r o f i t < / D i s p l a y N a m e > < V i s i b l e > F a l s e < / V i s i b l e > < / i t e m > < i t e m > < M e a s u r e N a m e > G r o s s   m a r g i n < / M e a s u r e N a m e > < D i s p l a y N a m e > G r o s s   m a r g i n < / D i s p l a y N a m e > < V i s i b l e > F a l s e < / V i s i b l e > < / i t e m > < i t e m > < M e a s u r e N a m e > V a r   ( % ) < / M e a s u r e N a m e > < D i s p l a y N a m e > V a r   ( % ) < / D i s p l a y N a m e > < V i s i b l e > F a l s e < / V i s i b l e > < / i t e m > < i t e m > < M e a s u r e N a m e > P r i o r   P e r i o d   C u r r e n t   M o n t h s   V a l u e s < / M e a s u r e N a m e > < D i s p l a y N a m e > P r i o r   P e r i o d   C u r r e n t   M o n t h s   V a l u e s < / D i s p l a y N a m e > < V i s i b l e > F a l s e < / V i s i b l e > < / i t e m > < i t e m > < M e a s u r e N a m e > P r i o r   P e r i o d   T r a i l i n g   1 2   M o n t h s   V a l u e s < / M e a s u r e N a m e > < D i s p l a y N a m e > P r i o r   P e r i o d   T r a i l i n g   1 2   M o n t h s   V a l u e s < / D i s p l a y N a m e > < V i s i b l e > F a l s e < / V i s i b l e > < / i t e m > < / C a l c u l a t e d F i e l d s > < S A H o s t H a s h > 0 < / S A H o s t H a s h > < G e m i n i F i e l d L i s t V i s i b l e > T r u e < / G e m i n i F i e l d L i s t V i s i b l e > < / S e t t i n g s > ] ] > < / C u s t o m C o n t e n t > < / G e m i n i > 
</file>

<file path=customXml/item97.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 B u d g e t < / s t r i n g > < / k e y > < v a l u e > < i n t > 8 1 < / i n t > < / v a l u e > < / i t e m > < / C o l u m n W i d t h s > < C o l u m n D i s p l a y I n d e x > < i t e m > < k e y > < s t r i n g > A c c o u n t < / s t r i n g > < / k e y > < v a l u e > < i n t > 0 < / i n t > < / v a l u e > < / i t e m > < i t e m > < k e y > < s t r i n g > D e p a r t m e n t < / s t r i n g > < / k e y > < v a l u e > < i n t > 1 < / i n t > < / v a l u e > < / i t e m > < i t e m > < k e y > < s t r i n g > D a t e < / s t r i n g > < / k e y > < v a l u e > < i n t > 2 < / i n t > < / v a l u e > < / i t e m > < i t e m > < k e y > < s t r i n g > B u d g e t < / s t r i n g > < / k e y > < v a l u e > < i n t > 3 < / i n t > < / v a l u e > < / i t e m > < / C o l u m n D i s p l a y I n d e x > < C o l u m n F r o z e n   / > < C o l u m n C h e c k e d   / > < C o l u m n F i l t e r   / > < S e l e c t i o n F i l t e r   / > < F i l t e r P a r a m e t e r s   / > < I s S o r t D e s c e n d i n g > f a l s e < / I s S o r t D e s c e n d i n g > < / T a b l e W i d g e t G r i d S e r i a l i z a t i o n > ] ] > < / C u s t o m C o n t e n t > < / G e m i n i > 
</file>

<file path=customXml/item98.xml>��< ? x m l   v e r s i o n = " 1 . 0 "   e n c o d i n g = " U T F - 1 6 " ? > < G e m i n i   x m l n s = " h t t p : / / g e m i n i / p i v o t c u s t o m i z a t i o n / T a b l e X M L _ D e p a r t m e n t a l   P r o f i t       L o s s _ 7 2 4 6 9 c f 3 - d 3 7 4 - 4 c 6 c - 8 d 3 f - 4 4 e 6 e 4 c 8 9 a 0 c " > < C u s t o m C o n t e n t   x m l n s = " h t t p : / / g e m i n i / p i v o t c u s t o m i z a t i o n / T a b l e X M L _ D e p a r t m e n t a l   P r o f i t   L o s s _ 7 2 4 6 9 c f 3 - d 3 7 4 - 4 c 6 c - 8 d 3 f - 4 4 e 6 e 4 c 8 9 a 0 c " > < ! [ C D A T A [ < T a b l e W i d g e t G r i d S e r i a l i z a t i o n   x m l n s : x s d = " h t t p : / / w w w . w 3 . o r g / 2 0 0 1 / X M L S c h e m a "   x m l n s : x s i = " h t t p : / / w w w . w 3 . o r g / 2 0 0 1 / X M L S c h e m a - i n s t a n c e " > < C o l u m n S u g g e s t e d T y p e   / > < C o l u m n F o r m a t   / > < C o l u m n A c c u r a c y   / > < C o l u m n C u r r e n c y S y m b o l   / > < C o l u m n P o s i t i v e P a t t e r n   / > < C o l u m n N e g a t i v e P a t t e r n   / > < C o l u m n W i d t h s > < i t e m > < k e y > < s t r i n g > A c c o u n t < / s t r i n g > < / k e y > < v a l u e > < i n t > 3 3 5 < / i n t > < / v a l u e > < / i t e m > < i t e m > < k e y > < s t r i n g > D e p a r t m e n t < / s t r i n g > < / k e y > < v a l u e > < i n t > 1 1 2 < / i n t > < / v a l u e > < / i t e m > < i t e m > < k e y > < s t r i n g > D a t e < / s t r i n g > < / k e y > < v a l u e > < i n t > 6 6 < / i n t > < / v a l u e > < / i t e m > < i t e m > < k e y > < s t r i n g > V a l u e < / s t r i n g > < / k e y > < v a l u e > < i n t > 7 1 < / i n t > < / v a l u e > < / i t e m > < i t e m > < k e y > < s t r i n g > D a t e   ( M o n t h   I n d e x ) < / s t r i n g > < / k e y > < v a l u e > < i n t > 1 6 0 < / i n t > < / v a l u e > < / i t e m > < i t e m > < k e y > < s t r i n g > D a t e   ( M o n t h ) < / s t r i n g > < / k e y > < v a l u e > < i n t > 1 2 2 < / i n t > < / v a l u e > < / i t e m > < i t e m > < k e y > < s t r i n g > V a r   S i g n < / s t r i n g > < / k e y > < v a l u e > < i n t > 1 7 2 < / i n t > < / v a l u e > < / i t e m > < / C o l u m n W i d t h s > < C o l u m n D i s p l a y I n d e x > < i t e m > < k e y > < s t r i n g > A c c o u n t < / s t r i n g > < / k e y > < v a l u e > < i n t > 0 < / i n t > < / v a l u e > < / i t e m > < i t e m > < k e y > < s t r i n g > D e p a r t m e n t < / s t r i n g > < / k e y > < v a l u e > < i n t > 1 < / i n t > < / v a l u e > < / i t e m > < i t e m > < k e y > < s t r i n g > D a t e < / s t r i n g > < / k e y > < v a l u e > < i n t > 2 < / i n t > < / v a l u e > < / i t e m > < i t e m > < k e y > < s t r i n g > V a l u e < / s t r i n g > < / k e y > < v a l u e > < i n t > 3 < / i n t > < / v a l u e > < / i t e m > < i t e m > < k e y > < s t r i n g > D a t e   ( M o n t h   I n d e x ) < / s t r i n g > < / k e y > < v a l u e > < i n t > 4 < / i n t > < / v a l u e > < / i t e m > < i t e m > < k e y > < s t r i n g > D a t e   ( M o n t h ) < / s t r i n g > < / k e y > < v a l u e > < i n t > 5 < / i n t > < / v a l u e > < / i t e m > < i t e m > < k e y > < s t r i n g > V a r   S i g n < / s t r i n g > < / k e y > < v a l u e > < i n t > 6 < / i n t > < / v a l u e > < / i t e m > < / C o l u m n D i s p l a y I n d e x > < C o l u m n F r o z e n   / > < C o l u m n C h e c k e d   / > < C o l u m n F i l t e r   / > < S e l e c t i o n F i l t e r   / > < F i l t e r P a r a m e t e r s   / > < I s S o r t D e s c e n d i n g > f a l s e < / I s S o r t D e s c e n d i n g > < / T a b l e W i d g e t G r i d S e r i a l i z a t i o n > ] ] > < / C u s t o m C o n t e n t > < / G e m i n i > 
</file>

<file path=customXml/item99.xml>��< ? x m l   v e r s i o n = " 1 . 0 "   e n c o d i n g = " U T F - 1 6 " ? > < G e m i n i   x m l n s = " h t t p : / / g e m i n i / p i v o t c u s t o m i z a t i o n / T a b l e X M L _ D e p a r t m e n t a l   P r o f i t       L o s s _ B u d g e t _ 5 7 2 5 d e 2 7 - a 7 a 3 - 4 a b 3 - b 0 b a - d 0 f 1 7 2 a c 6 3 6 f " > < C u s t o m C o n t e n t   x m l n s = " h t t p : / / g e m i n i / p i v o t c u s t o m i z a t i o n / T a b l e X M L _ D e p a r t m e n t a l   P r o f i t   L o s s _ B u d g e t _ 5 7 2 5 d e 2 7 - a 7 a 3 - 4 a b 3 - b 0 b a - d 0 f 1 7 2 a c 6 3 6 f " > < ! [ C D A T A [ < T a b l e W i d g e t G r i d S e r i a l i z a t i o n   x m l n s : x s d = " h t t p : / / w w w . w 3 . o r g / 2 0 0 1 / X M L S c h e m a "   x m l n s : x s i = " h t t p : / / w w w . w 3 . o r g / 2 0 0 1 / X M L S c h e m a - i n s t a n c e " > < C o l u m n S u g g e s t e d T y p e   / > < C o l u m n F o r m a t   / > < C o l u m n A c c u r a c y   / > < C o l u m n C u r r e n c y S y m b o l   / > < C o l u m n P o s i t i v e P a t t e r n   / > < C o l u m n N e g a t i v e P a t t e r n   / > < C o l u m n W i d t h s > < i t e m > < k e y > < s t r i n g > A c c o u n t < / s t r i n g > < / k e y > < v a l u e > < i n t > 8 9 < / i n t > < / v a l u e > < / i t e m > < i t e m > < k e y > < s t r i n g > D e p a r t m e n t < / s t r i n g > < / k e y > < v a l u e > < i n t > 1 1 2 < / i n t > < / v a l u e > < / i t e m > < i t e m > < k e y > < s t r i n g > D a t e < / s t r i n g > < / k e y > < v a l u e > < i n t > 6 6 < / i n t > < / v a l u e > < / i t e m > < i t e m > < k e y > < s t r i n g > V a l u e < / s t r i n g > < / k e y > < v a l u e > < i n t > 7 1 < / i n t > < / v a l u e > < / i t e m > < i t e m > < k e y > < s t r i n g > S i g n < / s t r i n g > < / k e y > < v a l u e > < i n t > 6 4 < / i n t > < / v a l u e > < / i t e m > < / C o l u m n W i d t h s > < C o l u m n D i s p l a y I n d e x > < i t e m > < k e y > < s t r i n g > A c c o u n t < / s t r i n g > < / k e y > < v a l u e > < i n t > 0 < / i n t > < / v a l u e > < / i t e m > < i t e m > < k e y > < s t r i n g > D e p a r t m e n t < / s t r i n g > < / k e y > < v a l u e > < i n t > 1 < / i n t > < / v a l u e > < / i t e m > < i t e m > < k e y > < s t r i n g > D a t e < / s t r i n g > < / k e y > < v a l u e > < i n t > 2 < / i n t > < / v a l u e > < / i t e m > < i t e m > < k e y > < s t r i n g > V a l u e < / s t r i n g > < / k e y > < v a l u e > < i n t > 3 < / i n t > < / v a l u e > < / i t e m > < i t e m > < k e y > < s t r i n g > S i g n < / s t r i n g > < / k e y > < v a l u e > < i n t > 4 < / 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8A0CEE62-117E-41CA-A9F3-B8AAE7A52BEE}">
  <ds:schemaRefs>
    <ds:schemaRef ds:uri="http://gemini/pivotcustomization/f7277403-0e66-4c3a-8be7-6ebaec9c1267"/>
  </ds:schemaRefs>
</ds:datastoreItem>
</file>

<file path=customXml/itemProps10.xml><?xml version="1.0" encoding="utf-8"?>
<ds:datastoreItem xmlns:ds="http://schemas.openxmlformats.org/officeDocument/2006/customXml" ds:itemID="{501D5594-022B-4DAD-B84E-C26DE8368A9F}">
  <ds:schemaRefs>
    <ds:schemaRef ds:uri="http://gemini/pivotcustomization/TableXML_Departmental Profit Loss_72469cf3-d374-4c6c-8d3f-44e6e4c89a0c"/>
  </ds:schemaRefs>
</ds:datastoreItem>
</file>

<file path=customXml/itemProps100.xml><?xml version="1.0" encoding="utf-8"?>
<ds:datastoreItem xmlns:ds="http://schemas.openxmlformats.org/officeDocument/2006/customXml" ds:itemID="{28FE26C0-F35C-4577-B9BE-1C672550B18D}">
  <ds:schemaRefs>
    <ds:schemaRef ds:uri="http://gemini/pivotcustomization/TableXML_Departmental Profit Loss_72469cf3-d374-4c6c-8d3f-44e6e4c89a0c"/>
  </ds:schemaRefs>
</ds:datastoreItem>
</file>

<file path=customXml/itemProps101.xml><?xml version="1.0" encoding="utf-8"?>
<ds:datastoreItem xmlns:ds="http://schemas.openxmlformats.org/officeDocument/2006/customXml" ds:itemID="{5A48F489-B754-4F66-AD32-1E44630647EA}">
  <ds:schemaRefs>
    <ds:schemaRef ds:uri="http://gemini/pivotcustomization/TableXML_Departmental Profit Loss_Budget_5725de27-a7a3-4ab3-b0ba-d0f172ac636f"/>
  </ds:schemaRefs>
</ds:datastoreItem>
</file>

<file path=customXml/itemProps102.xml><?xml version="1.0" encoding="utf-8"?>
<ds:datastoreItem xmlns:ds="http://schemas.openxmlformats.org/officeDocument/2006/customXml" ds:itemID="{57BE81E4-AE10-4143-B410-B4E4EB5322BE}">
  <ds:schemaRefs>
    <ds:schemaRef ds:uri="http://gemini/pivotcustomization/570897a9-c7fc-4663-992e-fc07c98f1a2f"/>
  </ds:schemaRefs>
</ds:datastoreItem>
</file>

<file path=customXml/itemProps103.xml><?xml version="1.0" encoding="utf-8"?>
<ds:datastoreItem xmlns:ds="http://schemas.openxmlformats.org/officeDocument/2006/customXml" ds:itemID="{39577E33-65CE-4BC8-83A1-F99BE585D580}">
  <ds:schemaRefs>
    <ds:schemaRef ds:uri="http://gemini/pivotcustomization/TableXML_Departmental Profit Loss_72469cf3-d374-4c6c-8d3f-44e6e4c89a0c"/>
  </ds:schemaRefs>
</ds:datastoreItem>
</file>

<file path=customXml/itemProps104.xml><?xml version="1.0" encoding="utf-8"?>
<ds:datastoreItem xmlns:ds="http://schemas.openxmlformats.org/officeDocument/2006/customXml" ds:itemID="{B02C3148-4115-4D71-A78B-5BE0027C137B}">
  <ds:schemaRefs>
    <ds:schemaRef ds:uri="http://gemini/pivotcustomization/TableXML_Predefined_Dates"/>
  </ds:schemaRefs>
</ds:datastoreItem>
</file>

<file path=customXml/itemProps105.xml><?xml version="1.0" encoding="utf-8"?>
<ds:datastoreItem xmlns:ds="http://schemas.openxmlformats.org/officeDocument/2006/customXml" ds:itemID="{0065198D-71EE-4DCD-8F3F-F34776D80F31}">
  <ds:schemaRefs>
    <ds:schemaRef ds:uri="http://gemini/pivotcustomization/TableXML_Departmental Profit Loss_Budget_5725de27-a7a3-4ab3-b0ba-d0f172ac636f"/>
  </ds:schemaRefs>
</ds:datastoreItem>
</file>

<file path=customXml/itemProps106.xml><?xml version="1.0" encoding="utf-8"?>
<ds:datastoreItem xmlns:ds="http://schemas.openxmlformats.org/officeDocument/2006/customXml" ds:itemID="{197E0E5C-5270-4658-BF0A-82418011D56D}">
  <ds:schemaRefs>
    <ds:schemaRef ds:uri="http://gemini/pivotcustomization/60e26ce5-9a83-4445-bc05-b64c29c7d44d"/>
  </ds:schemaRefs>
</ds:datastoreItem>
</file>

<file path=customXml/itemProps107.xml><?xml version="1.0" encoding="utf-8"?>
<ds:datastoreItem xmlns:ds="http://schemas.openxmlformats.org/officeDocument/2006/customXml" ds:itemID="{7DBD2C07-C841-4ACE-8E51-7D7344B45711}">
  <ds:schemaRefs>
    <ds:schemaRef ds:uri="http://gemini/pivotcustomization/TableXML_Departmental Profit Loss_Budget_5725de27-a7a3-4ab3-b0ba-d0f172ac636f"/>
  </ds:schemaRefs>
</ds:datastoreItem>
</file>

<file path=customXml/itemProps108.xml><?xml version="1.0" encoding="utf-8"?>
<ds:datastoreItem xmlns:ds="http://schemas.openxmlformats.org/officeDocument/2006/customXml" ds:itemID="{5EF9AD49-1105-4046-9637-514CB40C83BE}">
  <ds:schemaRefs>
    <ds:schemaRef ds:uri="http://gemini/pivotcustomization/TableXML_Departmental Profit Loss_72469cf3-d374-4c6c-8d3f-44e6e4c89a0c"/>
  </ds:schemaRefs>
</ds:datastoreItem>
</file>

<file path=customXml/itemProps109.xml><?xml version="1.0" encoding="utf-8"?>
<ds:datastoreItem xmlns:ds="http://schemas.openxmlformats.org/officeDocument/2006/customXml" ds:itemID="{EE925A2C-F2E8-4569-899B-6ABB08588D1C}">
  <ds:schemaRefs>
    <ds:schemaRef ds:uri="http://gemini/pivotcustomization/9bbb79b4-fc25-44ac-b6bc-945ce4321b7a"/>
  </ds:schemaRefs>
</ds:datastoreItem>
</file>

<file path=customXml/itemProps11.xml><?xml version="1.0" encoding="utf-8"?>
<ds:datastoreItem xmlns:ds="http://schemas.openxmlformats.org/officeDocument/2006/customXml" ds:itemID="{66EA01A9-8496-4E86-85A7-93597C7935FE}">
  <ds:schemaRefs>
    <ds:schemaRef ds:uri="http://gemini/pivotcustomization/TableXML_Departmental Profit Loss_72469cf3-d374-4c6c-8d3f-44e6e4c89a0c"/>
  </ds:schemaRefs>
</ds:datastoreItem>
</file>

<file path=customXml/itemProps110.xml><?xml version="1.0" encoding="utf-8"?>
<ds:datastoreItem xmlns:ds="http://schemas.openxmlformats.org/officeDocument/2006/customXml" ds:itemID="{2E177ED5-2F02-4602-8009-B6726D61D59A}">
  <ds:schemaRefs>
    <ds:schemaRef ds:uri="http://gemini/pivotcustomization/TableXML_Departmental Profit Loss_72469cf3-d374-4c6c-8d3f-44e6e4c89a0c"/>
  </ds:schemaRefs>
</ds:datastoreItem>
</file>

<file path=customXml/itemProps111.xml><?xml version="1.0" encoding="utf-8"?>
<ds:datastoreItem xmlns:ds="http://schemas.openxmlformats.org/officeDocument/2006/customXml" ds:itemID="{9BEB9DB8-74D0-4C59-8B59-0C063180C6B1}">
  <ds:schemaRefs>
    <ds:schemaRef ds:uri="http://gemini/pivotcustomization/1573862c-9e5f-470e-8386-7dcb612352bf"/>
  </ds:schemaRefs>
</ds:datastoreItem>
</file>

<file path=customXml/itemProps112.xml><?xml version="1.0" encoding="utf-8"?>
<ds:datastoreItem xmlns:ds="http://schemas.openxmlformats.org/officeDocument/2006/customXml" ds:itemID="{BE701CDC-D128-4026-BC50-EABDF2E20BB3}">
  <ds:schemaRefs>
    <ds:schemaRef ds:uri="http://gemini/pivotcustomization/TableXML_Departmental Profit Loss_72469cf3-d374-4c6c-8d3f-44e6e4c89a0c"/>
  </ds:schemaRefs>
</ds:datastoreItem>
</file>

<file path=customXml/itemProps113.xml><?xml version="1.0" encoding="utf-8"?>
<ds:datastoreItem xmlns:ds="http://schemas.openxmlformats.org/officeDocument/2006/customXml" ds:itemID="{2A9DE62E-E9BE-4911-8B4C-A6C6CA5B982E}">
  <ds:schemaRefs>
    <ds:schemaRef ds:uri="http://gemini/pivotcustomization/aec97850-f685-4152-8549-d81eb858ae8d"/>
  </ds:schemaRefs>
</ds:datastoreItem>
</file>

<file path=customXml/itemProps114.xml><?xml version="1.0" encoding="utf-8"?>
<ds:datastoreItem xmlns:ds="http://schemas.openxmlformats.org/officeDocument/2006/customXml" ds:itemID="{01F5434B-D23C-4BB2-9451-108FBBA943E0}">
  <ds:schemaRefs>
    <ds:schemaRef ds:uri="http://gemini/pivotcustomization/ec6e42c7-ab2c-4b78-8ee6-1a81fbd593c7"/>
  </ds:schemaRefs>
</ds:datastoreItem>
</file>

<file path=customXml/itemProps115.xml><?xml version="1.0" encoding="utf-8"?>
<ds:datastoreItem xmlns:ds="http://schemas.openxmlformats.org/officeDocument/2006/customXml" ds:itemID="{19B02766-2EC0-43F6-AEC2-214489E1B0A2}">
  <ds:schemaRefs>
    <ds:schemaRef ds:uri="http://gemini/pivotcustomization/52c64135-d6c7-4b23-a704-cc40cfa80a37"/>
  </ds:schemaRefs>
</ds:datastoreItem>
</file>

<file path=customXml/itemProps116.xml><?xml version="1.0" encoding="utf-8"?>
<ds:datastoreItem xmlns:ds="http://schemas.openxmlformats.org/officeDocument/2006/customXml" ds:itemID="{FE709E16-4AE6-4F73-9FFE-0C15AFDACF84}">
  <ds:schemaRefs>
    <ds:schemaRef ds:uri="http://gemini/pivotcustomization/TableXML_Departmental Profit Loss_Budget_5725de27-a7a3-4ab3-b0ba-d0f172ac636f"/>
  </ds:schemaRefs>
</ds:datastoreItem>
</file>

<file path=customXml/itemProps117.xml><?xml version="1.0" encoding="utf-8"?>
<ds:datastoreItem xmlns:ds="http://schemas.openxmlformats.org/officeDocument/2006/customXml" ds:itemID="{554B6211-DB9E-46A8-828B-799E8CC14E46}">
  <ds:schemaRefs>
    <ds:schemaRef ds:uri="http://gemini/pivotcustomization/TableXML_Departmental Profit Loss_72469cf3-d374-4c6c-8d3f-44e6e4c89a0c"/>
  </ds:schemaRefs>
</ds:datastoreItem>
</file>

<file path=customXml/itemProps118.xml><?xml version="1.0" encoding="utf-8"?>
<ds:datastoreItem xmlns:ds="http://schemas.openxmlformats.org/officeDocument/2006/customXml" ds:itemID="{DEF294C1-BC15-4B05-BDA4-FF3BAE3C034A}">
  <ds:schemaRefs>
    <ds:schemaRef ds:uri="http://gemini/pivotcustomization/89e19349-292f-467c-8591-df9f1d0db8f4"/>
  </ds:schemaRefs>
</ds:datastoreItem>
</file>

<file path=customXml/itemProps119.xml><?xml version="1.0" encoding="utf-8"?>
<ds:datastoreItem xmlns:ds="http://schemas.openxmlformats.org/officeDocument/2006/customXml" ds:itemID="{9EA128F0-964F-4662-9AB6-6ECDCD6F5FB7}">
  <ds:schemaRefs>
    <ds:schemaRef ds:uri="http://gemini/pivotcustomization/TableXML_Departmental Profit Loss_72469cf3-d374-4c6c-8d3f-44e6e4c89a0c"/>
  </ds:schemaRefs>
</ds:datastoreItem>
</file>

<file path=customXml/itemProps12.xml><?xml version="1.0" encoding="utf-8"?>
<ds:datastoreItem xmlns:ds="http://schemas.openxmlformats.org/officeDocument/2006/customXml" ds:itemID="{AAD7217E-329D-45C7-B94A-594E8C2D1EF1}">
  <ds:schemaRefs>
    <ds:schemaRef ds:uri="http://gemini/pivotcustomization/TableXML_Departmental Profit Loss_Budget_5725de27-a7a3-4ab3-b0ba-d0f172ac636f"/>
  </ds:schemaRefs>
</ds:datastoreItem>
</file>

<file path=customXml/itemProps120.xml><?xml version="1.0" encoding="utf-8"?>
<ds:datastoreItem xmlns:ds="http://schemas.openxmlformats.org/officeDocument/2006/customXml" ds:itemID="{105D2298-DD26-4686-A8FD-49D2F980B9C4}">
  <ds:schemaRefs>
    <ds:schemaRef ds:uri="http://gemini/pivotcustomization/TableXML_Departmental Profit Loss_72469cf3-d374-4c6c-8d3f-44e6e4c89a0c"/>
  </ds:schemaRefs>
</ds:datastoreItem>
</file>

<file path=customXml/itemProps121.xml><?xml version="1.0" encoding="utf-8"?>
<ds:datastoreItem xmlns:ds="http://schemas.openxmlformats.org/officeDocument/2006/customXml" ds:itemID="{62B9B4CA-FBED-4E00-B13F-01378A1BED59}">
  <ds:schemaRefs>
    <ds:schemaRef ds:uri="http://gemini/pivotcustomization/TableXML_Departmental Profit Loss_Budget_5725de27-a7a3-4ab3-b0ba-d0f172ac636f"/>
  </ds:schemaRefs>
</ds:datastoreItem>
</file>

<file path=customXml/itemProps122.xml><?xml version="1.0" encoding="utf-8"?>
<ds:datastoreItem xmlns:ds="http://schemas.openxmlformats.org/officeDocument/2006/customXml" ds:itemID="{8BCFEC84-7FC8-44EC-96AB-0AC0C3BCB2CB}">
  <ds:schemaRefs>
    <ds:schemaRef ds:uri="http://gemini/pivotcustomization/252adbd4-c607-408a-b5f6-852a8ab87abd"/>
  </ds:schemaRefs>
</ds:datastoreItem>
</file>

<file path=customXml/itemProps123.xml><?xml version="1.0" encoding="utf-8"?>
<ds:datastoreItem xmlns:ds="http://schemas.openxmlformats.org/officeDocument/2006/customXml" ds:itemID="{AEC7857F-5A78-4268-AE50-E1AFB4AF51C1}">
  <ds:schemaRefs>
    <ds:schemaRef ds:uri="http://gemini/pivotcustomization/TableXML_Departmental Profit Loss_72469cf3-d374-4c6c-8d3f-44e6e4c89a0c"/>
  </ds:schemaRefs>
</ds:datastoreItem>
</file>

<file path=customXml/itemProps124.xml><?xml version="1.0" encoding="utf-8"?>
<ds:datastoreItem xmlns:ds="http://schemas.openxmlformats.org/officeDocument/2006/customXml" ds:itemID="{F8C0BC3C-9C39-49F5-836F-BE4C049151A5}">
  <ds:schemaRefs>
    <ds:schemaRef ds:uri="http://gemini/pivotcustomization/MeasureGridState"/>
  </ds:schemaRefs>
</ds:datastoreItem>
</file>

<file path=customXml/itemProps125.xml><?xml version="1.0" encoding="utf-8"?>
<ds:datastoreItem xmlns:ds="http://schemas.openxmlformats.org/officeDocument/2006/customXml" ds:itemID="{FB9D61BE-13C3-4E1F-BD59-5621CAF50C59}">
  <ds:schemaRefs>
    <ds:schemaRef ds:uri="http://gemini/pivotcustomization/TableXML_Departmental Profit Loss_Budget_5725de27-a7a3-4ab3-b0ba-d0f172ac636f"/>
  </ds:schemaRefs>
</ds:datastoreItem>
</file>

<file path=customXml/itemProps126.xml><?xml version="1.0" encoding="utf-8"?>
<ds:datastoreItem xmlns:ds="http://schemas.openxmlformats.org/officeDocument/2006/customXml" ds:itemID="{CD86CF2A-A102-4279-97D4-5069B855C179}">
  <ds:schemaRefs>
    <ds:schemaRef ds:uri="http://gemini/pivotcustomization/6810937e-f186-4cf0-8541-d7cde86ee7c3"/>
  </ds:schemaRefs>
</ds:datastoreItem>
</file>

<file path=customXml/itemProps127.xml><?xml version="1.0" encoding="utf-8"?>
<ds:datastoreItem xmlns:ds="http://schemas.openxmlformats.org/officeDocument/2006/customXml" ds:itemID="{F341DB0D-94A4-4994-9864-DA959FBD2487}">
  <ds:schemaRefs>
    <ds:schemaRef ds:uri="http://gemini/pivotcustomization/7bcb5c80-5a6a-4214-ab93-41a080b4ffd8"/>
  </ds:schemaRefs>
</ds:datastoreItem>
</file>

<file path=customXml/itemProps128.xml><?xml version="1.0" encoding="utf-8"?>
<ds:datastoreItem xmlns:ds="http://schemas.openxmlformats.org/officeDocument/2006/customXml" ds:itemID="{693DCAC0-74C6-4B2B-98D3-37BE17DE91AE}">
  <ds:schemaRefs>
    <ds:schemaRef ds:uri="http://gemini/pivotcustomization/TableXML_Departmental Profit Loss_72469cf3-d374-4c6c-8d3f-44e6e4c89a0c"/>
  </ds:schemaRefs>
</ds:datastoreItem>
</file>

<file path=customXml/itemProps129.xml><?xml version="1.0" encoding="utf-8"?>
<ds:datastoreItem xmlns:ds="http://schemas.openxmlformats.org/officeDocument/2006/customXml" ds:itemID="{69206B70-712D-417A-9D6E-9435CC6B8FC8}">
  <ds:schemaRefs>
    <ds:schemaRef ds:uri="http://gemini/pivotcustomization/845a2ebf-3e60-412c-a29c-db4b885ac8d9"/>
  </ds:schemaRefs>
</ds:datastoreItem>
</file>

<file path=customXml/itemProps13.xml><?xml version="1.0" encoding="utf-8"?>
<ds:datastoreItem xmlns:ds="http://schemas.openxmlformats.org/officeDocument/2006/customXml" ds:itemID="{66DD795A-9E42-45B5-8FDF-3EB789534AF7}">
  <ds:schemaRefs>
    <ds:schemaRef ds:uri="http://gemini/pivotcustomization/ShowHidden"/>
  </ds:schemaRefs>
</ds:datastoreItem>
</file>

<file path=customXml/itemProps130.xml><?xml version="1.0" encoding="utf-8"?>
<ds:datastoreItem xmlns:ds="http://schemas.openxmlformats.org/officeDocument/2006/customXml" ds:itemID="{40794848-13BD-4042-919C-146CCB62A05F}">
  <ds:schemaRefs>
    <ds:schemaRef ds:uri="http://gemini/pivotcustomization/TableXML_Departmental Profit Loss_Budget_5725de27-a7a3-4ab3-b0ba-d0f172ac636f"/>
  </ds:schemaRefs>
</ds:datastoreItem>
</file>

<file path=customXml/itemProps131.xml><?xml version="1.0" encoding="utf-8"?>
<ds:datastoreItem xmlns:ds="http://schemas.openxmlformats.org/officeDocument/2006/customXml" ds:itemID="{2E45DEEB-6993-40CD-9E62-238B4EFD1207}">
  <ds:schemaRefs>
    <ds:schemaRef ds:uri="http://gemini/pivotcustomization/TableXML_Mappings"/>
  </ds:schemaRefs>
</ds:datastoreItem>
</file>

<file path=customXml/itemProps132.xml><?xml version="1.0" encoding="utf-8"?>
<ds:datastoreItem xmlns:ds="http://schemas.openxmlformats.org/officeDocument/2006/customXml" ds:itemID="{B340D880-0008-4F7A-96AD-B1B23FC9D65D}">
  <ds:schemaRefs>
    <ds:schemaRef ds:uri="http://gemini/pivotcustomization/TableXML_Departmental Profit Loss_72469cf3-d374-4c6c-8d3f-44e6e4c89a0c"/>
  </ds:schemaRefs>
</ds:datastoreItem>
</file>

<file path=customXml/itemProps133.xml><?xml version="1.0" encoding="utf-8"?>
<ds:datastoreItem xmlns:ds="http://schemas.openxmlformats.org/officeDocument/2006/customXml" ds:itemID="{3D52F66B-6359-4F24-AFC5-264A4C136ECD}">
  <ds:schemaRefs>
    <ds:schemaRef ds:uri="http://gemini/pivotcustomization/TableXML_Departmental Profit Loss_72469cf3-d374-4c6c-8d3f-44e6e4c89a0c"/>
  </ds:schemaRefs>
</ds:datastoreItem>
</file>

<file path=customXml/itemProps134.xml><?xml version="1.0" encoding="utf-8"?>
<ds:datastoreItem xmlns:ds="http://schemas.openxmlformats.org/officeDocument/2006/customXml" ds:itemID="{C2CC61B3-7AE8-4D12-8412-FBCA61496709}">
  <ds:schemaRefs>
    <ds:schemaRef ds:uri="http://gemini/pivotcustomization/TableXML_Departmental Profit Loss_72469cf3-d374-4c6c-8d3f-44e6e4c89a0c"/>
  </ds:schemaRefs>
</ds:datastoreItem>
</file>

<file path=customXml/itemProps135.xml><?xml version="1.0" encoding="utf-8"?>
<ds:datastoreItem xmlns:ds="http://schemas.openxmlformats.org/officeDocument/2006/customXml" ds:itemID="{17A4519B-B4FE-4F32-A474-8C3E20686955}">
  <ds:schemaRefs>
    <ds:schemaRef ds:uri="http://gemini/pivotcustomization/TableXML_Departmental Profit Loss_Budget_5725de27-a7a3-4ab3-b0ba-d0f172ac636f"/>
  </ds:schemaRefs>
</ds:datastoreItem>
</file>

<file path=customXml/itemProps136.xml><?xml version="1.0" encoding="utf-8"?>
<ds:datastoreItem xmlns:ds="http://schemas.openxmlformats.org/officeDocument/2006/customXml" ds:itemID="{5C3FA4E4-60C3-4AD4-86B3-DDCA9A5F15DD}">
  <ds:schemaRefs>
    <ds:schemaRef ds:uri="http://gemini/pivotcustomization/711df659-5029-4958-825e-be0939686e32"/>
  </ds:schemaRefs>
</ds:datastoreItem>
</file>

<file path=customXml/itemProps137.xml><?xml version="1.0" encoding="utf-8"?>
<ds:datastoreItem xmlns:ds="http://schemas.openxmlformats.org/officeDocument/2006/customXml" ds:itemID="{89285E12-CDAE-4453-8FE4-2EE0C8B82630}">
  <ds:schemaRefs>
    <ds:schemaRef ds:uri="http://gemini/pivotcustomization/TableXML_Departmental Profit Loss_Budget_5725de27-a7a3-4ab3-b0ba-d0f172ac636f"/>
  </ds:schemaRefs>
</ds:datastoreItem>
</file>

<file path=customXml/itemProps138.xml><?xml version="1.0" encoding="utf-8"?>
<ds:datastoreItem xmlns:ds="http://schemas.openxmlformats.org/officeDocument/2006/customXml" ds:itemID="{6443C691-A363-43EF-9080-46637EEC56C2}">
  <ds:schemaRefs>
    <ds:schemaRef ds:uri="http://gemini/pivotcustomization/TableXML_Departmental Profit Loss_72469cf3-d374-4c6c-8d3f-44e6e4c89a0c"/>
  </ds:schemaRefs>
</ds:datastoreItem>
</file>

<file path=customXml/itemProps139.xml><?xml version="1.0" encoding="utf-8"?>
<ds:datastoreItem xmlns:ds="http://schemas.openxmlformats.org/officeDocument/2006/customXml" ds:itemID="{EA0D1973-DE2A-4572-9880-E0B793CE0E0C}">
  <ds:schemaRefs>
    <ds:schemaRef ds:uri="http://gemini/pivotcustomization/TableXML_Departmental Profit Loss_72469cf3-d374-4c6c-8d3f-44e6e4c89a0c"/>
  </ds:schemaRefs>
</ds:datastoreItem>
</file>

<file path=customXml/itemProps14.xml><?xml version="1.0" encoding="utf-8"?>
<ds:datastoreItem xmlns:ds="http://schemas.openxmlformats.org/officeDocument/2006/customXml" ds:itemID="{51EA6855-8965-46EC-9720-A44A11584753}">
  <ds:schemaRefs>
    <ds:schemaRef ds:uri="http://gemini/pivotcustomization/TableXML_Departmental Profit Loss_72469cf3-d374-4c6c-8d3f-44e6e4c89a0c"/>
  </ds:schemaRefs>
</ds:datastoreItem>
</file>

<file path=customXml/itemProps140.xml><?xml version="1.0" encoding="utf-8"?>
<ds:datastoreItem xmlns:ds="http://schemas.openxmlformats.org/officeDocument/2006/customXml" ds:itemID="{5A155F71-51F9-451B-A601-2E91E58F14B1}">
  <ds:schemaRefs>
    <ds:schemaRef ds:uri="http://gemini/pivotcustomization/TableXML_Departmental Profit Loss_Budget_5725de27-a7a3-4ab3-b0ba-d0f172ac636f"/>
  </ds:schemaRefs>
</ds:datastoreItem>
</file>

<file path=customXml/itemProps141.xml><?xml version="1.0" encoding="utf-8"?>
<ds:datastoreItem xmlns:ds="http://schemas.openxmlformats.org/officeDocument/2006/customXml" ds:itemID="{AAB65EC2-0F04-4D1E-BC7B-A45B274B7F89}">
  <ds:schemaRefs>
    <ds:schemaRef ds:uri="http://gemini/pivotcustomization/TableXML_Departmental Profit Loss_72469cf3-d374-4c6c-8d3f-44e6e4c89a0c"/>
  </ds:schemaRefs>
</ds:datastoreItem>
</file>

<file path=customXml/itemProps142.xml><?xml version="1.0" encoding="utf-8"?>
<ds:datastoreItem xmlns:ds="http://schemas.openxmlformats.org/officeDocument/2006/customXml" ds:itemID="{6D8327A1-FAD2-4853-8185-E3A738FB8747}">
  <ds:schemaRefs>
    <ds:schemaRef ds:uri="http://gemini/pivotcustomization/TableXML_TableView"/>
  </ds:schemaRefs>
</ds:datastoreItem>
</file>

<file path=customXml/itemProps143.xml><?xml version="1.0" encoding="utf-8"?>
<ds:datastoreItem xmlns:ds="http://schemas.openxmlformats.org/officeDocument/2006/customXml" ds:itemID="{B433D8CC-D2B9-4A8F-993A-80F9D08225A1}">
  <ds:schemaRefs>
    <ds:schemaRef ds:uri="http://gemini/pivotcustomization/b2072cd5-bded-4f7e-be5a-d20a983988fb"/>
  </ds:schemaRefs>
</ds:datastoreItem>
</file>

<file path=customXml/itemProps144.xml><?xml version="1.0" encoding="utf-8"?>
<ds:datastoreItem xmlns:ds="http://schemas.openxmlformats.org/officeDocument/2006/customXml" ds:itemID="{B8B053B7-1A85-48C3-BD1C-01D2FAEF050B}">
  <ds:schemaRefs>
    <ds:schemaRef ds:uri="http://gemini/pivotcustomization/ClientWindowXML"/>
  </ds:schemaRefs>
</ds:datastoreItem>
</file>

<file path=customXml/itemProps145.xml><?xml version="1.0" encoding="utf-8"?>
<ds:datastoreItem xmlns:ds="http://schemas.openxmlformats.org/officeDocument/2006/customXml" ds:itemID="{204A275A-FD02-4ECB-A555-31CCC0EDF5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1267e8-2087-4430-8898-7e1d16711490"/>
    <ds:schemaRef ds:uri="16457750-3f8d-456e-a162-25cda7a135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46.xml><?xml version="1.0" encoding="utf-8"?>
<ds:datastoreItem xmlns:ds="http://schemas.openxmlformats.org/officeDocument/2006/customXml" ds:itemID="{060AD155-A4B6-4691-B484-EC697740C71A}">
  <ds:schemaRefs>
    <ds:schemaRef ds:uri="http://gemini/pivotcustomization/TableXML_Departmental Profit Loss_Budget_5725de27-a7a3-4ab3-b0ba-d0f172ac636f"/>
  </ds:schemaRefs>
</ds:datastoreItem>
</file>

<file path=customXml/itemProps147.xml><?xml version="1.0" encoding="utf-8"?>
<ds:datastoreItem xmlns:ds="http://schemas.openxmlformats.org/officeDocument/2006/customXml" ds:itemID="{5615006C-8D92-4274-AE9D-A43F9F8D1400}">
  <ds:schemaRefs>
    <ds:schemaRef ds:uri="http://gemini/pivotcustomization/TableXML_Departmental Profit Loss_Budget_5725de27-a7a3-4ab3-b0ba-d0f172ac636f"/>
  </ds:schemaRefs>
</ds:datastoreItem>
</file>

<file path=customXml/itemProps148.xml><?xml version="1.0" encoding="utf-8"?>
<ds:datastoreItem xmlns:ds="http://schemas.openxmlformats.org/officeDocument/2006/customXml" ds:itemID="{D22D11B3-7B04-49EE-85E1-C4493C68FCEA}">
  <ds:schemaRefs>
    <ds:schemaRef ds:uri="http://schemas.microsoft.com/office/2006/metadata/properties"/>
    <ds:schemaRef ds:uri="http://schemas.microsoft.com/office/infopath/2007/PartnerControls"/>
    <ds:schemaRef ds:uri="0d1267e8-2087-4430-8898-7e1d16711490"/>
    <ds:schemaRef ds:uri="16457750-3f8d-456e-a162-25cda7a13520"/>
  </ds:schemaRefs>
</ds:datastoreItem>
</file>

<file path=customXml/itemProps149.xml><?xml version="1.0" encoding="utf-8"?>
<ds:datastoreItem xmlns:ds="http://schemas.openxmlformats.org/officeDocument/2006/customXml" ds:itemID="{024F9630-DB9E-46CF-BF20-4BB712A2373B}">
  <ds:schemaRefs>
    <ds:schemaRef ds:uri="http://gemini/pivotcustomization/TableXML_Departmental Profit Loss_72469cf3-d374-4c6c-8d3f-44e6e4c89a0c"/>
  </ds:schemaRefs>
</ds:datastoreItem>
</file>

<file path=customXml/itemProps15.xml><?xml version="1.0" encoding="utf-8"?>
<ds:datastoreItem xmlns:ds="http://schemas.openxmlformats.org/officeDocument/2006/customXml" ds:itemID="{0795D205-B8AE-4D0C-B50A-464C125F614F}">
  <ds:schemaRefs>
    <ds:schemaRef ds:uri="http://gemini/pivotcustomization/TableWidget"/>
  </ds:schemaRefs>
</ds:datastoreItem>
</file>

<file path=customXml/itemProps150.xml><?xml version="1.0" encoding="utf-8"?>
<ds:datastoreItem xmlns:ds="http://schemas.openxmlformats.org/officeDocument/2006/customXml" ds:itemID="{5DF22ECE-E6AB-4F84-B2F1-1100FB72FDE8}">
  <ds:schemaRefs>
    <ds:schemaRef ds:uri="http://gemini/pivotcustomization/TableXML_Departmental Profit Loss_Budget_5725de27-a7a3-4ab3-b0ba-d0f172ac636f"/>
  </ds:schemaRefs>
</ds:datastoreItem>
</file>

<file path=customXml/itemProps151.xml><?xml version="1.0" encoding="utf-8"?>
<ds:datastoreItem xmlns:ds="http://schemas.openxmlformats.org/officeDocument/2006/customXml" ds:itemID="{F62637CC-458F-4E7F-8AFF-3A5009FE9D90}">
  <ds:schemaRefs>
    <ds:schemaRef ds:uri="http://gemini/pivotcustomization/TableXML_Departmental Profit Loss_Budget_5725de27-a7a3-4ab3-b0ba-d0f172ac636f"/>
  </ds:schemaRefs>
</ds:datastoreItem>
</file>

<file path=customXml/itemProps152.xml><?xml version="1.0" encoding="utf-8"?>
<ds:datastoreItem xmlns:ds="http://schemas.openxmlformats.org/officeDocument/2006/customXml" ds:itemID="{5965D640-DCC3-48AF-AFBE-5BD789B4C7DE}">
  <ds:schemaRefs>
    <ds:schemaRef ds:uri="http://gemini/pivotcustomization/33dbf098-1455-4b62-9eb9-269b557b87df"/>
  </ds:schemaRefs>
</ds:datastoreItem>
</file>

<file path=customXml/itemProps153.xml><?xml version="1.0" encoding="utf-8"?>
<ds:datastoreItem xmlns:ds="http://schemas.openxmlformats.org/officeDocument/2006/customXml" ds:itemID="{F04111B5-D321-4F43-A41B-2D3CAD7B49DB}">
  <ds:schemaRefs>
    <ds:schemaRef ds:uri="http://gemini/pivotcustomization/TableXML_Departmental Profit Loss_72469cf3-d374-4c6c-8d3f-44e6e4c89a0c"/>
  </ds:schemaRefs>
</ds:datastoreItem>
</file>

<file path=customXml/itemProps154.xml><?xml version="1.0" encoding="utf-8"?>
<ds:datastoreItem xmlns:ds="http://schemas.openxmlformats.org/officeDocument/2006/customXml" ds:itemID="{A8610209-B98D-4345-AD8D-172CC8AC1FA6}">
  <ds:schemaRefs>
    <ds:schemaRef ds:uri="http://gemini/pivotcustomization/9944123b-d4f3-4a03-9394-8a2ac423be46"/>
  </ds:schemaRefs>
</ds:datastoreItem>
</file>

<file path=customXml/itemProps155.xml><?xml version="1.0" encoding="utf-8"?>
<ds:datastoreItem xmlns:ds="http://schemas.openxmlformats.org/officeDocument/2006/customXml" ds:itemID="{D5223B31-DEF2-408B-9A97-5A8E2CB59038}">
  <ds:schemaRefs>
    <ds:schemaRef ds:uri="http://gemini/pivotcustomization/81f93402-de67-4972-acd1-78893b986e94"/>
  </ds:schemaRefs>
</ds:datastoreItem>
</file>

<file path=customXml/itemProps156.xml><?xml version="1.0" encoding="utf-8"?>
<ds:datastoreItem xmlns:ds="http://schemas.openxmlformats.org/officeDocument/2006/customXml" ds:itemID="{463D807B-B2F6-4DC6-A1D4-143CB269E131}">
  <ds:schemaRefs>
    <ds:schemaRef ds:uri="http://gemini/pivotcustomization/TableXML_Departmental Profit Loss_72469cf3-d374-4c6c-8d3f-44e6e4c89a0c"/>
  </ds:schemaRefs>
</ds:datastoreItem>
</file>

<file path=customXml/itemProps157.xml><?xml version="1.0" encoding="utf-8"?>
<ds:datastoreItem xmlns:ds="http://schemas.openxmlformats.org/officeDocument/2006/customXml" ds:itemID="{AA46D4AB-089E-45BE-89BD-CA387C1863C6}">
  <ds:schemaRefs>
    <ds:schemaRef ds:uri="http://gemini/pivotcustomization/TableXML_Departmental Profit Loss_72469cf3-d374-4c6c-8d3f-44e6e4c89a0c"/>
  </ds:schemaRefs>
</ds:datastoreItem>
</file>

<file path=customXml/itemProps158.xml><?xml version="1.0" encoding="utf-8"?>
<ds:datastoreItem xmlns:ds="http://schemas.openxmlformats.org/officeDocument/2006/customXml" ds:itemID="{C62AD9AA-DF53-4AAA-991D-2BAF724F0703}">
  <ds:schemaRefs>
    <ds:schemaRef ds:uri="http://gemini/pivotcustomization/TableXML_Calendar"/>
  </ds:schemaRefs>
</ds:datastoreItem>
</file>

<file path=customXml/itemProps159.xml><?xml version="1.0" encoding="utf-8"?>
<ds:datastoreItem xmlns:ds="http://schemas.openxmlformats.org/officeDocument/2006/customXml" ds:itemID="{5B6B2BFE-2021-4B0D-9FF4-A98F543E87A5}">
  <ds:schemaRefs>
    <ds:schemaRef ds:uri="http://gemini/pivotcustomization/74d6171c-6a76-4ab7-b236-aed3a5a9449c"/>
  </ds:schemaRefs>
</ds:datastoreItem>
</file>

<file path=customXml/itemProps16.xml><?xml version="1.0" encoding="utf-8"?>
<ds:datastoreItem xmlns:ds="http://schemas.openxmlformats.org/officeDocument/2006/customXml" ds:itemID="{EDE9F277-270C-40F7-A9ED-FCDE3D6FAA0D}">
  <ds:schemaRefs>
    <ds:schemaRef ds:uri="http://gemini/pivotcustomization/6cff6473-2dc5-4c5f-bcfd-f87570dad1c6"/>
  </ds:schemaRefs>
</ds:datastoreItem>
</file>

<file path=customXml/itemProps160.xml><?xml version="1.0" encoding="utf-8"?>
<ds:datastoreItem xmlns:ds="http://schemas.openxmlformats.org/officeDocument/2006/customXml" ds:itemID="{E3EFE5FA-7F91-4211-B718-D358A90E9275}">
  <ds:schemaRefs>
    <ds:schemaRef ds:uri="http://gemini/pivotcustomization/TableXML_Departmental Profit Loss_72469cf3-d374-4c6c-8d3f-44e6e4c89a0c"/>
  </ds:schemaRefs>
</ds:datastoreItem>
</file>

<file path=customXml/itemProps161.xml><?xml version="1.0" encoding="utf-8"?>
<ds:datastoreItem xmlns:ds="http://schemas.openxmlformats.org/officeDocument/2006/customXml" ds:itemID="{BE4D8254-481F-4147-865D-9F94499F9EE6}">
  <ds:schemaRefs>
    <ds:schemaRef ds:uri="http://gemini/pivotcustomization/TableXML_Departmental Profit Loss_72469cf3-d374-4c6c-8d3f-44e6e4c89a0c"/>
  </ds:schemaRefs>
</ds:datastoreItem>
</file>

<file path=customXml/itemProps162.xml><?xml version="1.0" encoding="utf-8"?>
<ds:datastoreItem xmlns:ds="http://schemas.openxmlformats.org/officeDocument/2006/customXml" ds:itemID="{80EFC466-16B4-4938-887C-2168E235D85A}">
  <ds:schemaRefs>
    <ds:schemaRef ds:uri="http://gemini/pivotcustomization/9853d252-6e68-416d-8823-63ffe82aafa7"/>
  </ds:schemaRefs>
</ds:datastoreItem>
</file>

<file path=customXml/itemProps163.xml><?xml version="1.0" encoding="utf-8"?>
<ds:datastoreItem xmlns:ds="http://schemas.openxmlformats.org/officeDocument/2006/customXml" ds:itemID="{F5B8E9AC-A95F-4A9E-959E-B8B99032786B}">
  <ds:schemaRefs>
    <ds:schemaRef ds:uri="http://gemini/pivotcustomization/TableXML_GandA_ad32f0c9-1f45-4363-9fea-d1d4a6034984"/>
  </ds:schemaRefs>
</ds:datastoreItem>
</file>

<file path=customXml/itemProps164.xml><?xml version="1.0" encoding="utf-8"?>
<ds:datastoreItem xmlns:ds="http://schemas.openxmlformats.org/officeDocument/2006/customXml" ds:itemID="{A114E057-9448-4CB3-8D41-0803291B98C2}">
  <ds:schemaRefs>
    <ds:schemaRef ds:uri="http://gemini/pivotcustomization/Diagrams"/>
  </ds:schemaRefs>
</ds:datastoreItem>
</file>

<file path=customXml/itemProps165.xml><?xml version="1.0" encoding="utf-8"?>
<ds:datastoreItem xmlns:ds="http://schemas.openxmlformats.org/officeDocument/2006/customXml" ds:itemID="{F0ADABA0-532D-4474-AEA2-9D10FE651800}">
  <ds:schemaRefs>
    <ds:schemaRef ds:uri="http://gemini/pivotcustomization/TableXML_Departmental Profit Loss_72469cf3-d374-4c6c-8d3f-44e6e4c89a0c"/>
  </ds:schemaRefs>
</ds:datastoreItem>
</file>

<file path=customXml/itemProps166.xml><?xml version="1.0" encoding="utf-8"?>
<ds:datastoreItem xmlns:ds="http://schemas.openxmlformats.org/officeDocument/2006/customXml" ds:itemID="{A3561094-A2C2-4692-A836-F7D9B0320407}">
  <ds:schemaRefs>
    <ds:schemaRef ds:uri="http://gemini/pivotcustomization/TableXML_Research Development_b5eefaf4-ba6d-4307-b6e1-3a6db9ca559a"/>
  </ds:schemaRefs>
</ds:datastoreItem>
</file>

<file path=customXml/itemProps167.xml><?xml version="1.0" encoding="utf-8"?>
<ds:datastoreItem xmlns:ds="http://schemas.openxmlformats.org/officeDocument/2006/customXml" ds:itemID="{4D28C21D-1ACA-450C-B0A9-41F05782DF5B}">
  <ds:schemaRefs>
    <ds:schemaRef ds:uri="http://gemini/pivotcustomization/TableXML_Departmental Profit Loss_Budget_5725de27-a7a3-4ab3-b0ba-d0f172ac636f"/>
  </ds:schemaRefs>
</ds:datastoreItem>
</file>

<file path=customXml/itemProps168.xml><?xml version="1.0" encoding="utf-8"?>
<ds:datastoreItem xmlns:ds="http://schemas.openxmlformats.org/officeDocument/2006/customXml" ds:itemID="{D36E2540-B2B7-47C9-9C6F-B6C81B5FE427}">
  <ds:schemaRefs>
    <ds:schemaRef ds:uri="http://gemini/pivotcustomization/9fa07cfc-aa6a-41f1-ac44-4bfb28ef498c"/>
  </ds:schemaRefs>
</ds:datastoreItem>
</file>

<file path=customXml/itemProps169.xml><?xml version="1.0" encoding="utf-8"?>
<ds:datastoreItem xmlns:ds="http://schemas.openxmlformats.org/officeDocument/2006/customXml" ds:itemID="{C89E4A59-B487-410C-A2A5-E462BCCB04FC}">
  <ds:schemaRefs>
    <ds:schemaRef ds:uri="http://gemini/pivotcustomization/e29327bf-c965-4171-921e-9e9fbed201aa"/>
  </ds:schemaRefs>
</ds:datastoreItem>
</file>

<file path=customXml/itemProps17.xml><?xml version="1.0" encoding="utf-8"?>
<ds:datastoreItem xmlns:ds="http://schemas.openxmlformats.org/officeDocument/2006/customXml" ds:itemID="{DA2A8C12-9031-426A-BBC6-06B8502B176E}">
  <ds:schemaRefs>
    <ds:schemaRef ds:uri="http://gemini/pivotcustomization/a812b2fa-4435-4478-879d-ecfbe708aa72"/>
  </ds:schemaRefs>
</ds:datastoreItem>
</file>

<file path=customXml/itemProps170.xml><?xml version="1.0" encoding="utf-8"?>
<ds:datastoreItem xmlns:ds="http://schemas.openxmlformats.org/officeDocument/2006/customXml" ds:itemID="{57455476-AC82-43D6-8547-034FBAA93063}">
  <ds:schemaRefs>
    <ds:schemaRef ds:uri="http://gemini/pivotcustomization/TableXML_Departmental Profit Loss_Budget_5725de27-a7a3-4ab3-b0ba-d0f172ac636f"/>
  </ds:schemaRefs>
</ds:datastoreItem>
</file>

<file path=customXml/itemProps171.xml><?xml version="1.0" encoding="utf-8"?>
<ds:datastoreItem xmlns:ds="http://schemas.openxmlformats.org/officeDocument/2006/customXml" ds:itemID="{50B42FD6-2E3A-4415-AB3C-F42DFAA86BA6}">
  <ds:schemaRefs>
    <ds:schemaRef ds:uri="http://gemini/pivotcustomization/TableXML_Departmental Profit Loss_Budget_5725de27-a7a3-4ab3-b0ba-d0f172ac636f"/>
  </ds:schemaRefs>
</ds:datastoreItem>
</file>

<file path=customXml/itemProps172.xml><?xml version="1.0" encoding="utf-8"?>
<ds:datastoreItem xmlns:ds="http://schemas.openxmlformats.org/officeDocument/2006/customXml" ds:itemID="{A9846754-0035-4341-812C-086E9399CEFA}">
  <ds:schemaRefs>
    <ds:schemaRef ds:uri="http://gemini/pivotcustomization/TableXML_Departmental Profit Loss_72469cf3-d374-4c6c-8d3f-44e6e4c89a0c"/>
  </ds:schemaRefs>
</ds:datastoreItem>
</file>

<file path=customXml/itemProps173.xml><?xml version="1.0" encoding="utf-8"?>
<ds:datastoreItem xmlns:ds="http://schemas.openxmlformats.org/officeDocument/2006/customXml" ds:itemID="{3B202D4E-C68E-41D5-9BBD-8425C4AAC36B}">
  <ds:schemaRefs>
    <ds:schemaRef ds:uri="http://gemini/pivotcustomization/8cf195a4-900e-44eb-bbe9-aa3bd3cdb07a"/>
  </ds:schemaRefs>
</ds:datastoreItem>
</file>

<file path=customXml/itemProps174.xml><?xml version="1.0" encoding="utf-8"?>
<ds:datastoreItem xmlns:ds="http://schemas.openxmlformats.org/officeDocument/2006/customXml" ds:itemID="{3D369C86-1E4A-4346-83FD-2ABDBFCBB54B}">
  <ds:schemaRefs>
    <ds:schemaRef ds:uri="http://gemini/pivotcustomization/TableXML_Departmental Profit Loss_Budget_5725de27-a7a3-4ab3-b0ba-d0f172ac636f"/>
  </ds:schemaRefs>
</ds:datastoreItem>
</file>

<file path=customXml/itemProps175.xml><?xml version="1.0" encoding="utf-8"?>
<ds:datastoreItem xmlns:ds="http://schemas.openxmlformats.org/officeDocument/2006/customXml" ds:itemID="{2E4FBB8C-C9A4-49FA-A0AC-56C49277BF4E}">
  <ds:schemaRefs>
    <ds:schemaRef ds:uri="http://gemini/pivotcustomization/TableXML_Departmental Profit Loss_72469cf3-d374-4c6c-8d3f-44e6e4c89a0c"/>
  </ds:schemaRefs>
</ds:datastoreItem>
</file>

<file path=customXml/itemProps176.xml><?xml version="1.0" encoding="utf-8"?>
<ds:datastoreItem xmlns:ds="http://schemas.openxmlformats.org/officeDocument/2006/customXml" ds:itemID="{B0469A71-382A-4970-8CD1-1AE8645A268F}">
  <ds:schemaRefs>
    <ds:schemaRef ds:uri="http://gemini/pivotcustomization/TableXML_Departmental Profit Loss_72469cf3-d374-4c6c-8d3f-44e6e4c89a0c"/>
  </ds:schemaRefs>
</ds:datastoreItem>
</file>

<file path=customXml/itemProps177.xml><?xml version="1.0" encoding="utf-8"?>
<ds:datastoreItem xmlns:ds="http://schemas.openxmlformats.org/officeDocument/2006/customXml" ds:itemID="{C8D2B98D-66B4-41AF-B1BF-3CFEA873B183}">
  <ds:schemaRefs>
    <ds:schemaRef ds:uri="http://gemini/pivotcustomization/TableXML_Departmental Profit Loss_Budget_5725de27-a7a3-4ab3-b0ba-d0f172ac636f"/>
  </ds:schemaRefs>
</ds:datastoreItem>
</file>

<file path=customXml/itemProps178.xml><?xml version="1.0" encoding="utf-8"?>
<ds:datastoreItem xmlns:ds="http://schemas.openxmlformats.org/officeDocument/2006/customXml" ds:itemID="{6BBA69B7-B3AC-4436-92BB-B30BE4220D58}">
  <ds:schemaRefs>
    <ds:schemaRef ds:uri="http://gemini/pivotcustomization/TableXML_Departmental Profit Loss_Budget_5725de27-a7a3-4ab3-b0ba-d0f172ac636f"/>
  </ds:schemaRefs>
</ds:datastoreItem>
</file>

<file path=customXml/itemProps179.xml><?xml version="1.0" encoding="utf-8"?>
<ds:datastoreItem xmlns:ds="http://schemas.openxmlformats.org/officeDocument/2006/customXml" ds:itemID="{317E0FA1-6C6C-4C48-9F16-39F3B7D6CCBF}">
  <ds:schemaRefs>
    <ds:schemaRef ds:uri="http://gemini/pivotcustomization/TableXML_Departmental Profit Loss_72469cf3-d374-4c6c-8d3f-44e6e4c89a0c"/>
  </ds:schemaRefs>
</ds:datastoreItem>
</file>

<file path=customXml/itemProps18.xml><?xml version="1.0" encoding="utf-8"?>
<ds:datastoreItem xmlns:ds="http://schemas.openxmlformats.org/officeDocument/2006/customXml" ds:itemID="{6D0F2DB1-B45A-42DD-9960-DDB902B0102B}">
  <ds:schemaRefs>
    <ds:schemaRef ds:uri="http://gemini/pivotcustomization/TableXML_Departments 1"/>
  </ds:schemaRefs>
</ds:datastoreItem>
</file>

<file path=customXml/itemProps180.xml><?xml version="1.0" encoding="utf-8"?>
<ds:datastoreItem xmlns:ds="http://schemas.openxmlformats.org/officeDocument/2006/customXml" ds:itemID="{3196E7FC-707B-4C81-BBEA-0390A78DB7DA}">
  <ds:schemaRefs>
    <ds:schemaRef ds:uri="http://gemini/pivotcustomization/TableXML_Departmental Profit Loss_Budget_5725de27-a7a3-4ab3-b0ba-d0f172ac636f"/>
  </ds:schemaRefs>
</ds:datastoreItem>
</file>

<file path=customXml/itemProps181.xml><?xml version="1.0" encoding="utf-8"?>
<ds:datastoreItem xmlns:ds="http://schemas.openxmlformats.org/officeDocument/2006/customXml" ds:itemID="{23903367-E14F-4850-BA1C-E8DD1AA25A9F}">
  <ds:schemaRefs>
    <ds:schemaRef ds:uri="http://gemini/pivotcustomization/TableXML_Departmental Profit Loss_72469cf3-d374-4c6c-8d3f-44e6e4c89a0c"/>
  </ds:schemaRefs>
</ds:datastoreItem>
</file>

<file path=customXml/itemProps182.xml><?xml version="1.0" encoding="utf-8"?>
<ds:datastoreItem xmlns:ds="http://schemas.openxmlformats.org/officeDocument/2006/customXml" ds:itemID="{34515BF2-2FB9-49C1-9286-B220CBCEFD46}">
  <ds:schemaRefs>
    <ds:schemaRef ds:uri="http://gemini/pivotcustomization/ShowImplicitMeasures"/>
  </ds:schemaRefs>
</ds:datastoreItem>
</file>

<file path=customXml/itemProps183.xml><?xml version="1.0" encoding="utf-8"?>
<ds:datastoreItem xmlns:ds="http://schemas.openxmlformats.org/officeDocument/2006/customXml" ds:itemID="{8D8BDD1A-7339-4896-92E6-1A3F43E67B9E}">
  <ds:schemaRefs>
    <ds:schemaRef ds:uri="http://gemini/pivotcustomization/d7115f61-b3f7-434a-a242-e4bddce2bdd5"/>
  </ds:schemaRefs>
</ds:datastoreItem>
</file>

<file path=customXml/itemProps184.xml><?xml version="1.0" encoding="utf-8"?>
<ds:datastoreItem xmlns:ds="http://schemas.openxmlformats.org/officeDocument/2006/customXml" ds:itemID="{08E9163D-E4EB-4DA4-B8A3-B40DDE2E6E8C}">
  <ds:schemaRefs>
    <ds:schemaRef ds:uri="http://gemini/pivotcustomization/RelationshipAutoDetectionEnabled"/>
  </ds:schemaRefs>
</ds:datastoreItem>
</file>

<file path=customXml/itemProps185.xml><?xml version="1.0" encoding="utf-8"?>
<ds:datastoreItem xmlns:ds="http://schemas.openxmlformats.org/officeDocument/2006/customXml" ds:itemID="{3FDC6101-0553-4B17-BBAD-C036E703B904}">
  <ds:schemaRefs>
    <ds:schemaRef ds:uri="http://gemini/pivotcustomization/TableXML_Departmental Profit Loss_72469cf3-d374-4c6c-8d3f-44e6e4c89a0c"/>
  </ds:schemaRefs>
</ds:datastoreItem>
</file>

<file path=customXml/itemProps186.xml><?xml version="1.0" encoding="utf-8"?>
<ds:datastoreItem xmlns:ds="http://schemas.openxmlformats.org/officeDocument/2006/customXml" ds:itemID="{266469B1-926E-43F6-87C2-63D1FEB485FC}">
  <ds:schemaRefs>
    <ds:schemaRef ds:uri="http://gemini/pivotcustomization/TableXML_Departmental Profit Loss_Budget_5725de27-a7a3-4ab3-b0ba-d0f172ac636f"/>
  </ds:schemaRefs>
</ds:datastoreItem>
</file>

<file path=customXml/itemProps187.xml><?xml version="1.0" encoding="utf-8"?>
<ds:datastoreItem xmlns:ds="http://schemas.openxmlformats.org/officeDocument/2006/customXml" ds:itemID="{84A2968B-BCC4-489A-81CD-05C3E3CE022B}">
  <ds:schemaRefs>
    <ds:schemaRef ds:uri="http://gemini/pivotcustomization/7fd4ff76-7852-4aaa-be43-cc7fee40498a"/>
  </ds:schemaRefs>
</ds:datastoreItem>
</file>

<file path=customXml/itemProps188.xml><?xml version="1.0" encoding="utf-8"?>
<ds:datastoreItem xmlns:ds="http://schemas.openxmlformats.org/officeDocument/2006/customXml" ds:itemID="{47E74528-4B12-4384-A50D-4686FC36708E}">
  <ds:schemaRefs>
    <ds:schemaRef ds:uri="http://gemini/pivotcustomization/TableXML_Departmental Profit Loss_Budget_5725de27-a7a3-4ab3-b0ba-d0f172ac636f"/>
  </ds:schemaRefs>
</ds:datastoreItem>
</file>

<file path=customXml/itemProps189.xml><?xml version="1.0" encoding="utf-8"?>
<ds:datastoreItem xmlns:ds="http://schemas.openxmlformats.org/officeDocument/2006/customXml" ds:itemID="{746ED1D5-A734-4F65-AFAA-28CCC8B78246}">
  <ds:schemaRefs>
    <ds:schemaRef ds:uri="http://gemini/pivotcustomization/TableXML_Departmental Profit Loss_72469cf3-d374-4c6c-8d3f-44e6e4c89a0c"/>
  </ds:schemaRefs>
</ds:datastoreItem>
</file>

<file path=customXml/itemProps19.xml><?xml version="1.0" encoding="utf-8"?>
<ds:datastoreItem xmlns:ds="http://schemas.openxmlformats.org/officeDocument/2006/customXml" ds:itemID="{551D99DA-1371-4A52-9DE5-E09226F13848}">
  <ds:schemaRefs>
    <ds:schemaRef ds:uri="http://gemini/pivotcustomization/TableXML_Departmental Profit Loss_72469cf3-d374-4c6c-8d3f-44e6e4c89a0c"/>
  </ds:schemaRefs>
</ds:datastoreItem>
</file>

<file path=customXml/itemProps190.xml><?xml version="1.0" encoding="utf-8"?>
<ds:datastoreItem xmlns:ds="http://schemas.openxmlformats.org/officeDocument/2006/customXml" ds:itemID="{F109AB7A-844B-435D-8A53-322F1BAD8B9A}">
  <ds:schemaRefs>
    <ds:schemaRef ds:uri="http://gemini/pivotcustomization/TableXML_Departmental Profit Loss_72469cf3-d374-4c6c-8d3f-44e6e4c89a0c"/>
  </ds:schemaRefs>
</ds:datastoreItem>
</file>

<file path=customXml/itemProps191.xml><?xml version="1.0" encoding="utf-8"?>
<ds:datastoreItem xmlns:ds="http://schemas.openxmlformats.org/officeDocument/2006/customXml" ds:itemID="{C4430A4A-5F1B-45CB-9C97-FA97635CE090}">
  <ds:schemaRefs>
    <ds:schemaRef ds:uri="http://gemini/pivotcustomization/TableXML_Departmental Profit Loss_Budget_5725de27-a7a3-4ab3-b0ba-d0f172ac636f"/>
  </ds:schemaRefs>
</ds:datastoreItem>
</file>

<file path=customXml/itemProps192.xml><?xml version="1.0" encoding="utf-8"?>
<ds:datastoreItem xmlns:ds="http://schemas.openxmlformats.org/officeDocument/2006/customXml" ds:itemID="{03E40952-0BDA-474D-95A5-0D394E458671}">
  <ds:schemaRefs>
    <ds:schemaRef ds:uri="http://gemini/pivotcustomization/TableXML_Departmental Profit Loss_Budget_5725de27-a7a3-4ab3-b0ba-d0f172ac636f"/>
  </ds:schemaRefs>
</ds:datastoreItem>
</file>

<file path=customXml/itemProps193.xml><?xml version="1.0" encoding="utf-8"?>
<ds:datastoreItem xmlns:ds="http://schemas.openxmlformats.org/officeDocument/2006/customXml" ds:itemID="{ADA237F7-5094-4814-BAE2-270030834D8F}">
  <ds:schemaRefs>
    <ds:schemaRef ds:uri="http://gemini/pivotcustomization/LinkedTableUpdateMode"/>
  </ds:schemaRefs>
</ds:datastoreItem>
</file>

<file path=customXml/itemProps194.xml><?xml version="1.0" encoding="utf-8"?>
<ds:datastoreItem xmlns:ds="http://schemas.openxmlformats.org/officeDocument/2006/customXml" ds:itemID="{74F9A244-1D4B-4ECD-ABA0-9920ADA30993}">
  <ds:schemaRefs>
    <ds:schemaRef ds:uri="http://gemini/pivotcustomization/TableXML_Departmental Profit Loss_72469cf3-d374-4c6c-8d3f-44e6e4c89a0c"/>
  </ds:schemaRefs>
</ds:datastoreItem>
</file>

<file path=customXml/itemProps2.xml><?xml version="1.0" encoding="utf-8"?>
<ds:datastoreItem xmlns:ds="http://schemas.openxmlformats.org/officeDocument/2006/customXml" ds:itemID="{D5C658FF-D80B-4653-A0BF-BC4326C5884D}">
  <ds:schemaRefs>
    <ds:schemaRef ds:uri="http://gemini/pivotcustomization/TableXML_Departmental Profit Loss_72469cf3-d374-4c6c-8d3f-44e6e4c89a0c"/>
  </ds:schemaRefs>
</ds:datastoreItem>
</file>

<file path=customXml/itemProps20.xml><?xml version="1.0" encoding="utf-8"?>
<ds:datastoreItem xmlns:ds="http://schemas.openxmlformats.org/officeDocument/2006/customXml" ds:itemID="{ADBD7D91-1D22-4560-AA72-CC7AB976A65E}">
  <ds:schemaRefs>
    <ds:schemaRef ds:uri="http://gemini/pivotcustomization/TableXML_Departmental Profit Loss_72469cf3-d374-4c6c-8d3f-44e6e4c89a0c"/>
  </ds:schemaRefs>
</ds:datastoreItem>
</file>

<file path=customXml/itemProps21.xml><?xml version="1.0" encoding="utf-8"?>
<ds:datastoreItem xmlns:ds="http://schemas.openxmlformats.org/officeDocument/2006/customXml" ds:itemID="{FD8F4406-7536-4D35-9924-8B75950394D7}">
  <ds:schemaRefs>
    <ds:schemaRef ds:uri="http://schemas.microsoft.com/DataMashup"/>
  </ds:schemaRefs>
</ds:datastoreItem>
</file>

<file path=customXml/itemProps22.xml><?xml version="1.0" encoding="utf-8"?>
<ds:datastoreItem xmlns:ds="http://schemas.openxmlformats.org/officeDocument/2006/customXml" ds:itemID="{70D9BA1F-5C70-4C4D-9C90-3B09F721EB46}">
  <ds:schemaRefs>
    <ds:schemaRef ds:uri="http://gemini/pivotcustomization/TableXML_Departmental Profit Loss_Budget_5725de27-a7a3-4ab3-b0ba-d0f172ac636f"/>
  </ds:schemaRefs>
</ds:datastoreItem>
</file>

<file path=customXml/itemProps23.xml><?xml version="1.0" encoding="utf-8"?>
<ds:datastoreItem xmlns:ds="http://schemas.openxmlformats.org/officeDocument/2006/customXml" ds:itemID="{20805676-38A5-494A-847F-641BF4AC343E}">
  <ds:schemaRefs>
    <ds:schemaRef ds:uri="http://gemini/pivotcustomization/TableXML_Departmental Profit Loss_72469cf3-d374-4c6c-8d3f-44e6e4c89a0c"/>
  </ds:schemaRefs>
</ds:datastoreItem>
</file>

<file path=customXml/itemProps24.xml><?xml version="1.0" encoding="utf-8"?>
<ds:datastoreItem xmlns:ds="http://schemas.openxmlformats.org/officeDocument/2006/customXml" ds:itemID="{47A9CB20-D8B0-4F28-A9DF-2EDD598F506A}">
  <ds:schemaRefs>
    <ds:schemaRef ds:uri="http://gemini/pivotcustomization/TableXML_Departmental Profit Loss_72469cf3-d374-4c6c-8d3f-44e6e4c89a0c"/>
  </ds:schemaRefs>
</ds:datastoreItem>
</file>

<file path=customXml/itemProps25.xml><?xml version="1.0" encoding="utf-8"?>
<ds:datastoreItem xmlns:ds="http://schemas.openxmlformats.org/officeDocument/2006/customXml" ds:itemID="{CC9FB10D-09C0-446E-B9B0-73E0C7B9A39D}">
  <ds:schemaRefs>
    <ds:schemaRef ds:uri="http://gemini/pivotcustomization/ce28aeef-341d-4057-881b-426ca7ee9c21"/>
  </ds:schemaRefs>
</ds:datastoreItem>
</file>

<file path=customXml/itemProps26.xml><?xml version="1.0" encoding="utf-8"?>
<ds:datastoreItem xmlns:ds="http://schemas.openxmlformats.org/officeDocument/2006/customXml" ds:itemID="{9F512FB7-8A41-436B-A170-CB8F473E2FF0}">
  <ds:schemaRefs>
    <ds:schemaRef ds:uri="http://gemini/pivotcustomization/TableXML_Departmental Profit Loss_72469cf3-d374-4c6c-8d3f-44e6e4c89a0c"/>
  </ds:schemaRefs>
</ds:datastoreItem>
</file>

<file path=customXml/itemProps27.xml><?xml version="1.0" encoding="utf-8"?>
<ds:datastoreItem xmlns:ds="http://schemas.openxmlformats.org/officeDocument/2006/customXml" ds:itemID="{12EB1816-482B-4A06-B12F-FEC69A8ECB97}">
  <ds:schemaRefs>
    <ds:schemaRef ds:uri="http://gemini/pivotcustomization/TableXML_Departmental Profit Loss_72469cf3-d374-4c6c-8d3f-44e6e4c89a0c"/>
  </ds:schemaRefs>
</ds:datastoreItem>
</file>

<file path=customXml/itemProps28.xml><?xml version="1.0" encoding="utf-8"?>
<ds:datastoreItem xmlns:ds="http://schemas.openxmlformats.org/officeDocument/2006/customXml" ds:itemID="{462F312A-BCD3-4EF8-A0C9-BB857D63047A}">
  <ds:schemaRefs>
    <ds:schemaRef ds:uri="http://gemini/pivotcustomization/PowerPivotVersion"/>
  </ds:schemaRefs>
</ds:datastoreItem>
</file>

<file path=customXml/itemProps29.xml><?xml version="1.0" encoding="utf-8"?>
<ds:datastoreItem xmlns:ds="http://schemas.openxmlformats.org/officeDocument/2006/customXml" ds:itemID="{70295006-64DA-4453-B63F-518755D61B1B}">
  <ds:schemaRefs>
    <ds:schemaRef ds:uri="http://gemini/pivotcustomization/TableXML_Departmental Profit Loss_72469cf3-d374-4c6c-8d3f-44e6e4c89a0c"/>
  </ds:schemaRefs>
</ds:datastoreItem>
</file>

<file path=customXml/itemProps3.xml><?xml version="1.0" encoding="utf-8"?>
<ds:datastoreItem xmlns:ds="http://schemas.openxmlformats.org/officeDocument/2006/customXml" ds:itemID="{ED63BF43-0FEE-4993-9EE1-5D70A32EFFBC}">
  <ds:schemaRefs>
    <ds:schemaRef ds:uri="http://gemini/pivotcustomization/TableXML_Departmental Profit Loss_72469cf3-d374-4c6c-8d3f-44e6e4c89a0c"/>
  </ds:schemaRefs>
</ds:datastoreItem>
</file>

<file path=customXml/itemProps30.xml><?xml version="1.0" encoding="utf-8"?>
<ds:datastoreItem xmlns:ds="http://schemas.openxmlformats.org/officeDocument/2006/customXml" ds:itemID="{573ABB3C-EDF2-4EF4-AB7F-9434952DE40F}">
  <ds:schemaRefs>
    <ds:schemaRef ds:uri="http://gemini/pivotcustomization/TableXML_Departmental Profit Loss_Budget_5725de27-a7a3-4ab3-b0ba-d0f172ac636f"/>
  </ds:schemaRefs>
</ds:datastoreItem>
</file>

<file path=customXml/itemProps31.xml><?xml version="1.0" encoding="utf-8"?>
<ds:datastoreItem xmlns:ds="http://schemas.openxmlformats.org/officeDocument/2006/customXml" ds:itemID="{500C17C5-39D5-4E24-AB5F-9E9EA4767E8C}">
  <ds:schemaRefs>
    <ds:schemaRef ds:uri="http://gemini/pivotcustomization/TableXML_Departmental Profit Loss_72469cf3-d374-4c6c-8d3f-44e6e4c89a0c"/>
  </ds:schemaRefs>
</ds:datastoreItem>
</file>

<file path=customXml/itemProps32.xml><?xml version="1.0" encoding="utf-8"?>
<ds:datastoreItem xmlns:ds="http://schemas.openxmlformats.org/officeDocument/2006/customXml" ds:itemID="{19CFB726-576D-4229-83E7-9F0E649BB02F}">
  <ds:schemaRefs>
    <ds:schemaRef ds:uri="http://gemini/pivotcustomization/TableXML_Departmental Profit Loss_72469cf3-d374-4c6c-8d3f-44e6e4c89a0c"/>
  </ds:schemaRefs>
</ds:datastoreItem>
</file>

<file path=customXml/itemProps33.xml><?xml version="1.0" encoding="utf-8"?>
<ds:datastoreItem xmlns:ds="http://schemas.openxmlformats.org/officeDocument/2006/customXml" ds:itemID="{2472BFD8-8D25-4034-A3A1-C8A2BF6E0580}">
  <ds:schemaRefs>
    <ds:schemaRef ds:uri="http://gemini/pivotcustomization/FormulaBarState"/>
  </ds:schemaRefs>
</ds:datastoreItem>
</file>

<file path=customXml/itemProps34.xml><?xml version="1.0" encoding="utf-8"?>
<ds:datastoreItem xmlns:ds="http://schemas.openxmlformats.org/officeDocument/2006/customXml" ds:itemID="{402F6440-8EF4-4393-A79E-2C0BD29C9DCE}">
  <ds:schemaRefs>
    <ds:schemaRef ds:uri="http://gemini/pivotcustomization/TableXML_Departmental Profit Loss_72469cf3-d374-4c6c-8d3f-44e6e4c89a0c"/>
  </ds:schemaRefs>
</ds:datastoreItem>
</file>

<file path=customXml/itemProps35.xml><?xml version="1.0" encoding="utf-8"?>
<ds:datastoreItem xmlns:ds="http://schemas.openxmlformats.org/officeDocument/2006/customXml" ds:itemID="{03FFC620-D39F-473A-A5F4-66E393EAC581}">
  <ds:schemaRefs>
    <ds:schemaRef ds:uri="http://gemini/pivotcustomization/TableXML_Departmental Profit Loss_72469cf3-d374-4c6c-8d3f-44e6e4c89a0c"/>
  </ds:schemaRefs>
</ds:datastoreItem>
</file>

<file path=customXml/itemProps36.xml><?xml version="1.0" encoding="utf-8"?>
<ds:datastoreItem xmlns:ds="http://schemas.openxmlformats.org/officeDocument/2006/customXml" ds:itemID="{3AB0721A-11AE-4B4D-AA27-F137C571C4DD}">
  <ds:schemaRefs>
    <ds:schemaRef ds:uri="http://gemini/pivotcustomization/TableXML_Departmental Profit Loss_72469cf3-d374-4c6c-8d3f-44e6e4c89a0c"/>
  </ds:schemaRefs>
</ds:datastoreItem>
</file>

<file path=customXml/itemProps37.xml><?xml version="1.0" encoding="utf-8"?>
<ds:datastoreItem xmlns:ds="http://schemas.openxmlformats.org/officeDocument/2006/customXml" ds:itemID="{9FA9AD22-7FEB-4D8A-8D66-25FA1E878EA7}">
  <ds:schemaRefs>
    <ds:schemaRef ds:uri="http://gemini/pivotcustomization/TableXML_Departmental Profit Loss_72469cf3-d374-4c6c-8d3f-44e6e4c89a0c"/>
  </ds:schemaRefs>
</ds:datastoreItem>
</file>

<file path=customXml/itemProps38.xml><?xml version="1.0" encoding="utf-8"?>
<ds:datastoreItem xmlns:ds="http://schemas.openxmlformats.org/officeDocument/2006/customXml" ds:itemID="{E29D4421-571D-4730-9B62-FF779760FB34}">
  <ds:schemaRefs>
    <ds:schemaRef ds:uri="http://gemini/pivotcustomization/TableXML_Departmental Profit Loss_72469cf3-d374-4c6c-8d3f-44e6e4c89a0c"/>
  </ds:schemaRefs>
</ds:datastoreItem>
</file>

<file path=customXml/itemProps39.xml><?xml version="1.0" encoding="utf-8"?>
<ds:datastoreItem xmlns:ds="http://schemas.openxmlformats.org/officeDocument/2006/customXml" ds:itemID="{B1906DD7-198C-4DBF-BC85-3FA10A228CE9}">
  <ds:schemaRefs>
    <ds:schemaRef ds:uri="http://gemini/pivotcustomization/TableXML_Departmental Profit Loss_72469cf3-d374-4c6c-8d3f-44e6e4c89a0c"/>
  </ds:schemaRefs>
</ds:datastoreItem>
</file>

<file path=customXml/itemProps4.xml><?xml version="1.0" encoding="utf-8"?>
<ds:datastoreItem xmlns:ds="http://schemas.openxmlformats.org/officeDocument/2006/customXml" ds:itemID="{B00A5852-D62F-4C0E-A525-023BD999AC4D}">
  <ds:schemaRefs>
    <ds:schemaRef ds:uri="http://gemini/pivotcustomization/TableXML_Departments_d19390a2-f7e8-4234-a52e-03903a8acb0c"/>
  </ds:schemaRefs>
</ds:datastoreItem>
</file>

<file path=customXml/itemProps40.xml><?xml version="1.0" encoding="utf-8"?>
<ds:datastoreItem xmlns:ds="http://schemas.openxmlformats.org/officeDocument/2006/customXml" ds:itemID="{20ADC7ED-1FCA-44ED-8C04-5C7EF226FBE7}">
  <ds:schemaRefs>
    <ds:schemaRef ds:uri="http://gemini/pivotcustomization/TableXML_Departmental Profit Loss_72469cf3-d374-4c6c-8d3f-44e6e4c89a0c"/>
  </ds:schemaRefs>
</ds:datastoreItem>
</file>

<file path=customXml/itemProps41.xml><?xml version="1.0" encoding="utf-8"?>
<ds:datastoreItem xmlns:ds="http://schemas.openxmlformats.org/officeDocument/2006/customXml" ds:itemID="{D7B852FF-DB17-4521-9467-B6167A377A02}">
  <ds:schemaRefs>
    <ds:schemaRef ds:uri="http://gemini/pivotcustomization/TableXML_Departmental Profit Loss_Budget_5725de27-a7a3-4ab3-b0ba-d0f172ac636f"/>
  </ds:schemaRefs>
</ds:datastoreItem>
</file>

<file path=customXml/itemProps42.xml><?xml version="1.0" encoding="utf-8"?>
<ds:datastoreItem xmlns:ds="http://schemas.openxmlformats.org/officeDocument/2006/customXml" ds:itemID="{0B22D66B-8B43-42F1-A52E-0400BEC7F066}">
  <ds:schemaRefs>
    <ds:schemaRef ds:uri="http://gemini/pivotcustomization/b588d03c-f3f5-4a8f-a90d-ce5f68cac574"/>
  </ds:schemaRefs>
</ds:datastoreItem>
</file>

<file path=customXml/itemProps43.xml><?xml version="1.0" encoding="utf-8"?>
<ds:datastoreItem xmlns:ds="http://schemas.openxmlformats.org/officeDocument/2006/customXml" ds:itemID="{889F402D-CCA6-4562-806B-0634278B5DBD}">
  <ds:schemaRefs>
    <ds:schemaRef ds:uri="http://gemini/pivotcustomization/TableXML_Departmental Profit Loss_72469cf3-d374-4c6c-8d3f-44e6e4c89a0c"/>
  </ds:schemaRefs>
</ds:datastoreItem>
</file>

<file path=customXml/itemProps44.xml><?xml version="1.0" encoding="utf-8"?>
<ds:datastoreItem xmlns:ds="http://schemas.openxmlformats.org/officeDocument/2006/customXml" ds:itemID="{A607B93C-2453-495B-935D-A12DF1BA31D2}">
  <ds:schemaRefs>
    <ds:schemaRef ds:uri="http://gemini/pivotcustomization/TableOrder"/>
  </ds:schemaRefs>
</ds:datastoreItem>
</file>

<file path=customXml/itemProps45.xml><?xml version="1.0" encoding="utf-8"?>
<ds:datastoreItem xmlns:ds="http://schemas.openxmlformats.org/officeDocument/2006/customXml" ds:itemID="{585986C1-7224-4A59-A413-59AB632A4B24}">
  <ds:schemaRefs>
    <ds:schemaRef ds:uri="http://gemini/pivotcustomization/TableXML_Departmental Profit Loss_72469cf3-d374-4c6c-8d3f-44e6e4c89a0c"/>
  </ds:schemaRefs>
</ds:datastoreItem>
</file>

<file path=customXml/itemProps46.xml><?xml version="1.0" encoding="utf-8"?>
<ds:datastoreItem xmlns:ds="http://schemas.openxmlformats.org/officeDocument/2006/customXml" ds:itemID="{EA9BBBB3-AD87-4AC3-B1A3-113810E54897}">
  <ds:schemaRefs>
    <ds:schemaRef ds:uri="http://gemini/pivotcustomization/5c821b62-43bf-47bf-9257-04e811d1d4ef"/>
  </ds:schemaRefs>
</ds:datastoreItem>
</file>

<file path=customXml/itemProps47.xml><?xml version="1.0" encoding="utf-8"?>
<ds:datastoreItem xmlns:ds="http://schemas.openxmlformats.org/officeDocument/2006/customXml" ds:itemID="{9E1F1AEF-FA6E-4B68-AFC4-F76D234B126D}">
  <ds:schemaRefs>
    <ds:schemaRef ds:uri="http://gemini/pivotcustomization/182090d6-0ce3-4f32-8a9b-783d20706a75"/>
  </ds:schemaRefs>
</ds:datastoreItem>
</file>

<file path=customXml/itemProps48.xml><?xml version="1.0" encoding="utf-8"?>
<ds:datastoreItem xmlns:ds="http://schemas.openxmlformats.org/officeDocument/2006/customXml" ds:itemID="{A0E68E0E-E4F9-4E36-B358-D0D68B422DB8}">
  <ds:schemaRefs>
    <ds:schemaRef ds:uri="http://gemini/pivotcustomization/TableXML_Departmental Profit Loss_72469cf3-d374-4c6c-8d3f-44e6e4c89a0c"/>
  </ds:schemaRefs>
</ds:datastoreItem>
</file>

<file path=customXml/itemProps49.xml><?xml version="1.0" encoding="utf-8"?>
<ds:datastoreItem xmlns:ds="http://schemas.openxmlformats.org/officeDocument/2006/customXml" ds:itemID="{5AB65320-969A-4754-A613-759ED7DD8DC0}">
  <ds:schemaRefs>
    <ds:schemaRef ds:uri="http://gemini/pivotcustomization/TableXML_Departmental Profit Loss_Budget_5725de27-a7a3-4ab3-b0ba-d0f172ac636f"/>
  </ds:schemaRefs>
</ds:datastoreItem>
</file>

<file path=customXml/itemProps5.xml><?xml version="1.0" encoding="utf-8"?>
<ds:datastoreItem xmlns:ds="http://schemas.openxmlformats.org/officeDocument/2006/customXml" ds:itemID="{7D75CD61-778E-4A69-AD8E-F9B3A0B50D6F}">
  <ds:schemaRefs>
    <ds:schemaRef ds:uri="http://gemini/pivotcustomization/TableXML_Departmental Profit Loss_72469cf3-d374-4c6c-8d3f-44e6e4c89a0c"/>
  </ds:schemaRefs>
</ds:datastoreItem>
</file>

<file path=customXml/itemProps50.xml><?xml version="1.0" encoding="utf-8"?>
<ds:datastoreItem xmlns:ds="http://schemas.openxmlformats.org/officeDocument/2006/customXml" ds:itemID="{A0BC7495-EF6B-436D-93BE-D926FADAF797}">
  <ds:schemaRefs>
    <ds:schemaRef ds:uri="http://gemini/pivotcustomization/789c3fc5-c418-46bb-9a31-b535c0d8a37c"/>
  </ds:schemaRefs>
</ds:datastoreItem>
</file>

<file path=customXml/itemProps51.xml><?xml version="1.0" encoding="utf-8"?>
<ds:datastoreItem xmlns:ds="http://schemas.openxmlformats.org/officeDocument/2006/customXml" ds:itemID="{FFD45C51-7EF8-4222-939E-C0D797BAD499}">
  <ds:schemaRefs>
    <ds:schemaRef ds:uri="http://gemini/pivotcustomization/SandboxNonEmpty"/>
  </ds:schemaRefs>
</ds:datastoreItem>
</file>

<file path=customXml/itemProps52.xml><?xml version="1.0" encoding="utf-8"?>
<ds:datastoreItem xmlns:ds="http://schemas.openxmlformats.org/officeDocument/2006/customXml" ds:itemID="{9E92B71B-43D0-4678-92FC-3AB4524CC117}">
  <ds:schemaRefs>
    <ds:schemaRef ds:uri="http://gemini/pivotcustomization/TableXML_Section_Signs"/>
  </ds:schemaRefs>
</ds:datastoreItem>
</file>

<file path=customXml/itemProps53.xml><?xml version="1.0" encoding="utf-8"?>
<ds:datastoreItem xmlns:ds="http://schemas.openxmlformats.org/officeDocument/2006/customXml" ds:itemID="{68CA9AAC-FF12-4B52-82B7-EBCA77E64FCA}">
  <ds:schemaRefs>
    <ds:schemaRef ds:uri="http://gemini/pivotcustomization/TableXML_Departmental Profit Loss_72469cf3-d374-4c6c-8d3f-44e6e4c89a0c"/>
  </ds:schemaRefs>
</ds:datastoreItem>
</file>

<file path=customXml/itemProps54.xml><?xml version="1.0" encoding="utf-8"?>
<ds:datastoreItem xmlns:ds="http://schemas.openxmlformats.org/officeDocument/2006/customXml" ds:itemID="{1A19ED74-F328-492E-A9C3-3F4A57151092}">
  <ds:schemaRefs>
    <ds:schemaRef ds:uri="http://gemini/pivotcustomization/TableXML_Departmental Profit Loss_72469cf3-d374-4c6c-8d3f-44e6e4c89a0c"/>
  </ds:schemaRefs>
</ds:datastoreItem>
</file>

<file path=customXml/itemProps55.xml><?xml version="1.0" encoding="utf-8"?>
<ds:datastoreItem xmlns:ds="http://schemas.openxmlformats.org/officeDocument/2006/customXml" ds:itemID="{AB3667C2-ED5A-49B4-B34D-F3AD165A9F35}">
  <ds:schemaRefs>
    <ds:schemaRef ds:uri="http://gemini/pivotcustomization/TableXML_Departmental Profit Loss_Budget_5725de27-a7a3-4ab3-b0ba-d0f172ac636f"/>
  </ds:schemaRefs>
</ds:datastoreItem>
</file>

<file path=customXml/itemProps56.xml><?xml version="1.0" encoding="utf-8"?>
<ds:datastoreItem xmlns:ds="http://schemas.openxmlformats.org/officeDocument/2006/customXml" ds:itemID="{0B1DDC1B-5E5B-4B25-8B4D-F30C9B2A88B0}">
  <ds:schemaRefs>
    <ds:schemaRef ds:uri="http://gemini/pivotcustomization/6a29e224-1681-4cf4-8540-1c3a885d31cf"/>
  </ds:schemaRefs>
</ds:datastoreItem>
</file>

<file path=customXml/itemProps57.xml><?xml version="1.0" encoding="utf-8"?>
<ds:datastoreItem xmlns:ds="http://schemas.openxmlformats.org/officeDocument/2006/customXml" ds:itemID="{074D9E22-F771-4C03-9956-5A7959B9DF6E}">
  <ds:schemaRefs>
    <ds:schemaRef ds:uri="http://gemini/pivotcustomization/TableXML_Departmental Profit Loss_Budget_5725de27-a7a3-4ab3-b0ba-d0f172ac636f"/>
  </ds:schemaRefs>
</ds:datastoreItem>
</file>

<file path=customXml/itemProps58.xml><?xml version="1.0" encoding="utf-8"?>
<ds:datastoreItem xmlns:ds="http://schemas.openxmlformats.org/officeDocument/2006/customXml" ds:itemID="{DC3EA6F8-4884-4144-95E3-8A27E36D34C4}">
  <ds:schemaRefs>
    <ds:schemaRef ds:uri="http://gemini/pivotcustomization/TableXML_Departmental Profit Loss_72469cf3-d374-4c6c-8d3f-44e6e4c89a0c"/>
  </ds:schemaRefs>
</ds:datastoreItem>
</file>

<file path=customXml/itemProps59.xml><?xml version="1.0" encoding="utf-8"?>
<ds:datastoreItem xmlns:ds="http://schemas.openxmlformats.org/officeDocument/2006/customXml" ds:itemID="{FF94AF44-3B5D-4ECB-A186-502465BADFC6}">
  <ds:schemaRefs>
    <ds:schemaRef ds:uri="http://schemas.microsoft.com/sharepoint/v3/contenttype/forms"/>
  </ds:schemaRefs>
</ds:datastoreItem>
</file>

<file path=customXml/itemProps6.xml><?xml version="1.0" encoding="utf-8"?>
<ds:datastoreItem xmlns:ds="http://schemas.openxmlformats.org/officeDocument/2006/customXml" ds:itemID="{0C26D1AC-C4FC-49D3-BFE6-CD94E6084AA3}">
  <ds:schemaRefs>
    <ds:schemaRef ds:uri="http://gemini/pivotcustomization/TableXML_Departmental Profit Loss_Budget_5725de27-a7a3-4ab3-b0ba-d0f172ac636f"/>
  </ds:schemaRefs>
</ds:datastoreItem>
</file>

<file path=customXml/itemProps60.xml><?xml version="1.0" encoding="utf-8"?>
<ds:datastoreItem xmlns:ds="http://schemas.openxmlformats.org/officeDocument/2006/customXml" ds:itemID="{8E272C36-823A-4D4A-87E3-329948725C02}">
  <ds:schemaRefs>
    <ds:schemaRef ds:uri="http://gemini/pivotcustomization/TableXML_Departmental Profit Loss_72469cf3-d374-4c6c-8d3f-44e6e4c89a0c"/>
  </ds:schemaRefs>
</ds:datastoreItem>
</file>

<file path=customXml/itemProps61.xml><?xml version="1.0" encoding="utf-8"?>
<ds:datastoreItem xmlns:ds="http://schemas.openxmlformats.org/officeDocument/2006/customXml" ds:itemID="{9E179E8E-6DDC-440D-AF34-FA0599A20BA3}">
  <ds:schemaRefs>
    <ds:schemaRef ds:uri="http://gemini/pivotcustomization/TableXML_Departmental Profit Loss_Budget_5725de27-a7a3-4ab3-b0ba-d0f172ac636f"/>
  </ds:schemaRefs>
</ds:datastoreItem>
</file>

<file path=customXml/itemProps62.xml><?xml version="1.0" encoding="utf-8"?>
<ds:datastoreItem xmlns:ds="http://schemas.openxmlformats.org/officeDocument/2006/customXml" ds:itemID="{F8700905-E510-48CF-BB75-011A88CCB2D7}">
  <ds:schemaRefs>
    <ds:schemaRef ds:uri="http://gemini/pivotcustomization/c5876e3f-03e3-4328-9671-44902c7ebf8c"/>
  </ds:schemaRefs>
</ds:datastoreItem>
</file>

<file path=customXml/itemProps63.xml><?xml version="1.0" encoding="utf-8"?>
<ds:datastoreItem xmlns:ds="http://schemas.openxmlformats.org/officeDocument/2006/customXml" ds:itemID="{0B88B333-5CC6-41C1-B915-03B390B8750B}">
  <ds:schemaRefs>
    <ds:schemaRef ds:uri="http://gemini/pivotcustomization/TableXML_Departmental Profit Loss_72469cf3-d374-4c6c-8d3f-44e6e4c89a0c"/>
  </ds:schemaRefs>
</ds:datastoreItem>
</file>

<file path=customXml/itemProps64.xml><?xml version="1.0" encoding="utf-8"?>
<ds:datastoreItem xmlns:ds="http://schemas.openxmlformats.org/officeDocument/2006/customXml" ds:itemID="{7CA42CE6-FCA8-4228-9BB3-4D2214664CFD}">
  <ds:schemaRefs>
    <ds:schemaRef ds:uri="http://gemini/pivotcustomization/dd92c931-f430-4aba-89a7-4fae2f38318c"/>
  </ds:schemaRefs>
</ds:datastoreItem>
</file>

<file path=customXml/itemProps65.xml><?xml version="1.0" encoding="utf-8"?>
<ds:datastoreItem xmlns:ds="http://schemas.openxmlformats.org/officeDocument/2006/customXml" ds:itemID="{5F5C49BB-EBD9-416E-932C-A1A797D2F259}">
  <ds:schemaRefs>
    <ds:schemaRef ds:uri="http://gemini/pivotcustomization/TableXML_Departmental Profit Loss_72469cf3-d374-4c6c-8d3f-44e6e4c89a0c"/>
  </ds:schemaRefs>
</ds:datastoreItem>
</file>

<file path=customXml/itemProps66.xml><?xml version="1.0" encoding="utf-8"?>
<ds:datastoreItem xmlns:ds="http://schemas.openxmlformats.org/officeDocument/2006/customXml" ds:itemID="{898A3A0F-4E80-4335-A4FD-FD99885DF3D2}">
  <ds:schemaRefs>
    <ds:schemaRef ds:uri="http://gemini/pivotcustomization/TableXML_Departmental Profit Loss_72469cf3-d374-4c6c-8d3f-44e6e4c89a0c"/>
  </ds:schemaRefs>
</ds:datastoreItem>
</file>

<file path=customXml/itemProps67.xml><?xml version="1.0" encoding="utf-8"?>
<ds:datastoreItem xmlns:ds="http://schemas.openxmlformats.org/officeDocument/2006/customXml" ds:itemID="{806EC2C8-454D-452F-8D85-0BE51AD3CC55}">
  <ds:schemaRefs>
    <ds:schemaRef ds:uri="http://gemini/pivotcustomization/TableXML_Departmental Profit Loss_Budget_5725de27-a7a3-4ab3-b0ba-d0f172ac636f"/>
  </ds:schemaRefs>
</ds:datastoreItem>
</file>

<file path=customXml/itemProps68.xml><?xml version="1.0" encoding="utf-8"?>
<ds:datastoreItem xmlns:ds="http://schemas.openxmlformats.org/officeDocument/2006/customXml" ds:itemID="{8BC39702-D740-4223-963F-60DC917AB609}">
  <ds:schemaRefs>
    <ds:schemaRef ds:uri="http://gemini/pivotcustomization/TableXML_Departmental Profit Loss_72469cf3-d374-4c6c-8d3f-44e6e4c89a0c"/>
  </ds:schemaRefs>
</ds:datastoreItem>
</file>

<file path=customXml/itemProps69.xml><?xml version="1.0" encoding="utf-8"?>
<ds:datastoreItem xmlns:ds="http://schemas.openxmlformats.org/officeDocument/2006/customXml" ds:itemID="{3C1A94FD-745C-4552-B920-3366135F672C}">
  <ds:schemaRefs>
    <ds:schemaRef ds:uri="http://gemini/pivotcustomization/TableXML_Departmental Profit Loss_Budget_5725de27-a7a3-4ab3-b0ba-d0f172ac636f"/>
  </ds:schemaRefs>
</ds:datastoreItem>
</file>

<file path=customXml/itemProps7.xml><?xml version="1.0" encoding="utf-8"?>
<ds:datastoreItem xmlns:ds="http://schemas.openxmlformats.org/officeDocument/2006/customXml" ds:itemID="{EDDC0F26-669B-4162-B5E9-5D71D6366E09}">
  <ds:schemaRefs>
    <ds:schemaRef ds:uri="http://gemini/pivotcustomization/3c16a0a7-1378-4822-8405-c441ba7d67c2"/>
  </ds:schemaRefs>
</ds:datastoreItem>
</file>

<file path=customXml/itemProps70.xml><?xml version="1.0" encoding="utf-8"?>
<ds:datastoreItem xmlns:ds="http://schemas.openxmlformats.org/officeDocument/2006/customXml" ds:itemID="{7C11D2B2-C562-4DEF-801A-296A5F32F9FF}">
  <ds:schemaRefs>
    <ds:schemaRef ds:uri="http://gemini/pivotcustomization/ManualCalcMode"/>
  </ds:schemaRefs>
</ds:datastoreItem>
</file>

<file path=customXml/itemProps71.xml><?xml version="1.0" encoding="utf-8"?>
<ds:datastoreItem xmlns:ds="http://schemas.openxmlformats.org/officeDocument/2006/customXml" ds:itemID="{1EBDB56E-B5DD-483B-808A-E56F6959F1CB}">
  <ds:schemaRefs>
    <ds:schemaRef ds:uri="http://gemini/pivotcustomization/TableXML_Departmental Profit Loss_72469cf3-d374-4c6c-8d3f-44e6e4c89a0c"/>
  </ds:schemaRefs>
</ds:datastoreItem>
</file>

<file path=customXml/itemProps72.xml><?xml version="1.0" encoding="utf-8"?>
<ds:datastoreItem xmlns:ds="http://schemas.openxmlformats.org/officeDocument/2006/customXml" ds:itemID="{A4C5C238-7C12-4B3B-86D4-903E7E91382F}">
  <ds:schemaRefs>
    <ds:schemaRef ds:uri="http://gemini/pivotcustomization/TableXML_Departmental Profit Loss_72469cf3-d374-4c6c-8d3f-44e6e4c89a0c"/>
  </ds:schemaRefs>
</ds:datastoreItem>
</file>

<file path=customXml/itemProps73.xml><?xml version="1.0" encoding="utf-8"?>
<ds:datastoreItem xmlns:ds="http://schemas.openxmlformats.org/officeDocument/2006/customXml" ds:itemID="{8A2B7CFE-D507-45E6-BAEE-E2B56CCE3418}">
  <ds:schemaRefs>
    <ds:schemaRef ds:uri="http://gemini/pivotcustomization/TableXML_Research Development_b5eefaf4-ba6d-4307-b6e1-3a6db9ca559a"/>
  </ds:schemaRefs>
</ds:datastoreItem>
</file>

<file path=customXml/itemProps74.xml><?xml version="1.0" encoding="utf-8"?>
<ds:datastoreItem xmlns:ds="http://schemas.openxmlformats.org/officeDocument/2006/customXml" ds:itemID="{8FBCCDFE-DACA-4F9A-A4D5-CAC238D5325E}">
  <ds:schemaRefs>
    <ds:schemaRef ds:uri="http://gemini/pivotcustomization/TableXML_Departmental Profit Loss_72469cf3-d374-4c6c-8d3f-44e6e4c89a0c"/>
  </ds:schemaRefs>
</ds:datastoreItem>
</file>

<file path=customXml/itemProps75.xml><?xml version="1.0" encoding="utf-8"?>
<ds:datastoreItem xmlns:ds="http://schemas.openxmlformats.org/officeDocument/2006/customXml" ds:itemID="{CD56D331-0223-4F28-A726-E0022046FEC7}">
  <ds:schemaRefs>
    <ds:schemaRef ds:uri="http://gemini/pivotcustomization/c1cda4df-b383-4263-9e1a-57965c61adeb"/>
  </ds:schemaRefs>
</ds:datastoreItem>
</file>

<file path=customXml/itemProps76.xml><?xml version="1.0" encoding="utf-8"?>
<ds:datastoreItem xmlns:ds="http://schemas.openxmlformats.org/officeDocument/2006/customXml" ds:itemID="{D2501F2A-8557-4005-8FC0-8C39A5C56AAA}">
  <ds:schemaRefs>
    <ds:schemaRef ds:uri="http://gemini/pivotcustomization/TableXML_Departmental Profit Loss_Budget_5725de27-a7a3-4ab3-b0ba-d0f172ac636f"/>
  </ds:schemaRefs>
</ds:datastoreItem>
</file>

<file path=customXml/itemProps77.xml><?xml version="1.0" encoding="utf-8"?>
<ds:datastoreItem xmlns:ds="http://schemas.openxmlformats.org/officeDocument/2006/customXml" ds:itemID="{39003DF5-8616-45DF-8D73-063321B2B37F}">
  <ds:schemaRefs>
    <ds:schemaRef ds:uri="http://gemini/pivotcustomization/TableXML_Departmental Profit Loss_72469cf3-d374-4c6c-8d3f-44e6e4c89a0c"/>
  </ds:schemaRefs>
</ds:datastoreItem>
</file>

<file path=customXml/itemProps78.xml><?xml version="1.0" encoding="utf-8"?>
<ds:datastoreItem xmlns:ds="http://schemas.openxmlformats.org/officeDocument/2006/customXml" ds:itemID="{98A66049-90BE-4D8F-9FCC-D1679AE3DA0E}">
  <ds:schemaRefs>
    <ds:schemaRef ds:uri="http://gemini/pivotcustomization/TableXML_Departmental Profit Loss_Budget_5725de27-a7a3-4ab3-b0ba-d0f172ac636f"/>
  </ds:schemaRefs>
</ds:datastoreItem>
</file>

<file path=customXml/itemProps79.xml><?xml version="1.0" encoding="utf-8"?>
<ds:datastoreItem xmlns:ds="http://schemas.openxmlformats.org/officeDocument/2006/customXml" ds:itemID="{0EC093D0-33E2-4060-A286-307D6562ABC8}">
  <ds:schemaRefs>
    <ds:schemaRef ds:uri="http://gemini/pivotcustomization/TableXML_Departmental Profit Loss_72469cf3-d374-4c6c-8d3f-44e6e4c89a0c"/>
  </ds:schemaRefs>
</ds:datastoreItem>
</file>

<file path=customXml/itemProps8.xml><?xml version="1.0" encoding="utf-8"?>
<ds:datastoreItem xmlns:ds="http://schemas.openxmlformats.org/officeDocument/2006/customXml" ds:itemID="{8B01C3F6-AC3D-4521-BAD4-795FEC556C45}">
  <ds:schemaRefs>
    <ds:schemaRef ds:uri="http://gemini/pivotcustomization/TableXML_Departmental Profit Loss_Budget_5725de27-a7a3-4ab3-b0ba-d0f172ac636f"/>
  </ds:schemaRefs>
</ds:datastoreItem>
</file>

<file path=customXml/itemProps80.xml><?xml version="1.0" encoding="utf-8"?>
<ds:datastoreItem xmlns:ds="http://schemas.openxmlformats.org/officeDocument/2006/customXml" ds:itemID="{DC2D0B0E-7D8A-4BDA-B4E2-6AA2B42CBB78}">
  <ds:schemaRefs>
    <ds:schemaRef ds:uri="http://gemini/pivotcustomization/IsSandboxEmbedded"/>
  </ds:schemaRefs>
</ds:datastoreItem>
</file>

<file path=customXml/itemProps81.xml><?xml version="1.0" encoding="utf-8"?>
<ds:datastoreItem xmlns:ds="http://schemas.openxmlformats.org/officeDocument/2006/customXml" ds:itemID="{2B855D2A-C884-45FE-8FE8-1166DC634118}">
  <ds:schemaRefs>
    <ds:schemaRef ds:uri="http://gemini/pivotcustomization/74b38768-469a-4b2e-a633-b7b863debef9"/>
  </ds:schemaRefs>
</ds:datastoreItem>
</file>

<file path=customXml/itemProps82.xml><?xml version="1.0" encoding="utf-8"?>
<ds:datastoreItem xmlns:ds="http://schemas.openxmlformats.org/officeDocument/2006/customXml" ds:itemID="{3257B164-B91E-4657-A9D6-3E322076429E}">
  <ds:schemaRefs>
    <ds:schemaRef ds:uri="http://gemini/pivotcustomization/47b452f6-fb7b-4d78-9c7f-65a49ca55cb9"/>
  </ds:schemaRefs>
</ds:datastoreItem>
</file>

<file path=customXml/itemProps83.xml><?xml version="1.0" encoding="utf-8"?>
<ds:datastoreItem xmlns:ds="http://schemas.openxmlformats.org/officeDocument/2006/customXml" ds:itemID="{BEE6872E-9639-4B8A-AC40-6E58DA3792F8}">
  <ds:schemaRefs>
    <ds:schemaRef ds:uri="http://gemini/pivotcustomization/TableXML_Departmental Profit Loss_Budget_5725de27-a7a3-4ab3-b0ba-d0f172ac636f"/>
  </ds:schemaRefs>
</ds:datastoreItem>
</file>

<file path=customXml/itemProps84.xml><?xml version="1.0" encoding="utf-8"?>
<ds:datastoreItem xmlns:ds="http://schemas.openxmlformats.org/officeDocument/2006/customXml" ds:itemID="{F3487C89-A588-42AC-ABCD-C8A7F3614E59}">
  <ds:schemaRefs>
    <ds:schemaRef ds:uri="http://gemini/pivotcustomization/TableXML_Departmental Profit Loss_72469cf3-d374-4c6c-8d3f-44e6e4c89a0c"/>
  </ds:schemaRefs>
</ds:datastoreItem>
</file>

<file path=customXml/itemProps85.xml><?xml version="1.0" encoding="utf-8"?>
<ds:datastoreItem xmlns:ds="http://schemas.openxmlformats.org/officeDocument/2006/customXml" ds:itemID="{4ADE2732-7390-40C5-96CA-E674B1CE8CCF}">
  <ds:schemaRefs>
    <ds:schemaRef ds:uri="http://gemini/pivotcustomization/ErrorCache"/>
  </ds:schemaRefs>
</ds:datastoreItem>
</file>

<file path=customXml/itemProps86.xml><?xml version="1.0" encoding="utf-8"?>
<ds:datastoreItem xmlns:ds="http://schemas.openxmlformats.org/officeDocument/2006/customXml" ds:itemID="{2B416DDB-C96D-4557-869B-AABC70B1D5A5}">
  <ds:schemaRefs>
    <ds:schemaRef ds:uri="http://gemini/pivotcustomization/74ac8160-6e19-4f1e-a094-b72418b6ad09"/>
  </ds:schemaRefs>
</ds:datastoreItem>
</file>

<file path=customXml/itemProps87.xml><?xml version="1.0" encoding="utf-8"?>
<ds:datastoreItem xmlns:ds="http://schemas.openxmlformats.org/officeDocument/2006/customXml" ds:itemID="{F2D71816-839A-485C-86DA-72FAFB487904}">
  <ds:schemaRefs>
    <ds:schemaRef ds:uri="http://gemini/pivotcustomization/TableXML_Departmental Profit Loss_72469cf3-d374-4c6c-8d3f-44e6e4c89a0c"/>
  </ds:schemaRefs>
</ds:datastoreItem>
</file>

<file path=customXml/itemProps88.xml><?xml version="1.0" encoding="utf-8"?>
<ds:datastoreItem xmlns:ds="http://schemas.openxmlformats.org/officeDocument/2006/customXml" ds:itemID="{ABA30ECE-2A7F-4E8D-B13A-E4EE9656D491}">
  <ds:schemaRefs>
    <ds:schemaRef ds:uri="http://gemini/pivotcustomization/TableXML_Departmental Profit Loss_72469cf3-d374-4c6c-8d3f-44e6e4c89a0c"/>
  </ds:schemaRefs>
</ds:datastoreItem>
</file>

<file path=customXml/itemProps89.xml><?xml version="1.0" encoding="utf-8"?>
<ds:datastoreItem xmlns:ds="http://schemas.openxmlformats.org/officeDocument/2006/customXml" ds:itemID="{BE91F8C9-776D-4720-B10F-FBD5BEB405B8}">
  <ds:schemaRefs>
    <ds:schemaRef ds:uri="http://gemini/pivotcustomization/TableXML_Departmental Profit Loss_72469cf3-d374-4c6c-8d3f-44e6e4c89a0c"/>
  </ds:schemaRefs>
</ds:datastoreItem>
</file>

<file path=customXml/itemProps9.xml><?xml version="1.0" encoding="utf-8"?>
<ds:datastoreItem xmlns:ds="http://schemas.openxmlformats.org/officeDocument/2006/customXml" ds:itemID="{2194D41B-5C3E-4014-8DD7-7D1A3061EB58}">
  <ds:schemaRefs>
    <ds:schemaRef ds:uri="http://gemini/pivotcustomization/aa000665-8879-4e6a-ba50-8721deb058bc"/>
  </ds:schemaRefs>
</ds:datastoreItem>
</file>

<file path=customXml/itemProps90.xml><?xml version="1.0" encoding="utf-8"?>
<ds:datastoreItem xmlns:ds="http://schemas.openxmlformats.org/officeDocument/2006/customXml" ds:itemID="{5AA86F15-486A-49E9-8D7E-B21BCE3B8CDD}">
  <ds:schemaRefs>
    <ds:schemaRef ds:uri="http://gemini/pivotcustomization/TableXML_Departmental Profit Loss_Budget_5725de27-a7a3-4ab3-b0ba-d0f172ac636f"/>
  </ds:schemaRefs>
</ds:datastoreItem>
</file>

<file path=customXml/itemProps91.xml><?xml version="1.0" encoding="utf-8"?>
<ds:datastoreItem xmlns:ds="http://schemas.openxmlformats.org/officeDocument/2006/customXml" ds:itemID="{E2E42491-895C-4BD7-AA35-17D469537104}">
  <ds:schemaRefs>
    <ds:schemaRef ds:uri="http://gemini/pivotcustomization/TableXML_Departmental Profit Loss_72469cf3-d374-4c6c-8d3f-44e6e4c89a0c"/>
  </ds:schemaRefs>
</ds:datastoreItem>
</file>

<file path=customXml/itemProps92.xml><?xml version="1.0" encoding="utf-8"?>
<ds:datastoreItem xmlns:ds="http://schemas.openxmlformats.org/officeDocument/2006/customXml" ds:itemID="{C2D3FDD5-BA94-4618-B9E1-AA7C3FA6F75E}">
  <ds:schemaRefs>
    <ds:schemaRef ds:uri="http://gemini/pivotcustomization/TableXML_Departmental Profit Loss_72469cf3-d374-4c6c-8d3f-44e6e4c89a0c"/>
  </ds:schemaRefs>
</ds:datastoreItem>
</file>

<file path=customXml/itemProps93.xml><?xml version="1.0" encoding="utf-8"?>
<ds:datastoreItem xmlns:ds="http://schemas.openxmlformats.org/officeDocument/2006/customXml" ds:itemID="{EB8495B0-E3CC-41D6-ADED-D5A12D961157}">
  <ds:schemaRefs>
    <ds:schemaRef ds:uri="http://gemini/pivotcustomization/TableXML_Departmental Profit Loss_Budget_5725de27-a7a3-4ab3-b0ba-d0f172ac636f"/>
  </ds:schemaRefs>
</ds:datastoreItem>
</file>

<file path=customXml/itemProps94.xml><?xml version="1.0" encoding="utf-8"?>
<ds:datastoreItem xmlns:ds="http://schemas.openxmlformats.org/officeDocument/2006/customXml" ds:itemID="{7CCB334E-8A87-458F-8EAE-359D9D351998}">
  <ds:schemaRefs>
    <ds:schemaRef ds:uri="http://gemini/pivotcustomization/TableXML_Departmental Profit Loss_72469cf3-d374-4c6c-8d3f-44e6e4c89a0c"/>
  </ds:schemaRefs>
</ds:datastoreItem>
</file>

<file path=customXml/itemProps95.xml><?xml version="1.0" encoding="utf-8"?>
<ds:datastoreItem xmlns:ds="http://schemas.openxmlformats.org/officeDocument/2006/customXml" ds:itemID="{DB6BB1FC-B617-494A-9748-A374E56703DE}">
  <ds:schemaRefs>
    <ds:schemaRef ds:uri="http://gemini/pivotcustomization/TableXML_Departmental Profit Loss_Budget_5725de27-a7a3-4ab3-b0ba-d0f172ac636f"/>
  </ds:schemaRefs>
</ds:datastoreItem>
</file>

<file path=customXml/itemProps96.xml><?xml version="1.0" encoding="utf-8"?>
<ds:datastoreItem xmlns:ds="http://schemas.openxmlformats.org/officeDocument/2006/customXml" ds:itemID="{0E21CE7F-4980-4F6E-9B8E-6DBCD0B17CDD}">
  <ds:schemaRefs>
    <ds:schemaRef ds:uri="http://gemini/pivotcustomization/139e28bc-8d93-4a1e-99d9-a5b681266f10"/>
  </ds:schemaRefs>
</ds:datastoreItem>
</file>

<file path=customXml/itemProps97.xml><?xml version="1.0" encoding="utf-8"?>
<ds:datastoreItem xmlns:ds="http://schemas.openxmlformats.org/officeDocument/2006/customXml" ds:itemID="{4FA9F4B7-7904-4D4B-A45C-45275B004981}">
  <ds:schemaRefs>
    <ds:schemaRef ds:uri="http://gemini/pivotcustomization/TableXML_Departmental Profit Loss_Budget_5725de27-a7a3-4ab3-b0ba-d0f172ac636f"/>
  </ds:schemaRefs>
</ds:datastoreItem>
</file>

<file path=customXml/itemProps98.xml><?xml version="1.0" encoding="utf-8"?>
<ds:datastoreItem xmlns:ds="http://schemas.openxmlformats.org/officeDocument/2006/customXml" ds:itemID="{1F629E19-9EDA-4957-B699-E608A0D4FDA1}">
  <ds:schemaRefs>
    <ds:schemaRef ds:uri="http://gemini/pivotcustomization/TableXML_Departmental Profit Loss_72469cf3-d374-4c6c-8d3f-44e6e4c89a0c"/>
  </ds:schemaRefs>
</ds:datastoreItem>
</file>

<file path=customXml/itemProps99.xml><?xml version="1.0" encoding="utf-8"?>
<ds:datastoreItem xmlns:ds="http://schemas.openxmlformats.org/officeDocument/2006/customXml" ds:itemID="{46186A00-BCAF-4241-BEF0-9E39CE62FCA2}">
  <ds:schemaRefs>
    <ds:schemaRef ds:uri="http://gemini/pivotcustomization/TableXML_Departmental Profit Loss_Budget_5725de27-a7a3-4ab3-b0ba-d0f172ac636f"/>
  </ds:schemaRefs>
</ds:datastoreItem>
</file>

<file path=docMetadata/LabelInfo.xml><?xml version="1.0" encoding="utf-8"?>
<clbl:labelList xmlns:clbl="http://schemas.microsoft.com/office/2020/mipLabelMetadata">
  <clbl:label id="{170051ed-867f-4092-a6af-8a42e27b7e09}" enabled="1" method="Standard" siteId="{5217e0e7-539d-4563-b1bf-7c6dcf074f91}"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Dashboard</vt:lpstr>
      <vt:lpstr>Data</vt:lpstr>
      <vt:lpstr>List</vt:lpstr>
      <vt:lpstr>G&amp;A</vt:lpstr>
      <vt:lpstr>R&amp;D</vt:lpstr>
      <vt:lpstr>CS</vt:lpstr>
      <vt:lpstr>S&amp;M</vt:lpstr>
      <vt:lpstr>G&amp;A_Budget</vt:lpstr>
      <vt:lpstr>R&amp;D_Budget</vt:lpstr>
      <vt:lpstr>CS_Budget</vt:lpstr>
      <vt:lpstr>S&amp;M_Budget</vt:lpstr>
      <vt:lpstr>CS!CS</vt:lpstr>
      <vt:lpstr>CS_Budget!CS_Budget</vt:lpstr>
      <vt:lpstr>CurrentMonth</vt:lpstr>
      <vt:lpstr>GandA</vt:lpstr>
      <vt:lpstr>'G&amp;A_Budget'!GandA_Budget</vt:lpstr>
      <vt:lpstr>'R&amp;D'!RandD</vt:lpstr>
      <vt:lpstr>'R&amp;D_Budget'!RandD_Budget</vt:lpstr>
      <vt:lpstr>'S&amp;M'!SandM</vt:lpstr>
      <vt:lpstr>'S&amp;M_Budget'!SandM_Budget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vs Actual Finance Dashboard</dc:title>
  <dc:subject/>
  <dc:creator>Darrell Day</dc:creator>
  <cp:keywords/>
  <dc:description/>
  <cp:lastModifiedBy>Darrell Day</cp:lastModifiedBy>
  <cp:revision/>
  <cp:lastPrinted>2025-07-01T22:55:42Z</cp:lastPrinted>
  <dcterms:created xsi:type="dcterms:W3CDTF">2024-08-09T21:14:56Z</dcterms:created>
  <dcterms:modified xsi:type="dcterms:W3CDTF">2026-07-07T20:40:52Z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0x010100E6FAE67CE2B7A849BC0898B7A9D77711</vt:lpwstr>
  </property>
</Properties>
</file>