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omments2.xml" ContentType="application/vnd.openxmlformats-officedocument.spreadsheetml.comments+xml"/>
  <Override PartName="/xl/threadedComments/threadedComment1.xml" ContentType="application/vnd.ms-excel.threadedcomments+xml"/>
  <Override PartName="/xl/drawings/drawing1.xml" ContentType="application/vnd.openxmlformats-officedocument.drawing+xml"/>
  <Override PartName="/xl/comments3.xml" ContentType="application/vnd.openxmlformats-officedocument.spreadsheetml.comments+xml"/>
  <Override PartName="/xl/threadedComments/threadedComment2.xml" ContentType="application/vnd.ms-excel.threadedcomments+xml"/>
  <Override PartName="/xl/charts/chart1.xml" ContentType="application/vnd.openxmlformats-officedocument.drawingml.chart+xml"/>
  <Override PartName="/xl/comments4.xml" ContentType="application/vnd.openxmlformats-officedocument.spreadsheetml.comments+xml"/>
  <Override PartName="/xl/threadedComments/threadedComment3.xml" ContentType="application/vnd.ms-excel.threadedcomments+xml"/>
  <Override PartName="/xl/drawings/drawing2.xml" ContentType="application/vnd.openxmlformats-officedocument.drawing+xml"/>
  <Override PartName="/xl/charts/chart2.xml" ContentType="application/vnd.openxmlformats-officedocument.drawingml.chart+xml"/>
  <Override PartName="/xl/charts/style1.xml" ContentType="application/vnd.ms-office.chartstyle+xml"/>
  <Override PartName="/xl/charts/colors1.xml" ContentType="application/vnd.ms-office.chartcolorstyle+xml"/>
  <Override PartName="/xl/drawings/drawing3.xml" ContentType="application/vnd.openxmlformats-officedocument.drawing+xml"/>
  <Override PartName="/xl/comments5.xml" ContentType="application/vnd.openxmlformats-officedocument.spreadsheetml.comments+xml"/>
  <Override PartName="/xl/threadedComments/threadedComment4.xml" ContentType="application/vnd.ms-excel.threadedcomments+xml"/>
  <Override PartName="/xl/charts/chart3.xml" ContentType="application/vnd.openxmlformats-officedocument.drawingml.chart+xml"/>
  <Override PartName="/xl/charts/style2.xml" ContentType="application/vnd.ms-office.chartstyle+xml"/>
  <Override PartName="/xl/charts/colors2.xml" ContentType="application/vnd.ms-office.chartcolorstyle+xml"/>
  <Override PartName="/xl/persons/person.xml" ContentType="application/vnd.ms-excel.person+xml"/>
  <Override PartName="/docMetadata/LabelInfo.xml" ContentType="application/vnd.ms-office.classificationlabels+xml"/>
  <Override PartName="/xl/webextensions/taskpanes.xml" ContentType="application/vnd.ms-office.webextensiontaskpanes+xml"/>
  <Override PartName="/xl/webextensions/webextension1.xml" ContentType="application/vnd.ms-office.webextensio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microsoft.com/office/2011/relationships/webextensiontaskpanes" Target="xl/webextensions/taskpanes.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extended-properties" Target="docProps/app.xml"/><Relationship Id="rId4" Type="http://schemas.openxmlformats.org/package/2006/relationships/metadata/core-properties" Target="docProps/core.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613"/>
  <workbookPr/>
  <mc:AlternateContent xmlns:mc="http://schemas.openxmlformats.org/markup-compatibility/2006">
    <mc:Choice Requires="x15">
      <x15ac:absPath xmlns:x15ac="http://schemas.microsoft.com/office/spreadsheetml/2010/11/ac" url="/Users/darrell/Downloads/"/>
    </mc:Choice>
  </mc:AlternateContent>
  <xr:revisionPtr revIDLastSave="0" documentId="13_ncr:1_{045A90ED-AAB2-3D41-AA84-8D33833B33BB}" xr6:coauthVersionLast="47" xr6:coauthVersionMax="47" xr10:uidLastSave="{00000000-0000-0000-0000-000000000000}"/>
  <bookViews>
    <workbookView xWindow="0" yWindow="600" windowWidth="60920" windowHeight="27140" activeTab="1" xr2:uid="{00000000-000D-0000-FFFF-FFFF00000000}"/>
  </bookViews>
  <sheets>
    <sheet name="Cover" sheetId="1" r:id="rId2"/>
    <sheet name="Valuation Summary" sheetId="2" r:id="rId3"/>
    <sheet name="Assumptions" sheetId="3" r:id="rId4"/>
    <sheet name="Historicals" sheetId="4" r:id="rId5"/>
    <sheet name="Forecast DCF" sheetId="5" r:id="rId6"/>
    <sheet name="Scenarios" sheetId="11" r:id="rId7"/>
    <sheet name="Monte Carlo" sheetId="12" r:id="rId8"/>
    <sheet name="Trading Comps" sheetId="6" r:id="rId9"/>
    <sheet name="Sensitivity" sheetId="7" r:id="rId10"/>
    <sheet name="Sources" sheetId="8" state="hidden" r:id="rId11"/>
    <sheet name="Validations" sheetId="9" r:id="rId12"/>
  </sheets>
  <calcPr calcId="191029" iterateDelta="1E-4"/>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loext="http://schemas.libreoffice.org/" uri="{7626C862-2A13-11E5-B345-FEFF819CDC9F}">
      <loext:extCalcPr stringRefSyntax="ExcelA1"/>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Darrell Day</author>
  </authors>
  <commentList>
    <comment ref="C32" authorId="0" shapeId="0" xr:uid="{00000000-0006-0000-0200-000001000000}">
      <text>
        <r>
          <rPr>
            <sz val="10"/>
            <rFont val="Arial"/>
            <family val="2"/>
          </rPr>
          <t>FMP analyst-estimates revenueAvg. API key omitted from Sources URL.</t>
        </r>
      </text>
    </comment>
    <comment ref="H32" authorId="0" shapeId="0" xr:uid="{00000000-0006-0000-0200-000002000000}">
      <text>
        <r>
          <rPr>
            <sz val="10"/>
            <rFont val="Arial"/>
            <family val="2"/>
          </rPr>
          <t>Formula-driven revenue from the model assumption growth fade.</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tc={49937F67-4241-674B-871A-40825624B337}</author>
    <author>Darrell Day</author>
  </authors>
  <commentList>
    <comment ref="C15" authorId="0" shapeId="0" xr:uid="{49937F67-4241-674B-871A-40825624B337}">
      <text>
        <t>[Threaded comment]
Your version of Excel allows you to read this threaded comment; however, any edits to it will get removed if the file is opened in a newer version of Excel. Learn more: https://go.microsoft.com/fwlink/?linkid=870924
Comment:
    2022A balance sheet (cash / debt / net debt) not available in this session; CoreWeave was private in 2022. Backfill from the S-1 if needed. Not used in the DCF, whose base year is 2025A.</t>
      </text>
    </comment>
    <comment ref="D15" authorId="1" shapeId="0" xr:uid="{00000000-0006-0000-0300-000001000000}">
      <text>
        <r>
          <rPr>
            <sz val="10"/>
            <rFont val="Arial"/>
            <family val="2"/>
          </rPr>
          <t>FMP balance-sheet-statement fiscal-year row.</t>
        </r>
      </text>
    </comment>
    <comment ref="E15" authorId="1" shapeId="0" xr:uid="{00000000-0006-0000-0300-000004000000}">
      <text>
        <r>
          <rPr>
            <sz val="10"/>
            <rFont val="Arial"/>
            <family val="2"/>
          </rPr>
          <t>FMP balance-sheet-statement fiscal-year row.</t>
        </r>
      </text>
    </comment>
    <comment ref="F15" authorId="1" shapeId="0" xr:uid="{00000000-0006-0000-0300-000007000000}">
      <text>
        <r>
          <rPr>
            <sz val="10"/>
            <rFont val="Arial"/>
            <family val="2"/>
          </rPr>
          <t>FMP balance-sheet-statement fiscal-year row.</t>
        </r>
      </text>
    </comment>
    <comment ref="D16" authorId="1" shapeId="0" xr:uid="{00000000-0006-0000-0300-000002000000}">
      <text>
        <r>
          <rPr>
            <sz val="10"/>
            <rFont val="Arial"/>
            <family val="2"/>
          </rPr>
          <t>FMP balance-sheet-statement fiscal-year row.</t>
        </r>
      </text>
    </comment>
    <comment ref="E16" authorId="1" shapeId="0" xr:uid="{00000000-0006-0000-0300-000005000000}">
      <text>
        <r>
          <rPr>
            <sz val="10"/>
            <rFont val="Arial"/>
            <family val="2"/>
          </rPr>
          <t>FMP balance-sheet-statement fiscal-year row.</t>
        </r>
      </text>
    </comment>
    <comment ref="F16" authorId="1" shapeId="0" xr:uid="{00000000-0006-0000-0300-000008000000}">
      <text>
        <r>
          <rPr>
            <sz val="10"/>
            <rFont val="Arial"/>
            <family val="2"/>
          </rPr>
          <t>FMP balance-sheet-statement fiscal-year row.</t>
        </r>
      </text>
    </comment>
    <comment ref="D17" authorId="1" shapeId="0" xr:uid="{00000000-0006-0000-0300-000003000000}">
      <text>
        <r>
          <rPr>
            <sz val="10"/>
            <rFont val="Arial"/>
            <family val="2"/>
          </rPr>
          <t>FMP balance-sheet-statement fiscal-year row.</t>
        </r>
      </text>
    </comment>
    <comment ref="E17" authorId="1" shapeId="0" xr:uid="{00000000-0006-0000-0300-000006000000}">
      <text>
        <r>
          <rPr>
            <sz val="10"/>
            <rFont val="Arial"/>
            <family val="2"/>
          </rPr>
          <t>FMP balance-sheet-statement fiscal-year row.</t>
        </r>
      </text>
    </comment>
    <comment ref="F17" authorId="1" shapeId="0" xr:uid="{00000000-0006-0000-0300-000009000000}">
      <text>
        <r>
          <rPr>
            <sz val="10"/>
            <rFont val="Arial"/>
            <family val="2"/>
          </rPr>
          <t>FMP balance-sheet-statement fiscal-year row.</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tc={B454B1D2-02DA-354A-89D3-5FEC08787A63}</author>
    <author>tc={B9B161C3-0864-9249-B876-3B5EE49F2E3A}</author>
  </authors>
  <commentList>
    <comment ref="C37" authorId="0" shapeId="0" xr:uid="{B454B1D2-02DA-354A-89D3-5FEC08787A63}">
      <text>
        <t>[Threaded comment]
Your version of Excel allows you to read this threaded comment; however, any edits to it will get removed if the file is opened in a newer version of Excel. Learn more: https://go.microsoft.com/fwlink/?linkid=870924
Comment:
    Implied exit EV/EBITDA from the perpetuity-growth method. Low vs comps (23-29x today) because terminal FCF conversion is only ~35% of EBITDA: terminal capex is set at 30% of revenue (= D&amp;A), so steady-state FCF equals NOPAT. A higher assumed terminal multiple implies the market credits stronger perpetual growth.</t>
      </text>
    </comment>
    <comment ref="C38" authorId="1" shapeId="0" xr:uid="{B9B161C3-0864-9249-B876-3B5EE49F2E3A}">
      <text>
        <t>[Threaded comment]
Your version of Excel allows you to read this threaded comment; however, any edits to it will get removed if the file is opened in a newer version of Excel. Learn more: https://go.microsoft.com/fwlink/?linkid=870924
Comment:
    Assumed mature-company exit EV/EBITDA. Multiples compress sharply as hypergrowth fades; 8x is a conservative infrastructure terminal level. Flex to see the exit-multiple valuation.</t>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tc={8F8A1B0C-4090-9742-85A2-3E817BCCA542}</author>
    <author>tc={0BB61041-7118-6E41-8BCE-A21E876DAB9F}</author>
  </authors>
  <commentList>
    <comment ref="D10" authorId="0" shapeId="0" xr:uid="{8F8A1B0C-4090-9742-85A2-3E817BCCA542}">
      <text>
        <t>[Threaded comment]
Your version of Excel allows you to read this threaded comment; however, any edits to it will get removed if the file is opened in a newer version of Excel. Learn more: https://go.microsoft.com/fwlink/?linkid=870924
Comment:
    Base column links live to Assumptions/Forecast DCF and always reproduces the model's output exactly.</t>
      </text>
    </comment>
    <comment ref="C14" authorId="1" shapeId="0" xr:uid="{0BB61041-7118-6E41-8BCE-A21E876DAB9F}">
      <text>
        <t>[Threaded comment]
Your version of Excel allows you to read this threaded comment; however, any edits to it will get removed if the file is opened in a newer version of Excel. Learn more: https://go.microsoft.com/fwlink/?linkid=870924
Comment:
    Revenue path is held at the analyst-anchored base across all three scenarios; Bear/Bull flex profitability (terminal margin), discount rate (WACC), and terminal growth, not the top line.</t>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tc={33A59CF1-3EAB-E841-B879-172AFEA35525}</author>
  </authors>
  <commentList>
    <comment ref="F8" authorId="0" shapeId="0" xr:uid="{33A59CF1-3EAB-E841-B879-172AFEA35525}">
      <text>
        <t>[Threaded comment]
Your version of Excel allows you to read this threaded comment; however, any edits to it will get removed if the file is opened in a newer version of Excel. Learn more: https://go.microsoft.com/fwlink/?linkid=870924
Comment:
    TSM income-statement and EV figures are in TWD millions (reporting currency) while market cap is USD, so the absolute $ columns are not USD-comparable for TSM. EV/Sales and EV/EBITDA multiples are currency-neutral ratios and remain valid. USD figures could not be re-pulled (no API access in this session).</t>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<sst xmlns="http://schemas.openxmlformats.org/spreadsheetml/2006/main" count="678" uniqueCount="328">
  <si>
    <t>CoreWeave DCF and AI Compute Infrastructure Valuation</t>
  </si>
  <si>
    <t>What is CoreWeave worth when the model lets the buildout mature into normalized free cash flow?</t>
  </si>
  <si>
    <t>Valuation snapshot</t>
  </si>
  <si>
    <t>Current share price</t>
  </si>
  <si>
    <t>DCF value per share</t>
  </si>
  <si>
    <t>DCF premium / discount</t>
  </si>
  <si>
    <t>Current market cap ($mm)</t>
  </si>
  <si>
    <t>Net debt ($mm)</t>
  </si>
  <si>
    <t>WACC</t>
  </si>
  <si>
    <t>Terminal growth</t>
  </si>
  <si>
    <t>2035E revenue ($mm)</t>
  </si>
  <si>
    <t>2035E FCF margin</t>
  </si>
  <si>
    <t>Model scope</t>
  </si>
  <si>
    <t>Company</t>
  </si>
  <si>
    <t>CoreWeave, Inc. Class A Common Stock</t>
  </si>
  <si>
    <t>Ticker</t>
  </si>
  <si>
    <t>NASDAQ: CRWV</t>
  </si>
  <si>
    <t>Financial source</t>
  </si>
  <si>
    <t>FMP annual statements, quote, profile, key metrics, ratios, analyst estimates, Treasury rates</t>
  </si>
  <si>
    <t>Valuation date</t>
  </si>
  <si>
    <t>2026-06-17</t>
  </si>
  <si>
    <t>Comps</t>
  </si>
  <si>
    <t>NVDA, TSM, ASML, AMD</t>
  </si>
  <si>
    <t>Valuation Summary</t>
  </si>
  <si>
    <t>DCF, market, and trading-comps views tied to the same source and assumption set.</t>
  </si>
  <si>
    <t>Decision outputs</t>
  </si>
  <si>
    <t>Enterprise value from DCF ($mm)</t>
  </si>
  <si>
    <t>Less: net debt ($mm)</t>
  </si>
  <si>
    <t>Equity value from DCF ($mm)</t>
  </si>
  <si>
    <t>Current enterprise value ($mm)</t>
  </si>
  <si>
    <t>Quote-implied shares (mm)</t>
  </si>
  <si>
    <t>Valuation method bridge</t>
  </si>
  <si>
    <t>Method</t>
  </si>
  <si>
    <t>Metric</t>
  </si>
  <si>
    <t>Source input</t>
  </si>
  <si>
    <t>Enterprise value ($mm)</t>
  </si>
  <si>
    <t>Equity value/share</t>
  </si>
  <si>
    <t>Read</t>
  </si>
  <si>
    <t>DCF</t>
  </si>
  <si>
    <t>UFCF with normalized terminal year</t>
  </si>
  <si>
    <t>Forecast DCF</t>
  </si>
  <si>
    <t>Cash-flow value after buildout capex fades</t>
  </si>
  <si>
    <t>Trading comps</t>
  </si>
  <si>
    <t>Median EV / Sales on 2026E sales</t>
  </si>
  <si>
    <t>FMP comp key metrics + CRWV 2026E revenue</t>
  </si>
  <si>
    <t>Multiple view prices the revenue ramp</t>
  </si>
  <si>
    <t>Current market</t>
  </si>
  <si>
    <t>Quote market cap + net debt</t>
  </si>
  <si>
    <t>FMP quote and 2025 balance sheet</t>
  </si>
  <si>
    <t>Market price embeds future capacity value</t>
  </si>
  <si>
    <t>Assumptions</t>
  </si>
  <si>
    <t>Blue cells are editable assumptions; green cells link to source values or internal calculations.</t>
  </si>
  <si>
    <t>Market and capital structure</t>
  </si>
  <si>
    <t>FMP Treasury rates latest row</t>
  </si>
  <si>
    <t>FMP quote</t>
  </si>
  <si>
    <t>Market cap / price</t>
  </si>
  <si>
    <t>Cash and equivalents ($mm)</t>
  </si>
  <si>
    <t>FMP balance sheet</t>
  </si>
  <si>
    <t>Total debt ($mm)</t>
  </si>
  <si>
    <t>WACC inputs</t>
  </si>
  <si>
    <t>10-year Treasury</t>
  </si>
  <si>
    <t>FMP Treasury rates</t>
  </si>
  <si>
    <t>Equity risk premium</t>
  </si>
  <si>
    <t>Model assumption</t>
  </si>
  <si>
    <t>Beta used</t>
  </si>
  <si>
    <t>Median of NVDA, TSM, ASML, AMD FMP betas</t>
  </si>
  <si>
    <t>Company risk premium</t>
  </si>
  <si>
    <t>Model assumption for leverage and customer concentration</t>
  </si>
  <si>
    <t>Cost of equity</t>
  </si>
  <si>
    <t>CAPM plus company risk premium</t>
  </si>
  <si>
    <t>Pretax cost of debt</t>
  </si>
  <si>
    <t>2025 interest expense / average total debt</t>
  </si>
  <si>
    <t>Tax rate</t>
  </si>
  <si>
    <t>Federal statutory assumption</t>
  </si>
  <si>
    <t>Debt weight</t>
  </si>
  <si>
    <t>Debt / debt plus market equity</t>
  </si>
  <si>
    <t>Equity weight</t>
  </si>
  <si>
    <t>Market equity weight</t>
  </si>
  <si>
    <t>Weighted average cost of capital</t>
  </si>
  <si>
    <t>DCF operating assumptions</t>
  </si>
  <si>
    <t>Model assumption below WACC</t>
  </si>
  <si>
    <t>NWC investment on incremental revenue</t>
  </si>
  <si>
    <t>Driver</t>
  </si>
  <si>
    <t>2026E</t>
  </si>
  <si>
    <t>2027E</t>
  </si>
  <si>
    <t>2028E</t>
  </si>
  <si>
    <t>2029E</t>
  </si>
  <si>
    <t>2030E</t>
  </si>
  <si>
    <t>2031E</t>
  </si>
  <si>
    <t>2032E</t>
  </si>
  <si>
    <t>2033E</t>
  </si>
  <si>
    <t>2034E</t>
  </si>
  <si>
    <t>2035E</t>
  </si>
  <si>
    <t>Revenue ($mm)</t>
  </si>
  <si>
    <t>Revenue growth</t>
  </si>
  <si>
    <t>EBIT margin</t>
  </si>
  <si>
    <t>D&amp;A / revenue</t>
  </si>
  <si>
    <t>Capex / revenue</t>
  </si>
  <si>
    <t>Historical Financials</t>
  </si>
  <si>
    <t>FMP annual statements in USD millions unless noted.</t>
  </si>
  <si>
    <t>2022A</t>
  </si>
  <si>
    <t>2023A</t>
  </si>
  <si>
    <t>2024A</t>
  </si>
  <si>
    <t>2025A</t>
  </si>
  <si>
    <t>Revenue</t>
  </si>
  <si>
    <t>Gross profit</t>
  </si>
  <si>
    <t>EBITDA</t>
  </si>
  <si>
    <t>EBIT</t>
  </si>
  <si>
    <t>Operating income</t>
  </si>
  <si>
    <t>Net income</t>
  </si>
  <si>
    <t>Operating cash flow</t>
  </si>
  <si>
    <t>Capital expenditures</t>
  </si>
  <si>
    <t>Free cash flow</t>
  </si>
  <si>
    <t>Cash and equivalents</t>
  </si>
  <si>
    <t>Total debt</t>
  </si>
  <si>
    <t>Net debt</t>
  </si>
  <si>
    <t>Shares diluted (mm)</t>
  </si>
  <si>
    <t>EBITDA margin</t>
  </si>
  <si>
    <t>Tax on EBIT</t>
  </si>
  <si>
    <t>NOPAT</t>
  </si>
  <si>
    <t>D&amp;A</t>
  </si>
  <si>
    <t>Change in NWC</t>
  </si>
  <si>
    <t>Unlevered FCF</t>
  </si>
  <si>
    <t>FCF margin</t>
  </si>
  <si>
    <t>Discount factor</t>
  </si>
  <si>
    <t>PV of FCF</t>
  </si>
  <si>
    <t>Terminal FCF</t>
  </si>
  <si>
    <t>Terminal value</t>
  </si>
  <si>
    <t>PV of terminal value</t>
  </si>
  <si>
    <t>Enterprise value</t>
  </si>
  <si>
    <t>Less: net debt</t>
  </si>
  <si>
    <t>Equity value</t>
  </si>
  <si>
    <t>DCF value / share</t>
  </si>
  <si>
    <t>Premium / discount</t>
  </si>
  <si>
    <t>Trading Comps</t>
  </si>
  <si>
    <t>AI compute infrastructure and semiconductor supply-chain comps from FMP profile, quote, and key-metrics endpoints.</t>
  </si>
  <si>
    <t>Beta</t>
  </si>
  <si>
    <t>Market cap ($mm)</t>
  </si>
  <si>
    <t>EBITDA ($mm)</t>
  </si>
  <si>
    <t>EV / Sales</t>
  </si>
  <si>
    <t>EV / EBITDA</t>
  </si>
  <si>
    <t>Capex / Revenue</t>
  </si>
  <si>
    <t>Currency</t>
  </si>
  <si>
    <t>CRWV</t>
  </si>
  <si>
    <t>USD</t>
  </si>
  <si>
    <t>NVDA</t>
  </si>
  <si>
    <t>NVIDIA Corporation</t>
  </si>
  <si>
    <t>TSM</t>
  </si>
  <si>
    <t>Taiwan Semiconductor Manufacturing Company Limited</t>
  </si>
  <si>
    <t>ASML</t>
  </si>
  <si>
    <t>ASML Holding N.V.</t>
  </si>
  <si>
    <t>AMD</t>
  </si>
  <si>
    <t>Advanced Micro Devices, Inc.</t>
  </si>
  <si>
    <t>Median comps</t>
  </si>
  <si>
    <t>Mean comps</t>
  </si>
  <si>
    <t>Sensitivity</t>
  </si>
  <si>
    <t>Sources and Audit Trail</t>
  </si>
  <si>
    <t>Every imported number in the model comes from FMP or a visible assumption cell.</t>
  </si>
  <si>
    <t>Item</t>
  </si>
  <si>
    <t>Symbol</t>
  </si>
  <si>
    <t>Endpoint</t>
  </si>
  <si>
    <t>Period / as of</t>
  </si>
  <si>
    <t>Fields used</t>
  </si>
  <si>
    <t>URL</t>
  </si>
  <si>
    <t>Note</t>
  </si>
  <si>
    <t>Status</t>
  </si>
  <si>
    <t>FMP data</t>
  </si>
  <si>
    <t>profile</t>
  </si>
  <si>
    <t>selected fields</t>
  </si>
  <si>
    <t>https://financialmodelingprep.com/stable/profile?apikey=%3CFMP_API_KEY%3E</t>
  </si>
  <si>
    <t>Pulled during model build; API key omitted from URL text.</t>
  </si>
  <si>
    <t>OK</t>
  </si>
  <si>
    <t>quote</t>
  </si>
  <si>
    <t>https://financialmodelingprep.com/stable/quote?apikey=%3CFMP_API_KEY%3E</t>
  </si>
  <si>
    <t>income-statement</t>
  </si>
  <si>
    <t>2025-12-31</t>
  </si>
  <si>
    <t>https://financialmodelingprep.com/stable/income-statement?limit=6&amp;period=annual&amp;apikey=%3CFMP_API_KEY%3E</t>
  </si>
  <si>
    <t>balance-sheet-statement</t>
  </si>
  <si>
    <t>https://financialmodelingprep.com/stable/balance-sheet-statement?limit=6&amp;period=annual&amp;apikey=%3CFMP_API_KEY%3E</t>
  </si>
  <si>
    <t>cash-flow-statement</t>
  </si>
  <si>
    <t>https://financialmodelingprep.com/stable/cash-flow-statement?limit=6&amp;period=annual&amp;apikey=%3CFMP_API_KEY%3E</t>
  </si>
  <si>
    <t>key-metrics</t>
  </si>
  <si>
    <t>https://financialmodelingprep.com/stable/key-metrics?limit=6&amp;period=annual&amp;apikey=%3CFMP_API_KEY%3E</t>
  </si>
  <si>
    <t>ratios</t>
  </si>
  <si>
    <t>https://financialmodelingprep.com/stable/ratios?limit=6&amp;period=annual&amp;apikey=%3CFMP_API_KEY%3E</t>
  </si>
  <si>
    <t>enterprise-values</t>
  </si>
  <si>
    <t>https://financialmodelingprep.com/stable/enterprise-values?limit=6&amp;period=annual&amp;apikey=%3CFMP_API_KEY%3E</t>
  </si>
  <si>
    <t>analyst-estimates</t>
  </si>
  <si>
    <t>2030-12-31</t>
  </si>
  <si>
    <t>https://financialmodelingprep.com/stable/analyst-estimates?limit=10&amp;period=annual&amp;apikey=%3CFMP_API_KEY%3E</t>
  </si>
  <si>
    <t>US Treasury</t>
  </si>
  <si>
    <t>treasury-rates</t>
  </si>
  <si>
    <t>https://financialmodelingprep.com/stable/treasury-rates?from=2026-06-01&amp;to=2026-06-18&amp;apikey=%3CFMP_API_KEY%3E</t>
  </si>
  <si>
    <t>2026-01-25</t>
  </si>
  <si>
    <t>https://financialmodelingprep.com/stable/income-statement?limit=2&amp;period=annual&amp;apikey=%3CFMP_API_KEY%3E</t>
  </si>
  <si>
    <t>https://financialmodelingprep.com/stable/cash-flow-statement?limit=2&amp;period=annual&amp;apikey=%3CFMP_API_KEY%3E</t>
  </si>
  <si>
    <t>https://financialmodelingprep.com/stable/key-metrics?limit=2&amp;period=annual&amp;apikey=%3CFMP_API_KEY%3E</t>
  </si>
  <si>
    <t>https://financialmodelingprep.com/stable/ratios?limit=2&amp;period=annual&amp;apikey=%3CFMP_API_KEY%3E</t>
  </si>
  <si>
    <t>https://financialmodelingprep.com/stable/enterprise-values?limit=2&amp;period=annual&amp;apikey=%3CFMP_API_KEY%3E</t>
  </si>
  <si>
    <t>2031-01-25</t>
  </si>
  <si>
    <t>https://financialmodelingprep.com/stable/analyst-estimates?limit=6&amp;period=annual&amp;apikey=%3CFMP_API_KEY%3E</t>
  </si>
  <si>
    <t>2029-12-31</t>
  </si>
  <si>
    <t>2025-12-27</t>
  </si>
  <si>
    <t>2030-12-27</t>
  </si>
  <si>
    <t>Assumption</t>
  </si>
  <si>
    <t>DCF ramp</t>
  </si>
  <si>
    <t>2026-2035</t>
  </si>
  <si>
    <t>EBIT margin, D&amp;A, capex, NWC, terminal growth</t>
  </si>
  <si>
    <t>Workbook assumptions tab</t>
  </si>
  <si>
    <t>Editable assumptions are explicitly labeled on the Assumptions sheet.</t>
  </si>
  <si>
    <t>Terminal growth below WACC</t>
  </si>
  <si>
    <t>Findings</t>
  </si>
  <si>
    <t xml:space="preserve">DCF valuation exhibits positive inflection point when forecasts are extended beyond the buildout trough period, requiring capex to normalize toward D&amp;A by 2035. </t>
  </si>
  <si>
    <t>Turn #</t>
  </si>
  <si>
    <t>Date</t>
  </si>
  <si>
    <t>User Request</t>
  </si>
  <si>
    <t>Action Taken</t>
  </si>
  <si>
    <t>Details</t>
  </si>
  <si>
    <t>Outcome</t>
  </si>
  <si>
    <t>Audit the open CoreWeave DCF model (DDay_CRWV-CoreWeave-DCF) and recommend how to elevate it, using uploaded compute-capital-stack.xlsx as the standard for formatting/rigor.</t>
  </si>
  <si>
    <t>Full workbook audit (audit-xls, model scope). Read all 9 sheets + reference file's Design/Checks standards. Workbook-wide error scan.</t>
  </si>
  <si>
    <t>Found 1 broken cell (Assumptions!B32 #NAME?), mean/median label mismatch (Valuation Summary B22 vs D22), Trading Comps number formats banded by row not column, TV=93% of EV, weak Validations (non-independent), blank 2022A historicals, sensitivity axis not anchored to live WACC. Reference bar: Monte Carlo, scenarios, independent-derivation checks, design system.</t>
  </si>
  <si>
    <t>Audit complete; findings + elevation roadmap presented to user. No model changes yet (report-first per audit protocol); awaiting user direction on which fixes/upgrades to action.</t>
  </si>
  <si>
    <t>Scenarios</t>
  </si>
  <si>
    <t>Bear, Base, and Bull cases flex the three classic DCF levers: WACC, terminal growth, and terminal EBIT margin. The Base column links live to the model and always reproduces it.</t>
  </si>
  <si>
    <t>Active Scenario (1 = Bear, 2 = Base, 3 = Bull)</t>
  </si>
  <si>
    <t>Selected Value per Share ($)</t>
  </si>
  <si>
    <t>Selected Premium / (Discount) to Price</t>
  </si>
  <si>
    <t>Driver / Output</t>
  </si>
  <si>
    <t>Bear</t>
  </si>
  <si>
    <t>Base</t>
  </si>
  <si>
    <t>Bull</t>
  </si>
  <si>
    <t>Terminal Growth (g)</t>
  </si>
  <si>
    <t>Terminal EBIT Margin</t>
  </si>
  <si>
    <t>PV of Explicit UFCF ($mm)</t>
  </si>
  <si>
    <t>Normalized Terminal UFCF ($mm)</t>
  </si>
  <si>
    <t>Terminal Value ($mm)</t>
  </si>
  <si>
    <t>PV of Terminal Value ($mm)</t>
  </si>
  <si>
    <t>Enterprise Value ($mm)</t>
  </si>
  <si>
    <t>Less: Net Debt ($mm)</t>
  </si>
  <si>
    <t>Equity Value ($mm)</t>
  </si>
  <si>
    <t>Value per Share ($)</t>
  </si>
  <si>
    <t>Premium / (Discount) to Price</t>
  </si>
  <si>
    <t>% of EV in Terminal Value</t>
  </si>
  <si>
    <t>Monte Carlo Simulation</t>
  </si>
  <si>
    <t>500 trials. Each trial draws WACC, terminal growth, and terminal EBIT margin from triangular distributions anchored on the Base case, then re-derives value per share. Press F9 to resample. Revenue path held at base.</t>
  </si>
  <si>
    <t>Triangular Inputs</t>
  </si>
  <si>
    <t>Min</t>
  </si>
  <si>
    <t>Mode (Base)</t>
  </si>
  <si>
    <t>Max</t>
  </si>
  <si>
    <t>Trial</t>
  </si>
  <si>
    <t>u(W)</t>
  </si>
  <si>
    <t>u(g)</t>
  </si>
  <si>
    <t>u(m)</t>
  </si>
  <si>
    <t>g</t>
  </si>
  <si>
    <t>Margin</t>
  </si>
  <si>
    <t>EV ($mm)</t>
  </si>
  <si>
    <t>VPS ($)</t>
  </si>
  <si>
    <t>Simulation Output</t>
  </si>
  <si>
    <t>Trials</t>
  </si>
  <si>
    <t>Mean ($)</t>
  </si>
  <si>
    <t>Median ($)</t>
  </si>
  <si>
    <t>Std Dev ($)</t>
  </si>
  <si>
    <t>P10 ($)</t>
  </si>
  <si>
    <t>P25 ($)</t>
  </si>
  <si>
    <t>P75 ($)</t>
  </si>
  <si>
    <t>P90 ($)</t>
  </si>
  <si>
    <t>Min ($)</t>
  </si>
  <si>
    <t>Max ($)</t>
  </si>
  <si>
    <t>Base Case ($, deterministic)</t>
  </si>
  <si>
    <t>Current Price ($)</t>
  </si>
  <si>
    <t>P(Value &gt; Price)</t>
  </si>
  <si>
    <t>Bin Upper ($)</t>
  </si>
  <si>
    <t>Count</t>
  </si>
  <si>
    <t>Terminal Value Cross-Check</t>
  </si>
  <si>
    <t>Terminal-Year EBITDA ($mm)</t>
  </si>
  <si>
    <t>Perpetuity-Growth Terminal Value ($mm)</t>
  </si>
  <si>
    <t>Implied Exit EV / EBITDA (from perpetuity)</t>
  </si>
  <si>
    <t>Exit EV / EBITDA Multiple (input)</t>
  </si>
  <si>
    <t>Exit-Multiple Terminal Value ($mm)</t>
  </si>
  <si>
    <t>Implied Perpetuity Growth (from exit multiple)</t>
  </si>
  <si>
    <t>Perpetuity Method: Enterprise Value ($mm)</t>
  </si>
  <si>
    <t>Exit-Multiple Method: Enterprise Value ($mm)</t>
  </si>
  <si>
    <t>Perpetuity Method: Value per Share ($)</t>
  </si>
  <si>
    <t>Exit-Multiple Method: Value per Share ($)</t>
  </si>
  <si>
    <t>Difference (Exit vs Perpetuity)</t>
  </si>
  <si>
    <t>Independent derivations against the live model. Each result is recomputed a second, independent way; Pass requires the two to agree within tolerance.</t>
  </si>
  <si>
    <t>Passing</t>
  </si>
  <si>
    <t>#</t>
  </si>
  <si>
    <t>Reconciliation</t>
  </si>
  <si>
    <t>This Model</t>
  </si>
  <si>
    <t>Independent</t>
  </si>
  <si>
    <t>Pass</t>
  </si>
  <si>
    <t>Basis</t>
  </si>
  <si>
    <t>Enterprise value, two derivations</t>
  </si>
  <si>
    <t>Model EV (PV rows + PV terminal) vs an independent re-discount of UFCF and the terminal value at WACC.</t>
  </si>
  <si>
    <t>WACC, rebuilt from primitives</t>
  </si>
  <si>
    <t>Model WACC vs CAPM cost of equity and after-tax cost of debt recomputed from risk-free, beta, ERP, company premium, and capital weights.</t>
  </si>
  <si>
    <t>Net debt equals gross debt less cash</t>
  </si>
  <si>
    <t>Net debt reconciles to total debt minus cash and equivalents.</t>
  </si>
  <si>
    <t>Equity bridge ties to per-share value</t>
  </si>
  <si>
    <t>DCF value per share equals (enterprise value - net debt) divided by diluted shares.</t>
  </si>
  <si>
    <t>The perpetuity requires g &lt; WACC, otherwise terminal value is undefined or negative.</t>
  </si>
  <si>
    <t>Terminal reinvestment equals depreciation</t>
  </si>
  <si>
    <t>In the terminal year capex/revenue must equal D&amp;A/revenue, holding the asset base flat in steady state.</t>
  </si>
  <si>
    <t>Mid-year discount factor</t>
  </si>
  <si>
    <t>First-period discount factor follows the mid-year convention (period - 0.5).</t>
  </si>
  <si>
    <t>Scenarios Base reproduces the model</t>
  </si>
  <si>
    <t>The Base column of the Scenarios tab independently rebuilds the DCF and must match the live model.</t>
  </si>
  <si>
    <t>Monte Carlo P50 brackets the base case</t>
  </si>
  <si>
    <t>An independent 500-trial sampling of the same assumptions brackets the deterministic base within 15%.</t>
  </si>
  <si>
    <t>Comps EV within 50% of DCF EV</t>
  </si>
  <si>
    <t>Comparable-companies EV (median EV/Sales x 2026E sales) sits within 50% of the DCF enterprise value.</t>
  </si>
  <si>
    <t>Validations: Independent Checks</t>
  </si>
  <si>
    <t>DCF value per share and implied premium across WACC and terminal growth. Axes are anchored on the live base case (the highlighted center cell), so the grid always reproduces the model at its center.</t>
  </si>
  <si>
    <t>WACC \ g</t>
  </si>
  <si>
    <t>Implied Premium / (Discount) to Current Price</t>
  </si>
  <si>
    <t>Execute the full elevation roadmap on the CoreWeave DCF model in sequence.</t>
  </si>
  <si>
    <t>Built all 6 phases: (1) fixed audit bugs, (2) Scenarios tab, (3) Monte Carlo tab, (4) dual terminal value, (5) independent-derivation Checks, (6) rebuilt Sensitivity.</t>
  </si>
  <si>
    <t>Fixes: Assumptions!B32 #NAME?, comps per-column number formats + median (not mean) EV/Sales in Valuation Summary!D22, color/currency/gap notes. New tabs: Scenarios (Bear/Base/Bull, Base links live), Monte Carlo (500 triangular trials + histogram), Forecast DCF cross-check rows 31-43 (perpetuity vs 8x exit), Validations rebuilt as 10 independent rederivations, Sensitivity rebuilt with live-anchored axes + heatmap + base highlight. Could not re-pull FMP (no network in session).</t>
  </si>
  <si>
    <t>Complete. Workbook error-free; all 10 checks PASS; base case reproduced exactly across Scenarios/Sensitivity ($201.73/sh). MC: mean ~$199, P10-P90 ~$152-252. Key insight surfaced: implied terminal exit multiple is only ~3.8x (low), driven by 30%-of-revenue terminal capex.</t>
  </si>
  <si>
    <t>Add a thin bottom border to row 2 (A2:Z2) on sheets whose A2 holds a title; and highlight all wrap-text and merged cells across the workbook in bright yellow.</t>
  </si>
  <si>
    <t>Applied thin black bottom border to A2:Z2 on the 10 title sheets; scanned every sheet for wrapText + merged areas and filled them #FFFF00.</t>
  </si>
  <si>
    <t/>
  </si>
  <si>
    <t/>
  </si>
  <si>
    <t>Findings reveal an infrastructure-compounder case, not simply a five-year trough expression. The implied value depends most on whether CoreWeave can move from buildout capex toward a maturing fleet economics profile while keeping capital access open.</t>
  </si>
  <si>
    <t>Insight</t>
  </si>
  <si>
    <t>Foreward Looking KPI's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</si>
</sst>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7">
    <numFmt numFmtId="164" formatCode="\$0.00;[Red]&quot;($&quot;0.00\);\-"/>
    <numFmt numFmtId="165" formatCode="0.0%;[Red]\(0.0%\);\-"/>
    <numFmt numFmtId="166" formatCode="\$#,##0;[Red]&quot;($&quot;#,##0\);\-"/>
    <numFmt numFmtId="167" formatCode="yyyy\-mm\-dd"/>
    <numFmt numFmtId="168" formatCode="#,##0;[Red]\(#,##0\);\-"/>
    <numFmt numFmtId="169" formatCode="0.000"/>
    <numFmt numFmtId="170" formatCode="0.000\x"/>
    <numFmt numFmtId="171" formatCode="0.0\x;[Red]\(0.0&quot;x)&quot;;\-"/>
    <numFmt numFmtId="172" formatCode="0.0%"/>
    <numFmt numFmtId="173" formatCode="\$#,##0.00;[Red]\(&quot;$&quot;#,##0.00\);\-"/>
    <numFmt numFmtId="174" formatCode="0.0%;[Red]\(0.0%\)"/>
    <numFmt numFmtId="175" formatCode="\$#,##0;[Red]\(&quot;$&quot;#,##0\);\-"/>
    <numFmt numFmtId="176" formatCode="0.0\x"/>
    <numFmt numFmtId="177" formatCode="&quot;$&quot;#,##0"/>
    <numFmt numFmtId="178" formatCode="0.000%"/>
    <numFmt numFmtId="179" formatCode="&quot;$&quot;#,##0.00"/>
    <numFmt numFmtId="180" formatCode="0.0000"/>
  </numFmts>
  <fonts count="31" x14ac:knownFonts="1">
    <font>
      <sz val="11"/>
      <color theme="1"/>
      <name val="Calibri"/>
      <family val="2"/>
      <charset val="1"/>
    </font>
    <font>
      <sz val="10"/>
      <name val="Arial"/>
      <family val="2"/>
    </font>
    <font>
      <b/>
      <sz val="18"/>
      <color rgb="FF10222F"/>
      <name val="Cambria"/>
      <family val="1"/>
    </font>
    <font>
      <i/>
      <sz val="11"/>
      <color rgb="FF666666"/>
      <name val="Cambria"/>
      <family val="1"/>
    </font>
    <font>
      <b/>
      <sz val="11"/>
      <color rgb="FFFFFFFF"/>
      <name val="Cambria"/>
      <family val="1"/>
    </font>
    <font>
      <sz val="11"/>
      <color rgb="FF008000"/>
      <name val="Cambria"/>
      <family val="1"/>
    </font>
    <font>
      <sz val="11"/>
      <color rgb="FF0000FF"/>
      <name val="Cambria"/>
      <family val="1"/>
    </font>
    <font>
      <sz val="11"/>
      <color rgb="FF000000"/>
      <name val="Cambria"/>
      <family val="1"/>
    </font>
    <font>
      <b/>
      <sz val="11"/>
      <name val="Cambria"/>
      <family val="1"/>
    </font>
    <font>
      <sz val="11"/>
      <color theme="0"/>
      <name val="Calibri"/>
      <family val="2"/>
      <charset val="1"/>
    </font>
    <font>
      <b/>
      <sz val="11"/>
      <color theme="1"/>
      <name val="Calibri"/>
      <family val="2"/>
      <charset val="1"/>
    </font>
    <font>
      <sz val="11"/>
      <color theme="1"/>
      <name val="Calibri"/>
      <family val="2"/>
    </font>
    <font>
      <sz val="11"/>
      <color rgb="FF000000"/>
      <name val="Calibri"/>
      <family val="2"/>
    </font>
    <font>
      <sz val="10"/>
      <color rgb="FF000000"/>
      <name val="Tahoma"/>
      <family val="2"/>
    </font>
    <font>
      <i/>
      <sz val="9"/>
      <color rgb="FF666666"/>
      <name val="Calibri"/>
      <family val="2"/>
    </font>
    <font>
      <b/>
      <sz val="11"/>
      <color theme="1"/>
      <name val="Calibri"/>
      <family val="2"/>
    </font>
    <font>
      <sz val="11"/>
      <color rgb="FF0000FF"/>
      <name val="Calibri"/>
      <family val="2"/>
      <charset val="1"/>
    </font>
    <font>
      <b/>
      <sz val="11"/>
      <color rgb="FF0000FF"/>
      <name val="Calibri"/>
      <family val="2"/>
      <charset val="1"/>
    </font>
    <font>
      <b/>
      <sz val="11"/>
      <color rgb="FF10222F"/>
      <name val="Calibri"/>
      <family val="2"/>
      <charset val="1"/>
    </font>
    <font>
      <sz val="11"/>
      <color rgb="FF008000"/>
      <name val="Calibri"/>
      <family val="2"/>
      <charset val="1"/>
    </font>
    <font>
      <sz val="11"/>
      <color rgb="FF000000"/>
      <name val="Calibri"/>
      <family val="2"/>
      <charset val="1"/>
    </font>
    <font>
      <b/>
      <sz val="11"/>
      <color rgb="FF000000"/>
      <name val="Calibri"/>
      <family val="2"/>
      <charset val="1"/>
    </font>
    <font>
      <b/>
      <sz val="9"/>
      <color rgb="FFFFFFFF"/>
      <name val="Cambria"/>
      <family val="1"/>
    </font>
    <font>
      <i/>
      <sz val="9"/>
      <color rgb="FF666666"/>
      <name val="Calibri"/>
      <family val="2"/>
      <charset val="1"/>
    </font>
    <font>
      <b/>
      <sz val="11"/>
      <color rgb="FF1E7A34"/>
      <name val="Calibri"/>
      <family val="2"/>
      <charset val="1"/>
    </font>
    <font>
      <b/>
      <sz val="10"/>
      <color rgb="FFFFFFFF"/>
      <name val="Cambria"/>
      <family val="1"/>
    </font>
    <font>
      <i/>
      <sz val="9"/>
      <color rgb="FF3D3D3A"/>
      <name val="Calibri"/>
      <family val="2"/>
      <charset val="1"/>
    </font>
    <font>
      <i/>
      <sz val="9"/>
      <color rgb="FF595959"/>
      <name val="Calibri"/>
      <family val="2"/>
      <charset val="1"/>
    </font>
    <font>
      <b/>
      <sz val="11"/>
      <color rgb="FF10222F"/>
      <name val="Cambria"/>
      <family val="1"/>
    </font>
    <font>
      <b/>
      <sz val="11"/>
      <color theme="1"/>
      <name val="Cambria"/>
      <family val="1"/>
    </font>
    <font>
      <b/>
      <sz val="11"/>
      <color theme="0"/>
      <name val="Cambria"/>
      <family val="1"/>
    </font>
  </fonts>
  <fills count="9">
    <fill>
      <patternFill patternType="none"/>
    </fill>
    <fill>
      <patternFill patternType="gray125"/>
    </fill>
    <fill>
      <patternFill patternType="solid">
        <fgColor rgb="FF10222F"/>
        <bgColor rgb="FF333333"/>
      </patternFill>
    </fill>
    <fill>
      <patternFill patternType="solid">
        <fgColor rgb="FFFFF2CC"/>
        <bgColor rgb="FFFFFFFF"/>
      </patternFill>
    </fill>
    <fill>
      <patternFill patternType="solid">
        <fgColor rgb="FF10222F"/>
        <bgColor indexed="64"/>
      </patternFill>
    </fill>
    <fill>
      <patternFill patternType="solid">
        <fgColor rgb="FFFFF2CC"/>
        <bgColor indexed="64"/>
      </patternFill>
    </fill>
    <fill>
      <patternFill patternType="solid">
        <fgColor rgb="FF1F3D52"/>
        <bgColor indexed="64"/>
      </patternFill>
    </fill>
    <fill>
      <patternFill patternType="solid">
        <fgColor rgb="FFFFFF00"/>
        <bgColor indexed="64"/>
      </patternFill>
    </fill>
    <fill>
      <patternFill patternType="solid">
        <fgColor theme="3"/>
        <bgColor indexed="64"/>
      </patternFill>
    </fill>
  </fills>
  <borders count="7">
    <border>
      <left/>
      <right/>
      <top/>
      <bottom/>
      <diagonal/>
    </border>
    <border>
      <left/>
      <right/>
      <top/>
      <bottom style="thin">
        <color rgb="FFDDDDDD"/>
      </bottom>
      <diagonal/>
    </border>
    <border>
      <left/>
      <right/>
      <top/>
      <bottom style="thin">
        <color auto="1"/>
      </bottom>
      <diagonal/>
    </border>
    <border>
      <left style="thin">
        <color auto="1"/>
      </left>
      <right style="thin">
        <color auto="1"/>
      </right>
      <top style="thin">
        <color auto="1"/>
      </top>
      <bottom style="thin">
        <color auto="1"/>
      </bottom>
      <diagonal/>
    </border>
    <border>
      <left/>
      <right/>
      <top style="thin">
        <color auto="1"/>
      </top>
      <bottom/>
      <diagonal/>
    </border>
    <border>
      <left style="thick">
        <color rgb="FF10222F"/>
      </left>
      <right style="thick">
        <color rgb="FF10222F"/>
      </right>
      <top style="thick">
        <color rgb="FF10222F"/>
      </top>
      <bottom style="thick">
        <color rgb="FF10222F"/>
      </bottom>
      <diagonal/>
    </border>
    <border>
      <left/>
      <right/>
      <top/>
      <bottom style="thin">
        <color rgb="FF000000"/>
      </bottom>
      <diagonal/>
    </border>
  </borders>
  <cellStyleXfs count="1">
    <xf numFmtId="0" fontId="0" fillId="0" borderId="0"/>
  </cellStyleXfs>
  <cellXfs count="125">
    <xf numFmtId="0" fontId="0" fillId="0" borderId="0" xfId="0"/>
    <xf numFmtId="0" fontId="3" fillId="0" borderId="1" xfId="0" applyFont="1" applyBorder="1" applyAlignment="1">
      <alignment vertical="center"/>
    </xf>
    <xf numFmtId="0" fontId="0" fillId="0" borderId="1" xfId="0" applyBorder="1" applyAlignment="1">
      <alignment vertical="center"/>
    </xf>
    <xf numFmtId="164" fontId="5" fillId="0" borderId="1" xfId="0" applyNumberFormat="1" applyFont="1" applyBorder="1" applyAlignment="1">
      <alignment vertical="center"/>
    </xf>
    <xf numFmtId="165" fontId="5" fillId="0" borderId="1" xfId="0" applyNumberFormat="1" applyFont="1" applyBorder="1" applyAlignment="1">
      <alignment vertical="center"/>
    </xf>
    <xf numFmtId="166" fontId="5" fillId="0" borderId="1" xfId="0" applyNumberFormat="1" applyFont="1" applyBorder="1" applyAlignment="1">
      <alignment vertical="center"/>
    </xf>
    <xf numFmtId="167" fontId="0" fillId="0" borderId="1" xfId="0" applyNumberFormat="1" applyBorder="1" applyAlignment="1">
      <alignment vertical="center"/>
    </xf>
    <xf numFmtId="168" fontId="5" fillId="0" borderId="1" xfId="0" applyNumberFormat="1" applyFont="1" applyBorder="1" applyAlignment="1">
      <alignment vertical="center"/>
    </xf>
    <xf numFmtId="0" fontId="4" fillId="2" borderId="1" xfId="0" applyFont="1" applyFill="1" applyBorder="1" applyAlignment="1">
      <alignment horizontal="center" vertical="center"/>
    </xf>
    <xf numFmtId="166" fontId="0" fillId="0" borderId="1" xfId="0" applyNumberFormat="1" applyBorder="1" applyAlignment="1">
      <alignment vertical="center"/>
    </xf>
    <xf numFmtId="164" fontId="0" fillId="0" borderId="1" xfId="0" applyNumberFormat="1" applyBorder="1" applyAlignment="1">
      <alignment vertical="center"/>
    </xf>
    <xf numFmtId="167" fontId="5" fillId="0" borderId="1" xfId="0" applyNumberFormat="1" applyFont="1" applyBorder="1" applyAlignment="1">
      <alignment vertical="center"/>
    </xf>
    <xf numFmtId="165" fontId="6" fillId="3" borderId="1" xfId="0" applyNumberFormat="1" applyFont="1" applyFill="1" applyBorder="1" applyAlignment="1">
      <alignment vertical="center"/>
    </xf>
    <xf numFmtId="169" fontId="5" fillId="0" borderId="1" xfId="0" applyNumberFormat="1" applyFont="1" applyBorder="1" applyAlignment="1">
      <alignment vertical="center"/>
    </xf>
    <xf numFmtId="165" fontId="7" fillId="0" borderId="1" xfId="0" applyNumberFormat="1" applyFont="1" applyBorder="1" applyAlignment="1">
      <alignment vertical="center"/>
    </xf>
    <xf numFmtId="166" fontId="6" fillId="3" borderId="1" xfId="0" applyNumberFormat="1" applyFont="1" applyFill="1" applyBorder="1" applyAlignment="1">
      <alignment vertical="center"/>
    </xf>
    <xf numFmtId="166" fontId="0" fillId="0" borderId="0" xfId="0" applyNumberFormat="1"/>
    <xf numFmtId="1" fontId="0" fillId="0" borderId="1" xfId="0" applyNumberFormat="1" applyBorder="1" applyAlignment="1">
      <alignment vertical="center"/>
    </xf>
    <xf numFmtId="166" fontId="0" fillId="0" borderId="1" xfId="0" applyNumberFormat="1" applyBorder="1" applyAlignment="1">
      <alignment horizontal="right" vertical="center"/>
    </xf>
    <xf numFmtId="165" fontId="0" fillId="0" borderId="1" xfId="0" applyNumberFormat="1" applyBorder="1" applyAlignment="1">
      <alignment horizontal="right" vertical="center"/>
    </xf>
    <xf numFmtId="166" fontId="0" fillId="0" borderId="0" xfId="0" applyNumberFormat="1" applyAlignment="1">
      <alignment horizontal="right"/>
    </xf>
    <xf numFmtId="170" fontId="0" fillId="0" borderId="0" xfId="0" applyNumberFormat="1" applyAlignment="1">
      <alignment horizontal="right"/>
    </xf>
    <xf numFmtId="170" fontId="0" fillId="0" borderId="1" xfId="0" applyNumberFormat="1" applyBorder="1" applyAlignment="1">
      <alignment horizontal="right" vertical="center"/>
    </xf>
    <xf numFmtId="166" fontId="8" fillId="0" borderId="0" xfId="0" applyNumberFormat="1" applyFont="1" applyAlignment="1">
      <alignment horizontal="right"/>
    </xf>
    <xf numFmtId="166" fontId="8" fillId="0" borderId="1" xfId="0" applyNumberFormat="1" applyFont="1" applyBorder="1" applyAlignment="1">
      <alignment horizontal="right" vertical="center"/>
    </xf>
    <xf numFmtId="168" fontId="0" fillId="0" borderId="0" xfId="0" applyNumberFormat="1" applyAlignment="1">
      <alignment horizontal="right"/>
    </xf>
    <xf numFmtId="168" fontId="0" fillId="0" borderId="1" xfId="0" applyNumberFormat="1" applyBorder="1" applyAlignment="1">
      <alignment horizontal="right" vertical="center"/>
    </xf>
    <xf numFmtId="164" fontId="8" fillId="0" borderId="0" xfId="0" applyNumberFormat="1" applyFont="1" applyAlignment="1">
      <alignment horizontal="right"/>
    </xf>
    <xf numFmtId="164" fontId="8" fillId="0" borderId="1" xfId="0" applyNumberFormat="1" applyFont="1" applyBorder="1" applyAlignment="1">
      <alignment horizontal="right" vertical="center"/>
    </xf>
    <xf numFmtId="164" fontId="0" fillId="0" borderId="0" xfId="0" applyNumberFormat="1" applyAlignment="1">
      <alignment horizontal="right"/>
    </xf>
    <xf numFmtId="164" fontId="0" fillId="0" borderId="1" xfId="0" applyNumberFormat="1" applyBorder="1" applyAlignment="1">
      <alignment horizontal="right" vertical="center"/>
    </xf>
    <xf numFmtId="165" fontId="8" fillId="0" borderId="0" xfId="0" applyNumberFormat="1" applyFont="1" applyAlignment="1">
      <alignment horizontal="right"/>
    </xf>
    <xf numFmtId="165" fontId="8" fillId="0" borderId="1" xfId="0" applyNumberFormat="1" applyFont="1" applyBorder="1" applyAlignment="1">
      <alignment horizontal="right" vertical="center"/>
    </xf>
    <xf numFmtId="169" fontId="0" fillId="0" borderId="0" xfId="0" applyNumberFormat="1" applyAlignment="1">
      <alignment horizontal="right"/>
    </xf>
    <xf numFmtId="166" fontId="4" fillId="2" borderId="1" xfId="0" applyNumberFormat="1" applyFont="1" applyFill="1" applyBorder="1" applyAlignment="1">
      <alignment horizontal="right" vertical="center"/>
    </xf>
    <xf numFmtId="171" fontId="0" fillId="0" borderId="1" xfId="0" applyNumberFormat="1" applyBorder="1" applyAlignment="1">
      <alignment horizontal="right" vertical="center"/>
    </xf>
    <xf numFmtId="165" fontId="0" fillId="0" borderId="0" xfId="0" applyNumberFormat="1" applyAlignment="1">
      <alignment horizontal="right"/>
    </xf>
    <xf numFmtId="0" fontId="0" fillId="0" borderId="0" xfId="0" applyAlignment="1">
      <alignment horizontal="right"/>
    </xf>
    <xf numFmtId="0" fontId="9" fillId="0" borderId="0" xfId="0" applyFont="1"/>
    <xf numFmtId="0" fontId="10" fillId="0" borderId="0" xfId="0" applyFont="1"/>
    <xf numFmtId="0" fontId="4" fillId="4" borderId="0" xfId="0" applyFont="1" applyFill="1"/>
    <xf numFmtId="14" fontId="0" fillId="0" borderId="0" xfId="0" applyNumberFormat="1"/>
    <xf numFmtId="0" fontId="11" fillId="0" borderId="0" xfId="0" applyFont="1"/>
    <xf numFmtId="172" fontId="5" fillId="3" borderId="1" xfId="0" applyNumberFormat="1" applyFont="1" applyFill="1" applyBorder="1" applyAlignment="1">
      <alignment vertical="center"/>
    </xf>
    <xf numFmtId="169" fontId="0" fillId="0" borderId="1" xfId="0" applyNumberFormat="1" applyBorder="1" applyAlignment="1">
      <alignment horizontal="right" vertical="center"/>
    </xf>
    <xf numFmtId="165" fontId="7" fillId="3" borderId="1" xfId="0" applyNumberFormat="1" applyFont="1" applyFill="1" applyBorder="1" applyAlignment="1">
      <alignment vertical="center"/>
    </xf>
    <xf numFmtId="0" fontId="15" fillId="0" borderId="0" xfId="0" applyFont="1"/>
    <xf numFmtId="1" fontId="17" fillId="5" borderId="3" xfId="0" applyNumberFormat="1" applyFont="1" applyFill="1" applyBorder="1" applyAlignment="1">
      <alignment horizontal="center"/>
    </xf>
    <xf numFmtId="0" fontId="18" fillId="0" borderId="0" xfId="0" applyFont="1"/>
    <xf numFmtId="173" fontId="0" fillId="0" borderId="0" xfId="0" applyNumberFormat="1"/>
    <xf numFmtId="173" fontId="10" fillId="0" borderId="0" xfId="0" applyNumberFormat="1" applyFont="1"/>
    <xf numFmtId="174" fontId="0" fillId="0" borderId="0" xfId="0" applyNumberFormat="1"/>
    <xf numFmtId="174" fontId="10" fillId="0" borderId="0" xfId="0" applyNumberFormat="1" applyFont="1"/>
    <xf numFmtId="0" fontId="4" fillId="4" borderId="0" xfId="0" applyFont="1" applyFill="1" applyAlignment="1">
      <alignment horizontal="center"/>
    </xf>
    <xf numFmtId="0" fontId="4" fillId="4" borderId="0" xfId="0" applyFont="1" applyFill="1" applyAlignment="1">
      <alignment horizontal="left"/>
    </xf>
    <xf numFmtId="172" fontId="16" fillId="5" borderId="0" xfId="0" applyNumberFormat="1" applyFont="1" applyFill="1"/>
    <xf numFmtId="172" fontId="19" fillId="0" borderId="0" xfId="0" applyNumberFormat="1" applyFont="1"/>
    <xf numFmtId="175" fontId="0" fillId="0" borderId="0" xfId="0" applyNumberFormat="1"/>
    <xf numFmtId="172" fontId="0" fillId="0" borderId="0" xfId="0" applyNumberFormat="1"/>
    <xf numFmtId="0" fontId="0" fillId="0" borderId="2" xfId="0" applyBorder="1"/>
    <xf numFmtId="0" fontId="4" fillId="6" borderId="0" xfId="0" applyFont="1" applyFill="1" applyAlignment="1">
      <alignment horizontal="center"/>
    </xf>
    <xf numFmtId="0" fontId="11" fillId="0" borderId="2" xfId="0" applyFont="1" applyBorder="1"/>
    <xf numFmtId="0" fontId="15" fillId="0" borderId="4" xfId="0" applyFont="1" applyBorder="1"/>
    <xf numFmtId="175" fontId="20" fillId="0" borderId="0" xfId="0" applyNumberFormat="1" applyFont="1"/>
    <xf numFmtId="175" fontId="21" fillId="0" borderId="4" xfId="0" applyNumberFormat="1" applyFont="1" applyBorder="1"/>
    <xf numFmtId="175" fontId="21" fillId="0" borderId="0" xfId="0" applyNumberFormat="1" applyFont="1"/>
    <xf numFmtId="173" fontId="21" fillId="0" borderId="0" xfId="0" applyNumberFormat="1" applyFont="1"/>
    <xf numFmtId="174" fontId="20" fillId="0" borderId="0" xfId="0" applyNumberFormat="1" applyFont="1"/>
    <xf numFmtId="172" fontId="20" fillId="0" borderId="0" xfId="0" applyNumberFormat="1" applyFont="1"/>
    <xf numFmtId="1" fontId="0" fillId="0" borderId="0" xfId="0" applyNumberFormat="1"/>
    <xf numFmtId="173" fontId="19" fillId="0" borderId="0" xfId="0" applyNumberFormat="1" applyFont="1"/>
    <xf numFmtId="0" fontId="22" fillId="4" borderId="0" xfId="0" applyFont="1" applyFill="1" applyAlignment="1">
      <alignment horizontal="center"/>
    </xf>
    <xf numFmtId="169" fontId="0" fillId="0" borderId="0" xfId="0" applyNumberFormat="1"/>
    <xf numFmtId="10" fontId="0" fillId="0" borderId="0" xfId="0" applyNumberFormat="1"/>
    <xf numFmtId="176" fontId="0" fillId="0" borderId="0" xfId="0" applyNumberFormat="1"/>
    <xf numFmtId="176" fontId="16" fillId="5" borderId="0" xfId="0" applyNumberFormat="1" applyFont="1" applyFill="1"/>
    <xf numFmtId="175" fontId="0" fillId="0" borderId="4" xfId="0" applyNumberFormat="1" applyBorder="1"/>
    <xf numFmtId="0" fontId="11" fillId="0" borderId="0" xfId="0" applyFont="1" applyFill="1" applyBorder="1" applyAlignment="1">
      <alignment vertical="center"/>
    </xf>
    <xf numFmtId="0" fontId="11" fillId="0" borderId="0" xfId="0" applyFont="1" applyFill="1" applyBorder="1" applyAlignment="1">
      <alignment vertical="center" indent="1"/>
    </xf>
    <xf numFmtId="0" fontId="11" fillId="0" borderId="4" xfId="0" applyFont="1" applyFill="1" applyBorder="1" applyAlignment="1">
      <alignment vertical="center"/>
    </xf>
    <xf numFmtId="0" fontId="15" fillId="0" borderId="0" xfId="0" applyFont="1" applyFill="1" applyBorder="1" applyAlignment="1">
      <alignment vertical="center"/>
    </xf>
    <xf numFmtId="177" fontId="0" fillId="0" borderId="0" xfId="0" applyNumberFormat="1"/>
    <xf numFmtId="178" fontId="0" fillId="0" borderId="0" xfId="0" applyNumberFormat="1"/>
    <xf numFmtId="179" fontId="0" fillId="0" borderId="0" xfId="0" applyNumberFormat="1"/>
    <xf numFmtId="180" fontId="0" fillId="0" borderId="0" xfId="0" applyNumberFormat="1"/>
    <xf numFmtId="0" fontId="24" fillId="0" borderId="0" xfId="0" applyFont="1"/>
    <xf numFmtId="0" fontId="25" fillId="4" borderId="0" xfId="0" applyFont="1" applyFill="1"/>
    <xf numFmtId="0" fontId="25" fillId="4" borderId="0" xfId="0" applyFont="1" applyFill="1" applyAlignment="1">
      <alignment horizontal="center"/>
    </xf>
    <xf numFmtId="0" fontId="0" fillId="0" borderId="0" xfId="0" applyAlignment="1">
      <alignment horizontal="center"/>
    </xf>
    <xf numFmtId="0" fontId="10" fillId="0" borderId="0" xfId="0" applyFont="1" applyAlignment="1">
      <alignment horizontal="center"/>
    </xf>
    <xf numFmtId="0" fontId="28" fillId="0" borderId="0" xfId="0" applyFont="1"/>
    <xf numFmtId="0" fontId="25" fillId="4" borderId="0" xfId="0" applyFont="1" applyFill="1" applyAlignment="1">
      <alignment horizontal="center" vertical="center"/>
    </xf>
    <xf numFmtId="172" fontId="25" fillId="4" borderId="0" xfId="0" applyNumberFormat="1" applyFont="1" applyFill="1" applyAlignment="1">
      <alignment horizontal="center" vertical="center"/>
    </xf>
    <xf numFmtId="179" fontId="0" fillId="0" borderId="0" xfId="0" applyNumberFormat="1" applyAlignment="1">
      <alignment horizontal="center"/>
    </xf>
    <xf numFmtId="174" fontId="0" fillId="0" borderId="0" xfId="0" applyNumberFormat="1" applyAlignment="1">
      <alignment horizontal="center"/>
    </xf>
    <xf numFmtId="179" fontId="10" fillId="0" borderId="5" xfId="0" applyNumberFormat="1" applyFont="1" applyBorder="1" applyAlignment="1">
      <alignment horizontal="center"/>
    </xf>
    <xf numFmtId="174" fontId="10" fillId="0" borderId="5" xfId="0" applyNumberFormat="1" applyFont="1" applyBorder="1" applyAlignment="1">
      <alignment horizontal="center"/>
    </xf>
    <xf numFmtId="0" fontId="0" fillId="0" borderId="0" xfId="0" applyAlignment="1"/>
    <xf numFmtId="0" fontId="4" fillId="2" borderId="1" xfId="0" applyFont="1" applyFill="1" applyBorder="1" applyAlignment="1">
      <alignment vertical="center"/>
    </xf>
    <xf numFmtId="0" fontId="26" fillId="0" borderId="0" xfId="0" applyFont="1" applyAlignment="1"/>
    <xf numFmtId="0" fontId="14" fillId="0" borderId="0" xfId="0" applyFont="1" applyAlignment="1"/>
    <xf numFmtId="0" fontId="2" fillId="0" borderId="6" xfId="0" applyFont="1" applyBorder="1" applyAlignment="1">
      <alignment vertical="center"/>
    </xf>
    <xf numFmtId="0" fontId="0" fillId="0" borderId="6" xfId="0" applyBorder="1"/>
    <xf numFmtId="0" fontId="0" fillId="0" borderId="6" xfId="0" applyBorder="1" applyAlignment="1"/>
    <xf numFmtId="0" fontId="2" fillId="0" borderId="6" xfId="0" applyFont="1" applyBorder="1" applyAlignment="1"/>
    <xf numFmtId="0" fontId="12" fillId="7" borderId="0" xfId="0" applyFont="1" applyFill="1" applyAlignment="1">
      <alignment vertical="top" wrapText="1"/>
    </xf>
    <xf numFmtId="14" fontId="12" fillId="7" borderId="0" xfId="0" applyNumberFormat="1" applyFont="1" applyFill="1" applyAlignment="1">
      <alignment vertical="top" wrapText="1"/>
    </xf>
    <xf numFmtId="0" fontId="0" fillId="7" borderId="1" xfId="0" applyFill="1" applyBorder="1" applyAlignment="1">
      <alignment vertical="center" wrapText="1"/>
    </xf>
    <xf numFmtId="0" fontId="2" fillId="7" borderId="1" xfId="0" applyFont="1" applyFill="1" applyBorder="1" applyAlignment="1">
      <alignment vertical="center"/>
    </xf>
    <xf numFmtId="0" fontId="3" fillId="7" borderId="1" xfId="0" applyFont="1" applyFill="1" applyBorder="1" applyAlignment="1">
      <alignment vertical="center"/>
    </xf>
    <xf numFmtId="0" fontId="29" fillId="0" borderId="0" xfId="0" applyFont="1" applyFill="1" applyAlignment="1"/>
    <xf numFmtId="0" fontId="29" fillId="0" borderId="1" xfId="0" applyFont="1" applyFill="1" applyBorder="1" applyAlignment="1">
      <alignment vertical="center"/>
    </xf>
    <xf numFmtId="0" fontId="0" fillId="0" borderId="0" xfId="0" applyFill="1" applyAlignment="1">
      <alignment vertical="center"/>
    </xf>
    <xf numFmtId="0" fontId="0" fillId="0" borderId="0" xfId="0" applyFill="1"/>
    <xf numFmtId="0" fontId="30" fillId="8" borderId="1" xfId="0" applyFont="1" applyFill="1" applyBorder="1" applyAlignment="1">
      <alignment vertical="center"/>
    </xf>
    <xf numFmtId="0" fontId="29" fillId="0" borderId="0" xfId="0" applyFont="1" applyFill="1" applyBorder="1" applyAlignment="1">
      <alignment vertical="center"/>
    </xf>
    <xf numFmtId="0" fontId="0" fillId="0" borderId="0" xfId="0" applyFont="1" applyFill="1" applyBorder="1" applyAlignment="1">
      <alignment vertical="center"/>
    </xf>
    <xf numFmtId="0" fontId="14" fillId="0" borderId="0" xfId="0" applyFont="1" applyFill="1" applyAlignment="1"/>
    <xf numFmtId="0" fontId="27" fillId="0" borderId="0" xfId="0" applyFont="1" applyFill="1" applyAlignment="1"/>
    <xf numFmtId="0" fontId="23" fillId="0" borderId="0" xfId="0" applyFont="1" applyFill="1" applyAlignment="1">
      <alignment horizontal="left"/>
    </xf>
    <xf numFmtId="0" fontId="23" fillId="0" borderId="0" xfId="0" applyFont="1" applyFill="1" applyAlignment="1"/>
    <xf numFmtId="0" fontId="0" fillId="0" borderId="0" xfId="0" applyFill="1" applyAlignment="1"/>
    <xf numFmtId="0" fontId="9" fillId="8" borderId="0" xfId="0" applyFont="1" applyFill="1"/>
    <xf numFmtId="0" fontId="2" fillId="0" borderId="0" xfId="0" applyFont="1" applyBorder="1" applyAlignment="1">
      <alignment vertical="center"/>
    </xf>
    <xf numFmtId="0" fontId="0" fillId="0" borderId="0" xfId="0" applyBorder="1"/>
  </cellXfs>
  <cellStyles count="1">
    <cellStyle name="Normal" xfId="0" builtinId="0"/>
  </cellStyles>
  <dxfs count="2">
    <dxf>
      <font>
        <b/>
        <i val="0"/>
        <color rgb="FFC00000"/>
      </font>
    </dxf>
    <dxf>
      <font>
        <color rgb="FF1E7A34"/>
      </font>
    </dxf>
  </dxfs>
  <tableStyles count="0" defaultTableStyle="TableStyleMedium2" defaultPivotStyle="PivotStyleLight16"/>
  <colors>
    <indexedColors>
      <rgbColor rgb="FF000000"/>
      <rgbColor rgb="FFFFFFFF"/>
      <rgbColor rgb="FFFF0000"/>
      <rgbColor rgb="FF00FF00"/>
      <rgbColor rgb="FF0000FF"/>
      <rgbColor rgb="FFFFFF00"/>
      <rgbColor rgb="FFFF00FF"/>
      <rgbColor rgb="FF00FFFF"/>
      <rgbColor rgb="FF800000"/>
      <rgbColor rgb="FF008000"/>
      <rgbColor rgb="FF000080"/>
      <rgbColor rgb="FF808000"/>
      <rgbColor rgb="FF800080"/>
      <rgbColor rgb="FF008080"/>
      <rgbColor rgb="FFDDDDDD"/>
      <rgbColor rgb="FF878787"/>
      <rgbColor rgb="FF9999FF"/>
      <rgbColor rgb="FFBE4B48"/>
      <rgbColor rgb="FFFFF2CC"/>
      <rgbColor rgb="FFCCFFFF"/>
      <rgbColor rgb="FF660066"/>
      <rgbColor rgb="FFFF8080"/>
      <rgbColor rgb="FF0066CC"/>
      <rgbColor rgb="FFD9D9D9"/>
      <rgbColor rgb="FF000080"/>
      <rgbColor rgb="FFFF00FF"/>
      <rgbColor rgb="FFFFFF00"/>
      <rgbColor rgb="FF00FFFF"/>
      <rgbColor rgb="FF800080"/>
      <rgbColor rgb="FF800000"/>
      <rgbColor rgb="FF008080"/>
      <rgbColor rgb="FF0000FF"/>
      <rgbColor rgb="FF00CCFF"/>
      <rgbColor rgb="FFCCFFFF"/>
      <rgbColor rgb="FFD9EAD3"/>
      <rgbColor rgb="FFFFFF99"/>
      <rgbColor rgb="FF99CCFF"/>
      <rgbColor rgb="FFFF99CC"/>
      <rgbColor rgb="FFCC99FF"/>
      <rgbColor rgb="FFFFCC99"/>
      <rgbColor rgb="FF4A7EBB"/>
      <rgbColor rgb="FF33CCCC"/>
      <rgbColor rgb="FF99CC00"/>
      <rgbColor rgb="FFFFCC00"/>
      <rgbColor rgb="FFFF9900"/>
      <rgbColor rgb="FFFF6600"/>
      <rgbColor rgb="FF666666"/>
      <rgbColor rgb="FF969696"/>
      <rgbColor rgb="FF003366"/>
      <rgbColor rgb="FF4F81BD"/>
      <rgbColor rgb="FF10222F"/>
      <rgbColor rgb="FF333300"/>
      <rgbColor rgb="FF993300"/>
      <rgbColor rgb="FF993366"/>
      <rgbColor rgb="FF333399"/>
      <rgbColor rgb="FF333333"/>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microsoft.com/office/2017/10/relationships/person" Target="persons/person.xml"/><Relationship Id="rId2" Type="http://schemas.openxmlformats.org/officeDocument/2006/relationships/worksheet" Target="worksheets/sheet2.xml"/><Relationship Id="rId16" Type="http://schemas.openxmlformats.org/officeDocument/2006/relationships/sheetMetadata" Target="metadata.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charts/_rels/chart2.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3.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c:style val="2"/>
  <c:chart>
    <c:title>
      <c:tx>
        <c:rich>
          <a:bodyPr rot="0"/>
          <a:lstStyle/>
          <a:p>
            <a:pPr>
              <a:defRPr sz="1300" b="0" u="none" strike="noStrike">
                <a:uFillTx/>
                <a:latin typeface="Arial"/>
              </a:defRPr>
            </a:pPr>
            <a:r>
              <a:rPr lang="en-US" sz="1800" b="1" u="none" strike="noStrike">
                <a:solidFill>
                  <a:srgbClr val="000000"/>
                </a:solidFill>
                <a:uFillTx/>
                <a:latin typeface="Calibri"/>
              </a:rPr>
              <a:t>Revenue and UFCF</a:t>
            </a:r>
          </a:p>
        </c:rich>
      </c:tx>
      <c:overlay val="0"/>
      <c:spPr>
        <a:noFill/>
        <a:ln w="0">
          <a:noFill/>
        </a:ln>
      </c:spPr>
    </c:title>
    <c:autoTitleDeleted val="0"/>
    <c:plotArea>
      <c:layout/>
      <c:lineChart>
        <c:grouping val="standard"/>
        <c:varyColors val="0"/>
        <c:ser>
          <c:idx val="0"/>
          <c:order val="0"/>
          <c:spPr>
            <a:ln w="12600">
              <a:solidFill>
                <a:srgbClr val="4A7EBB"/>
              </a:solidFill>
              <a:round/>
            </a:ln>
          </c:spPr>
          <c:marker>
            <c:symbol val="none"/>
          </c:marker>
          <c:dLbls>
            <c:spPr>
              <a:noFill/>
              <a:ln>
                <a:noFill/>
              </a:ln>
              <a:effectLst/>
            </c:spPr>
            <c:txPr>
              <a:bodyPr wrap="none"/>
              <a:lstStyle/>
              <a:p>
                <a:pPr>
                  <a:defRPr sz="1000" b="0" u="none" strike="noStrike">
                    <a:uFillTx/>
                    <a:latin typeface="Arial"/>
                  </a:defRPr>
                </a:pPr>
                <a:endParaRPr lang="en-US"/>
              </a:p>
            </c:txPr>
            <c:showLegendKey val="0"/>
            <c:showVal val="0"/>
            <c:showCatName val="0"/>
            <c:showSerName val="0"/>
            <c:showPercent val="0"/>
            <c:showBubbleSize val="1"/>
            <c:separator> </c:separator>
            <c:showLeaderLines val="0"/>
            <c:extLst>
              <c:ext xmlns:c15="http://schemas.microsoft.com/office/drawing/2012/chart" uri="{CE6537A1-D6FC-4f65-9D91-7224C49458BB}">
                <c15:showLeaderLines val="1"/>
                <c15:leaderLines>
                  <c:spPr>
                    <a:ln w="12600">
                      <a:solidFill>
                        <a:srgbClr val="000000"/>
                      </a:solidFill>
                    </a:ln>
                  </c:spPr>
                </c15:leaderLines>
              </c:ext>
            </c:extLst>
          </c:dLbls>
          <c:cat>
            <c:strRef>
              <c:f>'Forecast DCF'!$D$5:$M$5</c:f>
              <c:strCache>
                <c:ptCount val="10"/>
                <c:pt idx="0">
                  <c:v>2026E</c:v>
                </c:pt>
                <c:pt idx="1">
                  <c:v>2027E</c:v>
                </c:pt>
                <c:pt idx="2">
                  <c:v>2028E</c:v>
                </c:pt>
                <c:pt idx="3">
                  <c:v>2029E</c:v>
                </c:pt>
                <c:pt idx="4">
                  <c:v>2030E</c:v>
                </c:pt>
                <c:pt idx="5">
                  <c:v>2031E</c:v>
                </c:pt>
                <c:pt idx="6">
                  <c:v>2032E</c:v>
                </c:pt>
                <c:pt idx="7">
                  <c:v>2033E</c:v>
                </c:pt>
                <c:pt idx="8">
                  <c:v>2034E</c:v>
                </c:pt>
                <c:pt idx="9">
                  <c:v>2035E</c:v>
                </c:pt>
              </c:strCache>
            </c:strRef>
          </c:cat>
          <c:val>
            <c:numRef>
              <c:f>'Forecast DCF'!$D$7:$M$7</c:f>
              <c:numCache>
                <c:formatCode>\$#,##0;[Red]"($"#,##0\);\-</c:formatCode>
                <c:ptCount val="10"/>
                <c:pt idx="0">
                  <c:v>12681.489509999999</c:v>
                </c:pt>
                <c:pt idx="1">
                  <c:v>24973.462029999999</c:v>
                </c:pt>
                <c:pt idx="2">
                  <c:v>39906.534547000003</c:v>
                </c:pt>
                <c:pt idx="3">
                  <c:v>55013.163583000001</c:v>
                </c:pt>
                <c:pt idx="4">
                  <c:v>79955.087079999998</c:v>
                </c:pt>
                <c:pt idx="5">
                  <c:v>109514.86699806601</c:v>
                </c:pt>
                <c:pt idx="6">
                  <c:v>140839.25153688825</c:v>
                </c:pt>
                <c:pt idx="7">
                  <c:v>169338.4124872582</c:v>
                </c:pt>
                <c:pt idx="8">
                  <c:v>189434.85202834071</c:v>
                </c:pt>
                <c:pt idx="9">
                  <c:v>196065.07184933263</c:v>
                </c:pt>
              </c:numCache>
            </c:numRef>
          </c:val>
          <c:smooth val="1"/>
          <c:extLst>
            <c:ext xmlns:c16="http://schemas.microsoft.com/office/drawing/2014/chart" uri="{C3380CC4-5D6E-409C-BE32-E72D297353CC}">
              <c16:uniqueId val="{00000000-967E-7549-BBFD-208BC0B36C68}"/>
            </c:ext>
          </c:extLst>
        </c:ser>
        <c:ser>
          <c:idx val="1"/>
          <c:order val="1"/>
          <c:spPr>
            <a:ln w="12600">
              <a:solidFill>
                <a:srgbClr val="BE4B48"/>
              </a:solidFill>
              <a:round/>
            </a:ln>
          </c:spPr>
          <c:marker>
            <c:symbol val="none"/>
          </c:marker>
          <c:dLbls>
            <c:spPr>
              <a:noFill/>
              <a:ln>
                <a:noFill/>
              </a:ln>
              <a:effectLst/>
            </c:spPr>
            <c:txPr>
              <a:bodyPr wrap="none"/>
              <a:lstStyle/>
              <a:p>
                <a:pPr>
                  <a:defRPr sz="1000" b="0" u="none" strike="noStrike">
                    <a:uFillTx/>
                    <a:latin typeface="Arial"/>
                  </a:defRPr>
                </a:pPr>
                <a:endParaRPr lang="en-US"/>
              </a:p>
            </c:txPr>
            <c:showLegendKey val="0"/>
            <c:showVal val="0"/>
            <c:showCatName val="0"/>
            <c:showSerName val="0"/>
            <c:showPercent val="0"/>
            <c:showBubbleSize val="1"/>
            <c:separator> </c:separator>
            <c:showLeaderLines val="0"/>
            <c:extLst>
              <c:ext xmlns:c15="http://schemas.microsoft.com/office/drawing/2012/chart" uri="{CE6537A1-D6FC-4f65-9D91-7224C49458BB}">
                <c15:showLeaderLines val="1"/>
                <c15:leaderLines>
                  <c:spPr>
                    <a:ln w="12600">
                      <a:solidFill>
                        <a:srgbClr val="000000"/>
                      </a:solidFill>
                    </a:ln>
                  </c:spPr>
                </c15:leaderLines>
              </c:ext>
            </c:extLst>
          </c:dLbls>
          <c:cat>
            <c:strRef>
              <c:f>'Forecast DCF'!$D$5:$M$5</c:f>
              <c:strCache>
                <c:ptCount val="10"/>
                <c:pt idx="0">
                  <c:v>2026E</c:v>
                </c:pt>
                <c:pt idx="1">
                  <c:v>2027E</c:v>
                </c:pt>
                <c:pt idx="2">
                  <c:v>2028E</c:v>
                </c:pt>
                <c:pt idx="3">
                  <c:v>2029E</c:v>
                </c:pt>
                <c:pt idx="4">
                  <c:v>2030E</c:v>
                </c:pt>
                <c:pt idx="5">
                  <c:v>2031E</c:v>
                </c:pt>
                <c:pt idx="6">
                  <c:v>2032E</c:v>
                </c:pt>
                <c:pt idx="7">
                  <c:v>2033E</c:v>
                </c:pt>
                <c:pt idx="8">
                  <c:v>2034E</c:v>
                </c:pt>
                <c:pt idx="9">
                  <c:v>2035E</c:v>
                </c:pt>
              </c:strCache>
            </c:strRef>
          </c:cat>
          <c:val>
            <c:numRef>
              <c:f>'Forecast DCF'!$D$16:$M$16</c:f>
              <c:numCache>
                <c:formatCode>\$#,##0;[Red]"($"#,##0\);\-</c:formatCode>
                <c:ptCount val="10"/>
                <c:pt idx="0">
                  <c:v>-13292.353392483999</c:v>
                </c:pt>
                <c:pt idx="1">
                  <c:v>-14769.556904604</c:v>
                </c:pt>
                <c:pt idx="2">
                  <c:v>-11413.670310263098</c:v>
                </c:pt>
                <c:pt idx="3">
                  <c:v>-4485.2239427274026</c:v>
                </c:pt>
                <c:pt idx="4">
                  <c:v>4653.5892516539989</c:v>
                </c:pt>
                <c:pt idx="5">
                  <c:v>9227.089253157641</c:v>
                </c:pt>
                <c:pt idx="6">
                  <c:v>15573.917685098188</c:v>
                </c:pt>
                <c:pt idx="7">
                  <c:v>23239.181731250646</c:v>
                </c:pt>
                <c:pt idx="8">
                  <c:v>31123.328926952461</c:v>
                </c:pt>
                <c:pt idx="9">
                  <c:v>36842.426631583869</c:v>
                </c:pt>
              </c:numCache>
            </c:numRef>
          </c:val>
          <c:smooth val="1"/>
          <c:extLst>
            <c:ext xmlns:c16="http://schemas.microsoft.com/office/drawing/2014/chart" uri="{C3380CC4-5D6E-409C-BE32-E72D297353CC}">
              <c16:uniqueId val="{00000001-967E-7549-BBFD-208BC0B36C68}"/>
            </c:ext>
          </c:extLst>
        </c:ser>
        <c:dLbls>
          <c:showLegendKey val="0"/>
          <c:showVal val="0"/>
          <c:showCatName val="0"/>
          <c:showSerName val="0"/>
          <c:showPercent val="0"/>
          <c:showBubbleSize val="0"/>
        </c:dLbls>
        <c:hiLowLines>
          <c:spPr>
            <a:ln w="0">
              <a:noFill/>
            </a:ln>
          </c:spPr>
        </c:hiLowLines>
        <c:smooth val="0"/>
        <c:axId val="95672349"/>
        <c:axId val="3205690"/>
      </c:lineChart>
      <c:catAx>
        <c:axId val="95672349"/>
        <c:scaling>
          <c:orientation val="minMax"/>
        </c:scaling>
        <c:delete val="0"/>
        <c:axPos val="b"/>
        <c:title>
          <c:tx>
            <c:rich>
              <a:bodyPr rot="0"/>
              <a:lstStyle/>
              <a:p>
                <a:pPr>
                  <a:defRPr sz="1300" b="0" u="none" strike="noStrike">
                    <a:uFillTx/>
                    <a:latin typeface="Arial"/>
                  </a:defRPr>
                </a:pPr>
                <a:r>
                  <a:rPr lang="en-US" sz="1000" b="1" u="none" strike="noStrike">
                    <a:solidFill>
                      <a:srgbClr val="000000"/>
                    </a:solidFill>
                    <a:uFillTx/>
                    <a:latin typeface="Calibri"/>
                  </a:rPr>
                  <a:t>Fiscal year</a:t>
                </a:r>
              </a:p>
            </c:rich>
          </c:tx>
          <c:overlay val="0"/>
          <c:spPr>
            <a:noFill/>
            <a:ln w="0">
              <a:noFill/>
            </a:ln>
          </c:spPr>
        </c:title>
        <c:numFmt formatCode="General" sourceLinked="1"/>
        <c:majorTickMark val="none"/>
        <c:minorTickMark val="none"/>
        <c:tickLblPos val="nextTo"/>
        <c:spPr>
          <a:ln w="9360">
            <a:solidFill>
              <a:srgbClr val="878787"/>
            </a:solidFill>
            <a:round/>
          </a:ln>
        </c:spPr>
        <c:txPr>
          <a:bodyPr/>
          <a:lstStyle/>
          <a:p>
            <a:pPr>
              <a:defRPr sz="1000" b="0" u="none" strike="noStrike">
                <a:solidFill>
                  <a:srgbClr val="000000"/>
                </a:solidFill>
                <a:uFillTx/>
                <a:latin typeface="Calibri"/>
              </a:defRPr>
            </a:pPr>
            <a:endParaRPr lang="en-US"/>
          </a:p>
        </c:txPr>
        <c:crossAx val="3205690"/>
        <c:crosses val="autoZero"/>
        <c:auto val="1"/>
        <c:lblAlgn val="ctr"/>
        <c:lblOffset val="100"/>
        <c:noMultiLvlLbl val="0"/>
      </c:catAx>
      <c:valAx>
        <c:axId val="3205690"/>
        <c:scaling>
          <c:orientation val="minMax"/>
        </c:scaling>
        <c:delete val="0"/>
        <c:axPos val="l"/>
        <c:majorGridlines>
          <c:spPr>
            <a:ln w="9360">
              <a:solidFill>
                <a:srgbClr val="878787"/>
              </a:solidFill>
              <a:round/>
            </a:ln>
          </c:spPr>
        </c:majorGridlines>
        <c:title>
          <c:tx>
            <c:rich>
              <a:bodyPr rot="-5400000"/>
              <a:lstStyle/>
              <a:p>
                <a:pPr>
                  <a:defRPr sz="1300" b="0" u="none" strike="noStrike">
                    <a:uFillTx/>
                    <a:latin typeface="Arial"/>
                  </a:defRPr>
                </a:pPr>
                <a:r>
                  <a:rPr lang="en-US" sz="1000" b="1" u="none" strike="noStrike">
                    <a:solidFill>
                      <a:srgbClr val="000000"/>
                    </a:solidFill>
                    <a:uFillTx/>
                    <a:latin typeface="Calibri"/>
                  </a:rPr>
                  <a:t>$mm</a:t>
                </a:r>
              </a:p>
            </c:rich>
          </c:tx>
          <c:overlay val="0"/>
          <c:spPr>
            <a:noFill/>
            <a:ln w="0">
              <a:noFill/>
            </a:ln>
          </c:spPr>
        </c:title>
        <c:numFmt formatCode="\$#,##0;[Red]&quot;($&quot;#,##0\);\-" sourceLinked="1"/>
        <c:majorTickMark val="none"/>
        <c:minorTickMark val="none"/>
        <c:tickLblPos val="nextTo"/>
        <c:spPr>
          <a:ln w="9360">
            <a:solidFill>
              <a:srgbClr val="878787"/>
            </a:solidFill>
            <a:round/>
          </a:ln>
        </c:spPr>
        <c:txPr>
          <a:bodyPr/>
          <a:lstStyle/>
          <a:p>
            <a:pPr>
              <a:defRPr sz="1000" b="0" u="none" strike="noStrike">
                <a:solidFill>
                  <a:srgbClr val="000000"/>
                </a:solidFill>
                <a:uFillTx/>
                <a:latin typeface="Calibri"/>
              </a:defRPr>
            </a:pPr>
            <a:endParaRPr lang="en-US"/>
          </a:p>
        </c:txPr>
        <c:crossAx val="95672349"/>
        <c:crosses val="autoZero"/>
        <c:crossBetween val="between"/>
      </c:valAx>
      <c:spPr>
        <a:solidFill>
          <a:srgbClr val="FFFFFF"/>
        </a:solidFill>
        <a:ln w="0">
          <a:noFill/>
        </a:ln>
      </c:spPr>
    </c:plotArea>
    <c:legend>
      <c:legendPos val="r"/>
      <c:overlay val="0"/>
      <c:spPr>
        <a:noFill/>
        <a:ln w="0">
          <a:noFill/>
        </a:ln>
      </c:spPr>
      <c:txPr>
        <a:bodyPr/>
        <a:lstStyle/>
        <a:p>
          <a:pPr>
            <a:defRPr sz="1000" b="0" u="none" strike="noStrike">
              <a:solidFill>
                <a:srgbClr val="000000"/>
              </a:solidFill>
              <a:uFillTx/>
              <a:latin typeface="Calibri"/>
            </a:defRPr>
          </a:pPr>
          <a:endParaRPr lang="en-US"/>
        </a:p>
      </c:txPr>
    </c:legend>
    <c:plotVisOnly val="1"/>
    <c:dispBlanksAs val="gap"/>
    <c:showDLblsOverMax val="1"/>
  </c:chart>
  <c:spPr>
    <a:solidFill>
      <a:srgbClr val="FFFFFF"/>
    </a:solidFill>
    <a:ln w="9360">
      <a:solidFill>
        <a:srgbClr val="D9D9D9"/>
      </a:solidFill>
      <a:round/>
    </a:ln>
  </c:sp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100" b="0" i="0" u="none" strike="noStrike" kern="1200" spc="0" baseline="0">
                <a:solidFill>
                  <a:schemeClr val="tx1">
                    <a:lumMod val="65000"/>
                    <a:lumOff val="35000"/>
                  </a:schemeClr>
                </a:solidFill>
                <a:latin typeface="Cambria"/>
                <a:ea typeface="Cambria"/>
                <a:cs typeface="Cambria"/>
              </a:defRPr>
            </a:pPr>
            <a:r>
              <a:rPr lang="en-US"/>
              <a:t>Distribution of Value per Share ($)</a:t>
            </a:r>
          </a:p>
        </c:rich>
      </c:tx>
      <c:overlay val="0"/>
      <c:spPr>
        <a:noFill/>
        <a:ln>
          <a:noFill/>
        </a:ln>
        <a:effectLst/>
      </c:spPr>
      <c:txPr>
        <a:bodyPr rot="0" spcFirstLastPara="1" vertOverflow="ellipsis" vert="horz" wrap="square" anchor="ctr" anchorCtr="1"/>
        <a:lstStyle/>
        <a:p>
          <a:pPr>
            <a:defRPr sz="1100" b="0" i="0" u="none" strike="noStrike" kern="1200" spc="0" baseline="0">
              <a:solidFill>
                <a:schemeClr val="tx1">
                  <a:lumMod val="65000"/>
                  <a:lumOff val="35000"/>
                </a:schemeClr>
              </a:solidFill>
              <a:latin typeface="Cambria"/>
              <a:ea typeface="Cambria"/>
              <a:cs typeface="Cambria"/>
            </a:defRPr>
          </a:pPr>
          <a:endParaRPr lang="en-US"/>
        </a:p>
      </c:txPr>
    </c:title>
    <c:autoTitleDeleted val="0"/>
    <c:plotArea>
      <c:layout/>
      <c:barChart>
        <c:barDir val="col"/>
        <c:grouping val="clustered"/>
        <c:varyColors val="0"/>
        <c:ser>
          <c:idx val="0"/>
          <c:order val="0"/>
          <c:tx>
            <c:strRef>
              <c:f>'Monte Carlo'!$N$6</c:f>
              <c:strCache>
                <c:ptCount val="1"/>
                <c:pt idx="0">
                  <c:v>Count</c:v>
                </c:pt>
              </c:strCache>
            </c:strRef>
          </c:tx>
          <c:spPr>
            <a:solidFill>
              <a:srgbClr val="10222F"/>
            </a:solidFill>
            <a:ln>
              <a:noFill/>
            </a:ln>
            <a:effectLst/>
          </c:spPr>
          <c:invertIfNegative val="0"/>
          <c:cat>
            <c:numRef>
              <c:f>'Monte Carlo'!$M$7:$M$18</c:f>
              <c:numCache>
                <c:formatCode>\$#,##0;[Red]\("$"#,##0\);\-</c:formatCode>
                <c:ptCount val="12"/>
                <c:pt idx="0">
                  <c:v>149.75558168511841</c:v>
                </c:pt>
                <c:pt idx="1">
                  <c:v>166.95864312782712</c:v>
                </c:pt>
                <c:pt idx="2">
                  <c:v>184.16170457053585</c:v>
                </c:pt>
                <c:pt idx="3">
                  <c:v>201.36476601324455</c:v>
                </c:pt>
                <c:pt idx="4">
                  <c:v>218.56782745595325</c:v>
                </c:pt>
                <c:pt idx="5">
                  <c:v>235.77088889866201</c:v>
                </c:pt>
                <c:pt idx="6">
                  <c:v>252.97395034137071</c:v>
                </c:pt>
                <c:pt idx="7">
                  <c:v>270.17701178407947</c:v>
                </c:pt>
                <c:pt idx="8">
                  <c:v>287.38007322678811</c:v>
                </c:pt>
                <c:pt idx="9">
                  <c:v>304.58313466949687</c:v>
                </c:pt>
                <c:pt idx="10">
                  <c:v>321.78619611220552</c:v>
                </c:pt>
                <c:pt idx="11">
                  <c:v>338.98925755491427</c:v>
                </c:pt>
              </c:numCache>
            </c:numRef>
          </c:cat>
          <c:val>
            <c:numRef>
              <c:f>'Monte Carlo'!$N$7:$N$18</c:f>
              <c:numCache>
                <c:formatCode>0</c:formatCode>
                <c:ptCount val="12"/>
                <c:pt idx="0">
                  <c:v>50</c:v>
                </c:pt>
                <c:pt idx="1">
                  <c:v>59</c:v>
                </c:pt>
                <c:pt idx="2">
                  <c:v>84</c:v>
                </c:pt>
                <c:pt idx="3">
                  <c:v>88</c:v>
                </c:pt>
                <c:pt idx="4">
                  <c:v>79</c:v>
                </c:pt>
                <c:pt idx="5">
                  <c:v>54</c:v>
                </c:pt>
                <c:pt idx="6">
                  <c:v>38</c:v>
                </c:pt>
                <c:pt idx="7">
                  <c:v>28</c:v>
                </c:pt>
                <c:pt idx="8">
                  <c:v>14</c:v>
                </c:pt>
                <c:pt idx="9">
                  <c:v>4</c:v>
                </c:pt>
                <c:pt idx="10">
                  <c:v>1</c:v>
                </c:pt>
                <c:pt idx="11">
                  <c:v>1</c:v>
                </c:pt>
              </c:numCache>
            </c:numRef>
          </c:val>
          <c:extLst>
            <c:ext xmlns:c16="http://schemas.microsoft.com/office/drawing/2014/chart" uri="{C3380CC4-5D6E-409C-BE32-E72D297353CC}">
              <c16:uniqueId val="{00000000-4FA1-514F-A55C-48505B932238}"/>
            </c:ext>
          </c:extLst>
        </c:ser>
        <c:dLbls>
          <c:showLegendKey val="0"/>
          <c:showVal val="0"/>
          <c:showCatName val="0"/>
          <c:showSerName val="0"/>
          <c:showPercent val="0"/>
          <c:showBubbleSize val="0"/>
        </c:dLbls>
        <c:gapWidth val="20"/>
        <c:overlap val="-27"/>
        <c:axId val="1815886272"/>
        <c:axId val="1815880448"/>
      </c:barChart>
      <c:catAx>
        <c:axId val="1815886272"/>
        <c:scaling>
          <c:orientation val="minMax"/>
        </c:scaling>
        <c:delete val="0"/>
        <c:axPos val="b"/>
        <c:numFmt formatCode="&quot;$&quot;#,##0" sourceLinked="0"/>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815880448"/>
        <c:crosses val="autoZero"/>
        <c:auto val="1"/>
        <c:lblAlgn val="ctr"/>
        <c:lblOffset val="100"/>
        <c:noMultiLvlLbl val="0"/>
      </c:catAx>
      <c:valAx>
        <c:axId val="1815880448"/>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Trials</a:t>
                </a: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815886272"/>
        <c:crosses val="autoZero"/>
        <c:crossBetween val="between"/>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wrap="square" anchor="ctr" anchorCtr="1"/>
          <a:lstStyle/>
          <a:p>
            <a:pPr>
              <a:defRPr sz="1300" b="0" i="0" u="none" strike="noStrike" kern="1200" baseline="0">
                <a:solidFill>
                  <a:schemeClr val="tx1"/>
                </a:solidFill>
                <a:uFillTx/>
                <a:latin typeface="Arial"/>
                <a:ea typeface="+mn-ea"/>
                <a:cs typeface="+mn-cs"/>
              </a:defRPr>
            </a:pPr>
            <a:r>
              <a:rPr lang="en-US" sz="1800" b="1" u="none" strike="noStrike">
                <a:solidFill>
                  <a:srgbClr val="000000"/>
                </a:solidFill>
                <a:uFillTx/>
                <a:latin typeface="Calibri"/>
              </a:rPr>
              <a:t>EV / Sales</a:t>
            </a:r>
          </a:p>
        </c:rich>
      </c:tx>
      <c:overlay val="0"/>
      <c:spPr>
        <a:noFill/>
        <a:ln w="0">
          <a:noFill/>
        </a:ln>
        <a:effectLst/>
      </c:spPr>
      <c:txPr>
        <a:bodyPr rot="0" spcFirstLastPara="1" vertOverflow="ellipsis" wrap="square" anchor="ctr" anchorCtr="1"/>
        <a:lstStyle/>
        <a:p>
          <a:pPr>
            <a:defRPr sz="1300" b="0" i="0" u="none" strike="noStrike" kern="1200" baseline="0">
              <a:solidFill>
                <a:schemeClr val="tx1"/>
              </a:solidFill>
              <a:uFillTx/>
              <a:latin typeface="Arial"/>
              <a:ea typeface="+mn-ea"/>
              <a:cs typeface="+mn-cs"/>
            </a:defRPr>
          </a:pPr>
          <a:endParaRPr lang="en-US"/>
        </a:p>
      </c:txPr>
    </c:title>
    <c:autoTitleDeleted val="0"/>
    <c:plotArea>
      <c:layout/>
      <c:barChart>
        <c:barDir val="col"/>
        <c:grouping val="clustered"/>
        <c:varyColors val="0"/>
        <c:ser>
          <c:idx val="0"/>
          <c:order val="0"/>
          <c:tx>
            <c:strRef>
              <c:f>'Trading Comps'!$I$5</c:f>
              <c:strCache>
                <c:ptCount val="1"/>
                <c:pt idx="0">
                  <c:v>EV / Sales</c:v>
                </c:pt>
              </c:strCache>
            </c:strRef>
          </c:tx>
          <c:spPr>
            <a:solidFill>
              <a:schemeClr val="accent6"/>
            </a:solidFill>
            <a:ln>
              <a:noFill/>
            </a:ln>
            <a:effectLst/>
          </c:spPr>
          <c:invertIfNegative val="0"/>
          <c:dLbls>
            <c:spPr>
              <a:noFill/>
              <a:ln>
                <a:noFill/>
              </a:ln>
              <a:effectLst/>
            </c:spPr>
            <c:txPr>
              <a:bodyPr rot="0" spcFirstLastPara="1" vertOverflow="ellipsis" vert="horz" wrap="none" anchor="ctr" anchorCtr="1"/>
              <a:lstStyle/>
              <a:p>
                <a:pPr>
                  <a:defRPr sz="1000" b="0" i="0" u="none" strike="noStrike" kern="1200" baseline="0">
                    <a:solidFill>
                      <a:schemeClr val="tx1"/>
                    </a:solidFill>
                    <a:uFillTx/>
                    <a:latin typeface="Arial"/>
                    <a:ea typeface="+mn-ea"/>
                    <a:cs typeface="+mn-cs"/>
                  </a:defRPr>
                </a:pPr>
                <a:endParaRPr lang="en-US"/>
              </a:p>
            </c:txPr>
            <c:showLegendKey val="0"/>
            <c:showVal val="0"/>
            <c:showCatName val="0"/>
            <c:showSerName val="0"/>
            <c:showPercent val="0"/>
            <c:showBubbleSize val="1"/>
            <c:separator> </c:separator>
            <c:showLeaderLines val="0"/>
            <c:extLst>
              <c:ext xmlns:c15="http://schemas.microsoft.com/office/drawing/2012/chart" uri="{CE6537A1-D6FC-4f65-9D91-7224C49458BB}">
                <c15:showLeaderLines val="1"/>
                <c15:leaderLines>
                  <c:spPr>
                    <a:ln w="0" cap="flat" cmpd="sng" algn="ctr">
                      <a:solidFill>
                        <a:srgbClr val="000000"/>
                      </a:solidFill>
                      <a:prstDash val="solid"/>
                      <a:round/>
                    </a:ln>
                    <a:effectLst/>
                  </c:spPr>
                </c15:leaderLines>
              </c:ext>
            </c:extLst>
          </c:dLbls>
          <c:cat>
            <c:strRef>
              <c:f>'Trading Comps'!$B$6:$B$10</c:f>
              <c:strCache>
                <c:ptCount val="5"/>
                <c:pt idx="0">
                  <c:v>CRWV</c:v>
                </c:pt>
                <c:pt idx="1">
                  <c:v>NVDA</c:v>
                </c:pt>
                <c:pt idx="2">
                  <c:v>TSM</c:v>
                </c:pt>
                <c:pt idx="3">
                  <c:v>ASML</c:v>
                </c:pt>
                <c:pt idx="4">
                  <c:v>AMD</c:v>
                </c:pt>
              </c:strCache>
            </c:strRef>
          </c:cat>
          <c:val>
            <c:numRef>
              <c:f>'Trading Comps'!$I$6:$I$10</c:f>
              <c:numCache>
                <c:formatCode>0.0\x;[Red]\(0.0"x)";\-</c:formatCode>
                <c:ptCount val="5"/>
                <c:pt idx="0">
                  <c:v>11.114081075813701</c:v>
                </c:pt>
                <c:pt idx="1">
                  <c:v>21.038583899082099</c:v>
                </c:pt>
                <c:pt idx="2">
                  <c:v>12.3870817103183</c:v>
                </c:pt>
                <c:pt idx="3">
                  <c:v>10.516604285355699</c:v>
                </c:pt>
                <c:pt idx="4">
                  <c:v>10.0486954011375</c:v>
                </c:pt>
              </c:numCache>
            </c:numRef>
          </c:val>
          <c:extLst>
            <c:ext xmlns:c16="http://schemas.microsoft.com/office/drawing/2014/chart" uri="{C3380CC4-5D6E-409C-BE32-E72D297353CC}">
              <c16:uniqueId val="{00000000-0757-8C4D-B59B-B02145A83BDA}"/>
            </c:ext>
          </c:extLst>
        </c:ser>
        <c:dLbls>
          <c:showLegendKey val="0"/>
          <c:showVal val="0"/>
          <c:showCatName val="0"/>
          <c:showSerName val="0"/>
          <c:showPercent val="0"/>
          <c:showBubbleSize val="0"/>
        </c:dLbls>
        <c:gapWidth val="150"/>
        <c:axId val="35142956"/>
        <c:axId val="78725001"/>
      </c:barChart>
      <c:catAx>
        <c:axId val="35142956"/>
        <c:scaling>
          <c:orientation val="minMax"/>
        </c:scaling>
        <c:delete val="0"/>
        <c:axPos val="b"/>
        <c:numFmt formatCode="General" sourceLinked="1"/>
        <c:majorTickMark val="none"/>
        <c:minorTickMark val="none"/>
        <c:tickLblPos val="nextTo"/>
        <c:spPr>
          <a:noFill/>
          <a:ln w="9360" cap="flat" cmpd="sng" algn="ctr">
            <a:solidFill>
              <a:srgbClr val="878787"/>
            </a:solidFill>
            <a:prstDash val="solid"/>
            <a:round/>
          </a:ln>
          <a:effectLst/>
        </c:spPr>
        <c:txPr>
          <a:bodyPr rot="-60000000" spcFirstLastPara="1" vertOverflow="ellipsis" vert="horz" wrap="square" anchor="ctr" anchorCtr="1"/>
          <a:lstStyle/>
          <a:p>
            <a:pPr>
              <a:defRPr sz="1000" b="0" i="0" u="none" strike="noStrike" kern="1200" baseline="0">
                <a:solidFill>
                  <a:srgbClr val="000000"/>
                </a:solidFill>
                <a:uFillTx/>
                <a:latin typeface="Calibri"/>
                <a:ea typeface="+mn-ea"/>
                <a:cs typeface="+mn-cs"/>
              </a:defRPr>
            </a:pPr>
            <a:endParaRPr lang="en-US"/>
          </a:p>
        </c:txPr>
        <c:crossAx val="78725001"/>
        <c:crosses val="autoZero"/>
        <c:auto val="1"/>
        <c:lblAlgn val="ctr"/>
        <c:lblOffset val="100"/>
        <c:noMultiLvlLbl val="0"/>
      </c:catAx>
      <c:valAx>
        <c:axId val="78725001"/>
        <c:scaling>
          <c:orientation val="minMax"/>
        </c:scaling>
        <c:delete val="0"/>
        <c:axPos val="l"/>
        <c:majorGridlines>
          <c:spPr>
            <a:ln w="9360" cap="flat" cmpd="sng" algn="ctr">
              <a:solidFill>
                <a:srgbClr val="878787"/>
              </a:solidFill>
              <a:prstDash val="solid"/>
              <a:round/>
            </a:ln>
            <a:effectLst/>
          </c:spPr>
        </c:majorGridlines>
        <c:title>
          <c:tx>
            <c:rich>
              <a:bodyPr rot="-5400000" spcFirstLastPara="1" vertOverflow="ellipsis" wrap="square" anchor="ctr" anchorCtr="1"/>
              <a:lstStyle/>
              <a:p>
                <a:pPr>
                  <a:defRPr sz="1300" b="0" i="0" u="none" strike="noStrike" kern="1200" baseline="0">
                    <a:solidFill>
                      <a:schemeClr val="tx1"/>
                    </a:solidFill>
                    <a:uFillTx/>
                    <a:latin typeface="Arial"/>
                    <a:ea typeface="+mn-ea"/>
                    <a:cs typeface="+mn-cs"/>
                  </a:defRPr>
                </a:pPr>
                <a:r>
                  <a:rPr lang="en-US" sz="1000" b="1" u="none" strike="noStrike">
                    <a:solidFill>
                      <a:srgbClr val="000000"/>
                    </a:solidFill>
                    <a:uFillTx/>
                    <a:latin typeface="Calibri"/>
                  </a:rPr>
                  <a:t>x</a:t>
                </a:r>
              </a:p>
            </c:rich>
          </c:tx>
          <c:overlay val="0"/>
          <c:spPr>
            <a:noFill/>
            <a:ln w="0">
              <a:noFill/>
            </a:ln>
            <a:effectLst/>
          </c:spPr>
          <c:txPr>
            <a:bodyPr rot="-5400000" spcFirstLastPara="1" vertOverflow="ellipsis" wrap="square" anchor="ctr" anchorCtr="1"/>
            <a:lstStyle/>
            <a:p>
              <a:pPr>
                <a:defRPr sz="1300" b="0" i="0" u="none" strike="noStrike" kern="1200" baseline="0">
                  <a:solidFill>
                    <a:schemeClr val="tx1"/>
                  </a:solidFill>
                  <a:uFillTx/>
                  <a:latin typeface="Arial"/>
                  <a:ea typeface="+mn-ea"/>
                  <a:cs typeface="+mn-cs"/>
                </a:defRPr>
              </a:pPr>
              <a:endParaRPr lang="en-US"/>
            </a:p>
          </c:txPr>
        </c:title>
        <c:numFmt formatCode="0.0\x;[Red]\(0.0&quot;x)&quot;;\-" sourceLinked="1"/>
        <c:majorTickMark val="none"/>
        <c:minorTickMark val="none"/>
        <c:tickLblPos val="nextTo"/>
        <c:spPr>
          <a:noFill/>
          <a:ln w="9360" cap="flat" cmpd="sng" algn="ctr">
            <a:solidFill>
              <a:srgbClr val="878787"/>
            </a:solidFill>
            <a:prstDash val="solid"/>
            <a:round/>
          </a:ln>
          <a:effectLst/>
        </c:spPr>
        <c:txPr>
          <a:bodyPr rot="-60000000" spcFirstLastPara="1" vertOverflow="ellipsis" vert="horz" wrap="square" anchor="ctr" anchorCtr="1"/>
          <a:lstStyle/>
          <a:p>
            <a:pPr>
              <a:defRPr sz="1000" b="0" i="0" u="none" strike="noStrike" kern="1200" baseline="0">
                <a:solidFill>
                  <a:srgbClr val="000000"/>
                </a:solidFill>
                <a:uFillTx/>
                <a:latin typeface="Calibri"/>
                <a:ea typeface="+mn-ea"/>
                <a:cs typeface="+mn-cs"/>
              </a:defRPr>
            </a:pPr>
            <a:endParaRPr lang="en-US"/>
          </a:p>
        </c:txPr>
        <c:crossAx val="35142956"/>
        <c:crosses val="autoZero"/>
        <c:crossBetween val="between"/>
      </c:valAx>
      <c:spPr>
        <a:solidFill>
          <a:srgbClr val="FFFFFF"/>
        </a:solidFill>
        <a:ln w="0">
          <a:noFill/>
        </a:ln>
        <a:effectLst/>
      </c:spPr>
    </c:plotArea>
    <c:legend>
      <c:legendPos val="r"/>
      <c:overlay val="0"/>
      <c:spPr>
        <a:noFill/>
        <a:ln w="0">
          <a:noFill/>
        </a:ln>
        <a:effectLst/>
      </c:spPr>
      <c:txPr>
        <a:bodyPr rot="0" spcFirstLastPara="1" vertOverflow="ellipsis" vert="horz" wrap="square" anchor="ctr" anchorCtr="1"/>
        <a:lstStyle/>
        <a:p>
          <a:pPr>
            <a:defRPr sz="1000" b="0" i="0" u="none" strike="noStrike" kern="1200" baseline="0">
              <a:solidFill>
                <a:srgbClr val="000000"/>
              </a:solidFill>
              <a:uFillTx/>
              <a:latin typeface="Calibri"/>
              <a:ea typeface="+mn-ea"/>
              <a:cs typeface="+mn-cs"/>
            </a:defRPr>
          </a:pPr>
          <a:endParaRPr lang="en-US"/>
        </a:p>
      </c:txPr>
    </c:legend>
    <c:plotVisOnly val="1"/>
    <c:dispBlanksAs val="gap"/>
    <c:showDLblsOverMax val="1"/>
  </c:chart>
  <c:spPr>
    <a:solidFill>
      <a:srgbClr val="FFFFFF"/>
    </a:solidFill>
    <a:ln w="9360" cap="flat" cmpd="sng" algn="ctr">
      <a:solidFill>
        <a:srgbClr val="D9D9D9"/>
      </a:solidFill>
      <a:prstDash val="solid"/>
      <a:round/>
    </a:ln>
    <a:effectLst/>
  </c:spPr>
  <c:txPr>
    <a:bodyPr/>
    <a:lstStyle/>
    <a:p>
      <a:pPr>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3">
  <a:schemeClr val="accent6"/>
  <a:schemeClr val="accent5"/>
  <a:schemeClr val="accent4"/>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
  <cs:axisTitle>
    <cs:lnRef idx="0"/>
    <cs:fillRef idx="0"/>
    <cs:effectRef idx="0"/>
    <cs:fontRef idx="minor">
      <a:schemeClr val="tx1"/>
    </cs:fontRef>
    <cs:defRPr sz="1000" b="1" kern="1200"/>
  </cs:axisTitle>
  <cs:categoryAxis>
    <cs:lnRef idx="1">
      <a:schemeClr val="tx1"/>
    </cs:lnRef>
    <cs:fillRef idx="0"/>
    <cs:effectRef idx="0"/>
    <cs:fontRef idx="minor">
      <a:schemeClr val="tx1"/>
    </cs:fontRef>
    <cs:spPr>
      <a:ln>
        <a:round/>
      </a:ln>
    </cs:spPr>
    <cs:defRPr sz="1000" kern="1200"/>
  </cs:categoryAxis>
  <cs:chartArea mods="allowNoFillOverride allowNoLineOverride">
    <cs:lnRef idx="1">
      <a:schemeClr val="tx1">
        <a:tint val="75000"/>
      </a:schemeClr>
    </cs:lnRef>
    <cs:fillRef idx="1">
      <a:schemeClr val="bg1"/>
    </cs:fillRef>
    <cs:effectRef idx="0"/>
    <cs:fontRef idx="minor">
      <a:schemeClr val="tx1"/>
    </cs:fontRef>
    <cs:spPr>
      <a:ln>
        <a:round/>
      </a:ln>
    </cs:spPr>
    <cs:defRPr sz="1000" kern="1200"/>
  </cs:chartArea>
  <cs:dataLabel>
    <cs:lnRef idx="0"/>
    <cs:fillRef idx="0"/>
    <cs:effectRef idx="0"/>
    <cs:fontRef idx="minor">
      <a:schemeClr val="tx1"/>
    </cs:fontRef>
    <cs:defRPr sz="1000" kern="1200"/>
  </cs:dataLabel>
  <cs:dataLabelCallout>
    <cs:lnRef idx="0"/>
    <cs:fillRef idx="0"/>
    <cs:effectRef idx="0"/>
    <cs:fontRef idx="minor">
      <a:schemeClr val="dk1"/>
    </cs:fontRef>
    <cs:spPr>
      <a:solidFill>
        <a:schemeClr val="lt1"/>
      </a:solidFill>
      <a:ln>
        <a:solidFill>
          <a:schemeClr val="dk1">
            <a:lumMod val="65000"/>
            <a:lumOff val="35000"/>
          </a:schemeClr>
        </a:solidFill>
      </a:ln>
    </cs:spPr>
    <cs:defRPr sz="1000" kern="1200"/>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1">
      <cs:styleClr val="auto"/>
    </cs:lnRef>
    <cs:lineWidthScale>3</cs:lineWidthScale>
    <cs:fillRef idx="0"/>
    <cs:effectRef idx="0"/>
    <cs:fontRef idx="minor">
      <a:schemeClr val="tx1"/>
    </cs:fontRef>
    <cs:spPr>
      <a:ln cap="rnd">
        <a:round/>
      </a:ln>
    </cs:spPr>
  </cs:dataPointLine>
  <cs:dataPointMarker>
    <cs:lnRef idx="1">
      <cs:styleClr val="auto"/>
    </cs:lnRef>
    <cs:fillRef idx="1">
      <cs:styleClr val="auto"/>
    </cs:fillRef>
    <cs:effectRef idx="0"/>
    <cs:fontRef idx="minor">
      <a:schemeClr val="tx1"/>
    </cs:fontRef>
    <cs:spPr>
      <a:ln>
        <a:round/>
      </a:ln>
    </cs:spPr>
  </cs:dataPointMarker>
  <cs:dataPointMarkerLayout/>
  <cs:dataPointWireframe>
    <cs:lnRef idx="1">
      <cs:styleClr val="auto"/>
    </cs:lnRef>
    <cs:fillRef idx="0"/>
    <cs:effectRef idx="0"/>
    <cs:fontRef idx="minor">
      <a:schemeClr val="tx1"/>
    </cs:fontRef>
    <cs:spPr>
      <a:ln>
        <a:round/>
      </a:ln>
    </cs:spPr>
  </cs:dataPointWireframe>
  <cs:dataTable>
    <cs:lnRef idx="1">
      <a:schemeClr val="tx1">
        <a:tint val="75000"/>
      </a:schemeClr>
    </cs:lnRef>
    <cs:fillRef idx="0"/>
    <cs:effectRef idx="0"/>
    <cs:fontRef idx="minor">
      <a:schemeClr val="tx1"/>
    </cs:fontRef>
    <cs:spPr>
      <a:ln>
        <a:round/>
      </a:ln>
    </cs:spPr>
    <cs:defRPr sz="1000" kern="1200"/>
  </cs:dataTable>
  <cs:downBar>
    <cs:lnRef idx="1">
      <a:schemeClr val="tx1"/>
    </cs:lnRef>
    <cs:fillRef idx="1">
      <a:schemeClr val="dk1">
        <a:tint val="95000"/>
      </a:schemeClr>
    </cs:fillRef>
    <cs:effectRef idx="0"/>
    <cs:fontRef idx="minor">
      <a:schemeClr val="tx1"/>
    </cs:fontRef>
    <cs:spPr>
      <a:ln>
        <a:round/>
      </a:ln>
    </cs:spPr>
  </cs:downBar>
  <cs:dropLine>
    <cs:lnRef idx="1">
      <a:schemeClr val="tx1"/>
    </cs:lnRef>
    <cs:fillRef idx="0"/>
    <cs:effectRef idx="0"/>
    <cs:fontRef idx="minor">
      <a:schemeClr val="tx1"/>
    </cs:fontRef>
    <cs:spPr>
      <a:ln>
        <a:round/>
      </a:ln>
    </cs:spPr>
  </cs:dropLine>
  <cs:errorBar>
    <cs:lnRef idx="1">
      <a:schemeClr val="tx1"/>
    </cs:lnRef>
    <cs:fillRef idx="1">
      <a:schemeClr val="tx1"/>
    </cs:fillRef>
    <cs:effectRef idx="0"/>
    <cs:fontRef idx="minor">
      <a:schemeClr val="tx1"/>
    </cs:fontRef>
    <cs:spPr>
      <a:ln>
        <a:round/>
      </a:ln>
    </cs:spPr>
  </cs:errorBar>
  <cs:floor>
    <cs:lnRef idx="1">
      <a:schemeClr val="tx1">
        <a:tint val="75000"/>
      </a:schemeClr>
    </cs:lnRef>
    <cs:fillRef idx="0"/>
    <cs:effectRef idx="0"/>
    <cs:fontRef idx="minor">
      <a:schemeClr val="tx1"/>
    </cs:fontRef>
    <cs:spPr>
      <a:ln>
        <a:round/>
      </a:ln>
    </cs:spPr>
  </cs:floor>
  <cs:gridlineMajor>
    <cs:lnRef idx="1">
      <a:schemeClr val="tx1"/>
    </cs:lnRef>
    <cs:fillRef idx="0"/>
    <cs:effectRef idx="0"/>
    <cs:fontRef idx="minor">
      <a:schemeClr val="tx1"/>
    </cs:fontRef>
    <cs:spPr>
      <a:ln>
        <a:round/>
      </a:ln>
    </cs:spPr>
  </cs:gridlineMajor>
  <cs:gridlineMinor>
    <cs:lnRef idx="1">
      <a:schemeClr val="tx1">
        <a:tint val="50000"/>
      </a:schemeClr>
    </cs:lnRef>
    <cs:fillRef idx="0"/>
    <cs:effectRef idx="0"/>
    <cs:fontRef idx="minor">
      <a:schemeClr val="tx1"/>
    </cs:fontRef>
    <cs:spPr>
      <a:ln>
        <a:round/>
      </a:ln>
    </cs:spPr>
  </cs:gridlineMinor>
  <cs:hiLoLine>
    <cs:lnRef idx="1">
      <a:schemeClr val="tx1"/>
    </cs:lnRef>
    <cs:fillRef idx="0"/>
    <cs:effectRef idx="0"/>
    <cs:fontRef idx="minor">
      <a:schemeClr val="tx1"/>
    </cs:fontRef>
    <cs:spPr>
      <a:ln>
        <a:round/>
      </a:ln>
    </cs:spPr>
  </cs:hiLoLine>
  <cs:leaderLine>
    <cs:lnRef idx="1">
      <a:schemeClr val="tx1"/>
    </cs:lnRef>
    <cs:fillRef idx="0"/>
    <cs:effectRef idx="0"/>
    <cs:fontRef idx="minor">
      <a:schemeClr val="tx1"/>
    </cs:fontRef>
    <cs:spPr>
      <a:ln>
        <a:round/>
      </a:ln>
    </cs:spPr>
  </cs:leaderLine>
  <cs:legend>
    <cs:lnRef idx="0"/>
    <cs:fillRef idx="0"/>
    <cs:effectRef idx="0"/>
    <cs:fontRef idx="minor">
      <a:schemeClr val="tx1"/>
    </cs:fontRef>
    <cs:defRPr sz="1000" kern="1200"/>
  </cs:legend>
  <cs:plotArea mods="allowNoFillOverride allowNoLineOverride">
    <cs:lnRef idx="0"/>
    <cs:fillRef idx="1">
      <a:schemeClr val="bg1"/>
    </cs:fillRef>
    <cs:effectRef idx="0"/>
    <cs:fontRef idx="minor">
      <a:schemeClr val="tx1"/>
    </cs:fontRef>
  </cs:plotArea>
  <cs:plotArea3D>
    <cs:lnRef idx="0"/>
    <cs:fillRef idx="0"/>
    <cs:effectRef idx="0"/>
    <cs:fontRef idx="minor">
      <a:schemeClr val="tx1"/>
    </cs:fontRef>
  </cs:plotArea3D>
  <cs:seriesAxis>
    <cs:lnRef idx="1">
      <a:schemeClr val="tx1"/>
    </cs:lnRef>
    <cs:fillRef idx="0"/>
    <cs:effectRef idx="0"/>
    <cs:fontRef idx="minor">
      <a:schemeClr val="tx1"/>
    </cs:fontRef>
    <cs:spPr>
      <a:ln>
        <a:round/>
      </a:ln>
    </cs:spPr>
    <cs:defRPr sz="1000" kern="1200"/>
  </cs:seriesAxis>
  <cs:seriesLine>
    <cs:lnRef idx="1">
      <a:schemeClr val="tx1"/>
    </cs:lnRef>
    <cs:fillRef idx="0"/>
    <cs:effectRef idx="0"/>
    <cs:fontRef idx="minor">
      <a:schemeClr val="tx1"/>
    </cs:fontRef>
    <cs:spPr>
      <a:ln>
        <a:round/>
      </a:ln>
    </cs:spPr>
  </cs:seriesLine>
  <cs:title>
    <cs:lnRef idx="0"/>
    <cs:fillRef idx="0"/>
    <cs:effectRef idx="0"/>
    <cs:fontRef idx="minor">
      <a:schemeClr val="tx1"/>
    </cs:fontRef>
    <cs:defRPr sz="1000" b="1" kern="1200"/>
  </cs:title>
  <cs:trendline>
    <cs:lnRef idx="1">
      <a:schemeClr val="tx1"/>
    </cs:lnRef>
    <cs:fillRef idx="0"/>
    <cs:effectRef idx="0"/>
    <cs:fontRef idx="minor">
      <a:schemeClr val="tx1"/>
    </cs:fontRef>
    <cs:spPr>
      <a:ln cap="rnd">
        <a:round/>
      </a:ln>
    </cs:spPr>
  </cs:trendline>
  <cs:trendlineLabel>
    <cs:lnRef idx="0"/>
    <cs:fillRef idx="0"/>
    <cs:effectRef idx="0"/>
    <cs:fontRef idx="minor">
      <a:schemeClr val="tx1"/>
    </cs:fontRef>
    <cs:defRPr sz="1000" kern="1200"/>
  </cs:trendlineLabel>
  <cs:upBar>
    <cs:lnRef idx="1">
      <a:schemeClr val="tx1"/>
    </cs:lnRef>
    <cs:fillRef idx="1">
      <a:schemeClr val="dk1">
        <a:tint val="5000"/>
      </a:schemeClr>
    </cs:fillRef>
    <cs:effectRef idx="0"/>
    <cs:fontRef idx="minor">
      <a:schemeClr val="tx1"/>
    </cs:fontRef>
    <cs:spPr>
      <a:ln>
        <a:round/>
      </a:ln>
    </cs:spPr>
  </cs:upBar>
  <cs:valueAxis>
    <cs:lnRef idx="1">
      <a:schemeClr val="tx1"/>
    </cs:lnRef>
    <cs:fillRef idx="0"/>
    <cs:effectRef idx="0"/>
    <cs:fontRef idx="minor">
      <a:schemeClr val="tx1"/>
    </cs:fontRef>
    <cs:spPr>
      <a:ln>
        <a:round/>
      </a:ln>
    </cs:spPr>
    <cs:defRPr sz="1000" kern="1200"/>
  </cs:valueAxis>
  <cs:wall>
    <cs:lnRef idx="0"/>
    <cs:fillRef idx="0"/>
    <cs:effectRef idx="0"/>
    <cs:fontRef idx="minor">
      <a:schemeClr val="tx1"/>
    </cs:fontRef>
  </cs:wall>
</cs:chartStyl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_rels/drawing2.xml.rels><?xml version="1.0" encoding="UTF-8" standalone="yes"?>
<Relationships xmlns="http://schemas.openxmlformats.org/package/2006/relationships"><Relationship Id="rId1" Type="http://schemas.openxmlformats.org/officeDocument/2006/relationships/chart" Target="../charts/chart2.xml"/></Relationships>
</file>

<file path=xl/drawings/_rels/drawing3.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editAs="oneCell">
    <xdr:from>
      <xdr:col>3</xdr:col>
      <xdr:colOff>152400</xdr:colOff>
      <xdr:row>33</xdr:row>
      <xdr:rowOff>127000</xdr:rowOff>
    </xdr:from>
    <xdr:to>
      <xdr:col>12</xdr:col>
      <xdr:colOff>203200</xdr:colOff>
      <xdr:row>56</xdr:row>
      <xdr:rowOff>139700</xdr:rowOff>
    </xdr:to>
    <xdr:graphicFrame macro="">
      <xdr:nvGraphicFramePr>
        <xdr:cNvPr id="2" name="Chart 1">
          <a:extLst>
            <a:ext uri="{FF2B5EF4-FFF2-40B4-BE49-F238E27FC236}">
              <a16:creationId xmlns:a16="http://schemas.microsoft.com/office/drawing/2014/main" id="{00000000-0008-0000-04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xdr:from>
      <xdr:col>3</xdr:col>
      <xdr:colOff>203200</xdr:colOff>
      <xdr:row>10</xdr:row>
      <xdr:rowOff>76200</xdr:rowOff>
    </xdr:from>
    <xdr:to>
      <xdr:col>11</xdr:col>
      <xdr:colOff>114300</xdr:colOff>
      <xdr:row>28</xdr:row>
      <xdr:rowOff>76200</xdr:rowOff>
    </xdr:to>
    <xdr:graphicFrame macro="">
      <xdr:nvGraphicFramePr>
        <xdr:cNvPr id="3" name="Chart 2">
          <a:extLst>
            <a:ext uri="{FF2B5EF4-FFF2-40B4-BE49-F238E27FC236}">
              <a16:creationId xmlns:a16="http://schemas.microsoft.com/office/drawing/2014/main" id="{538E73AC-4EE2-CE0B-1EB7-5AE28F9C436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889000</xdr:colOff>
      <xdr:row>15</xdr:row>
      <xdr:rowOff>114300</xdr:rowOff>
    </xdr:from>
    <xdr:to>
      <xdr:col>5</xdr:col>
      <xdr:colOff>149960</xdr:colOff>
      <xdr:row>28</xdr:row>
      <xdr:rowOff>157140</xdr:rowOff>
    </xdr:to>
    <xdr:graphicFrame macro="">
      <xdr:nvGraphicFramePr>
        <xdr:cNvPr id="2" name="Chart 1">
          <a:extLst>
            <a:ext uri="{FF2B5EF4-FFF2-40B4-BE49-F238E27FC236}">
              <a16:creationId xmlns:a16="http://schemas.microsoft.com/office/drawing/2014/main" id="{00000000-0008-0000-05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persons/person.xml><?xml version="1.0" encoding="utf-8"?>
<personList xmlns="http://schemas.microsoft.com/office/spreadsheetml/2018/threadedcomments" xmlns:x="http://schemas.openxmlformats.org/spreadsheetml/2006/main">
  <person displayName="Darrell Day" id="{23D3914A-22F1-D143-BF16-2742406199C1}" userId="Darrell Day" providerId="None"/>
</personList>
</file>

<file path=xl/theme/theme1.xml><?xml version="1.0" encoding="utf-8"?>
<a:theme xmlns:a="http://schemas.openxmlformats.org/drawingml/2006/main" name="Office Theme">
  <a:themeElements>
    <a:clrScheme name="DDay Anthropic 26">
      <a:dk1>
        <a:srgbClr val="141413"/>
      </a:dk1>
      <a:lt1>
        <a:srgbClr val="FAF9F5"/>
      </a:lt1>
      <a:dk2>
        <a:srgbClr val="3C3C3A"/>
      </a:dk2>
      <a:lt2>
        <a:srgbClr val="E8E6DC"/>
      </a:lt2>
      <a:accent1>
        <a:srgbClr val="C6613F"/>
      </a:accent1>
      <a:accent2>
        <a:srgbClr val="D97757"/>
      </a:accent2>
      <a:accent3>
        <a:srgbClr val="EDA570"/>
      </a:accent3>
      <a:accent4>
        <a:srgbClr val="F3E2C3"/>
      </a:accent4>
      <a:accent5>
        <a:srgbClr val="788C5D"/>
      </a:accent5>
      <a:accent6>
        <a:srgbClr val="BCD1CA"/>
      </a:accent6>
      <a:hlink>
        <a:srgbClr val="1C63AF"/>
      </a:hlink>
      <a:folHlink>
        <a:srgbClr val="C36686"/>
      </a:folHlink>
    </a:clrScheme>
    <a:fontScheme name="Office">
      <a:majorFont>
        <a:latin typeface="Cambria"/>
        <a:ea typeface=""/>
        <a:cs typeface=""/>
      </a:majorFont>
      <a:minorFont>
        <a:latin typeface="Calibri"/>
        <a:ea typeface=""/>
        <a:cs typeface=""/>
      </a:minorFont>
    </a:fontScheme>
    <a:fmtScheme>
      <a:fillStyleLst>
        <a:solidFill>
          <a:schemeClr val="phClr"/>
        </a:solidFill>
        <a:gradFill>
          <a:gsLst>
            <a:gs pos="0">
              <a:schemeClr val="phClr">
                <a:tint val="50000"/>
              </a:schemeClr>
            </a:gs>
            <a:gs pos="35000">
              <a:schemeClr val="phClr">
                <a:tint val="37000"/>
              </a:schemeClr>
            </a:gs>
            <a:gs pos="100000">
              <a:schemeClr val="phClr">
                <a:tint val="15000"/>
              </a:schemeClr>
            </a:gs>
          </a:gsLst>
          <a:lin ang="16200000" scaled="1"/>
          <a:tileRect/>
        </a:gradFill>
        <a:gradFill>
          <a:gsLst>
            <a:gs pos="0">
              <a:schemeClr val="phClr">
                <a:shade val="51000"/>
              </a:schemeClr>
            </a:gs>
            <a:gs pos="80000">
              <a:schemeClr val="phClr">
                <a:shade val="93000"/>
              </a:schemeClr>
            </a:gs>
            <a:gs pos="100000">
              <a:schemeClr val="phClr">
                <a:shade val="94000"/>
              </a:schemeClr>
            </a:gs>
          </a:gsLst>
          <a:lin ang="16200000" scaled="0"/>
          <a:tileRect/>
        </a:gradFill>
      </a:fillStyleLst>
      <a:lnStyleLst>
        <a:ln w="9525" cap="flat" cmpd="sng" algn="ctr">
          <a:prstDash val="solid"/>
        </a:ln>
        <a:ln w="25400" cap="flat" cmpd="sng" algn="ctr">
          <a:prstDash val="solid"/>
        </a:ln>
        <a:ln w="38100" cap="flat" cmpd="sng" algn="ctr">
          <a:prstDash val="solid"/>
        </a:ln>
      </a:lnStyleLst>
      <a:effectStyleLst>
        <a:effectStyle>
          <a:effectLst/>
        </a:effectStyle>
        <a:effectStyle>
          <a:effectLst/>
        </a:effectStyle>
        <a:effectStyle>
          <a:effectLst/>
        </a:effectStyle>
      </a:effectStyleLst>
      <a:bgFillStyleLst>
        <a:solidFill>
          <a:schemeClr val="phClr"/>
        </a:solidFill>
        <a:gradFill>
          <a:gsLst>
            <a:gs pos="0">
              <a:schemeClr val="phClr">
                <a:tint val="40000"/>
              </a:schemeClr>
            </a:gs>
            <a:gs pos="40000">
              <a:schemeClr val="phClr">
                <a:tint val="45000"/>
                <a:shade val="99000"/>
              </a:schemeClr>
            </a:gs>
            <a:gs pos="100000">
              <a:schemeClr val="phClr">
                <a:shade val="20000"/>
              </a:schemeClr>
            </a:gs>
          </a:gsLst>
          <a:path path="circle">
            <a:fillToRect l="50000" t="-80000" r="50000" b="180000"/>
          </a:path>
          <a:tileRect/>
        </a:gradFill>
        <a:gradFill>
          <a:gsLst>
            <a:gs pos="0">
              <a:schemeClr val="phClr">
                <a:tint val="80000"/>
              </a:schemeClr>
            </a:gs>
            <a:gs pos="100000">
              <a:schemeClr val="phClr">
                <a:shade val="30000"/>
              </a:schemeClr>
            </a:gs>
          </a:gsLst>
          <a:path path="circle">
            <a:fillToRect l="50000" t="50000" r="50000" b="50000"/>
          </a:path>
          <a:tileRect/>
        </a:gradFill>
      </a:bgFillStyleLst>
    </a:fmtScheme>
  </a:themeElements>
  <a:objectDefaults/>
  <a:extraClrSchemeLst/>
</a:theme>
</file>

<file path=xl/threadedComments/threadedComment1.xml><?xml version="1.0" encoding="utf-8"?>
<ThreadedComments xmlns="http://schemas.microsoft.com/office/spreadsheetml/2018/threadedcomments" xmlns:x="http://schemas.openxmlformats.org/spreadsheetml/2006/main">
  <threadedComment ref="C15" dT="2026-06-18T15:53:27.49" personId="{23D3914A-22F1-D143-BF16-2742406199C1}" id="{49937F67-4241-674B-871A-40825624B337}">
    <text>2022A balance sheet (cash / debt / net debt) not available in this session; CoreWeave was private in 2022. Backfill from the S-1 if needed. Not used in the DCF, whose base year is 2025A.</text>
  </threadedComment>
</ThreadedComments>
</file>

<file path=xl/threadedComments/threadedComment2.xml><?xml version="1.0" encoding="utf-8"?>
<ThreadedComments xmlns="http://schemas.microsoft.com/office/spreadsheetml/2018/threadedcomments" xmlns:x="http://schemas.openxmlformats.org/spreadsheetml/2006/main">
  <threadedComment ref="C37" dT="2026-06-18T16:06:09.06" personId="{23D3914A-22F1-D143-BF16-2742406199C1}" id="{B454B1D2-02DA-354A-89D3-5FEC08787A63}">
    <text>Implied exit EV/EBITDA from the perpetuity-growth method. Low vs comps (23-29x today) because terminal FCF conversion is only ~35% of EBITDA: terminal capex is set at 30% of revenue (= D&amp;A), so steady-state FCF equals NOPAT. A higher assumed terminal multiple implies the market credits stronger perpetual growth.</text>
  </threadedComment>
  <threadedComment ref="C38" dT="2026-06-18T16:06:09.06" personId="{23D3914A-22F1-D143-BF16-2742406199C1}" id="{B9B161C3-0864-9249-B876-3B5EE49F2E3A}">
    <text>Assumed mature-company exit EV/EBITDA. Multiples compress sharply as hypergrowth fades; 8x is a conservative infrastructure terminal level. Flex to see the exit-multiple valuation.</text>
  </threadedComment>
</ThreadedComments>
</file>

<file path=xl/threadedComments/threadedComment3.xml><?xml version="1.0" encoding="utf-8"?>
<ThreadedComments xmlns="http://schemas.microsoft.com/office/spreadsheetml/2018/threadedcomments" xmlns:x="http://schemas.openxmlformats.org/spreadsheetml/2006/main">
  <threadedComment ref="D10" dT="2026-06-18T16:00:33.03" personId="{23D3914A-22F1-D143-BF16-2742406199C1}" id="{8F8A1B0C-4090-9742-85A2-3E817BCCA542}">
    <text>Base column links live to Assumptions/Forecast DCF and always reproduces the model's output exactly.</text>
  </threadedComment>
  <threadedComment ref="C14" dT="2026-06-18T16:00:33.03" personId="{23D3914A-22F1-D143-BF16-2742406199C1}" id="{0BB61041-7118-6E41-8BCE-A21E876DAB9F}">
    <text>Revenue path is held at the analyst-anchored base across all three scenarios; Bear/Bull flex profitability (terminal margin), discount rate (WACC), and terminal growth, not the top line.</text>
  </threadedComment>
</ThreadedComments>
</file>

<file path=xl/threadedComments/threadedComment4.xml><?xml version="1.0" encoding="utf-8"?>
<ThreadedComments xmlns="http://schemas.microsoft.com/office/spreadsheetml/2018/threadedcomments" xmlns:x="http://schemas.openxmlformats.org/spreadsheetml/2006/main">
  <threadedComment ref="F8" dT="2026-06-18T15:53:27.49" personId="{23D3914A-22F1-D143-BF16-2742406199C1}" id="{33A59CF1-3EAB-E841-B879-172AFEA35525}">
    <text>TSM income-statement and EV figures are in TWD millions (reporting currency) while market cap is USD, so the absolute $ columns are not USD-comparable for TSM. EV/Sales and EV/EBITDA multiples are currency-neutral ratios and remain valid. USD figures could not be re-pulled (no API access in this session).</text>
  </threadedComment>
</ThreadedComments>
</file>

<file path=xl/webextensions/_rels/taskpanes.xml.rels><?xml version="1.0" encoding="UTF-8" standalone="yes"?>
<Relationships xmlns="http://schemas.openxmlformats.org/package/2006/relationships"><Relationship Id="rId1" Type="http://schemas.microsoft.com/office/2011/relationships/webextension" Target="webextension1.xml"/></Relationships>
</file>

<file path=xl/webextensions/taskpanes.xml><?xml version="1.0" encoding="utf-8"?>
<wetp:taskpanes xmlns:wetp="http://schemas.microsoft.com/office/webextensions/taskpanes/2010/11">
  <wetp:taskpane dockstate="right" visibility="0" width="350" row="0">
    <wetp:webextensionref xmlns:r="http://schemas.openxmlformats.org/officeDocument/2006/relationships" r:id="rId1"/>
  </wetp:taskpane>
</wetp:taskpanes>
</file>

<file path=xl/webextensions/webextension1.xml><?xml version="1.0" encoding="utf-8"?>
<we:webextension xmlns:we="http://schemas.microsoft.com/office/webextensions/webextension/2010/11" id="{6E422B88-3DF2-8142-880E-AC1D30558A31}">
  <we:reference id="WA200009404" version="1.0.0.8" store="Omex" storeType="OMEX"/>
  <we:alternateReferences>
    <we:reference id="WA200009404" version="1.0.0.8" store="WA200009404" storeType="OMEX"/>
  </we:alternateReferences>
  <we:properties>
    <we:property name="assistant.fileId" value="&quot;37ed039a-4282-40b9-b79a-e5622f860c1d&quot;"/>
  </we:properties>
  <we:bindings/>
  <we:snapshot xmlns:r="http://schemas.openxmlformats.org/officeDocument/2006/relationships"/>
</we:webextension>
</file>

<file path=xl/worksheets/_rels/sheet4.xml.rels><?xml version="1.0" encoding="UTF-8" standalone="yes"?>
<Relationships xmlns="http://schemas.openxmlformats.org/package/2006/relationships"><Relationship Id="rId2" Type="http://schemas.openxmlformats.org/officeDocument/2006/relationships/comments" Target="../comments1.xml"/><Relationship Id="rId1" Type="http://schemas.openxmlformats.org/officeDocument/2006/relationships/vmlDrawing" Target="../drawings/vmlDrawing1.vml"/></Relationships>
</file>

<file path=xl/worksheets/_rels/sheet5.xml.rels><?xml version="1.0" encoding="UTF-8" standalone="yes"?>
<Relationships xmlns="http://schemas.openxmlformats.org/package/2006/relationships"><Relationship Id="rId3" Type="http://schemas.microsoft.com/office/2017/10/relationships/threadedComment" Target="../threadedComments/threadedComment1.xml"/><Relationship Id="rId2" Type="http://schemas.openxmlformats.org/officeDocument/2006/relationships/comments" Target="../comments2.xml"/><Relationship Id="rId1" Type="http://schemas.openxmlformats.org/officeDocument/2006/relationships/vmlDrawing" Target="../drawings/vmlDrawing2.vml"/></Relationships>
</file>

<file path=xl/worksheets/_rels/sheet6.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drawing" Target="../drawings/drawing1.xml"/><Relationship Id="rId4" Type="http://schemas.microsoft.com/office/2017/10/relationships/threadedComment" Target="../threadedComments/threadedComment2.xml"/></Relationships>
</file>

<file path=xl/worksheets/_rels/sheet7.xml.rels><?xml version="1.0" encoding="UTF-8" standalone="yes"?>
<Relationships xmlns="http://schemas.openxmlformats.org/package/2006/relationships"><Relationship Id="rId3" Type="http://schemas.microsoft.com/office/2017/10/relationships/threadedComment" Target="../threadedComments/threadedComment3.xml"/><Relationship Id="rId2" Type="http://schemas.openxmlformats.org/officeDocument/2006/relationships/comments" Target="../comments4.xml"/><Relationship Id="rId1" Type="http://schemas.openxmlformats.org/officeDocument/2006/relationships/vmlDrawing" Target="../drawings/vmlDrawing4.v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9.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drawing" Target="../drawings/drawing3.xml"/><Relationship Id="rId4" Type="http://schemas.microsoft.com/office/2017/10/relationships/threadedComment" Target="../threadedComments/threadedComment4.xml"/></Relationships>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B1:AA21"/>
  <sheetViews>
    <sheetView showGridLines="0" zoomScaleNormal="100" workbookViewId="0">
      <pane ySplit="4" topLeftCell="A5" activePane="bottomLeft" state="frozen"/>
      <selection pane="bottomLeft"/>
    </sheetView>
  </sheetViews>
  <sheetFormatPr baseColWidth="10" defaultColWidth="8.6640625" defaultRowHeight="15" x14ac:dyDescent="0.2"/>
  <cols>
    <col min="1" max="1" width="3.33203125" customWidth="1"/>
    <col min="2" max="2" width="17.33203125" customWidth="1"/>
    <col min="3" max="7" width="13" customWidth="1"/>
  </cols>
  <sheetData>
    <row r="1" spans="2:27" ht="10" customHeight="1" x14ac:dyDescent="0.2"/>
    <row r="2" spans="2:27" ht="18" customHeight="1" x14ac:dyDescent="0.25">
      <c r="B2" s="104" t="s">
        <v>155</v>
      </c>
      <c r="C2" s="103"/>
      <c r="D2" s="103"/>
      <c r="E2" s="103"/>
      <c r="F2" s="103"/>
      <c r="G2" s="103"/>
      <c r="H2" s="103"/>
      <c r="I2" s="103"/>
      <c r="J2" s="102"/>
      <c r="K2" s="102"/>
      <c r="L2" s="102"/>
      <c r="M2" s="102"/>
      <c r="N2" s="102"/>
      <c r="O2" s="102"/>
      <c r="P2" s="102"/>
      <c r="Q2" s="102"/>
      <c r="R2" s="102"/>
      <c r="S2" s="102"/>
      <c r="T2" s="102"/>
      <c r="U2" s="102"/>
      <c r="V2" s="102"/>
      <c r="W2" s="102"/>
      <c r="X2" s="102"/>
      <c r="Y2" s="102"/>
      <c r="Z2" s="102"/>
      <c r="AA2" s="102"/>
    </row>
    <row r="3" spans="2:27" ht="17.5" customHeight="1" x14ac:dyDescent="0.2">
      <c r="B3" s="118" t="s">
        <v>314</v>
      </c>
      <c r="C3" s="118"/>
      <c r="D3" s="118"/>
      <c r="E3" s="118"/>
      <c r="F3" s="118"/>
      <c r="G3" s="118"/>
      <c r="H3" s="97"/>
      <c r="I3" s="97"/>
    </row>
    <row r="4" spans="2:27" ht="18" customHeight="1" x14ac:dyDescent="0.2"/>
    <row r="5" spans="2:27" ht="18" customHeight="1" x14ac:dyDescent="0.2"/>
    <row r="6" spans="2:27" ht="18" customHeight="1" x14ac:dyDescent="0.2">
      <c r="B6" s="90" t="s">
        <v>241</v>
      </c>
    </row>
    <row r="7" spans="2:27" ht="18" customHeight="1" x14ac:dyDescent="0.2">
      <c r="B7" s="91" t="s">
        <v>315</v>
      </c>
      <c r="C7" s="92">
        <f>Assumptions!$C$27-0.01</f>
        <v>2.5000000000000001E-2</v>
      </c>
      <c r="D7" s="92">
        <f>Assumptions!$C$27-0.005</f>
        <v>3.0000000000000002E-2</v>
      </c>
      <c r="E7" s="92">
        <f>Assumptions!$C$27</f>
        <v>3.5000000000000003E-2</v>
      </c>
      <c r="F7" s="92">
        <f>Assumptions!$C$27+0.005</f>
        <v>0.04</v>
      </c>
      <c r="G7" s="92">
        <f>Assumptions!$C$27+0.01</f>
        <v>4.5000000000000005E-2</v>
      </c>
    </row>
    <row r="8" spans="2:27" ht="18" customHeight="1" x14ac:dyDescent="0.2">
      <c r="B8" s="92">
        <f>Assumptions!$C$24-0.01</f>
        <v>0.11996374918357973</v>
      </c>
      <c r="C8" s="93" cm="1">
        <f t="array" ref="C8">(SUMPRODUCT('Forecast DCF'!$D$16:$M$16,1/(1+$B8)^('Forecast DCF'!$D$6:$M$6-0.5))+'Forecast DCF'!$M$16*(1+C$7)/($B8-C$7)/(1+$B8)^('Forecast DCF'!$M$6-0.5)-Assumptions!$C$12)/Assumptions!$C$9</f>
        <v>224.72702933045284</v>
      </c>
      <c r="D8" s="93" cm="1">
        <f t="array" ref="D8">(SUMPRODUCT('Forecast DCF'!$D$16:$M$16,1/(1+$B8)^('Forecast DCF'!$D$6:$M$6-0.5))+'Forecast DCF'!$M$16*(1+D$7)/($B8-D$7)/(1+$B8)^('Forecast DCF'!$M$6-0.5)-Assumptions!$C$12)/Assumptions!$C$9</f>
        <v>239.81421887629864</v>
      </c>
      <c r="E8" s="93" cm="1">
        <f t="array" ref="E8">(SUMPRODUCT('Forecast DCF'!$D$16:$M$16,1/(1+$B8)^('Forecast DCF'!$D$6:$M$6-0.5))+'Forecast DCF'!$M$16*(1+E$7)/($B8-E$7)/(1+$B8)^('Forecast DCF'!$M$6-0.5)-Assumptions!$C$12)/Assumptions!$C$9</f>
        <v>256.67712920787005</v>
      </c>
      <c r="F8" s="93" cm="1">
        <f t="array" ref="F8">(SUMPRODUCT('Forecast DCF'!$D$16:$M$16,1/(1+$B8)^('Forecast DCF'!$D$6:$M$6-0.5))+'Forecast DCF'!$M$16*(1+F$7)/($B8-F$7)/(1+$B8)^('Forecast DCF'!$M$6-0.5)-Assumptions!$C$12)/Assumptions!$C$9</f>
        <v>275.64885891118666</v>
      </c>
      <c r="G8" s="93" cm="1">
        <f t="array" ref="G8">(SUMPRODUCT('Forecast DCF'!$D$16:$M$16,1/(1+$B8)^('Forecast DCF'!$D$6:$M$6-0.5))+'Forecast DCF'!$M$16*(1+G$7)/($B8-G$7)/(1+$B8)^('Forecast DCF'!$M$6-0.5)-Assumptions!$C$12)/Assumptions!$C$9</f>
        <v>297.15137581630898</v>
      </c>
    </row>
    <row r="9" spans="2:27" ht="18" customHeight="1" thickBot="1" x14ac:dyDescent="0.25">
      <c r="B9" s="92">
        <f>Assumptions!$C$24-0.005</f>
        <v>0.12496374918357972</v>
      </c>
      <c r="C9" s="93" cm="1">
        <f t="array" ref="C9">(SUMPRODUCT('Forecast DCF'!$D$16:$M$16,1/(1+$B9)^('Forecast DCF'!$D$6:$M$6-0.5))+'Forecast DCF'!$M$16*(1+C$7)/($B9-C$7)/(1+$B9)^('Forecast DCF'!$M$6-0.5)-Assumptions!$C$12)/Assumptions!$C$9</f>
        <v>199.91205395045139</v>
      </c>
      <c r="D9" s="93" cm="1">
        <f t="array" ref="D9">(SUMPRODUCT('Forecast DCF'!$D$16:$M$16,1/(1+$B9)^('Forecast DCF'!$D$6:$M$6-0.5))+'Forecast DCF'!$M$16*(1+D$7)/($B9-D$7)/(1+$B9)^('Forecast DCF'!$M$6-0.5)-Assumptions!$C$12)/Assumptions!$C$9</f>
        <v>212.98548489859843</v>
      </c>
      <c r="E9" s="93" cm="1">
        <f t="array" ref="E9">(SUMPRODUCT('Forecast DCF'!$D$16:$M$16,1/(1+$B9)^('Forecast DCF'!$D$6:$M$6-0.5))+'Forecast DCF'!$M$16*(1+E$7)/($B9-E$7)/(1+$B9)^('Forecast DCF'!$M$6-0.5)-Assumptions!$C$12)/Assumptions!$C$9</f>
        <v>227.51210461075178</v>
      </c>
      <c r="F9" s="93" cm="1">
        <f t="array" ref="F9">(SUMPRODUCT('Forecast DCF'!$D$16:$M$16,1/(1+$B9)^('Forecast DCF'!$D$6:$M$6-0.5))+'Forecast DCF'!$M$16*(1+F$7)/($B9-F$7)/(1+$B9)^('Forecast DCF'!$M$6-0.5)-Assumptions!$C$12)/Assumptions!$C$9</f>
        <v>243.74846757832174</v>
      </c>
      <c r="G9" s="93" cm="1">
        <f t="array" ref="G9">(SUMPRODUCT('Forecast DCF'!$D$16:$M$16,1/(1+$B9)^('Forecast DCF'!$D$6:$M$6-0.5))+'Forecast DCF'!$M$16*(1+G$7)/($B9-G$7)/(1+$B9)^('Forecast DCF'!$M$6-0.5)-Assumptions!$C$12)/Assumptions!$C$9</f>
        <v>262.01529599221476</v>
      </c>
    </row>
    <row r="10" spans="2:27" ht="18" customHeight="1" thickTop="1" thickBot="1" x14ac:dyDescent="0.25">
      <c r="B10" s="92">
        <f>Assumptions!$C$24</f>
        <v>0.12996374918357972</v>
      </c>
      <c r="C10" s="93" cm="1">
        <f t="array" ref="C10">(SUMPRODUCT('Forecast DCF'!$D$16:$M$16,1/(1+$B10)^('Forecast DCF'!$D$6:$M$6-0.5))+'Forecast DCF'!$M$16*(1+C$7)/($B10-C$7)/(1+$B10)^('Forecast DCF'!$M$6-0.5)-Assumptions!$C$12)/Assumptions!$C$9</f>
        <v>177.75153061874582</v>
      </c>
      <c r="D10" s="93" cm="1">
        <f t="array" ref="D10">(SUMPRODUCT('Forecast DCF'!$D$16:$M$16,1/(1+$B10)^('Forecast DCF'!$D$6:$M$6-0.5))+'Forecast DCF'!$M$16*(1+D$7)/($B10-D$7)/(1+$B10)^('Forecast DCF'!$M$6-0.5)-Assumptions!$C$12)/Assumptions!$C$9</f>
        <v>189.14188509068171</v>
      </c>
      <c r="E10" s="95" cm="1">
        <f t="array" ref="E10">(SUMPRODUCT('Forecast DCF'!$D$16:$M$16,1/(1+$B10)^('Forecast DCF'!$D$6:$M$6-0.5))+'Forecast DCF'!$M$16*(1+E$7)/($B10-E$7)/(1+$B10)^('Forecast DCF'!$M$6-0.5)-Assumptions!$C$12)/Assumptions!$C$9</f>
        <v>201.73168193614015</v>
      </c>
      <c r="F10" s="93" cm="1">
        <f t="array" ref="F10">(SUMPRODUCT('Forecast DCF'!$D$16:$M$16,1/(1+$B10)^('Forecast DCF'!$D$6:$M$6-0.5))+'Forecast DCF'!$M$16*(1+F$7)/($B10-F$7)/(1+$B10)^('Forecast DCF'!$M$6-0.5)-Assumptions!$C$12)/Assumptions!$C$9</f>
        <v>215.72090876975616</v>
      </c>
      <c r="G10" s="93" cm="1">
        <f t="array" ref="G10">(SUMPRODUCT('Forecast DCF'!$D$16:$M$16,1/(1+$B10)^('Forecast DCF'!$D$6:$M$6-0.5))+'Forecast DCF'!$M$16*(1+G$7)/($B10-G$7)/(1+$B10)^('Forecast DCF'!$M$6-0.5)-Assumptions!$C$12)/Assumptions!$C$9</f>
        <v>231.35662919246624</v>
      </c>
    </row>
    <row r="11" spans="2:27" ht="18" customHeight="1" thickTop="1" x14ac:dyDescent="0.2">
      <c r="B11" s="92">
        <f>Assumptions!$C$24+0.005</f>
        <v>0.13496374918357973</v>
      </c>
      <c r="C11" s="93" cm="1">
        <f t="array" ref="C11">(SUMPRODUCT('Forecast DCF'!$D$16:$M$16,1/(1+$B11)^('Forecast DCF'!$D$6:$M$6-0.5))+'Forecast DCF'!$M$16*(1+C$7)/($B11-C$7)/(1+$B11)^('Forecast DCF'!$M$6-0.5)-Assumptions!$C$12)/Assumptions!$C$9</f>
        <v>157.87356997095793</v>
      </c>
      <c r="D11" s="93" cm="1">
        <f t="array" ref="D11">(SUMPRODUCT('Forecast DCF'!$D$16:$M$16,1/(1+$B11)^('Forecast DCF'!$D$6:$M$6-0.5))+'Forecast DCF'!$M$16*(1+D$7)/($B11-D$7)/(1+$B11)^('Forecast DCF'!$M$6-0.5)-Assumptions!$C$12)/Assumptions!$C$9</f>
        <v>167.84670415180682</v>
      </c>
      <c r="E11" s="93" cm="1">
        <f t="array" ref="E11">(SUMPRODUCT('Forecast DCF'!$D$16:$M$16,1/(1+$B11)^('Forecast DCF'!$D$6:$M$6-0.5))+'Forecast DCF'!$M$16*(1+E$7)/($B11-E$7)/(1+$B11)^('Forecast DCF'!$M$6-0.5)-Assumptions!$C$12)/Assumptions!$C$9</f>
        <v>178.81751341610348</v>
      </c>
      <c r="F11" s="93" cm="1">
        <f t="array" ref="F11">(SUMPRODUCT('Forecast DCF'!$D$16:$M$16,1/(1+$B11)^('Forecast DCF'!$D$6:$M$6-0.5))+'Forecast DCF'!$M$16*(1+F$7)/($B11-F$7)/(1+$B11)^('Forecast DCF'!$M$6-0.5)-Assumptions!$C$12)/Assumptions!$C$9</f>
        <v>190.94358554213579</v>
      </c>
      <c r="G11" s="93" cm="1">
        <f t="array" ref="G11">(SUMPRODUCT('Forecast DCF'!$D$16:$M$16,1/(1+$B11)^('Forecast DCF'!$D$6:$M$6-0.5))+'Forecast DCF'!$M$16*(1+G$7)/($B11-G$7)/(1+$B11)^('Forecast DCF'!$M$6-0.5)-Assumptions!$C$12)/Assumptions!$C$9</f>
        <v>204.417541925558</v>
      </c>
    </row>
    <row r="12" spans="2:27" x14ac:dyDescent="0.2">
      <c r="B12" s="92">
        <f>Assumptions!$C$24+0.01</f>
        <v>0.13996374918357973</v>
      </c>
      <c r="C12" s="93" cm="1">
        <f t="array" ref="C12">(SUMPRODUCT('Forecast DCF'!$D$16:$M$16,1/(1+$B12)^('Forecast DCF'!$D$6:$M$6-0.5))+'Forecast DCF'!$M$16*(1+C$7)/($B12-C$7)/(1+$B12)^('Forecast DCF'!$M$6-0.5)-Assumptions!$C$12)/Assumptions!$C$9</f>
        <v>139.97136793638694</v>
      </c>
      <c r="D12" s="93" cm="1">
        <f t="array" ref="D12">(SUMPRODUCT('Forecast DCF'!$D$16:$M$16,1/(1+$B12)^('Forecast DCF'!$D$6:$M$6-0.5))+'Forecast DCF'!$M$16*(1+D$7)/($B12-D$7)/(1+$B12)^('Forecast DCF'!$M$6-0.5)-Assumptions!$C$12)/Assumptions!$C$9</f>
        <v>148.74305537290607</v>
      </c>
      <c r="E12" s="93" cm="1">
        <f t="array" ref="E12">(SUMPRODUCT('Forecast DCF'!$D$16:$M$16,1/(1+$B12)^('Forecast DCF'!$D$6:$M$6-0.5))+'Forecast DCF'!$M$16*(1+E$7)/($B12-E$7)/(1+$B12)^('Forecast DCF'!$M$6-0.5)-Assumptions!$C$12)/Assumptions!$C$9</f>
        <v>158.3504301305</v>
      </c>
      <c r="F12" s="93" cm="1">
        <f t="array" ref="F12">(SUMPRODUCT('Forecast DCF'!$D$16:$M$16,1/(1+$B12)^('Forecast DCF'!$D$6:$M$6-0.5))+'Forecast DCF'!$M$16*(1+F$7)/($B12-F$7)/(1+$B12)^('Forecast DCF'!$M$6-0.5)-Assumptions!$C$12)/Assumptions!$C$9</f>
        <v>168.91889076533027</v>
      </c>
      <c r="G12" s="93" cm="1">
        <f t="array" ref="G12">(SUMPRODUCT('Forecast DCF'!$D$16:$M$16,1/(1+$B12)^('Forecast DCF'!$D$6:$M$6-0.5))+'Forecast DCF'!$M$16*(1+G$7)/($B12-G$7)/(1+$B12)^('Forecast DCF'!$M$6-0.5)-Assumptions!$C$12)/Assumptions!$C$9</f>
        <v>180.60024560723318</v>
      </c>
    </row>
    <row r="13" spans="2:27" x14ac:dyDescent="0.2">
      <c r="C13" t="s">
        <v>315</v>
      </c>
      <c r="D13">
        <f>Assumptions!$C$27-0.01</f>
        <v>2.5000000000000001E-2</v>
      </c>
      <c r="E13">
        <f>Assumptions!$C$27-0.005</f>
        <v>3.0000000000000002E-2</v>
      </c>
      <c r="F13">
        <f>Assumptions!$C$27</f>
        <v>3.5000000000000003E-2</v>
      </c>
      <c r="G13">
        <f>Assumptions!$C$27+0.005</f>
        <v>0.04</v>
      </c>
      <c r="H13">
        <f>Assumptions!$C$27+0.01</f>
        <v>4.5000000000000005E-2</v>
      </c>
    </row>
    <row r="14" spans="2:27" x14ac:dyDescent="0.2">
      <c r="C14">
        <f>Assumptions!$C$24-0.01</f>
        <v>0.11996374918357973</v>
      </c>
      <c r="D14" cm="1">
        <f t="array" ref="D14">(SUMPRODUCT('Forecast DCF'!$D$16:$M$16,1/(1+$B14)^('Forecast DCF'!$D$6:$M$6-0.5))+'Forecast DCF'!$M$16*(1+D$7)/($B14-D$7)/(1+$B14)^('Forecast DCF'!$M$6-0.5)-Assumptions!$C$12)/Assumptions!$C$9</f>
        <v>-2225.3785130443675</v>
      </c>
    </row>
    <row r="15" spans="2:27" x14ac:dyDescent="0.2">
      <c r="B15" s="90" t="s">
        <v>316</v>
      </c>
      <c r="C15">
        <f>Assumptions!$C$24-0.005</f>
        <v>0.12496374918357972</v>
      </c>
    </row>
    <row r="16" spans="2:27" x14ac:dyDescent="0.2">
      <c r="B16" s="91" t="s">
        <v>315</v>
      </c>
      <c r="C16" s="92">
        <f>C7</f>
        <v>2.5000000000000001E-2</v>
      </c>
      <c r="D16" s="92">
        <f>D7</f>
        <v>3.0000000000000002E-2</v>
      </c>
      <c r="E16" s="92">
        <f>E7</f>
        <v>3.5000000000000003E-2</v>
      </c>
      <c r="F16" s="92">
        <f>F7</f>
        <v>0.04</v>
      </c>
      <c r="G16" s="92">
        <f>G7</f>
        <v>4.5000000000000005E-2</v>
      </c>
    </row>
    <row r="17" spans="2:7" x14ac:dyDescent="0.2">
      <c r="B17" s="92">
        <f>B8</f>
        <v>0.11996374918357973</v>
      </c>
      <c r="C17" s="94">
        <f>C8/Assumptions!$C$7-1</f>
        <v>0.95058614122431084</v>
      </c>
      <c r="D17" s="94">
        <f>D8/Assumptions!$C$7-1</f>
        <v>1.0815399607351677</v>
      </c>
      <c r="E17" s="94">
        <f>E8/Assumptions!$C$7-1</f>
        <v>1.2279066852518885</v>
      </c>
      <c r="F17" s="94">
        <f>F8/Assumptions!$C$7-1</f>
        <v>1.392577544581084</v>
      </c>
      <c r="G17" s="94">
        <f>G8/Assumptions!$C$7-1</f>
        <v>1.5792151359804616</v>
      </c>
    </row>
    <row r="18" spans="2:7" ht="16" thickBot="1" x14ac:dyDescent="0.25">
      <c r="B18" s="92">
        <f>B9</f>
        <v>0.12496374918357972</v>
      </c>
      <c r="C18" s="94">
        <f>C9/Assumptions!$C$7-1</f>
        <v>0.73519706579681809</v>
      </c>
      <c r="D18" s="94">
        <f>D9/Assumptions!$C$7-1</f>
        <v>0.84867185920144461</v>
      </c>
      <c r="E18" s="94">
        <f>E9/Assumptions!$C$7-1</f>
        <v>0.97476004349233381</v>
      </c>
      <c r="F18" s="94">
        <f>F9/Assumptions!$C$7-1</f>
        <v>1.1156884608829247</v>
      </c>
      <c r="G18" s="94">
        <f>G9/Assumptions!$C$7-1</f>
        <v>1.2742409165195276</v>
      </c>
    </row>
    <row r="19" spans="2:7" ht="17" thickTop="1" thickBot="1" x14ac:dyDescent="0.25">
      <c r="B19" s="92">
        <f>B10</f>
        <v>0.12996374918357972</v>
      </c>
      <c r="C19" s="94">
        <f>C10/Assumptions!$C$7-1</f>
        <v>0.54284810883383239</v>
      </c>
      <c r="D19" s="94">
        <f>D10/Assumptions!$C$7-1</f>
        <v>0.64171413150491907</v>
      </c>
      <c r="E19" s="96">
        <f>E10/Assumptions!$C$7-1</f>
        <v>0.75099107660914988</v>
      </c>
      <c r="F19" s="94">
        <f>F10/Assumptions!$C$7-1</f>
        <v>0.87241479706411051</v>
      </c>
      <c r="G19" s="94">
        <f>G10/Assumptions!$C$7-1</f>
        <v>1.0081297560321696</v>
      </c>
    </row>
    <row r="20" spans="2:7" ht="16" thickTop="1" x14ac:dyDescent="0.2">
      <c r="B20" s="92">
        <f>B11</f>
        <v>0.13496374918357973</v>
      </c>
      <c r="C20" s="94">
        <f>C11/Assumptions!$C$7-1</f>
        <v>0.37031134424926604</v>
      </c>
      <c r="D20" s="94">
        <f>D11/Assumptions!$C$7-1</f>
        <v>0.45687617526088742</v>
      </c>
      <c r="E20" s="94">
        <f>E11/Assumptions!$C$7-1</f>
        <v>0.55210062855744724</v>
      </c>
      <c r="F20" s="94">
        <f>F11/Assumptions!$C$7-1</f>
        <v>0.65735253486794387</v>
      </c>
      <c r="G20" s="94">
        <f>G11/Assumptions!$C$7-1</f>
        <v>0.77430380978698032</v>
      </c>
    </row>
    <row r="21" spans="2:7" x14ac:dyDescent="0.2">
      <c r="B21" s="92">
        <f>B12</f>
        <v>0.13996374918357973</v>
      </c>
      <c r="C21" s="94">
        <f>C12/Assumptions!$C$7-1</f>
        <v>0.21492377342580471</v>
      </c>
      <c r="D21" s="94">
        <f>D12/Assumptions!$C$7-1</f>
        <v>0.29106028446233911</v>
      </c>
      <c r="E21" s="94">
        <f>E12/Assumptions!$C$7-1</f>
        <v>0.37445039606370978</v>
      </c>
      <c r="F21" s="94">
        <f>F12/Assumptions!$C$7-1</f>
        <v>0.46618254288108907</v>
      </c>
      <c r="G21" s="94">
        <f>G12/Assumptions!$C$7-1</f>
        <v>0.56757439117466535</v>
      </c>
    </row>
  </sheetData>
  <conditionalFormatting sqref="C8:G12">
    <cfRule type="colorScale" priority="1">
      <colorScale>
        <cfvo type="min"/>
        <cfvo type="percentile" val="50"/>
        <cfvo type="max"/>
        <color rgb="FFF8696B"/>
        <color rgb="FFFFEB84"/>
        <color rgb="FF63BE7B"/>
      </colorScale>
    </cfRule>
  </conditionalFormatting>
  <conditionalFormatting sqref="C17:G21">
    <cfRule type="colorScale" priority="2">
      <colorScale>
        <cfvo type="min"/>
        <cfvo type="percentile" val="50"/>
        <cfvo type="max"/>
        <color rgb="FFF8696B"/>
        <color rgb="FFFFEB84"/>
        <color rgb="FF63BE7B"/>
      </colorScale>
    </cfRule>
  </conditionalFormatting>
  <pageMargins left="0.75" right="0.75" top="1" bottom="1" header="0.511811023622047" footer="0.511811023622047"/>
  <pageSetup orientation="portrait" horizontalDpi="300" verticalDpi="300"/>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H47"/>
  <sheetViews>
    <sheetView showGridLines="0" zoomScaleNormal="100" workbookViewId="0">
      <pane ySplit="3" topLeftCell="A4" activePane="bottomLeft" state="frozen"/>
      <selection pane="bottomLeft" sqref="A1:H1"/>
    </sheetView>
  </sheetViews>
  <sheetFormatPr baseColWidth="10" defaultColWidth="8.6640625" defaultRowHeight="15" x14ac:dyDescent="0.2"/>
  <cols>
    <col min="1" max="1" width="18" customWidth="1"/>
    <col min="2" max="2" width="14" customWidth="1"/>
    <col min="3" max="3" width="28" customWidth="1"/>
    <col min="4" max="4" width="18" customWidth="1"/>
    <col min="5" max="5" width="28" customWidth="1"/>
    <col min="6" max="6" width="88" customWidth="1"/>
    <col min="7" max="7" width="54" customWidth="1"/>
    <col min="8" max="8" width="12" customWidth="1"/>
  </cols>
  <sheetData>
    <row r="1" spans="1:8" ht="18" customHeight="1" x14ac:dyDescent="0.2">
      <c r="A1" s="108" t="s">
        <v>156</v>
      </c>
      <c r="B1" s="108"/>
      <c r="C1" s="108"/>
      <c r="D1" s="108"/>
      <c r="E1" s="108"/>
      <c r="F1" s="108"/>
      <c r="G1" s="108"/>
      <c r="H1" s="108"/>
    </row>
    <row r="2" spans="1:8" ht="18" customHeight="1" x14ac:dyDescent="0.2">
      <c r="A2" s="109" t="s">
        <v>157</v>
      </c>
      <c r="B2" s="109"/>
      <c r="C2" s="109"/>
      <c r="D2" s="109"/>
      <c r="E2" s="109"/>
      <c r="F2" s="109"/>
      <c r="G2" s="109"/>
      <c r="H2" s="109"/>
    </row>
    <row r="3" spans="1:8" ht="18" customHeight="1" x14ac:dyDescent="0.2"/>
    <row r="4" spans="1:8" ht="18" customHeight="1" x14ac:dyDescent="0.2">
      <c r="A4" s="8" t="s">
        <v>158</v>
      </c>
      <c r="B4" s="8" t="s">
        <v>159</v>
      </c>
      <c r="C4" s="8" t="s">
        <v>160</v>
      </c>
      <c r="D4" s="8" t="s">
        <v>161</v>
      </c>
      <c r="E4" s="8" t="s">
        <v>162</v>
      </c>
      <c r="F4" s="8" t="s">
        <v>163</v>
      </c>
      <c r="G4" s="8" t="s">
        <v>164</v>
      </c>
      <c r="H4" s="8" t="s">
        <v>165</v>
      </c>
    </row>
    <row r="5" spans="1:8" ht="18" customHeight="1" x14ac:dyDescent="0.2">
      <c r="A5" s="107" t="s">
        <v>166</v>
      </c>
      <c r="B5" s="107" t="s">
        <v>143</v>
      </c>
      <c r="C5" s="107" t="s">
        <v>167</v>
      </c>
      <c r="D5" s="107"/>
      <c r="E5" s="107" t="s">
        <v>168</v>
      </c>
      <c r="F5" s="107" t="s">
        <v>169</v>
      </c>
      <c r="G5" s="107" t="s">
        <v>170</v>
      </c>
      <c r="H5" s="107" t="s">
        <v>171</v>
      </c>
    </row>
    <row r="6" spans="1:8" ht="18" customHeight="1" x14ac:dyDescent="0.2">
      <c r="A6" s="107" t="s">
        <v>166</v>
      </c>
      <c r="B6" s="107" t="s">
        <v>143</v>
      </c>
      <c r="C6" s="107" t="s">
        <v>172</v>
      </c>
      <c r="D6" s="107"/>
      <c r="E6" s="107" t="s">
        <v>168</v>
      </c>
      <c r="F6" s="107" t="s">
        <v>173</v>
      </c>
      <c r="G6" s="107" t="s">
        <v>170</v>
      </c>
      <c r="H6" s="107" t="s">
        <v>171</v>
      </c>
    </row>
    <row r="7" spans="1:8" ht="18" customHeight="1" x14ac:dyDescent="0.2">
      <c r="A7" s="107" t="s">
        <v>166</v>
      </c>
      <c r="B7" s="107" t="s">
        <v>143</v>
      </c>
      <c r="C7" s="107" t="s">
        <v>174</v>
      </c>
      <c r="D7" s="107" t="s">
        <v>175</v>
      </c>
      <c r="E7" s="107" t="s">
        <v>168</v>
      </c>
      <c r="F7" s="107" t="s">
        <v>176</v>
      </c>
      <c r="G7" s="107" t="s">
        <v>170</v>
      </c>
      <c r="H7" s="107" t="s">
        <v>171</v>
      </c>
    </row>
    <row r="8" spans="1:8" ht="18" customHeight="1" x14ac:dyDescent="0.2">
      <c r="A8" s="107" t="s">
        <v>166</v>
      </c>
      <c r="B8" s="107" t="s">
        <v>143</v>
      </c>
      <c r="C8" s="107" t="s">
        <v>177</v>
      </c>
      <c r="D8" s="107" t="s">
        <v>175</v>
      </c>
      <c r="E8" s="107" t="s">
        <v>168</v>
      </c>
      <c r="F8" s="107" t="s">
        <v>178</v>
      </c>
      <c r="G8" s="107" t="s">
        <v>170</v>
      </c>
      <c r="H8" s="107" t="s">
        <v>171</v>
      </c>
    </row>
    <row r="9" spans="1:8" ht="18" customHeight="1" x14ac:dyDescent="0.2">
      <c r="A9" s="107" t="s">
        <v>166</v>
      </c>
      <c r="B9" s="107" t="s">
        <v>143</v>
      </c>
      <c r="C9" s="107" t="s">
        <v>179</v>
      </c>
      <c r="D9" s="107" t="s">
        <v>175</v>
      </c>
      <c r="E9" s="107" t="s">
        <v>168</v>
      </c>
      <c r="F9" s="107" t="s">
        <v>180</v>
      </c>
      <c r="G9" s="107" t="s">
        <v>170</v>
      </c>
      <c r="H9" s="107" t="s">
        <v>171</v>
      </c>
    </row>
    <row r="10" spans="1:8" ht="18" customHeight="1" x14ac:dyDescent="0.2">
      <c r="A10" s="107" t="s">
        <v>166</v>
      </c>
      <c r="B10" s="107" t="s">
        <v>143</v>
      </c>
      <c r="C10" s="107" t="s">
        <v>181</v>
      </c>
      <c r="D10" s="107" t="s">
        <v>175</v>
      </c>
      <c r="E10" s="107" t="s">
        <v>168</v>
      </c>
      <c r="F10" s="107" t="s">
        <v>182</v>
      </c>
      <c r="G10" s="107" t="s">
        <v>170</v>
      </c>
      <c r="H10" s="107" t="s">
        <v>171</v>
      </c>
    </row>
    <row r="11" spans="1:8" ht="18" customHeight="1" x14ac:dyDescent="0.2">
      <c r="A11" s="107" t="s">
        <v>166</v>
      </c>
      <c r="B11" s="107" t="s">
        <v>143</v>
      </c>
      <c r="C11" s="107" t="s">
        <v>183</v>
      </c>
      <c r="D11" s="107" t="s">
        <v>175</v>
      </c>
      <c r="E11" s="107" t="s">
        <v>168</v>
      </c>
      <c r="F11" s="107" t="s">
        <v>184</v>
      </c>
      <c r="G11" s="107" t="s">
        <v>170</v>
      </c>
      <c r="H11" s="107" t="s">
        <v>171</v>
      </c>
    </row>
    <row r="12" spans="1:8" ht="18" customHeight="1" x14ac:dyDescent="0.2">
      <c r="A12" s="107" t="s">
        <v>166</v>
      </c>
      <c r="B12" s="107" t="s">
        <v>143</v>
      </c>
      <c r="C12" s="107" t="s">
        <v>185</v>
      </c>
      <c r="D12" s="107" t="s">
        <v>175</v>
      </c>
      <c r="E12" s="107" t="s">
        <v>168</v>
      </c>
      <c r="F12" s="107" t="s">
        <v>186</v>
      </c>
      <c r="G12" s="107" t="s">
        <v>170</v>
      </c>
      <c r="H12" s="107" t="s">
        <v>171</v>
      </c>
    </row>
    <row r="13" spans="1:8" ht="18" customHeight="1" x14ac:dyDescent="0.2">
      <c r="A13" s="107" t="s">
        <v>166</v>
      </c>
      <c r="B13" s="107" t="s">
        <v>143</v>
      </c>
      <c r="C13" s="107" t="s">
        <v>187</v>
      </c>
      <c r="D13" s="107" t="s">
        <v>188</v>
      </c>
      <c r="E13" s="107" t="s">
        <v>168</v>
      </c>
      <c r="F13" s="107" t="s">
        <v>189</v>
      </c>
      <c r="G13" s="107" t="s">
        <v>170</v>
      </c>
      <c r="H13" s="107" t="s">
        <v>171</v>
      </c>
    </row>
    <row r="14" spans="1:8" ht="18" customHeight="1" x14ac:dyDescent="0.2">
      <c r="A14" s="107" t="s">
        <v>166</v>
      </c>
      <c r="B14" s="107" t="s">
        <v>190</v>
      </c>
      <c r="C14" s="107" t="s">
        <v>191</v>
      </c>
      <c r="D14" s="107" t="s">
        <v>20</v>
      </c>
      <c r="E14" s="107" t="s">
        <v>168</v>
      </c>
      <c r="F14" s="107" t="s">
        <v>192</v>
      </c>
      <c r="G14" s="107" t="s">
        <v>170</v>
      </c>
      <c r="H14" s="107" t="s">
        <v>171</v>
      </c>
    </row>
    <row r="15" spans="1:8" ht="18" customHeight="1" x14ac:dyDescent="0.2">
      <c r="A15" s="107" t="s">
        <v>166</v>
      </c>
      <c r="B15" s="107" t="s">
        <v>145</v>
      </c>
      <c r="C15" s="107" t="s">
        <v>167</v>
      </c>
      <c r="D15" s="107"/>
      <c r="E15" s="107" t="s">
        <v>168</v>
      </c>
      <c r="F15" s="107" t="s">
        <v>169</v>
      </c>
      <c r="G15" s="107" t="s">
        <v>170</v>
      </c>
      <c r="H15" s="107" t="s">
        <v>171</v>
      </c>
    </row>
    <row r="16" spans="1:8" ht="18" customHeight="1" x14ac:dyDescent="0.2">
      <c r="A16" s="107" t="s">
        <v>166</v>
      </c>
      <c r="B16" s="107" t="s">
        <v>145</v>
      </c>
      <c r="C16" s="107" t="s">
        <v>172</v>
      </c>
      <c r="D16" s="107"/>
      <c r="E16" s="107" t="s">
        <v>168</v>
      </c>
      <c r="F16" s="107" t="s">
        <v>173</v>
      </c>
      <c r="G16" s="107" t="s">
        <v>170</v>
      </c>
      <c r="H16" s="107" t="s">
        <v>171</v>
      </c>
    </row>
    <row r="17" spans="1:8" ht="18" customHeight="1" x14ac:dyDescent="0.2">
      <c r="A17" s="107" t="s">
        <v>166</v>
      </c>
      <c r="B17" s="107" t="s">
        <v>145</v>
      </c>
      <c r="C17" s="107" t="s">
        <v>174</v>
      </c>
      <c r="D17" s="107" t="s">
        <v>193</v>
      </c>
      <c r="E17" s="107" t="s">
        <v>168</v>
      </c>
      <c r="F17" s="107" t="s">
        <v>194</v>
      </c>
      <c r="G17" s="107" t="s">
        <v>170</v>
      </c>
      <c r="H17" s="107" t="s">
        <v>171</v>
      </c>
    </row>
    <row r="18" spans="1:8" ht="18" customHeight="1" x14ac:dyDescent="0.2">
      <c r="A18" s="107" t="s">
        <v>166</v>
      </c>
      <c r="B18" s="107" t="s">
        <v>145</v>
      </c>
      <c r="C18" s="107" t="s">
        <v>179</v>
      </c>
      <c r="D18" s="107" t="s">
        <v>193</v>
      </c>
      <c r="E18" s="107" t="s">
        <v>168</v>
      </c>
      <c r="F18" s="107" t="s">
        <v>195</v>
      </c>
      <c r="G18" s="107" t="s">
        <v>170</v>
      </c>
      <c r="H18" s="107" t="s">
        <v>171</v>
      </c>
    </row>
    <row r="19" spans="1:8" ht="18" customHeight="1" x14ac:dyDescent="0.2">
      <c r="A19" s="107" t="s">
        <v>166</v>
      </c>
      <c r="B19" s="107" t="s">
        <v>145</v>
      </c>
      <c r="C19" s="107" t="s">
        <v>181</v>
      </c>
      <c r="D19" s="107" t="s">
        <v>193</v>
      </c>
      <c r="E19" s="107" t="s">
        <v>168</v>
      </c>
      <c r="F19" s="107" t="s">
        <v>196</v>
      </c>
      <c r="G19" s="107" t="s">
        <v>170</v>
      </c>
      <c r="H19" s="107" t="s">
        <v>171</v>
      </c>
    </row>
    <row r="20" spans="1:8" ht="18" customHeight="1" x14ac:dyDescent="0.2">
      <c r="A20" s="107" t="s">
        <v>166</v>
      </c>
      <c r="B20" s="107" t="s">
        <v>145</v>
      </c>
      <c r="C20" s="107" t="s">
        <v>183</v>
      </c>
      <c r="D20" s="107" t="s">
        <v>193</v>
      </c>
      <c r="E20" s="107" t="s">
        <v>168</v>
      </c>
      <c r="F20" s="107" t="s">
        <v>197</v>
      </c>
      <c r="G20" s="107" t="s">
        <v>170</v>
      </c>
      <c r="H20" s="107" t="s">
        <v>171</v>
      </c>
    </row>
    <row r="21" spans="1:8" ht="18" customHeight="1" x14ac:dyDescent="0.2">
      <c r="A21" s="107" t="s">
        <v>166</v>
      </c>
      <c r="B21" s="107" t="s">
        <v>145</v>
      </c>
      <c r="C21" s="107" t="s">
        <v>185</v>
      </c>
      <c r="D21" s="107" t="s">
        <v>193</v>
      </c>
      <c r="E21" s="107" t="s">
        <v>168</v>
      </c>
      <c r="F21" s="107" t="s">
        <v>198</v>
      </c>
      <c r="G21" s="107" t="s">
        <v>170</v>
      </c>
      <c r="H21" s="107" t="s">
        <v>171</v>
      </c>
    </row>
    <row r="22" spans="1:8" ht="18" customHeight="1" x14ac:dyDescent="0.2">
      <c r="A22" s="107" t="s">
        <v>166</v>
      </c>
      <c r="B22" s="107" t="s">
        <v>145</v>
      </c>
      <c r="C22" s="107" t="s">
        <v>187</v>
      </c>
      <c r="D22" s="107" t="s">
        <v>199</v>
      </c>
      <c r="E22" s="107" t="s">
        <v>168</v>
      </c>
      <c r="F22" s="107" t="s">
        <v>200</v>
      </c>
      <c r="G22" s="107" t="s">
        <v>170</v>
      </c>
      <c r="H22" s="107" t="s">
        <v>171</v>
      </c>
    </row>
    <row r="23" spans="1:8" ht="18" customHeight="1" x14ac:dyDescent="0.2">
      <c r="A23" s="107" t="s">
        <v>166</v>
      </c>
      <c r="B23" s="107" t="s">
        <v>147</v>
      </c>
      <c r="C23" s="107" t="s">
        <v>167</v>
      </c>
      <c r="D23" s="107"/>
      <c r="E23" s="107" t="s">
        <v>168</v>
      </c>
      <c r="F23" s="107" t="s">
        <v>169</v>
      </c>
      <c r="G23" s="107" t="s">
        <v>170</v>
      </c>
      <c r="H23" s="107" t="s">
        <v>171</v>
      </c>
    </row>
    <row r="24" spans="1:8" ht="18" customHeight="1" x14ac:dyDescent="0.2">
      <c r="A24" s="107" t="s">
        <v>166</v>
      </c>
      <c r="B24" s="107" t="s">
        <v>147</v>
      </c>
      <c r="C24" s="107" t="s">
        <v>172</v>
      </c>
      <c r="D24" s="107"/>
      <c r="E24" s="107" t="s">
        <v>168</v>
      </c>
      <c r="F24" s="107" t="s">
        <v>173</v>
      </c>
      <c r="G24" s="107" t="s">
        <v>170</v>
      </c>
      <c r="H24" s="107" t="s">
        <v>171</v>
      </c>
    </row>
    <row r="25" spans="1:8" ht="18" customHeight="1" x14ac:dyDescent="0.2">
      <c r="A25" s="107" t="s">
        <v>166</v>
      </c>
      <c r="B25" s="107" t="s">
        <v>147</v>
      </c>
      <c r="C25" s="107" t="s">
        <v>174</v>
      </c>
      <c r="D25" s="107" t="s">
        <v>175</v>
      </c>
      <c r="E25" s="107" t="s">
        <v>168</v>
      </c>
      <c r="F25" s="107" t="s">
        <v>194</v>
      </c>
      <c r="G25" s="107" t="s">
        <v>170</v>
      </c>
      <c r="H25" s="107" t="s">
        <v>171</v>
      </c>
    </row>
    <row r="26" spans="1:8" ht="18" customHeight="1" x14ac:dyDescent="0.2">
      <c r="A26" s="107" t="s">
        <v>166</v>
      </c>
      <c r="B26" s="107" t="s">
        <v>147</v>
      </c>
      <c r="C26" s="107" t="s">
        <v>179</v>
      </c>
      <c r="D26" s="107" t="s">
        <v>175</v>
      </c>
      <c r="E26" s="107" t="s">
        <v>168</v>
      </c>
      <c r="F26" s="107" t="s">
        <v>195</v>
      </c>
      <c r="G26" s="107" t="s">
        <v>170</v>
      </c>
      <c r="H26" s="107" t="s">
        <v>171</v>
      </c>
    </row>
    <row r="27" spans="1:8" ht="18" customHeight="1" x14ac:dyDescent="0.2">
      <c r="A27" s="107" t="s">
        <v>166</v>
      </c>
      <c r="B27" s="107" t="s">
        <v>147</v>
      </c>
      <c r="C27" s="107" t="s">
        <v>181</v>
      </c>
      <c r="D27" s="107" t="s">
        <v>175</v>
      </c>
      <c r="E27" s="107" t="s">
        <v>168</v>
      </c>
      <c r="F27" s="107" t="s">
        <v>196</v>
      </c>
      <c r="G27" s="107" t="s">
        <v>170</v>
      </c>
      <c r="H27" s="107" t="s">
        <v>171</v>
      </c>
    </row>
    <row r="28" spans="1:8" ht="18" customHeight="1" x14ac:dyDescent="0.2">
      <c r="A28" s="107" t="s">
        <v>166</v>
      </c>
      <c r="B28" s="107" t="s">
        <v>147</v>
      </c>
      <c r="C28" s="107" t="s">
        <v>183</v>
      </c>
      <c r="D28" s="107" t="s">
        <v>175</v>
      </c>
      <c r="E28" s="107" t="s">
        <v>168</v>
      </c>
      <c r="F28" s="107" t="s">
        <v>197</v>
      </c>
      <c r="G28" s="107" t="s">
        <v>170</v>
      </c>
      <c r="H28" s="107" t="s">
        <v>171</v>
      </c>
    </row>
    <row r="29" spans="1:8" ht="18" customHeight="1" x14ac:dyDescent="0.2">
      <c r="A29" s="107" t="s">
        <v>166</v>
      </c>
      <c r="B29" s="107" t="s">
        <v>147</v>
      </c>
      <c r="C29" s="107" t="s">
        <v>185</v>
      </c>
      <c r="D29" s="107" t="s">
        <v>175</v>
      </c>
      <c r="E29" s="107" t="s">
        <v>168</v>
      </c>
      <c r="F29" s="107" t="s">
        <v>198</v>
      </c>
      <c r="G29" s="107" t="s">
        <v>170</v>
      </c>
      <c r="H29" s="107" t="s">
        <v>171</v>
      </c>
    </row>
    <row r="30" spans="1:8" ht="18" customHeight="1" x14ac:dyDescent="0.2">
      <c r="A30" s="107" t="s">
        <v>166</v>
      </c>
      <c r="B30" s="107" t="s">
        <v>147</v>
      </c>
      <c r="C30" s="107" t="s">
        <v>187</v>
      </c>
      <c r="D30" s="107" t="s">
        <v>201</v>
      </c>
      <c r="E30" s="107" t="s">
        <v>168</v>
      </c>
      <c r="F30" s="107" t="s">
        <v>200</v>
      </c>
      <c r="G30" s="107" t="s">
        <v>170</v>
      </c>
      <c r="H30" s="107" t="s">
        <v>171</v>
      </c>
    </row>
    <row r="31" spans="1:8" ht="18" customHeight="1" x14ac:dyDescent="0.2">
      <c r="A31" s="107" t="s">
        <v>166</v>
      </c>
      <c r="B31" s="107" t="s">
        <v>149</v>
      </c>
      <c r="C31" s="107" t="s">
        <v>167</v>
      </c>
      <c r="D31" s="107"/>
      <c r="E31" s="107" t="s">
        <v>168</v>
      </c>
      <c r="F31" s="107" t="s">
        <v>169</v>
      </c>
      <c r="G31" s="107" t="s">
        <v>170</v>
      </c>
      <c r="H31" s="107" t="s">
        <v>171</v>
      </c>
    </row>
    <row r="32" spans="1:8" ht="18" customHeight="1" x14ac:dyDescent="0.2">
      <c r="A32" s="107" t="s">
        <v>166</v>
      </c>
      <c r="B32" s="107" t="s">
        <v>149</v>
      </c>
      <c r="C32" s="107" t="s">
        <v>172</v>
      </c>
      <c r="D32" s="107"/>
      <c r="E32" s="107" t="s">
        <v>168</v>
      </c>
      <c r="F32" s="107" t="s">
        <v>173</v>
      </c>
      <c r="G32" s="107" t="s">
        <v>170</v>
      </c>
      <c r="H32" s="107" t="s">
        <v>171</v>
      </c>
    </row>
    <row r="33" spans="1:8" ht="18" customHeight="1" x14ac:dyDescent="0.2">
      <c r="A33" s="107" t="s">
        <v>166</v>
      </c>
      <c r="B33" s="107" t="s">
        <v>149</v>
      </c>
      <c r="C33" s="107" t="s">
        <v>174</v>
      </c>
      <c r="D33" s="107" t="s">
        <v>175</v>
      </c>
      <c r="E33" s="107" t="s">
        <v>168</v>
      </c>
      <c r="F33" s="107" t="s">
        <v>194</v>
      </c>
      <c r="G33" s="107" t="s">
        <v>170</v>
      </c>
      <c r="H33" s="107" t="s">
        <v>171</v>
      </c>
    </row>
    <row r="34" spans="1:8" ht="18" customHeight="1" x14ac:dyDescent="0.2">
      <c r="A34" s="107" t="s">
        <v>166</v>
      </c>
      <c r="B34" s="107" t="s">
        <v>149</v>
      </c>
      <c r="C34" s="107" t="s">
        <v>179</v>
      </c>
      <c r="D34" s="107" t="s">
        <v>175</v>
      </c>
      <c r="E34" s="107" t="s">
        <v>168</v>
      </c>
      <c r="F34" s="107" t="s">
        <v>195</v>
      </c>
      <c r="G34" s="107" t="s">
        <v>170</v>
      </c>
      <c r="H34" s="107" t="s">
        <v>171</v>
      </c>
    </row>
    <row r="35" spans="1:8" ht="18" customHeight="1" x14ac:dyDescent="0.2">
      <c r="A35" s="107" t="s">
        <v>166</v>
      </c>
      <c r="B35" s="107" t="s">
        <v>149</v>
      </c>
      <c r="C35" s="107" t="s">
        <v>181</v>
      </c>
      <c r="D35" s="107" t="s">
        <v>175</v>
      </c>
      <c r="E35" s="107" t="s">
        <v>168</v>
      </c>
      <c r="F35" s="107" t="s">
        <v>196</v>
      </c>
      <c r="G35" s="107" t="s">
        <v>170</v>
      </c>
      <c r="H35" s="107" t="s">
        <v>171</v>
      </c>
    </row>
    <row r="36" spans="1:8" ht="18" customHeight="1" x14ac:dyDescent="0.2">
      <c r="A36" s="107" t="s">
        <v>166</v>
      </c>
      <c r="B36" s="107" t="s">
        <v>149</v>
      </c>
      <c r="C36" s="107" t="s">
        <v>183</v>
      </c>
      <c r="D36" s="107" t="s">
        <v>175</v>
      </c>
      <c r="E36" s="107" t="s">
        <v>168</v>
      </c>
      <c r="F36" s="107" t="s">
        <v>197</v>
      </c>
      <c r="G36" s="107" t="s">
        <v>170</v>
      </c>
      <c r="H36" s="107" t="s">
        <v>171</v>
      </c>
    </row>
    <row r="37" spans="1:8" ht="18" customHeight="1" x14ac:dyDescent="0.2">
      <c r="A37" s="107" t="s">
        <v>166</v>
      </c>
      <c r="B37" s="107" t="s">
        <v>149</v>
      </c>
      <c r="C37" s="107" t="s">
        <v>185</v>
      </c>
      <c r="D37" s="107" t="s">
        <v>175</v>
      </c>
      <c r="E37" s="107" t="s">
        <v>168</v>
      </c>
      <c r="F37" s="107" t="s">
        <v>198</v>
      </c>
      <c r="G37" s="107" t="s">
        <v>170</v>
      </c>
      <c r="H37" s="107" t="s">
        <v>171</v>
      </c>
    </row>
    <row r="38" spans="1:8" ht="18" customHeight="1" x14ac:dyDescent="0.2">
      <c r="A38" s="107" t="s">
        <v>166</v>
      </c>
      <c r="B38" s="107" t="s">
        <v>149</v>
      </c>
      <c r="C38" s="107" t="s">
        <v>187</v>
      </c>
      <c r="D38" s="107" t="s">
        <v>188</v>
      </c>
      <c r="E38" s="107" t="s">
        <v>168</v>
      </c>
      <c r="F38" s="107" t="s">
        <v>200</v>
      </c>
      <c r="G38" s="107" t="s">
        <v>170</v>
      </c>
      <c r="H38" s="107" t="s">
        <v>171</v>
      </c>
    </row>
    <row r="39" spans="1:8" ht="18" customHeight="1" x14ac:dyDescent="0.2">
      <c r="A39" s="107" t="s">
        <v>166</v>
      </c>
      <c r="B39" s="107" t="s">
        <v>151</v>
      </c>
      <c r="C39" s="107" t="s">
        <v>167</v>
      </c>
      <c r="D39" s="107"/>
      <c r="E39" s="107" t="s">
        <v>168</v>
      </c>
      <c r="F39" s="107" t="s">
        <v>169</v>
      </c>
      <c r="G39" s="107" t="s">
        <v>170</v>
      </c>
      <c r="H39" s="107" t="s">
        <v>171</v>
      </c>
    </row>
    <row r="40" spans="1:8" ht="18" customHeight="1" x14ac:dyDescent="0.2">
      <c r="A40" s="107" t="s">
        <v>166</v>
      </c>
      <c r="B40" s="107" t="s">
        <v>151</v>
      </c>
      <c r="C40" s="107" t="s">
        <v>172</v>
      </c>
      <c r="D40" s="107"/>
      <c r="E40" s="107" t="s">
        <v>168</v>
      </c>
      <c r="F40" s="107" t="s">
        <v>173</v>
      </c>
      <c r="G40" s="107" t="s">
        <v>170</v>
      </c>
      <c r="H40" s="107" t="s">
        <v>171</v>
      </c>
    </row>
    <row r="41" spans="1:8" ht="18" customHeight="1" x14ac:dyDescent="0.2">
      <c r="A41" s="107" t="s">
        <v>166</v>
      </c>
      <c r="B41" s="107" t="s">
        <v>151</v>
      </c>
      <c r="C41" s="107" t="s">
        <v>174</v>
      </c>
      <c r="D41" s="107" t="s">
        <v>202</v>
      </c>
      <c r="E41" s="107" t="s">
        <v>168</v>
      </c>
      <c r="F41" s="107" t="s">
        <v>194</v>
      </c>
      <c r="G41" s="107" t="s">
        <v>170</v>
      </c>
      <c r="H41" s="107" t="s">
        <v>171</v>
      </c>
    </row>
    <row r="42" spans="1:8" ht="18" customHeight="1" x14ac:dyDescent="0.2">
      <c r="A42" s="107" t="s">
        <v>166</v>
      </c>
      <c r="B42" s="107" t="s">
        <v>151</v>
      </c>
      <c r="C42" s="107" t="s">
        <v>179</v>
      </c>
      <c r="D42" s="107" t="s">
        <v>202</v>
      </c>
      <c r="E42" s="107" t="s">
        <v>168</v>
      </c>
      <c r="F42" s="107" t="s">
        <v>195</v>
      </c>
      <c r="G42" s="107" t="s">
        <v>170</v>
      </c>
      <c r="H42" s="107" t="s">
        <v>171</v>
      </c>
    </row>
    <row r="43" spans="1:8" ht="18" customHeight="1" x14ac:dyDescent="0.2">
      <c r="A43" s="107" t="s">
        <v>166</v>
      </c>
      <c r="B43" s="107" t="s">
        <v>151</v>
      </c>
      <c r="C43" s="107" t="s">
        <v>181</v>
      </c>
      <c r="D43" s="107" t="s">
        <v>202</v>
      </c>
      <c r="E43" s="107" t="s">
        <v>168</v>
      </c>
      <c r="F43" s="107" t="s">
        <v>196</v>
      </c>
      <c r="G43" s="107" t="s">
        <v>170</v>
      </c>
      <c r="H43" s="107" t="s">
        <v>171</v>
      </c>
    </row>
    <row r="44" spans="1:8" ht="18" customHeight="1" x14ac:dyDescent="0.2">
      <c r="A44" s="107" t="s">
        <v>166</v>
      </c>
      <c r="B44" s="107" t="s">
        <v>151</v>
      </c>
      <c r="C44" s="107" t="s">
        <v>183</v>
      </c>
      <c r="D44" s="107" t="s">
        <v>202</v>
      </c>
      <c r="E44" s="107" t="s">
        <v>168</v>
      </c>
      <c r="F44" s="107" t="s">
        <v>197</v>
      </c>
      <c r="G44" s="107" t="s">
        <v>170</v>
      </c>
      <c r="H44" s="107" t="s">
        <v>171</v>
      </c>
    </row>
    <row r="45" spans="1:8" ht="18" customHeight="1" x14ac:dyDescent="0.2">
      <c r="A45" s="107" t="s">
        <v>166</v>
      </c>
      <c r="B45" s="107" t="s">
        <v>151</v>
      </c>
      <c r="C45" s="107" t="s">
        <v>185</v>
      </c>
      <c r="D45" s="107" t="s">
        <v>202</v>
      </c>
      <c r="E45" s="107" t="s">
        <v>168</v>
      </c>
      <c r="F45" s="107" t="s">
        <v>198</v>
      </c>
      <c r="G45" s="107" t="s">
        <v>170</v>
      </c>
      <c r="H45" s="107" t="s">
        <v>171</v>
      </c>
    </row>
    <row r="46" spans="1:8" ht="18" customHeight="1" x14ac:dyDescent="0.2">
      <c r="A46" s="107" t="s">
        <v>166</v>
      </c>
      <c r="B46" s="107" t="s">
        <v>151</v>
      </c>
      <c r="C46" s="107" t="s">
        <v>187</v>
      </c>
      <c r="D46" s="107" t="s">
        <v>203</v>
      </c>
      <c r="E46" s="107" t="s">
        <v>168</v>
      </c>
      <c r="F46" s="107" t="s">
        <v>200</v>
      </c>
      <c r="G46" s="107" t="s">
        <v>170</v>
      </c>
      <c r="H46" s="107" t="s">
        <v>171</v>
      </c>
    </row>
    <row r="47" spans="1:8" ht="18" customHeight="1" x14ac:dyDescent="0.2">
      <c r="A47" s="107" t="s">
        <v>204</v>
      </c>
      <c r="B47" s="107" t="s">
        <v>143</v>
      </c>
      <c r="C47" s="107" t="s">
        <v>205</v>
      </c>
      <c r="D47" s="107" t="s">
        <v>206</v>
      </c>
      <c r="E47" s="107" t="s">
        <v>207</v>
      </c>
      <c r="F47" s="107" t="s">
        <v>208</v>
      </c>
      <c r="G47" s="107" t="s">
        <v>209</v>
      </c>
      <c r="H47" s="107" t="s">
        <v>171</v>
      </c>
    </row>
  </sheetData>
  <mergeCells count="2">
    <mergeCell ref="A1:H1"/>
    <mergeCell ref="A2:H2"/>
  </mergeCells>
  <pageMargins left="0.75" right="0.75" top="1" bottom="1" header="0.511811023622047" footer="0.511811023622047"/>
  <pageSetup orientation="portrait" horizontalDpi="300" verticalDpi="30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B1:AA17"/>
  <sheetViews>
    <sheetView showGridLines="0" zoomScaleNormal="100" workbookViewId="0">
      <pane ySplit="4" topLeftCell="A5" activePane="bottomLeft" state="frozen"/>
      <selection pane="bottomLeft"/>
    </sheetView>
  </sheetViews>
  <sheetFormatPr baseColWidth="10" defaultColWidth="8.6640625" defaultRowHeight="15" x14ac:dyDescent="0.2"/>
  <cols>
    <col min="1" max="1" width="3.33203125" customWidth="1"/>
    <col min="2" max="2" width="4.6640625" customWidth="1"/>
    <col min="3" max="3" width="40" customWidth="1"/>
    <col min="4" max="5" width="15.83203125" customWidth="1"/>
    <col min="6" max="6" width="9.6640625" customWidth="1"/>
    <col min="7" max="7" width="60" customWidth="1"/>
  </cols>
  <sheetData>
    <row r="1" spans="2:27" ht="10" customHeight="1" x14ac:dyDescent="0.2"/>
    <row r="2" spans="2:27" ht="18" customHeight="1" x14ac:dyDescent="0.25">
      <c r="B2" s="104" t="s">
        <v>313</v>
      </c>
      <c r="C2" s="103"/>
      <c r="D2" s="103"/>
      <c r="E2" s="103"/>
      <c r="F2" s="103"/>
      <c r="G2" s="103"/>
      <c r="H2" s="103"/>
      <c r="I2" s="103"/>
      <c r="J2" s="102"/>
      <c r="K2" s="102"/>
      <c r="L2" s="102"/>
      <c r="M2" s="102"/>
      <c r="N2" s="102"/>
      <c r="O2" s="102"/>
      <c r="P2" s="102"/>
      <c r="Q2" s="102"/>
      <c r="R2" s="102"/>
      <c r="S2" s="102"/>
      <c r="T2" s="102"/>
      <c r="U2" s="102"/>
      <c r="V2" s="102"/>
      <c r="W2" s="102"/>
      <c r="X2" s="102"/>
      <c r="Y2" s="102"/>
      <c r="Z2" s="102"/>
      <c r="AA2" s="102"/>
    </row>
    <row r="3" spans="2:27" ht="17.5" customHeight="1" x14ac:dyDescent="0.2">
      <c r="B3" s="119" t="s">
        <v>286</v>
      </c>
      <c r="C3" s="120"/>
      <c r="D3" s="120"/>
      <c r="E3" s="120"/>
      <c r="F3" s="120"/>
      <c r="G3" s="120"/>
      <c r="H3" s="121"/>
      <c r="I3" s="97"/>
    </row>
    <row r="4" spans="2:27" ht="18" customHeight="1" x14ac:dyDescent="0.2"/>
    <row r="5" spans="2:27" ht="18" customHeight="1" x14ac:dyDescent="0.2">
      <c r="B5" s="39" t="s">
        <v>165</v>
      </c>
      <c r="C5" s="85" t="str">
        <f ca="1">IF(COUNTIF(F8:F17,"FAIL")=0,"ALL PASS",COUNTIF(F8:F17,"FAIL")&amp;" TO REVIEW")</f>
        <v>ALL PASS</v>
      </c>
      <c r="E5" s="39" t="s">
        <v>287</v>
      </c>
      <c r="F5" t="str">
        <f ca="1">COUNTIF(F8:F17,"PASS")&amp;" / "&amp;COUNTA(F8:F17)</f>
        <v>10 / 10</v>
      </c>
    </row>
    <row r="6" spans="2:27" ht="18" customHeight="1" x14ac:dyDescent="0.2"/>
    <row r="7" spans="2:27" ht="18" customHeight="1" x14ac:dyDescent="0.2">
      <c r="B7" s="87" t="s">
        <v>288</v>
      </c>
      <c r="C7" s="86" t="s">
        <v>289</v>
      </c>
      <c r="D7" s="86" t="s">
        <v>290</v>
      </c>
      <c r="E7" s="86" t="s">
        <v>291</v>
      </c>
      <c r="F7" s="86" t="s">
        <v>292</v>
      </c>
      <c r="G7" s="86" t="s">
        <v>293</v>
      </c>
    </row>
    <row r="8" spans="2:27" ht="17.5" customHeight="1" x14ac:dyDescent="0.2">
      <c r="B8" s="88">
        <v>1</v>
      </c>
      <c r="C8" t="s">
        <v>294</v>
      </c>
      <c r="D8" s="81">
        <f>'Forecast DCF'!M26</f>
        <v>135934.82895923959</v>
      </c>
      <c r="E8" s="81" cm="1">
        <f t="array" ref="E8">SUMPRODUCT('Forecast DCF'!D16:M16,1/(1+Assumptions!C24)^('Forecast DCF'!D6:M6-0.5))+'Forecast DCF'!M23/(1+Assumptions!C24)^('Forecast DCF'!M6-0.5)</f>
        <v>135934.82895923959</v>
      </c>
      <c r="F8" s="89" t="str">
        <f>IF(ABS(D8-E8)&lt;1,"PASS","FAIL")</f>
        <v>PASS</v>
      </c>
      <c r="G8" s="99" t="s">
        <v>295</v>
      </c>
    </row>
    <row r="9" spans="2:27" ht="17.5" customHeight="1" x14ac:dyDescent="0.2">
      <c r="B9" s="88">
        <v>2</v>
      </c>
      <c r="C9" t="s">
        <v>296</v>
      </c>
      <c r="D9" s="82">
        <f>Assumptions!C24</f>
        <v>0.12996374918357972</v>
      </c>
      <c r="E9" s="82">
        <f>Assumptions!C23*(Assumptions!C15+Assumptions!C17*Assumptions!C16+Assumptions!C18)+Assumptions!C22*Assumptions!C20*(1-Assumptions!C21)</f>
        <v>0.12996374918357972</v>
      </c>
      <c r="F9" s="89" t="str">
        <f>IF(ABS(D9-E9)&lt;0.00001,"PASS","FAIL")</f>
        <v>PASS</v>
      </c>
      <c r="G9" s="99" t="s">
        <v>297</v>
      </c>
    </row>
    <row r="10" spans="2:27" ht="17.5" customHeight="1" x14ac:dyDescent="0.2">
      <c r="B10" s="88">
        <v>3</v>
      </c>
      <c r="C10" t="s">
        <v>298</v>
      </c>
      <c r="D10" s="81">
        <f>Assumptions!C12</f>
        <v>25876</v>
      </c>
      <c r="E10" s="81">
        <f>Assumptions!C11-Assumptions!C10</f>
        <v>25876</v>
      </c>
      <c r="F10" s="89" t="str">
        <f>IF(ABS(D10-E10)&lt;0.5,"PASS","FAIL")</f>
        <v>PASS</v>
      </c>
      <c r="G10" s="99" t="s">
        <v>299</v>
      </c>
    </row>
    <row r="11" spans="2:27" ht="17.5" customHeight="1" x14ac:dyDescent="0.2">
      <c r="B11" s="88">
        <v>4</v>
      </c>
      <c r="C11" t="s">
        <v>300</v>
      </c>
      <c r="D11" s="83">
        <f>'Forecast DCF'!M30</f>
        <v>201.73168193614015</v>
      </c>
      <c r="E11" s="83">
        <f>('Forecast DCF'!M26-Assumptions!C12)/Assumptions!C9</f>
        <v>201.73168193614015</v>
      </c>
      <c r="F11" s="89" t="str">
        <f>IF(ABS(D11-E11)&lt;0.01,"PASS","FAIL")</f>
        <v>PASS</v>
      </c>
      <c r="G11" s="99" t="s">
        <v>301</v>
      </c>
    </row>
    <row r="12" spans="2:27" ht="17.5" customHeight="1" x14ac:dyDescent="0.2">
      <c r="B12" s="88">
        <v>5</v>
      </c>
      <c r="C12" t="s">
        <v>210</v>
      </c>
      <c r="D12" s="58">
        <f>Assumptions!C27</f>
        <v>3.5000000000000003E-2</v>
      </c>
      <c r="E12" s="58">
        <f>Assumptions!C24</f>
        <v>0.12996374918357972</v>
      </c>
      <c r="F12" s="89" t="str">
        <f>IF(D12&lt;E12,"PASS","FAIL")</f>
        <v>PASS</v>
      </c>
      <c r="G12" s="99" t="s">
        <v>302</v>
      </c>
    </row>
    <row r="13" spans="2:27" ht="17.5" customHeight="1" x14ac:dyDescent="0.2">
      <c r="B13" s="88">
        <v>6</v>
      </c>
      <c r="C13" t="s">
        <v>303</v>
      </c>
      <c r="D13" s="58">
        <f>Assumptions!L36</f>
        <v>0.3</v>
      </c>
      <c r="E13" s="58">
        <f>Assumptions!L35</f>
        <v>0.3</v>
      </c>
      <c r="F13" s="89" t="str">
        <f>IF(ABS(D13-E13)&lt;0.0001,"PASS","FAIL")</f>
        <v>PASS</v>
      </c>
      <c r="G13" s="99" t="s">
        <v>304</v>
      </c>
    </row>
    <row r="14" spans="2:27" ht="17.5" customHeight="1" x14ac:dyDescent="0.2">
      <c r="B14" s="88">
        <v>7</v>
      </c>
      <c r="C14" t="s">
        <v>305</v>
      </c>
      <c r="D14" s="84">
        <f>'Forecast DCF'!D19</f>
        <v>0.9407359580827237</v>
      </c>
      <c r="E14" s="84">
        <f>1/(1+Assumptions!C24)^0.5</f>
        <v>0.9407359580827237</v>
      </c>
      <c r="F14" s="89" t="str">
        <f>IF(ABS(D14-E14)&lt;0.00001,"PASS","FAIL")</f>
        <v>PASS</v>
      </c>
      <c r="G14" s="99" t="s">
        <v>306</v>
      </c>
    </row>
    <row r="15" spans="2:27" ht="17.5" customHeight="1" x14ac:dyDescent="0.2">
      <c r="B15" s="88">
        <v>8</v>
      </c>
      <c r="C15" t="s">
        <v>307</v>
      </c>
      <c r="D15" s="83">
        <f>Scenarios!D21</f>
        <v>201.73168193614015</v>
      </c>
      <c r="E15" s="83">
        <f>'Forecast DCF'!M30</f>
        <v>201.73168193614015</v>
      </c>
      <c r="F15" s="89" t="str">
        <f>IF(ABS(D15-E15)&lt;0.01,"PASS","FAIL")</f>
        <v>PASS</v>
      </c>
      <c r="G15" s="99" t="s">
        <v>308</v>
      </c>
    </row>
    <row r="16" spans="2:27" ht="17.5" customHeight="1" x14ac:dyDescent="0.2">
      <c r="B16" s="88">
        <v>9</v>
      </c>
      <c r="C16" t="s">
        <v>309</v>
      </c>
      <c r="D16" s="83">
        <f ca="1">'Monte Carlo'!C14</f>
        <v>194.95270833116575</v>
      </c>
      <c r="E16" s="83">
        <f>'Forecast DCF'!M30</f>
        <v>201.73168193614015</v>
      </c>
      <c r="F16" s="89" t="str">
        <f ca="1">IF(ABS(D16/E16-1)&lt;0.15,"PASS","FAIL")</f>
        <v>PASS</v>
      </c>
      <c r="G16" s="99" t="s">
        <v>310</v>
      </c>
    </row>
    <row r="17" spans="2:7" ht="17.5" customHeight="1" x14ac:dyDescent="0.2">
      <c r="B17" s="88">
        <v>10</v>
      </c>
      <c r="C17" t="s">
        <v>311</v>
      </c>
      <c r="D17" s="81">
        <f>'Trading Comps'!I13*'Forecast DCF'!D7</f>
        <v>145226.42684723687</v>
      </c>
      <c r="E17" s="81">
        <f>'Forecast DCF'!M26</f>
        <v>135934.82895923959</v>
      </c>
      <c r="F17" s="89" t="str">
        <f>IF(ABS(D17/E17-1)&lt;0.5,"PASS","FAIL")</f>
        <v>PASS</v>
      </c>
      <c r="G17" s="99" t="s">
        <v>312</v>
      </c>
    </row>
  </sheetData>
  <conditionalFormatting sqref="F8:F17">
    <cfRule type="containsText" dxfId="1" priority="1" operator="containsText" text="PASS">
      <formula>NOT(ISERROR(SEARCH("PASS",F8)))</formula>
    </cfRule>
  </conditionalFormatting>
  <conditionalFormatting sqref="F8:F17">
    <cfRule type="containsText" dxfId="0" priority="2" operator="containsText" text="FAIL">
      <formula>NOT(ISERROR(SEARCH("FAIL",F8)))</formula>
    </cfRule>
  </conditionalFormatting>
  <pageMargins left="0.75" right="0.75" top="1" bottom="1" header="0.511811023622047" footer="0.511811023622047"/>
  <pageSetup orientation="portrait" horizontalDpi="300" verticalDpi="30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B1:AA26"/>
  <sheetViews>
    <sheetView showGridLines="0" tabSelected="1" zoomScaleNormal="100" workbookViewId="0">
      <pane ySplit="4" topLeftCell="A5" activePane="bottomLeft" state="frozen"/>
      <selection pane="bottomLeft"/>
    </sheetView>
  </sheetViews>
  <sheetFormatPr baseColWidth="10" defaultColWidth="8.6640625" defaultRowHeight="15" x14ac:dyDescent="0.2"/>
  <cols>
    <col min="1" max="1" width="3.33203125" customWidth="1"/>
    <col min="2" max="2" width="34" customWidth="1"/>
    <col min="3" max="3" width="22" customWidth="1"/>
    <col min="4" max="4" width="4" customWidth="1"/>
    <col min="5" max="5" width="20" customWidth="1"/>
    <col min="6" max="9" width="18" customWidth="1"/>
  </cols>
  <sheetData>
    <row r="1" spans="2:27" ht="10" customHeight="1" x14ac:dyDescent="0.2"/>
    <row r="2" spans="2:27" ht="18" customHeight="1" x14ac:dyDescent="0.2">
      <c r="B2" s="101" t="s">
        <v>0</v>
      </c>
      <c r="C2" s="101"/>
      <c r="D2" s="101"/>
      <c r="E2" s="101"/>
      <c r="F2" s="101"/>
      <c r="G2" s="101"/>
      <c r="H2" s="101"/>
      <c r="I2" s="101"/>
      <c r="J2" s="102"/>
      <c r="K2" s="102"/>
      <c r="L2" s="102"/>
      <c r="M2" s="102"/>
      <c r="N2" s="102"/>
      <c r="O2" s="102"/>
      <c r="P2" s="102"/>
      <c r="Q2" s="102"/>
      <c r="R2" s="102"/>
      <c r="S2" s="102"/>
      <c r="T2" s="102"/>
      <c r="U2" s="102"/>
      <c r="V2" s="102"/>
      <c r="W2" s="102"/>
      <c r="X2" s="102"/>
      <c r="Y2" s="102"/>
      <c r="Z2" s="102"/>
      <c r="AA2" s="102"/>
    </row>
    <row r="3" spans="2:27" ht="18" customHeight="1" x14ac:dyDescent="0.2">
      <c r="B3" s="1" t="s">
        <v>1</v>
      </c>
      <c r="C3" s="1"/>
      <c r="D3" s="1"/>
      <c r="E3" s="1"/>
      <c r="F3" s="1"/>
      <c r="G3" s="1"/>
      <c r="H3" s="1"/>
      <c r="I3" s="1"/>
    </row>
    <row r="4" spans="2:27" ht="18" customHeight="1" x14ac:dyDescent="0.2"/>
    <row r="5" spans="2:27" ht="18" customHeight="1" x14ac:dyDescent="0.2">
      <c r="B5" s="114" t="s">
        <v>211</v>
      </c>
      <c r="C5" s="114"/>
      <c r="D5" s="114"/>
      <c r="E5" s="114"/>
      <c r="F5" s="114"/>
      <c r="G5" s="114"/>
      <c r="H5" s="114"/>
      <c r="I5" s="114"/>
    </row>
    <row r="6" spans="2:27" s="113" customFormat="1" ht="18" customHeight="1" x14ac:dyDescent="0.2">
      <c r="B6" s="112" t="s">
        <v>212</v>
      </c>
      <c r="C6" s="112"/>
      <c r="D6" s="112"/>
      <c r="E6" s="112"/>
      <c r="F6" s="112"/>
      <c r="G6" s="112"/>
      <c r="H6" s="112"/>
      <c r="I6" s="112"/>
    </row>
    <row r="7" spans="2:27" s="113" customFormat="1" ht="18" customHeight="1" x14ac:dyDescent="0.2">
      <c r="B7" s="112"/>
      <c r="C7" s="112"/>
      <c r="D7" s="112"/>
      <c r="E7" s="112"/>
      <c r="F7" s="112"/>
      <c r="G7" s="112"/>
      <c r="H7" s="112"/>
      <c r="I7" s="112"/>
    </row>
    <row r="8" spans="2:27" ht="18" customHeight="1" x14ac:dyDescent="0.2"/>
    <row r="9" spans="2:27" ht="18" customHeight="1" x14ac:dyDescent="0.2">
      <c r="B9" s="114" t="s">
        <v>2</v>
      </c>
      <c r="C9" s="114"/>
      <c r="D9" s="114"/>
      <c r="E9" s="114"/>
      <c r="F9" s="114"/>
      <c r="G9" s="114"/>
      <c r="H9" s="114"/>
      <c r="I9" s="114"/>
    </row>
    <row r="10" spans="2:27" ht="18" customHeight="1" x14ac:dyDescent="0.2">
      <c r="B10" s="2" t="s">
        <v>3</v>
      </c>
      <c r="C10" s="3">
        <f>'Valuation Summary'!C9</f>
        <v>115.21</v>
      </c>
    </row>
    <row r="11" spans="2:27" ht="18" customHeight="1" x14ac:dyDescent="0.2">
      <c r="B11" s="2" t="s">
        <v>4</v>
      </c>
      <c r="C11" s="3">
        <f>'Valuation Summary'!C10</f>
        <v>201.73168193614015</v>
      </c>
    </row>
    <row r="12" spans="2:27" ht="18" customHeight="1" x14ac:dyDescent="0.2">
      <c r="B12" s="2" t="s">
        <v>5</v>
      </c>
      <c r="C12" s="4">
        <f>'Valuation Summary'!C11</f>
        <v>0.75099107660914988</v>
      </c>
    </row>
    <row r="13" spans="2:27" ht="18" customHeight="1" x14ac:dyDescent="0.2">
      <c r="B13" s="2" t="s">
        <v>6</v>
      </c>
      <c r="C13" s="5">
        <f>'Valuation Summary'!C13</f>
        <v>62855.162672999999</v>
      </c>
    </row>
    <row r="14" spans="2:27" ht="18" customHeight="1" x14ac:dyDescent="0.2">
      <c r="B14" s="2" t="s">
        <v>7</v>
      </c>
      <c r="C14" s="5">
        <f>'Valuation Summary'!C14</f>
        <v>25876</v>
      </c>
    </row>
    <row r="15" spans="2:27" ht="18" customHeight="1" x14ac:dyDescent="0.2">
      <c r="B15" s="2" t="s">
        <v>8</v>
      </c>
      <c r="C15" s="4">
        <f>'Valuation Summary'!C16</f>
        <v>0.12996374918357972</v>
      </c>
    </row>
    <row r="16" spans="2:27" ht="18" customHeight="1" x14ac:dyDescent="0.2">
      <c r="B16" s="2" t="s">
        <v>9</v>
      </c>
      <c r="C16" s="4">
        <f>'Valuation Summary'!C17</f>
        <v>3.5000000000000003E-2</v>
      </c>
    </row>
    <row r="17" spans="2:9" ht="18" customHeight="1" x14ac:dyDescent="0.2">
      <c r="B17" s="2" t="s">
        <v>10</v>
      </c>
      <c r="C17" s="5">
        <f>'Forecast DCF'!M7</f>
        <v>196065.07184933263</v>
      </c>
    </row>
    <row r="18" spans="2:9" ht="18" customHeight="1" x14ac:dyDescent="0.2">
      <c r="B18" s="2" t="s">
        <v>11</v>
      </c>
      <c r="C18" s="4">
        <f>'Forecast DCF'!M17</f>
        <v>0.18790917874396135</v>
      </c>
    </row>
    <row r="19" spans="2:9" ht="18" customHeight="1" x14ac:dyDescent="0.2"/>
    <row r="20" spans="2:9" ht="18" customHeight="1" x14ac:dyDescent="0.2"/>
    <row r="21" spans="2:9" ht="18" customHeight="1" x14ac:dyDescent="0.2">
      <c r="B21" s="114" t="s">
        <v>12</v>
      </c>
      <c r="C21" s="114"/>
      <c r="D21" s="114"/>
      <c r="E21" s="114"/>
      <c r="F21" s="114"/>
      <c r="G21" s="114"/>
      <c r="H21" s="114"/>
      <c r="I21" s="114"/>
    </row>
    <row r="22" spans="2:9" ht="18" customHeight="1" x14ac:dyDescent="0.2">
      <c r="B22" s="2" t="s">
        <v>13</v>
      </c>
      <c r="C22" s="2" t="s">
        <v>14</v>
      </c>
    </row>
    <row r="23" spans="2:9" ht="18" customHeight="1" x14ac:dyDescent="0.2">
      <c r="B23" s="2" t="s">
        <v>15</v>
      </c>
      <c r="C23" s="2" t="s">
        <v>16</v>
      </c>
    </row>
    <row r="24" spans="2:9" ht="18" customHeight="1" x14ac:dyDescent="0.2">
      <c r="B24" s="2" t="s">
        <v>17</v>
      </c>
      <c r="C24" s="2" t="s">
        <v>18</v>
      </c>
    </row>
    <row r="25" spans="2:9" ht="18" customHeight="1" x14ac:dyDescent="0.2">
      <c r="B25" s="2" t="s">
        <v>19</v>
      </c>
      <c r="C25" s="6" t="s">
        <v>20</v>
      </c>
    </row>
    <row r="26" spans="2:9" ht="18" customHeight="1" x14ac:dyDescent="0.2">
      <c r="B26" s="2" t="s">
        <v>21</v>
      </c>
      <c r="C26" s="2" t="s">
        <v>22</v>
      </c>
    </row>
  </sheetData>
  <pageMargins left="0.75" right="0.75" top="1" bottom="1" header="0.511811023622047" footer="0.511811023622047"/>
  <pageSetup orientation="portrait" horizontalDpi="300" verticalDpi="30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B1:AA29"/>
  <sheetViews>
    <sheetView showGridLines="0" zoomScaleNormal="100" workbookViewId="0">
      <pane ySplit="4" topLeftCell="A5" activePane="bottomLeft" state="frozen"/>
      <selection pane="bottomLeft"/>
    </sheetView>
  </sheetViews>
  <sheetFormatPr baseColWidth="10" defaultColWidth="8.6640625" defaultRowHeight="15" x14ac:dyDescent="0.2"/>
  <cols>
    <col min="1" max="1" width="3.33203125" customWidth="1"/>
    <col min="2" max="2" width="32" customWidth="1"/>
    <col min="3" max="3" width="18" customWidth="1"/>
    <col min="4" max="4" width="34" customWidth="1"/>
    <col min="5" max="6" width="20" customWidth="1"/>
    <col min="7" max="7" width="42" customWidth="1"/>
  </cols>
  <sheetData>
    <row r="1" spans="2:27" ht="10" customHeight="1" x14ac:dyDescent="0.2"/>
    <row r="2" spans="2:27" ht="18" customHeight="1" x14ac:dyDescent="0.2">
      <c r="B2" s="101" t="s">
        <v>23</v>
      </c>
      <c r="C2" s="101"/>
      <c r="D2" s="101"/>
      <c r="E2" s="101"/>
      <c r="F2" s="101"/>
      <c r="G2" s="101"/>
      <c r="H2" s="103"/>
      <c r="I2" s="103"/>
      <c r="J2" s="102"/>
      <c r="K2" s="102"/>
      <c r="L2" s="102"/>
      <c r="M2" s="102"/>
      <c r="N2" s="102"/>
      <c r="O2" s="102"/>
      <c r="P2" s="102"/>
      <c r="Q2" s="102"/>
      <c r="R2" s="102"/>
      <c r="S2" s="102"/>
      <c r="T2" s="102"/>
      <c r="U2" s="102"/>
      <c r="V2" s="102"/>
      <c r="W2" s="102"/>
      <c r="X2" s="102"/>
      <c r="Y2" s="102"/>
      <c r="Z2" s="102"/>
      <c r="AA2" s="102"/>
    </row>
    <row r="3" spans="2:27" ht="17.5" customHeight="1" x14ac:dyDescent="0.2">
      <c r="B3" s="1" t="s">
        <v>24</v>
      </c>
      <c r="C3" s="1"/>
      <c r="D3" s="1"/>
      <c r="E3" s="1"/>
      <c r="F3" s="1"/>
      <c r="G3" s="1"/>
      <c r="H3" s="97"/>
      <c r="I3" s="97"/>
    </row>
    <row r="4" spans="2:27" ht="18" customHeight="1" x14ac:dyDescent="0.2"/>
    <row r="5" spans="2:27" ht="18" customHeight="1" x14ac:dyDescent="0.2">
      <c r="B5" s="111" t="s">
        <v>25</v>
      </c>
      <c r="C5" s="111"/>
      <c r="D5" s="111"/>
      <c r="E5" s="111"/>
      <c r="F5" s="111"/>
      <c r="G5" s="111"/>
    </row>
    <row r="6" spans="2:27" ht="18" customHeight="1" x14ac:dyDescent="0.2">
      <c r="B6" s="2" t="s">
        <v>26</v>
      </c>
      <c r="C6" s="5">
        <f>'Forecast DCF'!M26</f>
        <v>135934.82895923959</v>
      </c>
    </row>
    <row r="7" spans="2:27" ht="18" customHeight="1" x14ac:dyDescent="0.2">
      <c r="B7" s="2" t="s">
        <v>27</v>
      </c>
      <c r="C7" s="5">
        <f>'Forecast DCF'!M27</f>
        <v>-25876</v>
      </c>
    </row>
    <row r="8" spans="2:27" ht="18" customHeight="1" x14ac:dyDescent="0.2">
      <c r="B8" s="2" t="s">
        <v>28</v>
      </c>
      <c r="C8" s="5">
        <f>'Forecast DCF'!M28</f>
        <v>110058.82895923959</v>
      </c>
    </row>
    <row r="9" spans="2:27" ht="18" customHeight="1" x14ac:dyDescent="0.2">
      <c r="B9" s="2" t="s">
        <v>3</v>
      </c>
      <c r="C9" s="3">
        <f>Assumptions!C7</f>
        <v>115.21</v>
      </c>
    </row>
    <row r="10" spans="2:27" ht="18" customHeight="1" x14ac:dyDescent="0.2">
      <c r="B10" s="2" t="s">
        <v>4</v>
      </c>
      <c r="C10" s="3">
        <f>'Forecast DCF'!M30</f>
        <v>201.73168193614015</v>
      </c>
    </row>
    <row r="11" spans="2:27" ht="18" customHeight="1" x14ac:dyDescent="0.2">
      <c r="B11" s="2" t="s">
        <v>5</v>
      </c>
      <c r="C11" s="4">
        <f>C10/C9-1</f>
        <v>0.75099107660914988</v>
      </c>
    </row>
    <row r="12" spans="2:27" ht="18" customHeight="1" x14ac:dyDescent="0.2">
      <c r="B12" s="2" t="s">
        <v>29</v>
      </c>
      <c r="C12" s="5">
        <f>Assumptions!C8+Assumptions!C12</f>
        <v>88731.162672999999</v>
      </c>
    </row>
    <row r="13" spans="2:27" ht="18" customHeight="1" x14ac:dyDescent="0.2">
      <c r="B13" s="2" t="s">
        <v>6</v>
      </c>
      <c r="C13" s="5">
        <f>Assumptions!C8</f>
        <v>62855.162672999999</v>
      </c>
    </row>
    <row r="14" spans="2:27" ht="18" customHeight="1" x14ac:dyDescent="0.2">
      <c r="B14" s="2" t="s">
        <v>7</v>
      </c>
      <c r="C14" s="5">
        <f>Assumptions!C12</f>
        <v>25876</v>
      </c>
    </row>
    <row r="15" spans="2:27" ht="18" customHeight="1" x14ac:dyDescent="0.2">
      <c r="B15" s="2" t="s">
        <v>30</v>
      </c>
      <c r="C15" s="7">
        <f>Assumptions!C9</f>
        <v>545.57037299713602</v>
      </c>
    </row>
    <row r="16" spans="2:27" ht="18" customHeight="1" x14ac:dyDescent="0.2">
      <c r="B16" s="2" t="s">
        <v>8</v>
      </c>
      <c r="C16" s="4">
        <f>Assumptions!C24</f>
        <v>0.12996374918357972</v>
      </c>
    </row>
    <row r="17" spans="2:7" ht="18" customHeight="1" x14ac:dyDescent="0.2">
      <c r="B17" s="2" t="s">
        <v>9</v>
      </c>
      <c r="C17" s="4">
        <f>Assumptions!C27</f>
        <v>3.5000000000000003E-2</v>
      </c>
    </row>
    <row r="18" spans="2:7" ht="18" customHeight="1" x14ac:dyDescent="0.2"/>
    <row r="19" spans="2:7" ht="18" customHeight="1" x14ac:dyDescent="0.2"/>
    <row r="20" spans="2:7" ht="18" customHeight="1" x14ac:dyDescent="0.2">
      <c r="B20" s="114" t="s">
        <v>31</v>
      </c>
      <c r="C20" s="114"/>
      <c r="D20" s="114"/>
      <c r="E20" s="114"/>
      <c r="F20" s="114"/>
      <c r="G20" s="114"/>
    </row>
    <row r="21" spans="2:7" ht="18" customHeight="1" x14ac:dyDescent="0.2">
      <c r="B21" s="8" t="s">
        <v>32</v>
      </c>
      <c r="C21" s="8" t="s">
        <v>33</v>
      </c>
      <c r="D21" s="8" t="s">
        <v>34</v>
      </c>
      <c r="E21" s="8" t="s">
        <v>35</v>
      </c>
      <c r="F21" s="8" t="s">
        <v>36</v>
      </c>
      <c r="G21" s="8" t="s">
        <v>37</v>
      </c>
    </row>
    <row r="22" spans="2:7" ht="18" customHeight="1" x14ac:dyDescent="0.2">
      <c r="B22" s="2" t="s">
        <v>38</v>
      </c>
      <c r="C22" s="2" t="s">
        <v>39</v>
      </c>
      <c r="D22" s="2" t="s">
        <v>40</v>
      </c>
      <c r="E22" s="9">
        <f>'Forecast DCF'!M26</f>
        <v>135934.82895923959</v>
      </c>
      <c r="F22" s="10">
        <f>'Forecast DCF'!M30</f>
        <v>201.73168193614015</v>
      </c>
      <c r="G22" s="2" t="s">
        <v>41</v>
      </c>
    </row>
    <row r="23" spans="2:7" ht="18" customHeight="1" x14ac:dyDescent="0.2">
      <c r="B23" s="2" t="s">
        <v>42</v>
      </c>
      <c r="C23" s="2" t="s">
        <v>43</v>
      </c>
      <c r="D23" s="2" t="s">
        <v>44</v>
      </c>
      <c r="E23" s="9">
        <f>'Trading Comps'!I13*'Forecast DCF'!D7</f>
        <v>145226.42684723687</v>
      </c>
      <c r="F23" s="10">
        <f>(E23-Assumptions!C12)/Assumptions!C9</f>
        <v>218.76266152719293</v>
      </c>
      <c r="G23" s="2" t="s">
        <v>45</v>
      </c>
    </row>
    <row r="24" spans="2:7" ht="18" customHeight="1" x14ac:dyDescent="0.2">
      <c r="B24" s="2" t="s">
        <v>46</v>
      </c>
      <c r="C24" s="2" t="s">
        <v>47</v>
      </c>
      <c r="D24" s="2" t="s">
        <v>48</v>
      </c>
      <c r="E24" s="9">
        <f>Assumptions!C8+Assumptions!C12</f>
        <v>88731.162672999999</v>
      </c>
      <c r="F24" s="10">
        <f>Assumptions!C7</f>
        <v>115.21</v>
      </c>
      <c r="G24" s="2" t="s">
        <v>49</v>
      </c>
    </row>
    <row r="25" spans="2:7" ht="18" customHeight="1" x14ac:dyDescent="0.2"/>
    <row r="26" spans="2:7" ht="18" customHeight="1" x14ac:dyDescent="0.2">
      <c r="B26" s="114" t="s">
        <v>326</v>
      </c>
      <c r="C26" s="114"/>
      <c r="D26" s="114"/>
      <c r="E26" s="114"/>
      <c r="F26" s="114"/>
      <c r="G26" s="114"/>
    </row>
    <row r="27" spans="2:7" ht="18" customHeight="1" x14ac:dyDescent="0.2">
      <c r="B27" s="112" t="s">
        <v>325</v>
      </c>
      <c r="C27" s="112"/>
      <c r="D27" s="112"/>
      <c r="E27" s="112"/>
      <c r="F27" s="112"/>
      <c r="G27" s="112"/>
    </row>
    <row r="28" spans="2:7" ht="18" customHeight="1" x14ac:dyDescent="0.2">
      <c r="B28" s="112"/>
      <c r="C28" s="112"/>
      <c r="D28" s="112"/>
      <c r="E28" s="112"/>
      <c r="F28" s="112"/>
      <c r="G28" s="112"/>
    </row>
    <row r="29" spans="2:7" ht="18" customHeight="1" x14ac:dyDescent="0.2">
      <c r="B29" s="112"/>
      <c r="C29" s="112"/>
      <c r="D29" s="112"/>
      <c r="E29" s="112"/>
      <c r="F29" s="112"/>
      <c r="G29" s="112"/>
    </row>
  </sheetData>
  <pageMargins left="0.75" right="0.75" top="1" bottom="1" header="0.511811023622047" footer="0.511811023622047"/>
  <pageSetup orientation="portrait" horizontalDpi="300" verticalDpi="300"/>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B1:AA38"/>
  <sheetViews>
    <sheetView showGridLines="0" zoomScaleNormal="100" workbookViewId="0">
      <pane ySplit="4" topLeftCell="A5" activePane="bottomLeft" state="frozen"/>
      <selection pane="bottomLeft"/>
    </sheetView>
  </sheetViews>
  <sheetFormatPr baseColWidth="10" defaultColWidth="8.6640625" defaultRowHeight="15" x14ac:dyDescent="0.2"/>
  <cols>
    <col min="1" max="1" width="3.33203125" customWidth="1"/>
    <col min="2" max="2" width="30" customWidth="1"/>
    <col min="3" max="12" width="14" customWidth="1"/>
  </cols>
  <sheetData>
    <row r="1" spans="2:27" ht="10" customHeight="1" x14ac:dyDescent="0.2"/>
    <row r="2" spans="2:27" ht="18" customHeight="1" x14ac:dyDescent="0.2">
      <c r="B2" s="101" t="s">
        <v>50</v>
      </c>
      <c r="C2" s="101"/>
      <c r="D2" s="101"/>
      <c r="E2" s="101"/>
      <c r="F2" s="101"/>
      <c r="G2" s="101"/>
      <c r="H2" s="101"/>
      <c r="I2" s="101"/>
      <c r="J2" s="101"/>
      <c r="K2" s="101"/>
      <c r="L2" s="101"/>
      <c r="M2" s="102"/>
      <c r="N2" s="102"/>
      <c r="O2" s="102"/>
      <c r="P2" s="102"/>
      <c r="Q2" s="102"/>
      <c r="R2" s="102"/>
      <c r="S2" s="102"/>
      <c r="T2" s="102"/>
      <c r="U2" s="102"/>
      <c r="V2" s="102"/>
      <c r="W2" s="102"/>
      <c r="X2" s="102"/>
      <c r="Y2" s="102"/>
      <c r="Z2" s="102"/>
      <c r="AA2" s="102"/>
    </row>
    <row r="3" spans="2:27" ht="17.5" customHeight="1" x14ac:dyDescent="0.2">
      <c r="B3" s="1" t="s">
        <v>51</v>
      </c>
      <c r="C3" s="1"/>
      <c r="D3" s="1"/>
      <c r="E3" s="1"/>
      <c r="F3" s="1"/>
      <c r="G3" s="1"/>
      <c r="H3" s="1"/>
      <c r="I3" s="1"/>
      <c r="J3" s="1"/>
      <c r="K3" s="1"/>
      <c r="L3" s="1"/>
    </row>
    <row r="4" spans="2:27" ht="18" customHeight="1" x14ac:dyDescent="0.2"/>
    <row r="5" spans="2:27" ht="18" customHeight="1" x14ac:dyDescent="0.2">
      <c r="B5" s="114" t="s">
        <v>52</v>
      </c>
      <c r="C5" s="114"/>
      <c r="D5" s="114"/>
      <c r="E5" s="114"/>
      <c r="F5" s="114"/>
      <c r="G5" s="114"/>
      <c r="H5" s="114"/>
      <c r="I5" s="114"/>
      <c r="J5" s="114"/>
      <c r="K5" s="114"/>
      <c r="L5" s="114"/>
    </row>
    <row r="6" spans="2:27" ht="18" customHeight="1" x14ac:dyDescent="0.2">
      <c r="B6" s="2" t="s">
        <v>19</v>
      </c>
      <c r="C6" s="11" t="s">
        <v>20</v>
      </c>
      <c r="E6" s="2" t="s">
        <v>53</v>
      </c>
    </row>
    <row r="7" spans="2:27" ht="18" customHeight="1" x14ac:dyDescent="0.2">
      <c r="B7" s="2" t="s">
        <v>3</v>
      </c>
      <c r="C7" s="3">
        <v>115.21</v>
      </c>
      <c r="E7" s="2" t="s">
        <v>54</v>
      </c>
    </row>
    <row r="8" spans="2:27" ht="18" customHeight="1" x14ac:dyDescent="0.2">
      <c r="B8" s="2" t="s">
        <v>6</v>
      </c>
      <c r="C8" s="5">
        <v>62855.162672999999</v>
      </c>
      <c r="E8" s="2" t="s">
        <v>54</v>
      </c>
    </row>
    <row r="9" spans="2:27" ht="18" customHeight="1" x14ac:dyDescent="0.2">
      <c r="B9" s="2" t="s">
        <v>30</v>
      </c>
      <c r="C9" s="7">
        <v>545.57037299713602</v>
      </c>
      <c r="E9" s="2" t="s">
        <v>55</v>
      </c>
    </row>
    <row r="10" spans="2:27" ht="18" customHeight="1" x14ac:dyDescent="0.2">
      <c r="B10" s="2" t="s">
        <v>56</v>
      </c>
      <c r="C10" s="5">
        <v>3946</v>
      </c>
      <c r="E10" s="2" t="s">
        <v>57</v>
      </c>
    </row>
    <row r="11" spans="2:27" ht="18" customHeight="1" x14ac:dyDescent="0.2">
      <c r="B11" s="2" t="s">
        <v>58</v>
      </c>
      <c r="C11" s="5">
        <v>29822</v>
      </c>
      <c r="E11" s="2" t="s">
        <v>57</v>
      </c>
    </row>
    <row r="12" spans="2:27" ht="18" customHeight="1" x14ac:dyDescent="0.2">
      <c r="B12" s="2" t="s">
        <v>7</v>
      </c>
      <c r="C12" s="5">
        <v>25876</v>
      </c>
      <c r="E12" s="2" t="s">
        <v>57</v>
      </c>
    </row>
    <row r="13" spans="2:27" ht="18" customHeight="1" x14ac:dyDescent="0.2"/>
    <row r="14" spans="2:27" ht="18" customHeight="1" x14ac:dyDescent="0.2">
      <c r="B14" s="114" t="s">
        <v>59</v>
      </c>
      <c r="C14" s="114"/>
      <c r="D14" s="114"/>
      <c r="E14" s="114"/>
      <c r="F14" s="114"/>
      <c r="G14" s="114"/>
      <c r="H14" s="114"/>
      <c r="I14" s="114"/>
      <c r="J14" s="114"/>
      <c r="K14" s="114"/>
      <c r="L14" s="114"/>
    </row>
    <row r="15" spans="2:27" ht="18" customHeight="1" x14ac:dyDescent="0.2">
      <c r="B15" s="2" t="s">
        <v>60</v>
      </c>
      <c r="C15" s="4">
        <v>4.4900000000000002E-2</v>
      </c>
      <c r="E15" s="2" t="s">
        <v>61</v>
      </c>
    </row>
    <row r="16" spans="2:27" ht="18" customHeight="1" x14ac:dyDescent="0.2">
      <c r="B16" s="2" t="s">
        <v>62</v>
      </c>
      <c r="C16" s="12">
        <v>5.5E-2</v>
      </c>
      <c r="E16" s="2" t="s">
        <v>63</v>
      </c>
    </row>
    <row r="17" spans="2:12" ht="18" customHeight="1" x14ac:dyDescent="0.2">
      <c r="B17" s="2" t="s">
        <v>64</v>
      </c>
      <c r="C17" s="13">
        <v>1.7989999999999999</v>
      </c>
      <c r="E17" s="2" t="s">
        <v>65</v>
      </c>
    </row>
    <row r="18" spans="2:12" ht="18" customHeight="1" x14ac:dyDescent="0.2">
      <c r="B18" s="2" t="s">
        <v>66</v>
      </c>
      <c r="C18" s="12">
        <v>2.5000000000000001E-2</v>
      </c>
      <c r="E18" s="2" t="s">
        <v>67</v>
      </c>
    </row>
    <row r="19" spans="2:12" ht="18" customHeight="1" x14ac:dyDescent="0.2">
      <c r="B19" s="2" t="s">
        <v>68</v>
      </c>
      <c r="C19" s="14">
        <f>C15+C17*C16+C18</f>
        <v>0.168845</v>
      </c>
      <c r="E19" s="2" t="s">
        <v>69</v>
      </c>
    </row>
    <row r="20" spans="2:12" ht="18" customHeight="1" x14ac:dyDescent="0.2">
      <c r="B20" s="2" t="s">
        <v>70</v>
      </c>
      <c r="C20" s="4">
        <v>6.0777982406875902E-2</v>
      </c>
      <c r="E20" s="2" t="s">
        <v>71</v>
      </c>
    </row>
    <row r="21" spans="2:12" ht="18" customHeight="1" x14ac:dyDescent="0.2">
      <c r="B21" s="2" t="s">
        <v>72</v>
      </c>
      <c r="C21" s="12">
        <v>0.21</v>
      </c>
      <c r="E21" s="2" t="s">
        <v>73</v>
      </c>
    </row>
    <row r="22" spans="2:12" ht="18" customHeight="1" x14ac:dyDescent="0.2">
      <c r="B22" s="2" t="s">
        <v>74</v>
      </c>
      <c r="C22" s="14">
        <f>C11/(C11+C8)</f>
        <v>0.32178369665052509</v>
      </c>
      <c r="E22" s="2" t="s">
        <v>75</v>
      </c>
    </row>
    <row r="23" spans="2:12" ht="18" customHeight="1" x14ac:dyDescent="0.2">
      <c r="B23" s="2" t="s">
        <v>76</v>
      </c>
      <c r="C23" s="14">
        <f>1-C22</f>
        <v>0.67821630334947491</v>
      </c>
      <c r="E23" s="2" t="s">
        <v>77</v>
      </c>
    </row>
    <row r="24" spans="2:12" ht="18" customHeight="1" x14ac:dyDescent="0.2">
      <c r="B24" s="2" t="s">
        <v>8</v>
      </c>
      <c r="C24" s="14">
        <f>C23*C19+C22*C20*(1-C21)</f>
        <v>0.12996374918357972</v>
      </c>
      <c r="E24" s="2" t="s">
        <v>78</v>
      </c>
    </row>
    <row r="25" spans="2:12" ht="18" customHeight="1" x14ac:dyDescent="0.2"/>
    <row r="26" spans="2:12" ht="18" customHeight="1" x14ac:dyDescent="0.2">
      <c r="B26" s="114" t="s">
        <v>79</v>
      </c>
      <c r="C26" s="114"/>
      <c r="D26" s="114"/>
      <c r="E26" s="114"/>
      <c r="F26" s="114"/>
      <c r="G26" s="114"/>
      <c r="H26" s="114"/>
      <c r="I26" s="114"/>
      <c r="J26" s="114"/>
      <c r="K26" s="114"/>
      <c r="L26" s="114"/>
    </row>
    <row r="27" spans="2:12" ht="18" customHeight="1" x14ac:dyDescent="0.2">
      <c r="B27" s="2" t="s">
        <v>9</v>
      </c>
      <c r="C27" s="12">
        <v>3.5000000000000003E-2</v>
      </c>
      <c r="E27" s="2" t="s">
        <v>80</v>
      </c>
    </row>
    <row r="28" spans="2:12" ht="18" customHeight="1" x14ac:dyDescent="0.2">
      <c r="B28" s="2" t="s">
        <v>81</v>
      </c>
      <c r="C28" s="12">
        <v>0.05</v>
      </c>
      <c r="E28" s="2" t="s">
        <v>63</v>
      </c>
    </row>
    <row r="29" spans="2:12" ht="18" customHeight="1" x14ac:dyDescent="0.2"/>
    <row r="30" spans="2:12" ht="18" customHeight="1" x14ac:dyDescent="0.2">
      <c r="B30" s="114" t="s">
        <v>327</v>
      </c>
      <c r="C30" s="122"/>
      <c r="D30" s="122"/>
      <c r="E30" s="122"/>
      <c r="F30" s="122"/>
      <c r="G30" s="122"/>
      <c r="H30" s="122"/>
      <c r="I30" s="122"/>
      <c r="J30" s="122"/>
      <c r="K30" s="122"/>
      <c r="L30" s="122"/>
    </row>
    <row r="31" spans="2:12" ht="18" customHeight="1" x14ac:dyDescent="0.2">
      <c r="B31" s="8" t="s">
        <v>82</v>
      </c>
      <c r="C31" s="8" t="s">
        <v>83</v>
      </c>
      <c r="D31" s="8" t="s">
        <v>84</v>
      </c>
      <c r="E31" s="8" t="s">
        <v>85</v>
      </c>
      <c r="F31" s="8" t="s">
        <v>86</v>
      </c>
      <c r="G31" s="8" t="s">
        <v>87</v>
      </c>
      <c r="H31" s="8" t="s">
        <v>88</v>
      </c>
      <c r="I31" s="8" t="s">
        <v>89</v>
      </c>
      <c r="J31" s="8" t="s">
        <v>90</v>
      </c>
      <c r="K31" s="8" t="s">
        <v>91</v>
      </c>
      <c r="L31" s="8" t="s">
        <v>92</v>
      </c>
    </row>
    <row r="32" spans="2:12" ht="18" customHeight="1" x14ac:dyDescent="0.2">
      <c r="B32" s="2" t="s">
        <v>93</v>
      </c>
      <c r="C32" s="5">
        <v>12681.489509999999</v>
      </c>
      <c r="D32" s="5">
        <v>24973.462029999999</v>
      </c>
      <c r="E32" s="5">
        <v>39906.534547000003</v>
      </c>
      <c r="F32" s="5">
        <v>55013.163583000001</v>
      </c>
      <c r="G32" s="5">
        <v>79955.087079999998</v>
      </c>
      <c r="H32" s="15">
        <f>G32*(1+H33)</f>
        <v>109514.86699806601</v>
      </c>
      <c r="I32" s="15">
        <f>H32*(1+I33)</f>
        <v>140839.25153688825</v>
      </c>
      <c r="J32" s="15">
        <f>I32*(1+J33)</f>
        <v>169338.4124872582</v>
      </c>
      <c r="K32" s="15">
        <f>J32*(1+K33)</f>
        <v>189434.85202834071</v>
      </c>
      <c r="L32" s="15">
        <f>K32*(1+L33)</f>
        <v>196065.07184933263</v>
      </c>
    </row>
    <row r="33" spans="2:13" ht="18" customHeight="1" x14ac:dyDescent="0.2">
      <c r="B33" s="2" t="s">
        <v>94</v>
      </c>
      <c r="C33" s="43">
        <f>C32/'Forecast DCF'!C7-1</f>
        <v>1.4715434632625217</v>
      </c>
      <c r="D33" s="45">
        <f>D32/C32-1</f>
        <v>0.96928460259397409</v>
      </c>
      <c r="E33" s="45">
        <f>E32/D32-1</f>
        <v>0.59795764396066819</v>
      </c>
      <c r="F33" s="45">
        <f>F32/E32-1</f>
        <v>0.37855026018879534</v>
      </c>
      <c r="G33" s="45">
        <f>G32/F32-1</f>
        <v>0.4533810068815507</v>
      </c>
      <c r="H33" s="12">
        <v>0.36970480550524099</v>
      </c>
      <c r="I33" s="12">
        <v>0.28602860412893</v>
      </c>
      <c r="J33" s="12">
        <v>0.20235240275262001</v>
      </c>
      <c r="K33" s="12">
        <v>0.11867620137631001</v>
      </c>
      <c r="L33" s="12">
        <v>3.5000000000000003E-2</v>
      </c>
    </row>
    <row r="34" spans="2:13" ht="18" customHeight="1" x14ac:dyDescent="0.2">
      <c r="B34" s="2" t="s">
        <v>95</v>
      </c>
      <c r="C34" s="12">
        <v>0.04</v>
      </c>
      <c r="D34" s="12">
        <v>0.08</v>
      </c>
      <c r="E34" s="12">
        <v>0.13</v>
      </c>
      <c r="F34" s="12">
        <v>0.18</v>
      </c>
      <c r="G34" s="12">
        <v>0.22</v>
      </c>
      <c r="H34" s="12">
        <v>0.22500000000000001</v>
      </c>
      <c r="I34" s="12">
        <v>0.23</v>
      </c>
      <c r="J34" s="12">
        <v>0.23499999999999999</v>
      </c>
      <c r="K34" s="12">
        <v>0.24</v>
      </c>
      <c r="L34" s="12">
        <v>0.24</v>
      </c>
    </row>
    <row r="35" spans="2:13" ht="18" customHeight="1" x14ac:dyDescent="0.2">
      <c r="B35" s="2" t="s">
        <v>96</v>
      </c>
      <c r="C35" s="12">
        <v>0.45</v>
      </c>
      <c r="D35" s="12">
        <v>0.42</v>
      </c>
      <c r="E35" s="12">
        <v>0.38</v>
      </c>
      <c r="F35" s="12">
        <v>0.34</v>
      </c>
      <c r="G35" s="12">
        <v>0.3</v>
      </c>
      <c r="H35" s="12">
        <v>0.3</v>
      </c>
      <c r="I35" s="12">
        <v>0.3</v>
      </c>
      <c r="J35" s="12">
        <v>0.3</v>
      </c>
      <c r="K35" s="12">
        <v>0.3</v>
      </c>
      <c r="L35" s="12">
        <v>0.3</v>
      </c>
    </row>
    <row r="36" spans="2:13" ht="18" customHeight="1" x14ac:dyDescent="0.2">
      <c r="B36" s="2" t="s">
        <v>97</v>
      </c>
      <c r="C36" s="12">
        <v>1.5</v>
      </c>
      <c r="D36" s="12">
        <v>1.05</v>
      </c>
      <c r="E36" s="12">
        <v>0.75</v>
      </c>
      <c r="F36" s="12">
        <v>0.55000000000000004</v>
      </c>
      <c r="G36" s="12">
        <v>0.4</v>
      </c>
      <c r="H36" s="12">
        <v>0.38</v>
      </c>
      <c r="I36" s="12">
        <v>0.36</v>
      </c>
      <c r="J36" s="12">
        <v>0.34</v>
      </c>
      <c r="K36" s="12">
        <v>0.32</v>
      </c>
      <c r="L36" s="12">
        <v>0.3</v>
      </c>
    </row>
    <row r="37" spans="2:13" s="38" customFormat="1" ht="18" customHeight="1" x14ac:dyDescent="0.2">
      <c r="B37"/>
      <c r="C37"/>
      <c r="D37"/>
      <c r="E37"/>
      <c r="F37"/>
      <c r="G37"/>
      <c r="H37"/>
      <c r="I37"/>
      <c r="J37"/>
      <c r="K37"/>
      <c r="L37"/>
      <c r="M37"/>
    </row>
    <row r="38" spans="2:13" s="38" customFormat="1" ht="18" customHeight="1" x14ac:dyDescent="0.2">
      <c r="B38"/>
      <c r="C38"/>
      <c r="D38"/>
      <c r="E38"/>
      <c r="F38"/>
      <c r="G38"/>
      <c r="H38"/>
      <c r="I38"/>
      <c r="J38"/>
      <c r="K38"/>
      <c r="L38"/>
      <c r="M38"/>
    </row>
  </sheetData>
  <pageMargins left="0.75" right="0.75" top="1" bottom="1" header="0.511811023622047" footer="0.511811023622047"/>
  <pageSetup orientation="portrait" horizontalDpi="300" verticalDpi="300"/>
  <legacyDrawing r:id="rId1"/>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B1:AA21"/>
  <sheetViews>
    <sheetView showGridLines="0" zoomScaleNormal="100" workbookViewId="0">
      <pane ySplit="4" topLeftCell="A5" activePane="bottomLeft" state="frozen"/>
      <selection pane="bottomLeft"/>
    </sheetView>
  </sheetViews>
  <sheetFormatPr baseColWidth="10" defaultColWidth="8.6640625" defaultRowHeight="15" x14ac:dyDescent="0.2"/>
  <cols>
    <col min="1" max="1" width="3.33203125" customWidth="1"/>
    <col min="2" max="2" width="30" customWidth="1"/>
    <col min="3" max="6" width="15" customWidth="1"/>
  </cols>
  <sheetData>
    <row r="1" spans="2:27" ht="10" customHeight="1" x14ac:dyDescent="0.2"/>
    <row r="2" spans="2:27" ht="18" customHeight="1" x14ac:dyDescent="0.2">
      <c r="B2" s="101" t="s">
        <v>98</v>
      </c>
      <c r="C2" s="101"/>
      <c r="D2" s="101"/>
      <c r="E2" s="101"/>
      <c r="F2" s="101"/>
      <c r="G2" s="103"/>
      <c r="H2" s="103"/>
      <c r="I2" s="103"/>
      <c r="J2" s="102"/>
      <c r="K2" s="102"/>
      <c r="L2" s="102"/>
      <c r="M2" s="102"/>
      <c r="N2" s="102"/>
      <c r="O2" s="102"/>
      <c r="P2" s="102"/>
      <c r="Q2" s="102"/>
      <c r="R2" s="102"/>
      <c r="S2" s="102"/>
      <c r="T2" s="102"/>
      <c r="U2" s="102"/>
      <c r="V2" s="102"/>
      <c r="W2" s="102"/>
      <c r="X2" s="102"/>
      <c r="Y2" s="102"/>
      <c r="Z2" s="102"/>
      <c r="AA2" s="102"/>
    </row>
    <row r="3" spans="2:27" ht="17.5" customHeight="1" x14ac:dyDescent="0.2">
      <c r="B3" s="1" t="s">
        <v>99</v>
      </c>
      <c r="C3" s="1"/>
      <c r="D3" s="1"/>
      <c r="E3" s="1"/>
      <c r="F3" s="1"/>
      <c r="G3" s="97"/>
      <c r="H3" s="97"/>
      <c r="I3" s="97"/>
    </row>
    <row r="4" spans="2:27" ht="18" customHeight="1" x14ac:dyDescent="0.2"/>
    <row r="5" spans="2:27" ht="18" customHeight="1" x14ac:dyDescent="0.2">
      <c r="B5" s="8" t="s">
        <v>33</v>
      </c>
      <c r="C5" s="8" t="s">
        <v>100</v>
      </c>
      <c r="D5" s="8" t="s">
        <v>101</v>
      </c>
      <c r="E5" s="8" t="s">
        <v>102</v>
      </c>
      <c r="F5" s="8" t="s">
        <v>103</v>
      </c>
    </row>
    <row r="6" spans="2:27" ht="18" customHeight="1" x14ac:dyDescent="0.2">
      <c r="B6" s="2" t="s">
        <v>104</v>
      </c>
      <c r="C6" s="5">
        <v>15.83</v>
      </c>
      <c r="D6" s="5">
        <v>228.94300000000001</v>
      </c>
      <c r="E6" s="5">
        <v>1915.4259999999999</v>
      </c>
      <c r="F6" s="5">
        <v>5131</v>
      </c>
    </row>
    <row r="7" spans="2:27" ht="18" customHeight="1" x14ac:dyDescent="0.2">
      <c r="B7" s="2" t="s">
        <v>105</v>
      </c>
      <c r="C7" s="5">
        <v>3.7080000000000002</v>
      </c>
      <c r="D7" s="5">
        <v>160.16300000000001</v>
      </c>
      <c r="E7" s="5">
        <v>1422.076</v>
      </c>
      <c r="F7" s="5">
        <v>3678</v>
      </c>
    </row>
    <row r="8" spans="2:27" ht="18" customHeight="1" x14ac:dyDescent="0.2">
      <c r="B8" s="2" t="s">
        <v>106</v>
      </c>
      <c r="C8" s="5">
        <v>-13.877000000000001</v>
      </c>
      <c r="D8" s="5">
        <v>-426.43299999999999</v>
      </c>
      <c r="E8" s="5">
        <v>480.036</v>
      </c>
      <c r="F8" s="5">
        <v>2468</v>
      </c>
    </row>
    <row r="9" spans="2:27" ht="18" customHeight="1" x14ac:dyDescent="0.2">
      <c r="B9" s="2" t="s">
        <v>107</v>
      </c>
      <c r="C9" s="5">
        <v>-25.571999999999999</v>
      </c>
      <c r="D9" s="5">
        <v>-529.64300000000003</v>
      </c>
      <c r="E9" s="5">
        <v>-383.37700000000001</v>
      </c>
      <c r="F9" s="5">
        <v>14</v>
      </c>
    </row>
    <row r="10" spans="2:27" ht="18" customHeight="1" x14ac:dyDescent="0.2">
      <c r="B10" s="2" t="s">
        <v>108</v>
      </c>
      <c r="C10" s="5">
        <v>-22.88</v>
      </c>
      <c r="D10" s="5">
        <v>-14.451000000000001</v>
      </c>
      <c r="E10" s="5">
        <v>324.358</v>
      </c>
      <c r="F10" s="5">
        <v>-46</v>
      </c>
    </row>
    <row r="11" spans="2:27" ht="18" customHeight="1" x14ac:dyDescent="0.2">
      <c r="B11" s="2" t="s">
        <v>109</v>
      </c>
      <c r="C11" s="5">
        <v>-31.055</v>
      </c>
      <c r="D11" s="5">
        <v>-593.74800000000005</v>
      </c>
      <c r="E11" s="5">
        <v>-863.44799999999998</v>
      </c>
      <c r="F11" s="5">
        <v>-1167</v>
      </c>
    </row>
    <row r="12" spans="2:27" ht="18" customHeight="1" x14ac:dyDescent="0.2">
      <c r="B12" s="2" t="s">
        <v>110</v>
      </c>
      <c r="C12" s="5">
        <v>0.91</v>
      </c>
      <c r="D12" s="5">
        <v>1832.65</v>
      </c>
      <c r="E12" s="5">
        <v>2749.1680000000001</v>
      </c>
      <c r="F12" s="5">
        <v>3058</v>
      </c>
    </row>
    <row r="13" spans="2:27" ht="18" customHeight="1" x14ac:dyDescent="0.2">
      <c r="B13" s="2" t="s">
        <v>111</v>
      </c>
      <c r="C13" s="5">
        <v>-72.403999999999996</v>
      </c>
      <c r="D13" s="5">
        <v>-2943.13</v>
      </c>
      <c r="E13" s="5">
        <v>-8702.0779999999995</v>
      </c>
      <c r="F13" s="5">
        <v>-10309</v>
      </c>
    </row>
    <row r="14" spans="2:27" ht="18" customHeight="1" x14ac:dyDescent="0.2">
      <c r="B14" s="2" t="s">
        <v>112</v>
      </c>
      <c r="C14" s="5">
        <v>-71.494</v>
      </c>
      <c r="D14" s="5">
        <v>-1110.48</v>
      </c>
      <c r="E14" s="5">
        <v>-5952.91</v>
      </c>
      <c r="F14" s="5">
        <v>-7251</v>
      </c>
    </row>
    <row r="15" spans="2:27" ht="18" customHeight="1" x14ac:dyDescent="0.2">
      <c r="B15" s="2" t="s">
        <v>113</v>
      </c>
      <c r="C15" s="16"/>
      <c r="D15" s="5">
        <v>217.14699999999999</v>
      </c>
      <c r="E15" s="5">
        <v>1361.0830000000001</v>
      </c>
      <c r="F15" s="5">
        <v>3946</v>
      </c>
    </row>
    <row r="16" spans="2:27" ht="18" customHeight="1" x14ac:dyDescent="0.2">
      <c r="B16" s="2" t="s">
        <v>114</v>
      </c>
      <c r="C16" s="16"/>
      <c r="D16" s="5">
        <v>1999.74</v>
      </c>
      <c r="E16" s="5">
        <v>10620.277</v>
      </c>
      <c r="F16" s="5">
        <v>29822</v>
      </c>
    </row>
    <row r="17" spans="2:6" ht="18" customHeight="1" x14ac:dyDescent="0.2">
      <c r="B17" s="2" t="s">
        <v>115</v>
      </c>
      <c r="C17" s="16"/>
      <c r="D17" s="5">
        <v>1782.5930000000001</v>
      </c>
      <c r="E17" s="5">
        <v>9259.1939999999995</v>
      </c>
      <c r="F17" s="5">
        <v>25876</v>
      </c>
    </row>
    <row r="18" spans="2:6" ht="18" customHeight="1" x14ac:dyDescent="0.2">
      <c r="B18" s="2" t="s">
        <v>116</v>
      </c>
      <c r="C18" s="7">
        <v>403.72699999999998</v>
      </c>
      <c r="D18" s="7">
        <v>403.72699999999998</v>
      </c>
      <c r="E18" s="7">
        <v>404.40699999999998</v>
      </c>
      <c r="F18" s="7">
        <v>436</v>
      </c>
    </row>
    <row r="19" spans="2:6" ht="18" customHeight="1" x14ac:dyDescent="0.2">
      <c r="B19" s="2" t="s">
        <v>117</v>
      </c>
      <c r="C19" s="14">
        <f>C8/C6</f>
        <v>-0.87662665824384089</v>
      </c>
      <c r="D19" s="14">
        <f>D8/D6</f>
        <v>-1.8626164591186452</v>
      </c>
      <c r="E19" s="14">
        <f>E8/E6</f>
        <v>0.25061578990783251</v>
      </c>
      <c r="F19" s="14">
        <f>F8/F6</f>
        <v>0.48099785616838825</v>
      </c>
    </row>
    <row r="20" spans="2:6" ht="18" customHeight="1" x14ac:dyDescent="0.2">
      <c r="B20" s="2" t="s">
        <v>95</v>
      </c>
      <c r="C20" s="14">
        <f>C9/C6</f>
        <v>-1.6154137713202779</v>
      </c>
      <c r="D20" s="14">
        <f>D9/D6</f>
        <v>-2.3134273596484713</v>
      </c>
      <c r="E20" s="14">
        <f>E9/E6</f>
        <v>-0.20015234208995808</v>
      </c>
      <c r="F20" s="14">
        <f>F9/F6</f>
        <v>2.7285129604365621E-3</v>
      </c>
    </row>
    <row r="21" spans="2:6" ht="18" customHeight="1" x14ac:dyDescent="0.2">
      <c r="B21" s="2" t="s">
        <v>97</v>
      </c>
      <c r="C21" s="14">
        <f>-C13/C6</f>
        <v>4.5738471257106754</v>
      </c>
      <c r="D21" s="14">
        <f>-D13/D6</f>
        <v>12.855295859668127</v>
      </c>
      <c r="E21" s="14">
        <f>-E13/E6</f>
        <v>4.5431554129473026</v>
      </c>
      <c r="F21" s="14">
        <f>-F13/F6</f>
        <v>2.0091600077957512</v>
      </c>
    </row>
  </sheetData>
  <pageMargins left="0.75" right="0.75" top="1" bottom="1" header="0.511811023622047" footer="0.511811023622047"/>
  <pageSetup orientation="portrait" horizontalDpi="300" verticalDpi="300"/>
  <legacyDrawing r:id="rId1"/>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B1:AA46"/>
  <sheetViews>
    <sheetView showGridLines="0" zoomScaleNormal="100" workbookViewId="0">
      <pane ySplit="6" topLeftCell="A7" activePane="bottomLeft" state="frozen"/>
      <selection pane="bottomLeft"/>
    </sheetView>
  </sheetViews>
  <sheetFormatPr baseColWidth="10" defaultColWidth="8.6640625" defaultRowHeight="15" x14ac:dyDescent="0.2"/>
  <cols>
    <col min="1" max="1" width="3.33203125" customWidth="1"/>
    <col min="2" max="2" width="30" customWidth="1"/>
    <col min="3" max="13" width="14" customWidth="1"/>
  </cols>
  <sheetData>
    <row r="1" spans="2:27" ht="10" customHeight="1" x14ac:dyDescent="0.2"/>
    <row r="2" spans="2:27" ht="18" customHeight="1" x14ac:dyDescent="0.2">
      <c r="B2" s="101" t="s">
        <v>40</v>
      </c>
      <c r="C2" s="101"/>
      <c r="D2" s="101"/>
      <c r="E2" s="101"/>
      <c r="F2" s="101"/>
      <c r="G2" s="101"/>
      <c r="H2" s="101"/>
      <c r="I2" s="101"/>
      <c r="J2" s="101"/>
      <c r="K2" s="101"/>
      <c r="L2" s="101"/>
      <c r="M2" s="101"/>
      <c r="N2" s="102"/>
      <c r="O2" s="102"/>
      <c r="P2" s="102"/>
      <c r="Q2" s="102"/>
      <c r="R2" s="102"/>
      <c r="S2" s="102"/>
      <c r="T2" s="102"/>
      <c r="U2" s="102"/>
      <c r="V2" s="102"/>
      <c r="W2" s="102"/>
      <c r="X2" s="102"/>
      <c r="Y2" s="102"/>
      <c r="Z2" s="102"/>
      <c r="AA2" s="102"/>
    </row>
    <row r="3" spans="2:27" ht="18" customHeight="1" x14ac:dyDescent="0.2">
      <c r="B3" s="123"/>
      <c r="C3" s="123"/>
      <c r="D3" s="123"/>
      <c r="E3" s="123"/>
      <c r="F3" s="123"/>
      <c r="G3" s="123"/>
      <c r="H3" s="123"/>
      <c r="I3" s="123"/>
      <c r="J3" s="123"/>
      <c r="K3" s="123"/>
      <c r="L3" s="123"/>
      <c r="M3" s="123"/>
      <c r="N3" s="124"/>
      <c r="O3" s="124"/>
      <c r="P3" s="124"/>
      <c r="Q3" s="124"/>
      <c r="R3" s="124"/>
      <c r="S3" s="124"/>
      <c r="T3" s="124"/>
      <c r="U3" s="124"/>
      <c r="V3" s="124"/>
      <c r="W3" s="124"/>
      <c r="X3" s="124"/>
      <c r="Y3" s="124"/>
      <c r="Z3" s="124"/>
      <c r="AA3" s="124"/>
    </row>
    <row r="4" spans="2:27" ht="18" customHeight="1" x14ac:dyDescent="0.2">
      <c r="B4" s="123"/>
      <c r="C4" s="123"/>
      <c r="D4" s="123"/>
      <c r="E4" s="123"/>
      <c r="F4" s="123"/>
      <c r="G4" s="123"/>
      <c r="H4" s="123"/>
      <c r="I4" s="123"/>
      <c r="J4" s="123"/>
      <c r="K4" s="123"/>
      <c r="L4" s="123"/>
      <c r="M4" s="123"/>
      <c r="N4" s="124"/>
      <c r="O4" s="124"/>
      <c r="P4" s="124"/>
      <c r="Q4" s="124"/>
      <c r="R4" s="124"/>
      <c r="S4" s="124"/>
      <c r="T4" s="124"/>
      <c r="U4" s="124"/>
      <c r="V4" s="124"/>
      <c r="W4" s="124"/>
      <c r="X4" s="124"/>
      <c r="Y4" s="124"/>
      <c r="Z4" s="124"/>
      <c r="AA4" s="124"/>
    </row>
    <row r="5" spans="2:27" ht="17.5" customHeight="1" x14ac:dyDescent="0.2">
      <c r="B5" s="98" t="s">
        <v>33</v>
      </c>
      <c r="C5" s="98" t="s">
        <v>103</v>
      </c>
      <c r="D5" s="98" t="s">
        <v>83</v>
      </c>
      <c r="E5" s="98" t="s">
        <v>84</v>
      </c>
      <c r="F5" s="98" t="s">
        <v>85</v>
      </c>
      <c r="G5" s="98" t="s">
        <v>86</v>
      </c>
      <c r="H5" s="98" t="s">
        <v>87</v>
      </c>
      <c r="I5" s="98" t="s">
        <v>88</v>
      </c>
      <c r="J5" s="8" t="s">
        <v>89</v>
      </c>
      <c r="K5" s="8" t="s">
        <v>90</v>
      </c>
      <c r="L5" s="8" t="s">
        <v>91</v>
      </c>
      <c r="M5" s="8" t="s">
        <v>92</v>
      </c>
    </row>
    <row r="6" spans="2:27" ht="18" customHeight="1" x14ac:dyDescent="0.2">
      <c r="C6" s="17">
        <v>0</v>
      </c>
      <c r="D6" s="17">
        <v>1</v>
      </c>
      <c r="E6" s="17">
        <v>2</v>
      </c>
      <c r="F6" s="17">
        <v>3</v>
      </c>
      <c r="G6" s="17">
        <v>4</v>
      </c>
      <c r="H6" s="17">
        <v>5</v>
      </c>
      <c r="I6" s="17">
        <v>6</v>
      </c>
      <c r="J6" s="17">
        <v>7</v>
      </c>
      <c r="K6" s="17">
        <v>8</v>
      </c>
      <c r="L6" s="17">
        <v>9</v>
      </c>
      <c r="M6" s="17">
        <v>10</v>
      </c>
    </row>
    <row r="7" spans="2:27" ht="18" customHeight="1" x14ac:dyDescent="0.2">
      <c r="B7" s="2" t="s">
        <v>104</v>
      </c>
      <c r="C7" s="18">
        <f>Historicals!F6</f>
        <v>5131</v>
      </c>
      <c r="D7" s="18">
        <f>Assumptions!C32</f>
        <v>12681.489509999999</v>
      </c>
      <c r="E7" s="18">
        <f>Assumptions!D32</f>
        <v>24973.462029999999</v>
      </c>
      <c r="F7" s="18">
        <f>Assumptions!E32</f>
        <v>39906.534547000003</v>
      </c>
      <c r="G7" s="18">
        <f>Assumptions!F32</f>
        <v>55013.163583000001</v>
      </c>
      <c r="H7" s="18">
        <f>Assumptions!G32</f>
        <v>79955.087079999998</v>
      </c>
      <c r="I7" s="18">
        <f>Assumptions!H32</f>
        <v>109514.86699806601</v>
      </c>
      <c r="J7" s="18">
        <f>Assumptions!I32</f>
        <v>140839.25153688825</v>
      </c>
      <c r="K7" s="18">
        <f>Assumptions!J32</f>
        <v>169338.4124872582</v>
      </c>
      <c r="L7" s="18">
        <f>Assumptions!K32</f>
        <v>189434.85202834071</v>
      </c>
      <c r="M7" s="18">
        <f>Assumptions!L32</f>
        <v>196065.07184933263</v>
      </c>
    </row>
    <row r="8" spans="2:27" ht="18" customHeight="1" x14ac:dyDescent="0.2">
      <c r="B8" s="2" t="s">
        <v>94</v>
      </c>
      <c r="C8" s="19">
        <f>C7/Historicals!E6-1</f>
        <v>1.6787774625592427</v>
      </c>
      <c r="D8" s="19">
        <f t="shared" ref="D8:M8" si="0">D7/C7-1</f>
        <v>1.4715434632625217</v>
      </c>
      <c r="E8" s="19">
        <f t="shared" si="0"/>
        <v>0.96928460259397409</v>
      </c>
      <c r="F8" s="19">
        <f t="shared" si="0"/>
        <v>0.59795764396066819</v>
      </c>
      <c r="G8" s="19">
        <f t="shared" si="0"/>
        <v>0.37855026018879534</v>
      </c>
      <c r="H8" s="19">
        <f t="shared" si="0"/>
        <v>0.4533810068815507</v>
      </c>
      <c r="I8" s="19">
        <f t="shared" si="0"/>
        <v>0.36970480550524099</v>
      </c>
      <c r="J8" s="19">
        <f t="shared" si="0"/>
        <v>0.28602860412892994</v>
      </c>
      <c r="K8" s="19">
        <f t="shared" si="0"/>
        <v>0.20235240275262001</v>
      </c>
      <c r="L8" s="19">
        <f t="shared" si="0"/>
        <v>0.11867620137631008</v>
      </c>
      <c r="M8" s="19">
        <f t="shared" si="0"/>
        <v>3.499999999999992E-2</v>
      </c>
    </row>
    <row r="9" spans="2:27" ht="18" customHeight="1" x14ac:dyDescent="0.2">
      <c r="B9" s="2" t="s">
        <v>95</v>
      </c>
      <c r="C9" s="19">
        <f>Historicals!F20</f>
        <v>2.7285129604365621E-3</v>
      </c>
      <c r="D9" s="19">
        <f>Assumptions!C34</f>
        <v>0.04</v>
      </c>
      <c r="E9" s="19">
        <f>Assumptions!D34</f>
        <v>0.08</v>
      </c>
      <c r="F9" s="19">
        <f>Assumptions!E34</f>
        <v>0.13</v>
      </c>
      <c r="G9" s="19">
        <f>Assumptions!F34</f>
        <v>0.18</v>
      </c>
      <c r="H9" s="19">
        <f>Assumptions!G34</f>
        <v>0.22</v>
      </c>
      <c r="I9" s="19">
        <f>Assumptions!H34</f>
        <v>0.22500000000000001</v>
      </c>
      <c r="J9" s="19">
        <f>Assumptions!I34</f>
        <v>0.23</v>
      </c>
      <c r="K9" s="19">
        <f>Assumptions!J34</f>
        <v>0.23499999999999999</v>
      </c>
      <c r="L9" s="19">
        <f>Assumptions!K34</f>
        <v>0.24</v>
      </c>
      <c r="M9" s="19">
        <f>Assumptions!L34</f>
        <v>0.24</v>
      </c>
    </row>
    <row r="10" spans="2:27" ht="18" customHeight="1" x14ac:dyDescent="0.2">
      <c r="B10" s="2" t="s">
        <v>107</v>
      </c>
      <c r="C10" s="18">
        <f>Historicals!F9</f>
        <v>14</v>
      </c>
      <c r="D10" s="18">
        <f t="shared" ref="D10:M10" si="1">D7*D9</f>
        <v>507.2595804</v>
      </c>
      <c r="E10" s="18">
        <f t="shared" si="1"/>
        <v>1997.8769623999999</v>
      </c>
      <c r="F10" s="18">
        <f t="shared" si="1"/>
        <v>5187.8494911100006</v>
      </c>
      <c r="G10" s="18">
        <f t="shared" si="1"/>
        <v>9902.3694449399991</v>
      </c>
      <c r="H10" s="18">
        <f t="shared" si="1"/>
        <v>17590.119157599998</v>
      </c>
      <c r="I10" s="18">
        <f t="shared" si="1"/>
        <v>24640.845074564852</v>
      </c>
      <c r="J10" s="18">
        <f t="shared" si="1"/>
        <v>32393.027853484298</v>
      </c>
      <c r="K10" s="18">
        <f t="shared" si="1"/>
        <v>39794.526934505673</v>
      </c>
      <c r="L10" s="18">
        <f t="shared" si="1"/>
        <v>45464.364486801773</v>
      </c>
      <c r="M10" s="18">
        <f t="shared" si="1"/>
        <v>47055.617243839828</v>
      </c>
    </row>
    <row r="11" spans="2:27" ht="18" customHeight="1" x14ac:dyDescent="0.2">
      <c r="B11" s="2" t="s">
        <v>118</v>
      </c>
      <c r="C11" s="18">
        <v>0</v>
      </c>
      <c r="D11" s="18">
        <f>MAX(0,D10*Assumptions!$C$21)</f>
        <v>106.52451188399999</v>
      </c>
      <c r="E11" s="18">
        <f>MAX(0,E10*Assumptions!$C$21)</f>
        <v>419.55416210399994</v>
      </c>
      <c r="F11" s="18">
        <f>MAX(0,F10*Assumptions!$C$21)</f>
        <v>1089.4483931331001</v>
      </c>
      <c r="G11" s="18">
        <f>MAX(0,G10*Assumptions!$C$21)</f>
        <v>2079.4975834374</v>
      </c>
      <c r="H11" s="18">
        <f>MAX(0,H10*Assumptions!$C$21)</f>
        <v>3693.9250230959997</v>
      </c>
      <c r="I11" s="18">
        <f>MAX(0,I10*Assumptions!$C$21)</f>
        <v>5174.5774656586191</v>
      </c>
      <c r="J11" s="18">
        <f>MAX(0,J10*Assumptions!$C$21)</f>
        <v>6802.5358492317027</v>
      </c>
      <c r="K11" s="18">
        <f>MAX(0,K10*Assumptions!$C$21)</f>
        <v>8356.8506562461916</v>
      </c>
      <c r="L11" s="18">
        <f>MAX(0,L10*Assumptions!$C$21)</f>
        <v>9547.5165422283717</v>
      </c>
      <c r="M11" s="18">
        <f>MAX(0,M10*Assumptions!$C$21)</f>
        <v>9881.6796212063637</v>
      </c>
    </row>
    <row r="12" spans="2:27" ht="18" customHeight="1" x14ac:dyDescent="0.2">
      <c r="B12" s="2" t="s">
        <v>119</v>
      </c>
      <c r="C12" s="18">
        <f t="shared" ref="C12:M12" si="2">C10-C11</f>
        <v>14</v>
      </c>
      <c r="D12" s="18">
        <f t="shared" si="2"/>
        <v>400.73506851600001</v>
      </c>
      <c r="E12" s="18">
        <f t="shared" si="2"/>
        <v>1578.322800296</v>
      </c>
      <c r="F12" s="18">
        <f t="shared" si="2"/>
        <v>4098.4010979769009</v>
      </c>
      <c r="G12" s="18">
        <f t="shared" si="2"/>
        <v>7822.8718615025991</v>
      </c>
      <c r="H12" s="18">
        <f t="shared" si="2"/>
        <v>13896.194134504</v>
      </c>
      <c r="I12" s="18">
        <f t="shared" si="2"/>
        <v>19466.267608906233</v>
      </c>
      <c r="J12" s="18">
        <f t="shared" si="2"/>
        <v>25590.492004252596</v>
      </c>
      <c r="K12" s="18">
        <f t="shared" si="2"/>
        <v>31437.676278259481</v>
      </c>
      <c r="L12" s="18">
        <f t="shared" si="2"/>
        <v>35916.847944573397</v>
      </c>
      <c r="M12" s="18">
        <f t="shared" si="2"/>
        <v>37173.937622633464</v>
      </c>
    </row>
    <row r="13" spans="2:27" ht="18" customHeight="1" x14ac:dyDescent="0.2">
      <c r="B13" s="2" t="s">
        <v>120</v>
      </c>
      <c r="C13" s="18">
        <f>Historicals!F8-Historicals!F9</f>
        <v>2454</v>
      </c>
      <c r="D13" s="18">
        <f>D7*Assumptions!C35</f>
        <v>5706.6702795000001</v>
      </c>
      <c r="E13" s="18">
        <f>E7*Assumptions!D35</f>
        <v>10488.8540526</v>
      </c>
      <c r="F13" s="18">
        <f>F7*Assumptions!E35</f>
        <v>15164.483127860001</v>
      </c>
      <c r="G13" s="18">
        <f>G7*Assumptions!F35</f>
        <v>18704.475618220004</v>
      </c>
      <c r="H13" s="18">
        <f>H7*Assumptions!G35</f>
        <v>23986.526124</v>
      </c>
      <c r="I13" s="18">
        <f>I7*Assumptions!H35</f>
        <v>32854.460099419797</v>
      </c>
      <c r="J13" s="18">
        <f>J7*Assumptions!I35</f>
        <v>42251.775461066471</v>
      </c>
      <c r="K13" s="18">
        <f>K7*Assumptions!J35</f>
        <v>50801.52374617746</v>
      </c>
      <c r="L13" s="18">
        <f>L7*Assumptions!K35</f>
        <v>56830.455608502212</v>
      </c>
      <c r="M13" s="18">
        <f>M7*Assumptions!L35</f>
        <v>58819.521554799787</v>
      </c>
    </row>
    <row r="14" spans="2:27" ht="18" customHeight="1" x14ac:dyDescent="0.2">
      <c r="B14" s="2" t="s">
        <v>111</v>
      </c>
      <c r="C14" s="18">
        <f>Historicals!F13</f>
        <v>-10309</v>
      </c>
      <c r="D14" s="18">
        <f>-D7*Assumptions!C36</f>
        <v>-19022.234264999999</v>
      </c>
      <c r="E14" s="18">
        <f>-E7*Assumptions!D36</f>
        <v>-26222.135131499999</v>
      </c>
      <c r="F14" s="18">
        <f>-F7*Assumptions!E36</f>
        <v>-29929.900910250002</v>
      </c>
      <c r="G14" s="18">
        <f>-G7*Assumptions!F36</f>
        <v>-30257.239970650004</v>
      </c>
      <c r="H14" s="18">
        <f>-H7*Assumptions!G36</f>
        <v>-31982.034832000001</v>
      </c>
      <c r="I14" s="18">
        <f>-I7*Assumptions!H36</f>
        <v>-41615.649459265085</v>
      </c>
      <c r="J14" s="18">
        <f>-J7*Assumptions!I36</f>
        <v>-50702.130553279763</v>
      </c>
      <c r="K14" s="18">
        <f>-K7*Assumptions!J36</f>
        <v>-57575.060245667795</v>
      </c>
      <c r="L14" s="18">
        <f>-L7*Assumptions!K36</f>
        <v>-60619.15264906903</v>
      </c>
      <c r="M14" s="18">
        <f>-M7*Assumptions!L36</f>
        <v>-58819.521554799787</v>
      </c>
    </row>
    <row r="15" spans="2:27" ht="18" customHeight="1" x14ac:dyDescent="0.2">
      <c r="B15" s="2" t="s">
        <v>121</v>
      </c>
      <c r="C15" s="20"/>
      <c r="D15" s="18">
        <f>-(D7-C7)*Assumptions!$C$28</f>
        <v>-377.52447549999999</v>
      </c>
      <c r="E15" s="18">
        <f>-(E7-D7)*Assumptions!$C$28</f>
        <v>-614.59862599999997</v>
      </c>
      <c r="F15" s="18">
        <f>-(F7-E7)*Assumptions!$C$28</f>
        <v>-746.65362585000025</v>
      </c>
      <c r="G15" s="18">
        <f>-(G7-F7)*Assumptions!$C$28</f>
        <v>-755.33145179999997</v>
      </c>
      <c r="H15" s="18">
        <f>-(H7-G7)*Assumptions!$C$28</f>
        <v>-1247.0961748499999</v>
      </c>
      <c r="I15" s="18">
        <f>-(I7-H7)*Assumptions!$C$28</f>
        <v>-1477.9889959033005</v>
      </c>
      <c r="J15" s="18">
        <f>-(J7-I7)*Assumptions!$C$28</f>
        <v>-1566.2192269411121</v>
      </c>
      <c r="K15" s="18">
        <f>-(K7-J7)*Assumptions!$C$28</f>
        <v>-1424.958047518498</v>
      </c>
      <c r="L15" s="18">
        <f>-(L7-K7)*Assumptions!$C$28</f>
        <v>-1004.8219770541255</v>
      </c>
      <c r="M15" s="18">
        <f>-(M7-L7)*Assumptions!$C$28</f>
        <v>-331.51099104959576</v>
      </c>
    </row>
    <row r="16" spans="2:27" ht="18" customHeight="1" x14ac:dyDescent="0.2">
      <c r="B16" s="2" t="s">
        <v>122</v>
      </c>
      <c r="C16" s="18">
        <f>Historicals!F14</f>
        <v>-7251</v>
      </c>
      <c r="D16" s="18">
        <f t="shared" ref="D16:M16" si="3">D12+D13+D14+D15</f>
        <v>-13292.353392483999</v>
      </c>
      <c r="E16" s="18">
        <f t="shared" si="3"/>
        <v>-14769.556904604</v>
      </c>
      <c r="F16" s="18">
        <f t="shared" si="3"/>
        <v>-11413.670310263098</v>
      </c>
      <c r="G16" s="18">
        <f t="shared" si="3"/>
        <v>-4485.2239427274026</v>
      </c>
      <c r="H16" s="18">
        <f t="shared" si="3"/>
        <v>4653.5892516539989</v>
      </c>
      <c r="I16" s="18">
        <f t="shared" si="3"/>
        <v>9227.089253157641</v>
      </c>
      <c r="J16" s="18">
        <f t="shared" si="3"/>
        <v>15573.917685098188</v>
      </c>
      <c r="K16" s="18">
        <f t="shared" si="3"/>
        <v>23239.181731250646</v>
      </c>
      <c r="L16" s="18">
        <f t="shared" si="3"/>
        <v>31123.328926952461</v>
      </c>
      <c r="M16" s="18">
        <f t="shared" si="3"/>
        <v>36842.426631583869</v>
      </c>
    </row>
    <row r="17" spans="2:13" ht="18" customHeight="1" x14ac:dyDescent="0.2">
      <c r="B17" s="2" t="s">
        <v>123</v>
      </c>
      <c r="C17" s="19">
        <f t="shared" ref="C17:M17" si="4">C16/C7</f>
        <v>-1.4131748197232508</v>
      </c>
      <c r="D17" s="19">
        <f t="shared" si="4"/>
        <v>-1.0481697265926295</v>
      </c>
      <c r="E17" s="19">
        <f t="shared" si="4"/>
        <v>-0.59141006909100946</v>
      </c>
      <c r="F17" s="19">
        <f t="shared" si="4"/>
        <v>-0.28601005925033718</v>
      </c>
      <c r="G17" s="19">
        <f t="shared" si="4"/>
        <v>-8.1530013011529706E-2</v>
      </c>
      <c r="H17" s="19">
        <f t="shared" si="4"/>
        <v>5.8202541221646045E-2</v>
      </c>
      <c r="I17" s="19">
        <f t="shared" si="4"/>
        <v>8.4254215944220501E-2</v>
      </c>
      <c r="J17" s="19">
        <f t="shared" si="4"/>
        <v>0.11057938405061112</v>
      </c>
      <c r="K17" s="19">
        <f t="shared" si="4"/>
        <v>0.13723514582374668</v>
      </c>
      <c r="L17" s="19">
        <f t="shared" si="4"/>
        <v>0.16429568579226489</v>
      </c>
      <c r="M17" s="19">
        <f t="shared" si="4"/>
        <v>0.18790917874396135</v>
      </c>
    </row>
    <row r="18" spans="2:13" ht="18" customHeight="1" x14ac:dyDescent="0.2"/>
    <row r="19" spans="2:13" ht="18" customHeight="1" x14ac:dyDescent="0.2">
      <c r="B19" s="2" t="s">
        <v>124</v>
      </c>
      <c r="C19" s="21"/>
      <c r="D19" s="22">
        <f>1/(1+Assumptions!$C$24)^(D$6-0.5)</f>
        <v>0.9407359580827237</v>
      </c>
      <c r="E19" s="22">
        <f>1/(1+Assumptions!$C$24)^(E$6-0.5)</f>
        <v>0.83253640549302865</v>
      </c>
      <c r="F19" s="22">
        <f>1/(1+Assumptions!$C$24)^(F$6-0.5)</f>
        <v>0.73678151718986751</v>
      </c>
      <c r="G19" s="22">
        <f>1/(1+Assumptions!$C$24)^(G$6-0.5)</f>
        <v>0.6520399594431292</v>
      </c>
      <c r="H19" s="22">
        <f>1/(1+Assumptions!$C$24)^(H$6-0.5)</f>
        <v>0.57704502459856832</v>
      </c>
      <c r="I19" s="22">
        <f>1/(1+Assumptions!$C$24)^(I$6-0.5)</f>
        <v>0.51067569646857636</v>
      </c>
      <c r="J19" s="22">
        <f>1/(1+Assumptions!$C$24)^(J$6-0.5)</f>
        <v>0.45193989350326436</v>
      </c>
      <c r="K19" s="22">
        <f>1/(1+Assumptions!$C$24)^(K$6-0.5)</f>
        <v>0.3999596392625866</v>
      </c>
      <c r="L19" s="22">
        <f>1/(1+Assumptions!$C$24)^(L$6-0.5)</f>
        <v>0.35395793851932422</v>
      </c>
      <c r="M19" s="22">
        <f>1/(1+Assumptions!$C$24)^(M$6-0.5)</f>
        <v>0.31324716281833426</v>
      </c>
    </row>
    <row r="20" spans="2:13" ht="18" customHeight="1" x14ac:dyDescent="0.2">
      <c r="B20" s="2" t="s">
        <v>125</v>
      </c>
      <c r="C20" s="23"/>
      <c r="D20" s="24">
        <f t="shared" ref="D20:M20" si="5">D16*D19</f>
        <v>-12504.594803852578</v>
      </c>
      <c r="E20" s="24">
        <f t="shared" si="5"/>
        <v>-12296.193816083756</v>
      </c>
      <c r="F20" s="24">
        <f t="shared" si="5"/>
        <v>-8409.3813279005917</v>
      </c>
      <c r="G20" s="24">
        <f t="shared" si="5"/>
        <v>-2924.5452377093275</v>
      </c>
      <c r="H20" s="24">
        <f t="shared" si="5"/>
        <v>2685.3305241923149</v>
      </c>
      <c r="I20" s="24">
        <f t="shared" si="5"/>
        <v>4712.0502307339948</v>
      </c>
      <c r="J20" s="24">
        <f t="shared" si="5"/>
        <v>7038.4747000318803</v>
      </c>
      <c r="K20" s="24">
        <f t="shared" si="5"/>
        <v>9294.734741988701</v>
      </c>
      <c r="L20" s="24">
        <f t="shared" si="5"/>
        <v>11016.349346842944</v>
      </c>
      <c r="M20" s="24">
        <f t="shared" si="5"/>
        <v>11540.785613686287</v>
      </c>
    </row>
    <row r="21" spans="2:13" ht="18" customHeight="1" x14ac:dyDescent="0.2"/>
    <row r="22" spans="2:13" ht="18" customHeight="1" x14ac:dyDescent="0.2">
      <c r="B22" s="2" t="s">
        <v>126</v>
      </c>
      <c r="C22" s="20"/>
      <c r="D22" s="20"/>
      <c r="E22" s="20"/>
      <c r="F22" s="20"/>
      <c r="G22" s="20"/>
      <c r="H22" s="20"/>
      <c r="I22" s="20"/>
      <c r="J22" s="20"/>
      <c r="K22" s="20"/>
      <c r="L22" s="20"/>
      <c r="M22" s="18">
        <f>M16*(1+Assumptions!$C$27)</f>
        <v>38131.911563689304</v>
      </c>
    </row>
    <row r="23" spans="2:13" ht="18" customHeight="1" x14ac:dyDescent="0.2">
      <c r="B23" s="2" t="s">
        <v>127</v>
      </c>
      <c r="C23" s="20"/>
      <c r="D23" s="20"/>
      <c r="E23" s="20"/>
      <c r="F23" s="20"/>
      <c r="G23" s="20"/>
      <c r="H23" s="20"/>
      <c r="I23" s="20"/>
      <c r="J23" s="20"/>
      <c r="K23" s="20"/>
      <c r="L23" s="20"/>
      <c r="M23" s="18">
        <f>M22/(Assumptions!$C$24-Assumptions!$C$27)</f>
        <v>401541.76611092279</v>
      </c>
    </row>
    <row r="24" spans="2:13" ht="18" customHeight="1" x14ac:dyDescent="0.2">
      <c r="B24" s="2" t="s">
        <v>128</v>
      </c>
      <c r="C24" s="23"/>
      <c r="D24" s="23"/>
      <c r="E24" s="23"/>
      <c r="F24" s="23"/>
      <c r="G24" s="23"/>
      <c r="H24" s="23"/>
      <c r="I24" s="23"/>
      <c r="J24" s="23"/>
      <c r="K24" s="23"/>
      <c r="L24" s="23"/>
      <c r="M24" s="24">
        <f>M23/(1+Assumptions!$C$24)^(M$6-0.5)</f>
        <v>125781.81898730973</v>
      </c>
    </row>
    <row r="25" spans="2:13" ht="18" customHeight="1" x14ac:dyDescent="0.2"/>
    <row r="26" spans="2:13" ht="18" customHeight="1" x14ac:dyDescent="0.2">
      <c r="B26" s="2" t="s">
        <v>129</v>
      </c>
      <c r="C26" s="23"/>
      <c r="D26" s="23"/>
      <c r="E26" s="23"/>
      <c r="F26" s="23"/>
      <c r="G26" s="23"/>
      <c r="H26" s="23"/>
      <c r="I26" s="23"/>
      <c r="J26" s="23"/>
      <c r="K26" s="23"/>
      <c r="L26" s="23"/>
      <c r="M26" s="24">
        <f>SUM(D20:M20)+M24</f>
        <v>135934.82895923959</v>
      </c>
    </row>
    <row r="27" spans="2:13" ht="18" customHeight="1" x14ac:dyDescent="0.2">
      <c r="B27" s="2" t="s">
        <v>130</v>
      </c>
      <c r="C27" s="20"/>
      <c r="D27" s="20"/>
      <c r="E27" s="20"/>
      <c r="F27" s="20"/>
      <c r="G27" s="20"/>
      <c r="H27" s="20"/>
      <c r="I27" s="20"/>
      <c r="J27" s="20"/>
      <c r="K27" s="20"/>
      <c r="L27" s="20"/>
      <c r="M27" s="18">
        <f>-Assumptions!$C$12</f>
        <v>-25876</v>
      </c>
    </row>
    <row r="28" spans="2:13" ht="18" customHeight="1" x14ac:dyDescent="0.2">
      <c r="B28" s="2" t="s">
        <v>131</v>
      </c>
      <c r="C28" s="23"/>
      <c r="D28" s="23"/>
      <c r="E28" s="23"/>
      <c r="F28" s="23"/>
      <c r="G28" s="23"/>
      <c r="H28" s="23"/>
      <c r="I28" s="23"/>
      <c r="J28" s="23"/>
      <c r="K28" s="23"/>
      <c r="L28" s="23"/>
      <c r="M28" s="24">
        <f>M26+M27</f>
        <v>110058.82895923959</v>
      </c>
    </row>
    <row r="29" spans="2:13" ht="18" customHeight="1" x14ac:dyDescent="0.2">
      <c r="B29" s="2" t="s">
        <v>30</v>
      </c>
      <c r="C29" s="25"/>
      <c r="D29" s="25"/>
      <c r="E29" s="25"/>
      <c r="F29" s="25"/>
      <c r="G29" s="25"/>
      <c r="H29" s="25"/>
      <c r="I29" s="25"/>
      <c r="J29" s="25"/>
      <c r="K29" s="25"/>
      <c r="L29" s="25"/>
      <c r="M29" s="26">
        <f>Assumptions!$C$9</f>
        <v>545.57037299713602</v>
      </c>
    </row>
    <row r="30" spans="2:13" ht="18" customHeight="1" x14ac:dyDescent="0.2">
      <c r="B30" s="2" t="s">
        <v>132</v>
      </c>
      <c r="C30" s="27"/>
      <c r="D30" s="27"/>
      <c r="E30" s="27"/>
      <c r="F30" s="27"/>
      <c r="G30" s="27"/>
      <c r="H30" s="27"/>
      <c r="I30" s="27"/>
      <c r="J30" s="27"/>
      <c r="K30" s="27"/>
      <c r="L30" s="27"/>
      <c r="M30" s="28">
        <f>M28/M29</f>
        <v>201.73168193614015</v>
      </c>
    </row>
    <row r="31" spans="2:13" ht="18" customHeight="1" x14ac:dyDescent="0.2">
      <c r="B31" s="2" t="s">
        <v>3</v>
      </c>
      <c r="C31" s="29"/>
      <c r="D31" s="29"/>
      <c r="E31" s="29"/>
      <c r="F31" s="29"/>
      <c r="G31" s="29"/>
      <c r="H31" s="29"/>
      <c r="I31" s="29"/>
      <c r="J31" s="29"/>
      <c r="K31" s="29"/>
      <c r="L31" s="29"/>
      <c r="M31" s="30">
        <f>Assumptions!$C$7</f>
        <v>115.21</v>
      </c>
    </row>
    <row r="32" spans="2:13" ht="18" customHeight="1" x14ac:dyDescent="0.2">
      <c r="B32" s="2" t="s">
        <v>133</v>
      </c>
      <c r="C32" s="31"/>
      <c r="D32" s="31"/>
      <c r="E32" s="31"/>
      <c r="F32" s="31"/>
      <c r="G32" s="31"/>
      <c r="H32" s="31"/>
      <c r="I32" s="31"/>
      <c r="J32" s="31"/>
      <c r="K32" s="31"/>
      <c r="L32" s="31"/>
      <c r="M32" s="32">
        <f>M30/M31-1</f>
        <v>0.75099107660914988</v>
      </c>
    </row>
    <row r="34" spans="2:3" x14ac:dyDescent="0.2">
      <c r="B34" s="115" t="s">
        <v>274</v>
      </c>
      <c r="C34" s="116"/>
    </row>
    <row r="35" spans="2:3" x14ac:dyDescent="0.2">
      <c r="B35" s="77" t="s">
        <v>275</v>
      </c>
      <c r="C35" s="57">
        <f>M10+M13</f>
        <v>105875.13879863961</v>
      </c>
    </row>
    <row r="36" spans="2:3" x14ac:dyDescent="0.2">
      <c r="B36" s="77" t="s">
        <v>276</v>
      </c>
      <c r="C36" s="57">
        <f>M23</f>
        <v>401541.76611092279</v>
      </c>
    </row>
    <row r="37" spans="2:3" x14ac:dyDescent="0.2">
      <c r="B37" s="78" t="s">
        <v>277</v>
      </c>
      <c r="C37" s="74">
        <f>C36/C35</f>
        <v>3.7925973053466464</v>
      </c>
    </row>
    <row r="38" spans="2:3" x14ac:dyDescent="0.2">
      <c r="B38" s="77" t="s">
        <v>278</v>
      </c>
      <c r="C38" s="75">
        <v>8</v>
      </c>
    </row>
    <row r="39" spans="2:3" x14ac:dyDescent="0.2">
      <c r="B39" s="77" t="s">
        <v>279</v>
      </c>
      <c r="C39" s="57">
        <f>C38*C35</f>
        <v>847001.11038911692</v>
      </c>
    </row>
    <row r="40" spans="2:3" x14ac:dyDescent="0.2">
      <c r="B40" s="78" t="s">
        <v>280</v>
      </c>
      <c r="C40" s="58">
        <f>(C39*Assumptions!$C$24-M16)/(M16+C39)</f>
        <v>8.286196613951767E-2</v>
      </c>
    </row>
    <row r="41" spans="2:3" x14ac:dyDescent="0.2">
      <c r="B41" s="42"/>
    </row>
    <row r="42" spans="2:3" x14ac:dyDescent="0.2">
      <c r="B42" s="79" t="s">
        <v>281</v>
      </c>
      <c r="C42" s="76">
        <f>SUM(D20:M20)+M24</f>
        <v>135934.82895923959</v>
      </c>
    </row>
    <row r="43" spans="2:3" x14ac:dyDescent="0.2">
      <c r="B43" s="77" t="s">
        <v>282</v>
      </c>
      <c r="C43" s="57">
        <f>SUM(D20:M20)+C39/(1+Assumptions!$C$24)^(M6-0.5)</f>
        <v>275473.70470529952</v>
      </c>
    </row>
    <row r="44" spans="2:3" x14ac:dyDescent="0.2">
      <c r="B44" s="80" t="s">
        <v>283</v>
      </c>
      <c r="C44" s="50">
        <f>M30</f>
        <v>201.73168193614015</v>
      </c>
    </row>
    <row r="45" spans="2:3" x14ac:dyDescent="0.2">
      <c r="B45" s="80" t="s">
        <v>284</v>
      </c>
      <c r="C45" s="50">
        <f>(C43-Assumptions!$C$12)/Assumptions!$C$9</f>
        <v>457.49864189676185</v>
      </c>
    </row>
    <row r="46" spans="2:3" x14ac:dyDescent="0.2">
      <c r="B46" s="77" t="s">
        <v>285</v>
      </c>
      <c r="C46" s="51">
        <f>C45/C44-1</f>
        <v>1.2678571729828083</v>
      </c>
    </row>
  </sheetData>
  <mergeCells count="1">
    <mergeCell ref="B34:C34"/>
  </mergeCells>
  <pageMargins left="0.75" right="0.75" top="1" bottom="1" header="0.511811023622047" footer="0.511811023622047"/>
  <pageSetup orientation="portrait" horizontalDpi="300" verticalDpi="300"/>
  <drawing r:id="rId1"/>
  <legacyDrawing r:id="rId2"/>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A872D66-771B-884D-9A9A-2CC6B25DFEAF}">
  <dimension ref="B1:AA23"/>
  <sheetViews>
    <sheetView showGridLines="0" workbookViewId="0">
      <pane ySplit="4" topLeftCell="A5" activePane="bottomLeft" state="frozen"/>
      <selection pane="bottomLeft"/>
    </sheetView>
  </sheetViews>
  <sheetFormatPr baseColWidth="10" defaultRowHeight="15" x14ac:dyDescent="0.2"/>
  <cols>
    <col min="1" max="1" width="3.33203125" customWidth="1"/>
    <col min="2" max="2" width="35.83203125" customWidth="1"/>
    <col min="3" max="5" width="15.33203125" customWidth="1"/>
  </cols>
  <sheetData>
    <row r="1" spans="2:27" ht="10" customHeight="1" x14ac:dyDescent="0.2"/>
    <row r="2" spans="2:27" ht="23" x14ac:dyDescent="0.25">
      <c r="B2" s="104" t="s">
        <v>223</v>
      </c>
      <c r="C2" s="103"/>
      <c r="D2" s="103"/>
      <c r="E2" s="103"/>
      <c r="F2" s="103"/>
      <c r="G2" s="103"/>
      <c r="H2" s="103"/>
      <c r="I2" s="103"/>
      <c r="J2" s="102"/>
      <c r="K2" s="102"/>
      <c r="L2" s="102"/>
      <c r="M2" s="102"/>
      <c r="N2" s="102"/>
      <c r="O2" s="102"/>
      <c r="P2" s="102"/>
      <c r="Q2" s="102"/>
      <c r="R2" s="102"/>
      <c r="S2" s="102"/>
      <c r="T2" s="102"/>
      <c r="U2" s="102"/>
      <c r="V2" s="102"/>
      <c r="W2" s="102"/>
      <c r="X2" s="102"/>
      <c r="Y2" s="102"/>
      <c r="Z2" s="102"/>
      <c r="AA2" s="102"/>
    </row>
    <row r="3" spans="2:27" ht="17.5" customHeight="1" x14ac:dyDescent="0.2">
      <c r="B3" s="117" t="s">
        <v>224</v>
      </c>
      <c r="C3" s="117"/>
      <c r="D3" s="117"/>
      <c r="E3" s="117"/>
      <c r="F3" s="97"/>
      <c r="G3" s="97"/>
      <c r="H3" s="97"/>
      <c r="I3" s="97"/>
    </row>
    <row r="6" spans="2:27" x14ac:dyDescent="0.2">
      <c r="B6" s="46" t="s">
        <v>225</v>
      </c>
      <c r="C6" s="47">
        <v>2</v>
      </c>
      <c r="D6" s="48" t="str">
        <f>CHOOSE(C6,"Bear","Base","Bull")</f>
        <v>Base</v>
      </c>
    </row>
    <row r="7" spans="2:27" x14ac:dyDescent="0.2">
      <c r="B7" s="46" t="s">
        <v>226</v>
      </c>
      <c r="C7" s="50">
        <f>CHOOSE($C$6,C21,D21,E21)</f>
        <v>201.73168193614015</v>
      </c>
    </row>
    <row r="8" spans="2:27" x14ac:dyDescent="0.2">
      <c r="B8" s="46" t="s">
        <v>227</v>
      </c>
      <c r="C8" s="52">
        <f>CHOOSE($C$6,C22,D22,E22)</f>
        <v>0.75099107660914988</v>
      </c>
    </row>
    <row r="9" spans="2:27" x14ac:dyDescent="0.2">
      <c r="B9" s="54" t="s">
        <v>228</v>
      </c>
      <c r="C9" s="53" t="s">
        <v>229</v>
      </c>
      <c r="D9" s="60" t="s">
        <v>230</v>
      </c>
      <c r="E9" s="53" t="s">
        <v>231</v>
      </c>
    </row>
    <row r="10" spans="2:27" x14ac:dyDescent="0.2">
      <c r="B10" s="42" t="s">
        <v>8</v>
      </c>
      <c r="C10" s="55">
        <v>0.14000000000000001</v>
      </c>
      <c r="D10" s="56">
        <f>Assumptions!C24</f>
        <v>0.12996374918357972</v>
      </c>
      <c r="E10" s="55">
        <v>0.123</v>
      </c>
    </row>
    <row r="11" spans="2:27" x14ac:dyDescent="0.2">
      <c r="B11" s="42" t="s">
        <v>232</v>
      </c>
      <c r="C11" s="55">
        <v>2.5000000000000001E-2</v>
      </c>
      <c r="D11" s="56">
        <f>Assumptions!C27</f>
        <v>3.5000000000000003E-2</v>
      </c>
      <c r="E11" s="55">
        <v>0.04</v>
      </c>
    </row>
    <row r="12" spans="2:27" x14ac:dyDescent="0.2">
      <c r="B12" s="42" t="s">
        <v>233</v>
      </c>
      <c r="C12" s="55">
        <v>0.2</v>
      </c>
      <c r="D12" s="56">
        <f>Assumptions!L34</f>
        <v>0.24</v>
      </c>
      <c r="E12" s="55">
        <v>0.28000000000000003</v>
      </c>
    </row>
    <row r="13" spans="2:27" x14ac:dyDescent="0.2">
      <c r="B13" s="61"/>
      <c r="C13" s="59"/>
      <c r="D13" s="59"/>
      <c r="E13" s="59"/>
    </row>
    <row r="14" spans="2:27" x14ac:dyDescent="0.2">
      <c r="B14" s="42" t="s">
        <v>234</v>
      </c>
      <c r="C14" s="63" cm="1">
        <f t="array" ref="C14">SUMPRODUCT('Forecast DCF'!$D$16:$M$16,1/(1+C$10)^('Forecast DCF'!$D$6:$M$6-0.5))</f>
        <v>7597.6053041141804</v>
      </c>
      <c r="D14" s="63" cm="1">
        <f t="array" ref="D14">SUMPRODUCT('Forecast DCF'!$D$16:$M$16,1/(1+D$10)^('Forecast DCF'!$D$6:$M$6-0.5))</f>
        <v>10153.009971929871</v>
      </c>
      <c r="E14" s="63" cm="1">
        <f t="array" ref="E14">SUMPRODUCT('Forecast DCF'!$D$16:$M$16,1/(1+E$10)^('Forecast DCF'!$D$6:$M$6-0.5))</f>
        <v>12065.598398788508</v>
      </c>
    </row>
    <row r="15" spans="2:27" x14ac:dyDescent="0.2">
      <c r="B15" s="42" t="s">
        <v>235</v>
      </c>
      <c r="C15" s="63">
        <f>'Forecast DCF'!$M$7*C$12*(1-Assumptions!$C$21)+'Forecast DCF'!$M$15</f>
        <v>30646.770361144961</v>
      </c>
      <c r="D15" s="63">
        <f>'Forecast DCF'!$M$7*D$12*(1-Assumptions!$C$21)+'Forecast DCF'!$M$15</f>
        <v>36842.426631583869</v>
      </c>
      <c r="E15" s="63">
        <f>'Forecast DCF'!$M$7*E$12*(1-Assumptions!$C$21)+'Forecast DCF'!$M$15</f>
        <v>43038.08290202279</v>
      </c>
    </row>
    <row r="16" spans="2:27" x14ac:dyDescent="0.2">
      <c r="B16" s="42" t="s">
        <v>236</v>
      </c>
      <c r="C16" s="63">
        <f>C15*(1+C$11)/(C$10-C$11)</f>
        <v>273155.99669716158</v>
      </c>
      <c r="D16" s="63">
        <f t="shared" ref="D16:E16" si="0">D15*(1+D$11)/(D$10-D$11)</f>
        <v>401541.76611092279</v>
      </c>
      <c r="E16" s="63">
        <f t="shared" si="0"/>
        <v>539272.36407353869</v>
      </c>
    </row>
    <row r="17" spans="2:5" x14ac:dyDescent="0.2">
      <c r="B17" s="42" t="s">
        <v>237</v>
      </c>
      <c r="C17" s="63">
        <f>C16/(1+C$10)^('Forecast DCF'!$M$6-0.5)</f>
        <v>78670.996539644955</v>
      </c>
      <c r="D17" s="63">
        <f>D16/(1+D$10)^('Forecast DCF'!$M$6-0.5)</f>
        <v>125781.81898730973</v>
      </c>
      <c r="E17" s="63">
        <f>E16/(1+E$10)^('Forecast DCF'!$M$6-0.5)</f>
        <v>179143.26292671848</v>
      </c>
    </row>
    <row r="18" spans="2:5" x14ac:dyDescent="0.2">
      <c r="B18" s="62" t="s">
        <v>238</v>
      </c>
      <c r="C18" s="64">
        <f>C14+C17</f>
        <v>86268.601843759141</v>
      </c>
      <c r="D18" s="64">
        <f t="shared" ref="D18:E18" si="1">D14+D17</f>
        <v>135934.82895923959</v>
      </c>
      <c r="E18" s="64">
        <f t="shared" si="1"/>
        <v>191208.86132550699</v>
      </c>
    </row>
    <row r="19" spans="2:5" x14ac:dyDescent="0.2">
      <c r="B19" s="42" t="s">
        <v>239</v>
      </c>
      <c r="C19" s="63">
        <f>-Assumptions!$C$12</f>
        <v>-25876</v>
      </c>
      <c r="D19" s="63">
        <f>-Assumptions!$C$12</f>
        <v>-25876</v>
      </c>
      <c r="E19" s="63">
        <f>-Assumptions!$C$12</f>
        <v>-25876</v>
      </c>
    </row>
    <row r="20" spans="2:5" x14ac:dyDescent="0.2">
      <c r="B20" s="46" t="s">
        <v>240</v>
      </c>
      <c r="C20" s="65">
        <f>C18+C19</f>
        <v>60392.601843759141</v>
      </c>
      <c r="D20" s="65">
        <f t="shared" ref="D20:E20" si="2">D18+D19</f>
        <v>110058.82895923959</v>
      </c>
      <c r="E20" s="65">
        <f t="shared" si="2"/>
        <v>165332.86132550699</v>
      </c>
    </row>
    <row r="21" spans="2:5" x14ac:dyDescent="0.2">
      <c r="B21" s="46" t="s">
        <v>241</v>
      </c>
      <c r="C21" s="66">
        <f>C20/Assumptions!$C$9</f>
        <v>110.69626364054078</v>
      </c>
      <c r="D21" s="66">
        <f>D20/Assumptions!$C$9</f>
        <v>201.73168193614015</v>
      </c>
      <c r="E21" s="66">
        <f>E20/Assumptions!$C$9</f>
        <v>303.04589381794551</v>
      </c>
    </row>
    <row r="22" spans="2:5" x14ac:dyDescent="0.2">
      <c r="B22" s="42" t="s">
        <v>242</v>
      </c>
      <c r="C22" s="67">
        <f>C21/Assumptions!$C$7-1</f>
        <v>-3.917833833399198E-2</v>
      </c>
      <c r="D22" s="67">
        <f>D21/Assumptions!$C$7-1</f>
        <v>0.75099107660914988</v>
      </c>
      <c r="E22" s="67">
        <f>E21/Assumptions!$C$7-1</f>
        <v>1.6303783857125729</v>
      </c>
    </row>
    <row r="23" spans="2:5" x14ac:dyDescent="0.2">
      <c r="B23" s="42" t="s">
        <v>243</v>
      </c>
      <c r="C23" s="68">
        <f>C17/C18</f>
        <v>0.9119308167544643</v>
      </c>
      <c r="D23" s="68">
        <f t="shared" ref="D23:E23" si="3">D17/D18</f>
        <v>0.92530972341919626</v>
      </c>
      <c r="E23" s="68">
        <f t="shared" si="3"/>
        <v>0.93689833036425818</v>
      </c>
    </row>
  </sheetData>
  <dataValidations count="1">
    <dataValidation type="list" allowBlank="1" showInputMessage="1" showErrorMessage="1" sqref="C6" xr:uid="{A6905D6E-54CB-5A4A-B505-B49D96C94B87}">
      <formula1>"1,2,3"</formula1>
    </dataValidation>
  </dataValidations>
  <pageMargins left="0.7" right="0.7" top="0.75" bottom="0.75" header="0.3" footer="0.3"/>
  <pageSetup orientation="portrait" horizontalDpi="0" verticalDpi="0"/>
  <legacy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4098652-5B8C-9146-A42E-12DE4B49F5F3}">
  <dimension ref="B1:AA530"/>
  <sheetViews>
    <sheetView showGridLines="0" workbookViewId="0">
      <pane ySplit="4" topLeftCell="A5" activePane="bottomLeft" state="frozen"/>
      <selection pane="bottomLeft"/>
    </sheetView>
  </sheetViews>
  <sheetFormatPr baseColWidth="10" defaultRowHeight="15" outlineLevelRow="1" x14ac:dyDescent="0.2"/>
  <cols>
    <col min="1" max="1" width="3.33203125" customWidth="1"/>
    <col min="2" max="2" width="31.6640625" customWidth="1"/>
    <col min="3" max="11" width="12" customWidth="1"/>
    <col min="13" max="13" width="15.83203125" customWidth="1"/>
    <col min="14" max="14" width="10" customWidth="1"/>
  </cols>
  <sheetData>
    <row r="1" spans="2:27" ht="10" customHeight="1" x14ac:dyDescent="0.2"/>
    <row r="2" spans="2:27" ht="23" x14ac:dyDescent="0.25">
      <c r="B2" s="104" t="s">
        <v>244</v>
      </c>
      <c r="C2" s="103"/>
      <c r="D2" s="103"/>
      <c r="E2" s="103"/>
      <c r="F2" s="103"/>
      <c r="G2" s="103"/>
      <c r="H2" s="103"/>
      <c r="I2" s="103"/>
      <c r="J2" s="102"/>
      <c r="K2" s="102"/>
      <c r="L2" s="102"/>
      <c r="M2" s="102"/>
      <c r="N2" s="102"/>
      <c r="O2" s="102"/>
      <c r="P2" s="102"/>
      <c r="Q2" s="102"/>
      <c r="R2" s="102"/>
      <c r="S2" s="102"/>
      <c r="T2" s="102"/>
      <c r="U2" s="102"/>
      <c r="V2" s="102"/>
      <c r="W2" s="102"/>
      <c r="X2" s="102"/>
      <c r="Y2" s="102"/>
      <c r="Z2" s="102"/>
      <c r="AA2" s="102"/>
    </row>
    <row r="3" spans="2:27" ht="17.5" customHeight="1" x14ac:dyDescent="0.2">
      <c r="B3" s="100" t="s">
        <v>245</v>
      </c>
      <c r="C3" s="97"/>
      <c r="D3" s="97"/>
      <c r="E3" s="97"/>
      <c r="F3" s="97"/>
      <c r="G3" s="97"/>
      <c r="H3" s="97"/>
      <c r="I3" s="97"/>
    </row>
    <row r="6" spans="2:27" x14ac:dyDescent="0.2">
      <c r="B6" s="54" t="s">
        <v>246</v>
      </c>
      <c r="C6" s="53" t="s">
        <v>247</v>
      </c>
      <c r="D6" s="53" t="s">
        <v>248</v>
      </c>
      <c r="E6" s="53" t="s">
        <v>249</v>
      </c>
      <c r="M6" s="40" t="s">
        <v>272</v>
      </c>
      <c r="N6" s="40" t="s">
        <v>273</v>
      </c>
    </row>
    <row r="7" spans="2:27" x14ac:dyDescent="0.2">
      <c r="B7" t="s">
        <v>8</v>
      </c>
      <c r="C7" s="55">
        <v>0.115</v>
      </c>
      <c r="D7" s="56">
        <f>Assumptions!C24</f>
        <v>0.12996374918357972</v>
      </c>
      <c r="E7" s="55">
        <v>0.14499999999999999</v>
      </c>
      <c r="M7" s="57">
        <f ca="1">$C$20+($C$21-$C$20)*(ROW()-5)/12</f>
        <v>149.75558168511841</v>
      </c>
      <c r="N7" s="69" cm="1">
        <f t="array" aca="1" ref="N7:N19" ca="1">FREQUENCY($K$31:$K$530,$M$7:$M$18)</f>
        <v>50</v>
      </c>
    </row>
    <row r="8" spans="2:27" x14ac:dyDescent="0.2">
      <c r="B8" t="s">
        <v>232</v>
      </c>
      <c r="C8" s="55">
        <v>2.5000000000000001E-2</v>
      </c>
      <c r="D8" s="56">
        <f>Assumptions!C27</f>
        <v>3.5000000000000003E-2</v>
      </c>
      <c r="E8" s="55">
        <v>0.04</v>
      </c>
      <c r="M8" s="57">
        <f t="shared" ref="M8:M18" ca="1" si="0">$C$20+($C$21-$C$20)*(ROW()-5)/12</f>
        <v>166.95864312782712</v>
      </c>
      <c r="N8" s="69">
        <f ca="1"/>
        <v>59</v>
      </c>
    </row>
    <row r="9" spans="2:27" x14ac:dyDescent="0.2">
      <c r="B9" t="s">
        <v>233</v>
      </c>
      <c r="C9" s="55">
        <v>0.18</v>
      </c>
      <c r="D9" s="56">
        <f>Assumptions!L34</f>
        <v>0.24</v>
      </c>
      <c r="E9" s="55">
        <v>0.3</v>
      </c>
      <c r="M9" s="57">
        <f t="shared" ca="1" si="0"/>
        <v>184.16170457053585</v>
      </c>
      <c r="N9" s="69">
        <f ca="1"/>
        <v>84</v>
      </c>
    </row>
    <row r="10" spans="2:27" x14ac:dyDescent="0.2">
      <c r="M10" s="57">
        <f t="shared" ca="1" si="0"/>
        <v>201.36476601324455</v>
      </c>
      <c r="N10" s="69">
        <f ca="1"/>
        <v>88</v>
      </c>
    </row>
    <row r="11" spans="2:27" x14ac:dyDescent="0.2">
      <c r="B11" s="110" t="s">
        <v>258</v>
      </c>
      <c r="C11" s="110"/>
      <c r="M11" s="57">
        <f t="shared" ca="1" si="0"/>
        <v>218.56782745595325</v>
      </c>
      <c r="N11" s="69">
        <f ca="1"/>
        <v>79</v>
      </c>
    </row>
    <row r="12" spans="2:27" x14ac:dyDescent="0.2">
      <c r="B12" s="42" t="s">
        <v>259</v>
      </c>
      <c r="C12" s="69">
        <f ca="1">COUNT(K31:K530)</f>
        <v>500</v>
      </c>
      <c r="M12" s="57">
        <f t="shared" ca="1" si="0"/>
        <v>235.77088889866201</v>
      </c>
      <c r="N12" s="69">
        <f ca="1"/>
        <v>54</v>
      </c>
    </row>
    <row r="13" spans="2:27" x14ac:dyDescent="0.2">
      <c r="B13" s="46" t="s">
        <v>260</v>
      </c>
      <c r="C13" s="50">
        <f ca="1">AVERAGE(K31:K530)</f>
        <v>198.53081517611042</v>
      </c>
      <c r="M13" s="57">
        <f t="shared" ca="1" si="0"/>
        <v>252.97395034137071</v>
      </c>
      <c r="N13" s="69">
        <f ca="1"/>
        <v>38</v>
      </c>
    </row>
    <row r="14" spans="2:27" x14ac:dyDescent="0.2">
      <c r="B14" s="46" t="s">
        <v>261</v>
      </c>
      <c r="C14" s="50">
        <f ca="1">MEDIAN(K31:K530)</f>
        <v>194.95270833116575</v>
      </c>
      <c r="M14" s="57">
        <f t="shared" ca="1" si="0"/>
        <v>270.17701178407947</v>
      </c>
      <c r="N14" s="69">
        <f ca="1"/>
        <v>28</v>
      </c>
    </row>
    <row r="15" spans="2:27" x14ac:dyDescent="0.2">
      <c r="B15" s="42" t="s">
        <v>262</v>
      </c>
      <c r="C15" s="49">
        <f ca="1">_xlfn.STDEV.S(K31:K530)</f>
        <v>38.178770215925717</v>
      </c>
      <c r="M15" s="57">
        <f t="shared" ca="1" si="0"/>
        <v>287.38007322678811</v>
      </c>
      <c r="N15" s="69">
        <f ca="1"/>
        <v>14</v>
      </c>
    </row>
    <row r="16" spans="2:27" x14ac:dyDescent="0.2">
      <c r="B16" s="42" t="s">
        <v>263</v>
      </c>
      <c r="C16" s="49">
        <f ca="1">_xlfn.PERCENTILE.INC(K31:K530,0.1)</f>
        <v>150.14065976766608</v>
      </c>
      <c r="M16" s="57">
        <f t="shared" ca="1" si="0"/>
        <v>304.58313466949687</v>
      </c>
      <c r="N16" s="69">
        <f ca="1"/>
        <v>4</v>
      </c>
    </row>
    <row r="17" spans="2:14" x14ac:dyDescent="0.2">
      <c r="B17" s="42" t="s">
        <v>264</v>
      </c>
      <c r="C17" s="49">
        <f ca="1">_xlfn.PERCENTILE.INC(K31:K530,0.25)</f>
        <v>170.17139636767456</v>
      </c>
      <c r="M17" s="57">
        <f t="shared" ca="1" si="0"/>
        <v>321.78619611220552</v>
      </c>
      <c r="N17" s="69">
        <f ca="1"/>
        <v>1</v>
      </c>
    </row>
    <row r="18" spans="2:14" x14ac:dyDescent="0.2">
      <c r="B18" s="42" t="s">
        <v>265</v>
      </c>
      <c r="C18" s="49">
        <f ca="1">_xlfn.PERCENTILE.INC(K31:K530,0.75)</f>
        <v>223.92857332060896</v>
      </c>
      <c r="M18" s="57">
        <f t="shared" ca="1" si="0"/>
        <v>338.98925755491427</v>
      </c>
      <c r="N18" s="69">
        <f ca="1"/>
        <v>1</v>
      </c>
    </row>
    <row r="19" spans="2:14" x14ac:dyDescent="0.2">
      <c r="B19" s="42" t="s">
        <v>266</v>
      </c>
      <c r="C19" s="49">
        <f ca="1">_xlfn.PERCENTILE.INC(K31:K530,0.9)</f>
        <v>249.58924711865339</v>
      </c>
      <c r="N19">
        <f ca="1"/>
        <v>0</v>
      </c>
    </row>
    <row r="20" spans="2:14" x14ac:dyDescent="0.2">
      <c r="B20" s="42" t="s">
        <v>267</v>
      </c>
      <c r="C20" s="49">
        <f ca="1">MIN(K31:K530)</f>
        <v>115.34945879970098</v>
      </c>
    </row>
    <row r="21" spans="2:14" x14ac:dyDescent="0.2">
      <c r="B21" s="42" t="s">
        <v>268</v>
      </c>
      <c r="C21" s="49">
        <f ca="1">MAX(K31:K530)</f>
        <v>321.78619611220557</v>
      </c>
    </row>
    <row r="22" spans="2:14" x14ac:dyDescent="0.2">
      <c r="B22" s="42" t="s">
        <v>269</v>
      </c>
      <c r="C22" s="70">
        <f>'Forecast DCF'!M30</f>
        <v>201.73168193614015</v>
      </c>
    </row>
    <row r="23" spans="2:14" x14ac:dyDescent="0.2">
      <c r="B23" s="42" t="s">
        <v>270</v>
      </c>
      <c r="C23" s="70">
        <f>Assumptions!C7</f>
        <v>115.21</v>
      </c>
    </row>
    <row r="24" spans="2:14" x14ac:dyDescent="0.2">
      <c r="B24" s="42" t="s">
        <v>271</v>
      </c>
      <c r="C24" s="58">
        <f ca="1">COUNTIF(K31:K530,"&gt;"&amp;Assumptions!C7)/COUNT(K31:K530)</f>
        <v>1</v>
      </c>
    </row>
    <row r="30" spans="2:14" x14ac:dyDescent="0.2">
      <c r="B30" s="71" t="s">
        <v>250</v>
      </c>
      <c r="C30" s="71" t="s">
        <v>251</v>
      </c>
      <c r="D30" s="71" t="s">
        <v>252</v>
      </c>
      <c r="E30" s="71" t="s">
        <v>253</v>
      </c>
      <c r="F30" s="71" t="s">
        <v>8</v>
      </c>
      <c r="G30" s="71" t="s">
        <v>254</v>
      </c>
      <c r="H30" s="71" t="s">
        <v>255</v>
      </c>
      <c r="I30" s="71" t="s">
        <v>256</v>
      </c>
      <c r="J30" s="71"/>
      <c r="K30" s="71" t="s">
        <v>257</v>
      </c>
    </row>
    <row r="31" spans="2:14" outlineLevel="1" x14ac:dyDescent="0.2">
      <c r="B31" s="69">
        <f>ROW()-29</f>
        <v>2</v>
      </c>
      <c r="C31" s="72">
        <f ca="1">RAND()</f>
        <v>0.75494707098303682</v>
      </c>
      <c r="D31" s="72">
        <f ca="1">RAND()</f>
        <v>0.74519112902332707</v>
      </c>
      <c r="E31" s="72">
        <f ca="1">RAND()</f>
        <v>0.35668930964587531</v>
      </c>
      <c r="F31" s="73">
        <f ca="1">IF(C31&lt;($D$7-$C$7)/($E$7-$C$7),$C$7+SQRT(C31*($E$7-$C$7)*($D$7-$C$7)),$E$7-SQRT((1-C31)*($E$7-$C$7)*($E$7-$D$7)))</f>
        <v>0.13448618436913007</v>
      </c>
      <c r="G31" s="73">
        <f ca="1">IF(D31&lt;($D$8-$C$8)/($E$8-$C$8),$C$8+SQRT(D31*($E$8-$C$8)*($D$8-$C$8)),$E$8-SQRT((1-D31)*($E$8-$C$8)*($E$8-$D$8)))</f>
        <v>3.5628425303937901E-2</v>
      </c>
      <c r="H31" s="73">
        <f ca="1">IF(E31&lt;($D$9-$C$9)/($E$9-$C$9),$C$9+SQRT(E31*($E$9-$C$9)*($D$9-$C$9)),$E$9-SQRT((1-E31)*($E$9-$C$9)*($E$9-$D$9)))</f>
        <v>0.23067704637654313</v>
      </c>
      <c r="I31" s="57" cm="1">
        <f t="array" aca="1" ref="I31" ca="1">SUMPRODUCT('Forecast DCF'!$D$16:$M$16,1/(1+F31)^('Forecast DCF'!$D$6:$M$6-0.5))+(('Forecast DCF'!$M$7*H31*(1-Assumptions!$C$21)+'Forecast DCF'!$M$15)*(1+G31)/(F31-G31))/(1+F31)^('Forecast DCF'!$M$6-0.5)</f>
        <v>120809.81233691909</v>
      </c>
      <c r="K31" s="49">
        <f ca="1">(I31-Assumptions!$C$12)/Assumptions!$C$9</f>
        <v>174.00837185383131</v>
      </c>
    </row>
    <row r="32" spans="2:14" outlineLevel="1" x14ac:dyDescent="0.2">
      <c r="B32" s="69">
        <f t="shared" ref="B32:B95" si="1">ROW()-29</f>
        <v>3</v>
      </c>
      <c r="C32" s="72">
        <f t="shared" ref="C32:E95" ca="1" si="2">RAND()</f>
        <v>2.170081810019775E-2</v>
      </c>
      <c r="D32" s="72">
        <f t="shared" ca="1" si="2"/>
        <v>0.36785287223041341</v>
      </c>
      <c r="E32" s="72">
        <f t="shared" ca="1" si="2"/>
        <v>0.80065715854882535</v>
      </c>
      <c r="F32" s="73">
        <f t="shared" ref="F32:F95" ca="1" si="3">IF(C32&lt;($D$7-$C$7)/($E$7-$C$7),$C$7+SQRT(C32*($E$7-$C$7)*($D$7-$C$7)),$E$7-SQRT((1-C32)*($E$7-$C$7)*($E$7-$D$7)))</f>
        <v>0.1181211805417014</v>
      </c>
      <c r="G32" s="73">
        <f t="shared" ref="G32:G95" ca="1" si="4">IF(D32&lt;($D$8-$C$8)/($E$8-$C$8),$C$8+SQRT(D32*($E$8-$C$8)*($D$8-$C$8)),$E$8-SQRT((1-D32)*($E$8-$C$8)*($E$8-$D$8)))</f>
        <v>3.2428184895017226E-2</v>
      </c>
      <c r="H32" s="73">
        <f t="shared" ref="H32:H95" ca="1" si="5">IF(E32&lt;($D$9-$C$9)/($E$9-$C$9),$C$9+SQRT(E32*($E$9-$C$9)*($D$9-$C$9)),$E$9-SQRT((1-E32)*($E$9-$C$9)*($E$9-$D$9)))</f>
        <v>0.26211506290821562</v>
      </c>
      <c r="I32" s="57" cm="1">
        <f t="array" aca="1" ref="I32" ca="1">SUMPRODUCT('Forecast DCF'!$D$16:$M$16,1/(1+F32)^('Forecast DCF'!$D$6:$M$6-0.5))+(('Forecast DCF'!$M$7*H32*(1-Assumptions!$C$21)+'Forecast DCF'!$M$15)*(1+G32)/(F32-G32))/(1+F32)^('Forecast DCF'!$M$6-0.5)</f>
        <v>181447.29199101668</v>
      </c>
      <c r="K32" s="49">
        <f ca="1">(I32-Assumptions!$C$12)/Assumptions!$C$9</f>
        <v>285.15348283370469</v>
      </c>
    </row>
    <row r="33" spans="2:11" outlineLevel="1" x14ac:dyDescent="0.2">
      <c r="B33" s="69">
        <f t="shared" si="1"/>
        <v>4</v>
      </c>
      <c r="C33" s="72">
        <f t="shared" ca="1" si="2"/>
        <v>0.13540624604244889</v>
      </c>
      <c r="D33" s="72">
        <f t="shared" ca="1" si="2"/>
        <v>0.80394049170520809</v>
      </c>
      <c r="E33" s="72">
        <f t="shared" ca="1" si="2"/>
        <v>0.85510770739796005</v>
      </c>
      <c r="F33" s="73">
        <f t="shared" ca="1" si="3"/>
        <v>0.1227965090335405</v>
      </c>
      <c r="G33" s="73">
        <f t="shared" ca="1" si="4"/>
        <v>3.6165360105288973E-2</v>
      </c>
      <c r="H33" s="73">
        <f t="shared" ca="1" si="5"/>
        <v>0.26770101384354783</v>
      </c>
      <c r="I33" s="57" cm="1">
        <f t="array" aca="1" ref="I33" ca="1">SUMPRODUCT('Forecast DCF'!$D$16:$M$16,1/(1+F33)^('Forecast DCF'!$D$6:$M$6-0.5))+(('Forecast DCF'!$M$7*H33*(1-Assumptions!$C$21)+'Forecast DCF'!$M$15)*(1+G33)/(F33-G33))/(1+F33)^('Forecast DCF'!$M$6-0.5)</f>
        <v>175837.43138816618</v>
      </c>
      <c r="K33" s="49">
        <f ca="1">(I33-Assumptions!$C$12)/Assumptions!$C$9</f>
        <v>274.87092190204658</v>
      </c>
    </row>
    <row r="34" spans="2:11" outlineLevel="1" x14ac:dyDescent="0.2">
      <c r="B34" s="69">
        <f t="shared" si="1"/>
        <v>5</v>
      </c>
      <c r="C34" s="72">
        <f t="shared" ca="1" si="2"/>
        <v>0.60090726914965087</v>
      </c>
      <c r="D34" s="72">
        <f t="shared" ca="1" si="2"/>
        <v>0.42146514335917251</v>
      </c>
      <c r="E34" s="72">
        <f t="shared" ca="1" si="2"/>
        <v>9.5483046555760231E-2</v>
      </c>
      <c r="F34" s="73">
        <f t="shared" ca="1" si="3"/>
        <v>0.13158263244886395</v>
      </c>
      <c r="G34" s="73">
        <f t="shared" ca="1" si="4"/>
        <v>3.2951086183904431E-2</v>
      </c>
      <c r="H34" s="73">
        <f t="shared" ca="1" si="5"/>
        <v>0.20621980044167906</v>
      </c>
      <c r="I34" s="57" cm="1">
        <f t="array" aca="1" ref="I34" ca="1">SUMPRODUCT('Forecast DCF'!$D$16:$M$16,1/(1+F34)^('Forecast DCF'!$D$6:$M$6-0.5))+(('Forecast DCF'!$M$7*H34*(1-Assumptions!$C$21)+'Forecast DCF'!$M$15)*(1+G34)/(F34-G34))/(1+F34)^('Forecast DCF'!$M$6-0.5)</f>
        <v>112024.10966374767</v>
      </c>
      <c r="K34" s="49">
        <f ca="1">(I34-Assumptions!$C$12)/Assumptions!$C$9</f>
        <v>157.90466991542428</v>
      </c>
    </row>
    <row r="35" spans="2:11" outlineLevel="1" x14ac:dyDescent="0.2">
      <c r="B35" s="69">
        <f t="shared" si="1"/>
        <v>6</v>
      </c>
      <c r="C35" s="72">
        <f t="shared" ca="1" si="2"/>
        <v>0.80396407558004801</v>
      </c>
      <c r="D35" s="72">
        <f t="shared" ca="1" si="2"/>
        <v>0.84330666474036764</v>
      </c>
      <c r="E35" s="72">
        <f t="shared" ca="1" si="2"/>
        <v>4.9958110769821706E-2</v>
      </c>
      <c r="F35" s="73">
        <f t="shared" ca="1" si="3"/>
        <v>0.13559631136956268</v>
      </c>
      <c r="G35" s="73">
        <f t="shared" ca="1" si="4"/>
        <v>3.6571880961157793E-2</v>
      </c>
      <c r="H35" s="73">
        <f t="shared" ca="1" si="5"/>
        <v>0.19896571637304311</v>
      </c>
      <c r="I35" s="57" cm="1">
        <f t="array" aca="1" ref="I35" ca="1">SUMPRODUCT('Forecast DCF'!$D$16:$M$16,1/(1+F35)^('Forecast DCF'!$D$6:$M$6-0.5))+(('Forecast DCF'!$M$7*H35*(1-Assumptions!$C$21)+'Forecast DCF'!$M$15)*(1+G35)/(F35-G35))/(1+F35)^('Forecast DCF'!$M$6-0.5)</f>
        <v>104044.53650681395</v>
      </c>
      <c r="K35" s="49">
        <f ca="1">(I35-Assumptions!$C$12)/Assumptions!$C$9</f>
        <v>143.2785583230787</v>
      </c>
    </row>
    <row r="36" spans="2:11" outlineLevel="1" x14ac:dyDescent="0.2">
      <c r="B36" s="69">
        <f t="shared" si="1"/>
        <v>7</v>
      </c>
      <c r="C36" s="72">
        <f t="shared" ca="1" si="2"/>
        <v>0.40108796814791803</v>
      </c>
      <c r="D36" s="72">
        <f t="shared" ca="1" si="2"/>
        <v>0.69162603741209649</v>
      </c>
      <c r="E36" s="72">
        <f t="shared" ca="1" si="2"/>
        <v>0.3565802652592196</v>
      </c>
      <c r="F36" s="73">
        <f t="shared" ca="1" si="3"/>
        <v>0.12841839754506892</v>
      </c>
      <c r="G36" s="73">
        <f t="shared" ca="1" si="4"/>
        <v>3.5190837162863711E-2</v>
      </c>
      <c r="H36" s="73">
        <f t="shared" ca="1" si="5"/>
        <v>0.23066929948071496</v>
      </c>
      <c r="I36" s="57" cm="1">
        <f t="array" aca="1" ref="I36" ca="1">SUMPRODUCT('Forecast DCF'!$D$16:$M$16,1/(1+F36)^('Forecast DCF'!$D$6:$M$6-0.5))+(('Forecast DCF'!$M$7*H36*(1-Assumptions!$C$21)+'Forecast DCF'!$M$15)*(1+G36)/(F36-G36))/(1+F36)^('Forecast DCF'!$M$6-0.5)</f>
        <v>135299.32746870824</v>
      </c>
      <c r="K36" s="49">
        <f ca="1">(I36-Assumptions!$C$12)/Assumptions!$C$9</f>
        <v>200.5668432242428</v>
      </c>
    </row>
    <row r="37" spans="2:11" outlineLevel="1" x14ac:dyDescent="0.2">
      <c r="B37" s="69">
        <f t="shared" si="1"/>
        <v>8</v>
      </c>
      <c r="C37" s="72">
        <f t="shared" ca="1" si="2"/>
        <v>5.5781134580957681E-2</v>
      </c>
      <c r="D37" s="72">
        <f t="shared" ca="1" si="2"/>
        <v>0.64073284238019113</v>
      </c>
      <c r="E37" s="72">
        <f t="shared" ca="1" si="2"/>
        <v>0.11095070920276773</v>
      </c>
      <c r="F37" s="73">
        <f t="shared" ca="1" si="3"/>
        <v>0.12000408305400187</v>
      </c>
      <c r="G37" s="73">
        <f t="shared" ca="1" si="4"/>
        <v>3.4803567022111327E-2</v>
      </c>
      <c r="H37" s="73">
        <f t="shared" ca="1" si="5"/>
        <v>0.20826384804409914</v>
      </c>
      <c r="I37" s="57" cm="1">
        <f t="array" aca="1" ref="I37" ca="1">SUMPRODUCT('Forecast DCF'!$D$16:$M$16,1/(1+F37)^('Forecast DCF'!$D$6:$M$6-0.5))+(('Forecast DCF'!$M$7*H37*(1-Assumptions!$C$21)+'Forecast DCF'!$M$15)*(1+G37)/(F37-G37))/(1+F37)^('Forecast DCF'!$M$6-0.5)</f>
        <v>145050.65497311394</v>
      </c>
      <c r="K37" s="49">
        <f ca="1">(I37-Assumptions!$C$12)/Assumptions!$C$9</f>
        <v>218.44048150638773</v>
      </c>
    </row>
    <row r="38" spans="2:11" outlineLevel="1" x14ac:dyDescent="0.2">
      <c r="B38" s="69">
        <f t="shared" si="1"/>
        <v>9</v>
      </c>
      <c r="C38" s="72">
        <f t="shared" ca="1" si="2"/>
        <v>0.79664712253627057</v>
      </c>
      <c r="D38" s="72">
        <f t="shared" ca="1" si="2"/>
        <v>0.83649255980268855</v>
      </c>
      <c r="E38" s="72">
        <f t="shared" ca="1" si="2"/>
        <v>0.42349689524480194</v>
      </c>
      <c r="F38" s="73">
        <f t="shared" ca="1" si="3"/>
        <v>0.13542242483226768</v>
      </c>
      <c r="G38" s="73">
        <f t="shared" ca="1" si="4"/>
        <v>3.6498135066168551E-2</v>
      </c>
      <c r="H38" s="73">
        <f t="shared" ca="1" si="5"/>
        <v>0.23521935933857413</v>
      </c>
      <c r="I38" s="57" cm="1">
        <f t="array" aca="1" ref="I38" ca="1">SUMPRODUCT('Forecast DCF'!$D$16:$M$16,1/(1+F38)^('Forecast DCF'!$D$6:$M$6-0.5))+(('Forecast DCF'!$M$7*H38*(1-Assumptions!$C$21)+'Forecast DCF'!$M$15)*(1+G38)/(F38-G38))/(1+F38)^('Forecast DCF'!$M$6-0.5)</f>
        <v>121922.78481056256</v>
      </c>
      <c r="K38" s="49">
        <f ca="1">(I38-Assumptions!$C$12)/Assumptions!$C$9</f>
        <v>176.04838819036598</v>
      </c>
    </row>
    <row r="39" spans="2:11" outlineLevel="1" x14ac:dyDescent="0.2">
      <c r="B39" s="69">
        <f t="shared" si="1"/>
        <v>10</v>
      </c>
      <c r="C39" s="72">
        <f t="shared" ca="1" si="2"/>
        <v>0.78761751671520863</v>
      </c>
      <c r="D39" s="72">
        <f t="shared" ca="1" si="2"/>
        <v>0.67148281116325559</v>
      </c>
      <c r="E39" s="72">
        <f t="shared" ca="1" si="2"/>
        <v>0.5787863554298841</v>
      </c>
      <c r="F39" s="73">
        <f t="shared" ca="1" si="3"/>
        <v>0.13521209477822096</v>
      </c>
      <c r="G39" s="73">
        <f t="shared" ca="1" si="4"/>
        <v>3.5036252508159199E-2</v>
      </c>
      <c r="H39" s="73">
        <f t="shared" ca="1" si="5"/>
        <v>0.24492969728696931</v>
      </c>
      <c r="I39" s="57" cm="1">
        <f t="array" aca="1" ref="I39" ca="1">SUMPRODUCT('Forecast DCF'!$D$16:$M$16,1/(1+F39)^('Forecast DCF'!$D$6:$M$6-0.5))+(('Forecast DCF'!$M$7*H39*(1-Assumptions!$C$21)+'Forecast DCF'!$M$15)*(1+G39)/(F39-G39))/(1+F39)^('Forecast DCF'!$M$6-0.5)</f>
        <v>125259.25696588404</v>
      </c>
      <c r="K39" s="49">
        <f ca="1">(I39-Assumptions!$C$12)/Assumptions!$C$9</f>
        <v>182.16395516478266</v>
      </c>
    </row>
    <row r="40" spans="2:11" outlineLevel="1" x14ac:dyDescent="0.2">
      <c r="B40" s="69">
        <f t="shared" si="1"/>
        <v>11</v>
      </c>
      <c r="C40" s="72">
        <f t="shared" ca="1" si="2"/>
        <v>0.70602162371819355</v>
      </c>
      <c r="D40" s="72">
        <f t="shared" ca="1" si="2"/>
        <v>0.68412959197148238</v>
      </c>
      <c r="E40" s="72">
        <f t="shared" ca="1" si="2"/>
        <v>0.92002832529965528</v>
      </c>
      <c r="F40" s="73">
        <f t="shared" ca="1" si="3"/>
        <v>0.13348435941810805</v>
      </c>
      <c r="G40" s="73">
        <f t="shared" ca="1" si="4"/>
        <v>3.5132733765023863E-2</v>
      </c>
      <c r="H40" s="73">
        <f t="shared" ca="1" si="5"/>
        <v>0.27600424917110361</v>
      </c>
      <c r="I40" s="57" cm="1">
        <f t="array" aca="1" ref="I40" ca="1">SUMPRODUCT('Forecast DCF'!$D$16:$M$16,1/(1+F40)^('Forecast DCF'!$D$6:$M$6-0.5))+(('Forecast DCF'!$M$7*H40*(1-Assumptions!$C$21)+'Forecast DCF'!$M$15)*(1+G40)/(F40-G40))/(1+F40)^('Forecast DCF'!$M$6-0.5)</f>
        <v>145008.37286452699</v>
      </c>
      <c r="K40" s="49">
        <f ca="1">(I40-Assumptions!$C$12)/Assumptions!$C$9</f>
        <v>218.36298076463248</v>
      </c>
    </row>
    <row r="41" spans="2:11" outlineLevel="1" x14ac:dyDescent="0.2">
      <c r="B41" s="69">
        <f t="shared" si="1"/>
        <v>12</v>
      </c>
      <c r="C41" s="72">
        <f t="shared" ca="1" si="2"/>
        <v>0.35080261236407762</v>
      </c>
      <c r="D41" s="72">
        <f t="shared" ca="1" si="2"/>
        <v>0.10632229493457679</v>
      </c>
      <c r="E41" s="72">
        <f t="shared" ca="1" si="2"/>
        <v>0.92295962258874509</v>
      </c>
      <c r="F41" s="73">
        <f t="shared" ca="1" si="3"/>
        <v>0.1275490903706531</v>
      </c>
      <c r="G41" s="73">
        <f t="shared" ca="1" si="4"/>
        <v>2.8993537810035927E-2</v>
      </c>
      <c r="H41" s="73">
        <f t="shared" ca="1" si="5"/>
        <v>0.27644812709441058</v>
      </c>
      <c r="I41" s="57" cm="1">
        <f t="array" aca="1" ref="I41" ca="1">SUMPRODUCT('Forecast DCF'!$D$16:$M$16,1/(1+F41)^('Forecast DCF'!$D$6:$M$6-0.5))+(('Forecast DCF'!$M$7*H41*(1-Assumptions!$C$21)+'Forecast DCF'!$M$15)*(1+G41)/(F41-G41))/(1+F41)^('Forecast DCF'!$M$6-0.5)</f>
        <v>152613.85150071711</v>
      </c>
      <c r="K41" s="49">
        <f ca="1">(I41-Assumptions!$C$12)/Assumptions!$C$9</f>
        <v>232.30339800981537</v>
      </c>
    </row>
    <row r="42" spans="2:11" outlineLevel="1" x14ac:dyDescent="0.2">
      <c r="B42" s="69">
        <f t="shared" si="1"/>
        <v>13</v>
      </c>
      <c r="C42" s="72">
        <f t="shared" ca="1" si="2"/>
        <v>7.3327434945266279E-2</v>
      </c>
      <c r="D42" s="72">
        <f t="shared" ca="1" si="2"/>
        <v>0.10244005350054475</v>
      </c>
      <c r="E42" s="72">
        <f t="shared" ca="1" si="2"/>
        <v>0.63239214077595773</v>
      </c>
      <c r="F42" s="73">
        <f t="shared" ca="1" si="3"/>
        <v>0.120737386194417</v>
      </c>
      <c r="G42" s="73">
        <f t="shared" ca="1" si="4"/>
        <v>2.8919950002880359E-2</v>
      </c>
      <c r="H42" s="73">
        <f t="shared" ca="1" si="5"/>
        <v>0.24855316738211083</v>
      </c>
      <c r="I42" s="57" cm="1">
        <f t="array" aca="1" ref="I42" ca="1">SUMPRODUCT('Forecast DCF'!$D$16:$M$16,1/(1+F42)^('Forecast DCF'!$D$6:$M$6-0.5))+(('Forecast DCF'!$M$7*H42*(1-Assumptions!$C$21)+'Forecast DCF'!$M$15)*(1+G42)/(F42-G42))/(1+F42)^('Forecast DCF'!$M$6-0.5)</f>
        <v>157543.79284087586</v>
      </c>
      <c r="K42" s="49">
        <f ca="1">(I42-Assumptions!$C$12)/Assumptions!$C$9</f>
        <v>241.33970493585994</v>
      </c>
    </row>
    <row r="43" spans="2:11" outlineLevel="1" x14ac:dyDescent="0.2">
      <c r="B43" s="69">
        <f t="shared" si="1"/>
        <v>14</v>
      </c>
      <c r="C43" s="72">
        <f t="shared" ca="1" si="2"/>
        <v>2.2955356493312373E-2</v>
      </c>
      <c r="D43" s="72">
        <f t="shared" ca="1" si="2"/>
        <v>0.44822088968105889</v>
      </c>
      <c r="E43" s="72">
        <f t="shared" ca="1" si="2"/>
        <v>0.81476140002522657</v>
      </c>
      <c r="F43" s="73">
        <f t="shared" ca="1" si="3"/>
        <v>0.11821013175891078</v>
      </c>
      <c r="G43" s="73">
        <f t="shared" ca="1" si="4"/>
        <v>3.3199581297368719E-2</v>
      </c>
      <c r="H43" s="73">
        <f t="shared" ca="1" si="5"/>
        <v>0.26347989704534819</v>
      </c>
      <c r="I43" s="57" cm="1">
        <f t="array" aca="1" ref="I43" ca="1">SUMPRODUCT('Forecast DCF'!$D$16:$M$16,1/(1+F43)^('Forecast DCF'!$D$6:$M$6-0.5))+(('Forecast DCF'!$M$7*H43*(1-Assumptions!$C$21)+'Forecast DCF'!$M$15)*(1+G43)/(F43-G43))/(1+F43)^('Forecast DCF'!$M$6-0.5)</f>
        <v>183656.77915790374</v>
      </c>
      <c r="K43" s="49">
        <f ca="1">(I43-Assumptions!$C$12)/Assumptions!$C$9</f>
        <v>289.20334931517993</v>
      </c>
    </row>
    <row r="44" spans="2:11" outlineLevel="1" x14ac:dyDescent="0.2">
      <c r="B44" s="69">
        <f t="shared" si="1"/>
        <v>15</v>
      </c>
      <c r="C44" s="72">
        <f t="shared" ca="1" si="2"/>
        <v>0.25837093080637163</v>
      </c>
      <c r="D44" s="72">
        <f t="shared" ca="1" si="2"/>
        <v>0.28020114922239348</v>
      </c>
      <c r="E44" s="72">
        <f t="shared" ca="1" si="2"/>
        <v>0.86389607385165068</v>
      </c>
      <c r="F44" s="73">
        <f t="shared" ca="1" si="3"/>
        <v>0.12576967660366073</v>
      </c>
      <c r="G44" s="73">
        <f t="shared" ca="1" si="4"/>
        <v>3.1483068130396211E-2</v>
      </c>
      <c r="H44" s="73">
        <f t="shared" ca="1" si="5"/>
        <v>0.26869587458068639</v>
      </c>
      <c r="I44" s="57" cm="1">
        <f t="array" aca="1" ref="I44" ca="1">SUMPRODUCT('Forecast DCF'!$D$16:$M$16,1/(1+F44)^('Forecast DCF'!$D$6:$M$6-0.5))+(('Forecast DCF'!$M$7*H44*(1-Assumptions!$C$21)+'Forecast DCF'!$M$15)*(1+G44)/(F44-G44))/(1+F44)^('Forecast DCF'!$M$6-0.5)</f>
        <v>157864.46649620475</v>
      </c>
      <c r="K44" s="49">
        <f ca="1">(I44-Assumptions!$C$12)/Assumptions!$C$9</f>
        <v>241.92748182258356</v>
      </c>
    </row>
    <row r="45" spans="2:11" outlineLevel="1" x14ac:dyDescent="0.2">
      <c r="B45" s="69">
        <f t="shared" si="1"/>
        <v>16</v>
      </c>
      <c r="C45" s="72">
        <f t="shared" ca="1" si="2"/>
        <v>0.93265051069369886</v>
      </c>
      <c r="D45" s="72">
        <f t="shared" ca="1" si="2"/>
        <v>0.17832752939256902</v>
      </c>
      <c r="E45" s="72">
        <f t="shared" ca="1" si="2"/>
        <v>0.44908700566205606</v>
      </c>
      <c r="F45" s="73">
        <f t="shared" ca="1" si="3"/>
        <v>0.13948814782427713</v>
      </c>
      <c r="G45" s="73">
        <f t="shared" ca="1" si="4"/>
        <v>3.0171956052489752E-2</v>
      </c>
      <c r="H45" s="73">
        <f t="shared" ca="1" si="5"/>
        <v>0.23686322573304125</v>
      </c>
      <c r="I45" s="57" cm="1">
        <f t="array" aca="1" ref="I45" ca="1">SUMPRODUCT('Forecast DCF'!$D$16:$M$16,1/(1+F45)^('Forecast DCF'!$D$6:$M$6-0.5))+(('Forecast DCF'!$M$7*H45*(1-Assumptions!$C$21)+'Forecast DCF'!$M$15)*(1+G45)/(F45-G45))/(1+F45)^('Forecast DCF'!$M$6-0.5)</f>
        <v>106820.47421357651</v>
      </c>
      <c r="K45" s="49">
        <f ca="1">(I45-Assumptions!$C$12)/Assumptions!$C$9</f>
        <v>148.36669698338153</v>
      </c>
    </row>
    <row r="46" spans="2:11" outlineLevel="1" x14ac:dyDescent="0.2">
      <c r="B46" s="69">
        <f t="shared" si="1"/>
        <v>17</v>
      </c>
      <c r="C46" s="72">
        <f t="shared" ca="1" si="2"/>
        <v>0.84562044333247477</v>
      </c>
      <c r="D46" s="72">
        <f t="shared" ca="1" si="2"/>
        <v>0.56450852329377055</v>
      </c>
      <c r="E46" s="72">
        <f t="shared" ca="1" si="2"/>
        <v>0.31448651683296447</v>
      </c>
      <c r="F46" s="73">
        <f t="shared" ca="1" si="3"/>
        <v>0.13665501994912987</v>
      </c>
      <c r="G46" s="73">
        <f t="shared" ca="1" si="4"/>
        <v>3.4201971446057938E-2</v>
      </c>
      <c r="H46" s="73">
        <f t="shared" ca="1" si="5"/>
        <v>0.22758469208892018</v>
      </c>
      <c r="I46" s="57" cm="1">
        <f t="array" aca="1" ref="I46" ca="1">SUMPRODUCT('Forecast DCF'!$D$16:$M$16,1/(1+F46)^('Forecast DCF'!$D$6:$M$6-0.5))+(('Forecast DCF'!$M$7*H46*(1-Assumptions!$C$21)+'Forecast DCF'!$M$15)*(1+G46)/(F46-G46))/(1+F46)^('Forecast DCF'!$M$6-0.5)</f>
        <v>112817.86528527517</v>
      </c>
      <c r="K46" s="49">
        <f ca="1">(I46-Assumptions!$C$12)/Assumptions!$C$9</f>
        <v>159.35957960409917</v>
      </c>
    </row>
    <row r="47" spans="2:11" outlineLevel="1" x14ac:dyDescent="0.2">
      <c r="B47" s="69">
        <f t="shared" si="1"/>
        <v>18</v>
      </c>
      <c r="C47" s="72">
        <f t="shared" ca="1" si="2"/>
        <v>0.46742814863317594</v>
      </c>
      <c r="D47" s="72">
        <f t="shared" ca="1" si="2"/>
        <v>0.62014971522795392</v>
      </c>
      <c r="E47" s="72">
        <f t="shared" ca="1" si="2"/>
        <v>0.84853056355242018</v>
      </c>
      <c r="F47" s="73">
        <f t="shared" ca="1" si="3"/>
        <v>0.12948565936796652</v>
      </c>
      <c r="G47" s="73">
        <f t="shared" ca="1" si="4"/>
        <v>3.4644815046655543E-2</v>
      </c>
      <c r="H47" s="73">
        <f t="shared" ca="1" si="5"/>
        <v>0.26697607015477148</v>
      </c>
      <c r="I47" s="57" cm="1">
        <f t="array" aca="1" ref="I47" ca="1">SUMPRODUCT('Forecast DCF'!$D$16:$M$16,1/(1+F47)^('Forecast DCF'!$D$6:$M$6-0.5))+(('Forecast DCF'!$M$7*H47*(1-Assumptions!$C$21)+'Forecast DCF'!$M$15)*(1+G47)/(F47-G47))/(1+F47)^('Forecast DCF'!$M$6-0.5)</f>
        <v>151025.55845460622</v>
      </c>
      <c r="K47" s="49">
        <f ca="1">(I47-Assumptions!$C$12)/Assumptions!$C$9</f>
        <v>229.39214563116167</v>
      </c>
    </row>
    <row r="48" spans="2:11" outlineLevel="1" x14ac:dyDescent="0.2">
      <c r="B48" s="69">
        <f t="shared" si="1"/>
        <v>19</v>
      </c>
      <c r="C48" s="72">
        <f t="shared" ca="1" si="2"/>
        <v>0.56960570879382166</v>
      </c>
      <c r="D48" s="72">
        <f t="shared" ca="1" si="2"/>
        <v>0.51447672921395105</v>
      </c>
      <c r="E48" s="72">
        <f t="shared" ca="1" si="2"/>
        <v>0.10692119347698004</v>
      </c>
      <c r="F48" s="73">
        <f t="shared" ca="1" si="3"/>
        <v>0.13106638972211632</v>
      </c>
      <c r="G48" s="73">
        <f t="shared" ca="1" si="4"/>
        <v>3.3784731605580945E-2</v>
      </c>
      <c r="H48" s="73">
        <f t="shared" ca="1" si="5"/>
        <v>0.20774585722291269</v>
      </c>
      <c r="I48" s="57" cm="1">
        <f t="array" aca="1" ref="I48" ca="1">SUMPRODUCT('Forecast DCF'!$D$16:$M$16,1/(1+F48)^('Forecast DCF'!$D$6:$M$6-0.5))+(('Forecast DCF'!$M$7*H48*(1-Assumptions!$C$21)+'Forecast DCF'!$M$15)*(1+G48)/(F48-G48))/(1+F48)^('Forecast DCF'!$M$6-0.5)</f>
        <v>114893.62070187474</v>
      </c>
      <c r="K48" s="49">
        <f ca="1">(I48-Assumptions!$C$12)/Assumptions!$C$9</f>
        <v>163.16432326200021</v>
      </c>
    </row>
    <row r="49" spans="2:11" outlineLevel="1" x14ac:dyDescent="0.2">
      <c r="B49" s="69">
        <f t="shared" si="1"/>
        <v>20</v>
      </c>
      <c r="C49" s="72">
        <f t="shared" ca="1" si="2"/>
        <v>0.4866223136788268</v>
      </c>
      <c r="D49" s="72">
        <f t="shared" ca="1" si="2"/>
        <v>0.65725428621270254</v>
      </c>
      <c r="E49" s="72">
        <f t="shared" ca="1" si="2"/>
        <v>0.34468571903455358</v>
      </c>
      <c r="F49" s="73">
        <f t="shared" ca="1" si="3"/>
        <v>0.12978008211989014</v>
      </c>
      <c r="G49" s="73">
        <f t="shared" ca="1" si="4"/>
        <v>3.4929156204426708E-2</v>
      </c>
      <c r="H49" s="73">
        <f t="shared" ca="1" si="5"/>
        <v>0.22981703701595252</v>
      </c>
      <c r="I49" s="57" cm="1">
        <f t="array" aca="1" ref="I49" ca="1">SUMPRODUCT('Forecast DCF'!$D$16:$M$16,1/(1+F49)^('Forecast DCF'!$D$6:$M$6-0.5))+(('Forecast DCF'!$M$7*H49*(1-Assumptions!$C$21)+'Forecast DCF'!$M$15)*(1+G49)/(F49-G49))/(1+F49)^('Forecast DCF'!$M$6-0.5)</f>
        <v>130920.17732878611</v>
      </c>
      <c r="K49" s="49">
        <f ca="1">(I49-Assumptions!$C$12)/Assumptions!$C$9</f>
        <v>192.54010578271917</v>
      </c>
    </row>
    <row r="50" spans="2:11" outlineLevel="1" x14ac:dyDescent="0.2">
      <c r="B50" s="69">
        <f t="shared" si="1"/>
        <v>21</v>
      </c>
      <c r="C50" s="72">
        <f t="shared" ca="1" si="2"/>
        <v>0.62473677802598881</v>
      </c>
      <c r="D50" s="72">
        <f t="shared" ca="1" si="2"/>
        <v>0.93936195847419324</v>
      </c>
      <c r="E50" s="72">
        <f t="shared" ca="1" si="2"/>
        <v>0.13754937924094712</v>
      </c>
      <c r="F50" s="73">
        <f t="shared" ca="1" si="3"/>
        <v>0.13198936750832702</v>
      </c>
      <c r="G50" s="73">
        <f t="shared" ca="1" si="4"/>
        <v>3.7867430396344472E-2</v>
      </c>
      <c r="H50" s="73">
        <f t="shared" ca="1" si="5"/>
        <v>0.21146991468902987</v>
      </c>
      <c r="I50" s="57" cm="1">
        <f t="array" aca="1" ref="I50" ca="1">SUMPRODUCT('Forecast DCF'!$D$16:$M$16,1/(1+F50)^('Forecast DCF'!$D$6:$M$6-0.5))+(('Forecast DCF'!$M$7*H50*(1-Assumptions!$C$21)+'Forecast DCF'!$M$15)*(1+G50)/(F50-G50))/(1+F50)^('Forecast DCF'!$M$6-0.5)</f>
        <v>119723.59477859527</v>
      </c>
      <c r="K50" s="49">
        <f ca="1">(I50-Assumptions!$C$12)/Assumptions!$C$9</f>
        <v>172.01739578165828</v>
      </c>
    </row>
    <row r="51" spans="2:11" outlineLevel="1" x14ac:dyDescent="0.2">
      <c r="B51" s="69">
        <f t="shared" si="1"/>
        <v>22</v>
      </c>
      <c r="C51" s="72">
        <f t="shared" ca="1" si="2"/>
        <v>0.29500386110787258</v>
      </c>
      <c r="D51" s="72">
        <f t="shared" ca="1" si="2"/>
        <v>0.60125787186027291</v>
      </c>
      <c r="E51" s="72">
        <f t="shared" ca="1" si="2"/>
        <v>0.14920036227867817</v>
      </c>
      <c r="F51" s="73">
        <f t="shared" ca="1" si="3"/>
        <v>0.12650786311937076</v>
      </c>
      <c r="G51" s="73">
        <f t="shared" ca="1" si="4"/>
        <v>3.4496772124203094E-2</v>
      </c>
      <c r="H51" s="73">
        <f t="shared" ca="1" si="5"/>
        <v>0.21277564047286462</v>
      </c>
      <c r="I51" s="57" cm="1">
        <f t="array" aca="1" ref="I51" ca="1">SUMPRODUCT('Forecast DCF'!$D$16:$M$16,1/(1+F51)^('Forecast DCF'!$D$6:$M$6-0.5))+(('Forecast DCF'!$M$7*H51*(1-Assumptions!$C$21)+'Forecast DCF'!$M$15)*(1+G51)/(F51-G51))/(1+F51)^('Forecast DCF'!$M$6-0.5)</f>
        <v>129383.91344250989</v>
      </c>
      <c r="K51" s="49">
        <f ca="1">(I51-Assumptions!$C$12)/Assumptions!$C$9</f>
        <v>189.72421994596334</v>
      </c>
    </row>
    <row r="52" spans="2:11" outlineLevel="1" x14ac:dyDescent="0.2">
      <c r="B52" s="69">
        <f t="shared" si="1"/>
        <v>23</v>
      </c>
      <c r="C52" s="72">
        <f t="shared" ca="1" si="2"/>
        <v>0.50746039008953592</v>
      </c>
      <c r="D52" s="72">
        <f t="shared" ca="1" si="2"/>
        <v>0.82829933935447664</v>
      </c>
      <c r="E52" s="72">
        <f t="shared" ca="1" si="2"/>
        <v>0.74161535664582101</v>
      </c>
      <c r="F52" s="73">
        <f t="shared" ca="1" si="3"/>
        <v>0.13009434760404409</v>
      </c>
      <c r="G52" s="73">
        <f t="shared" ca="1" si="4"/>
        <v>3.6411469723074047E-2</v>
      </c>
      <c r="H52" s="73">
        <f t="shared" ca="1" si="5"/>
        <v>0.25686799990552156</v>
      </c>
      <c r="I52" s="57" cm="1">
        <f t="array" aca="1" ref="I52" ca="1">SUMPRODUCT('Forecast DCF'!$D$16:$M$16,1/(1+F52)^('Forecast DCF'!$D$6:$M$6-0.5))+(('Forecast DCF'!$M$7*H52*(1-Assumptions!$C$21)+'Forecast DCF'!$M$15)*(1+G52)/(F52-G52))/(1+F52)^('Forecast DCF'!$M$6-0.5)</f>
        <v>146697.86888012508</v>
      </c>
      <c r="K52" s="49">
        <f ca="1">(I52-Assumptions!$C$12)/Assumptions!$C$9</f>
        <v>221.45973252979289</v>
      </c>
    </row>
    <row r="53" spans="2:11" outlineLevel="1" x14ac:dyDescent="0.2">
      <c r="B53" s="69">
        <f t="shared" si="1"/>
        <v>24</v>
      </c>
      <c r="C53" s="72">
        <f t="shared" ca="1" si="2"/>
        <v>3.7576557722692083E-2</v>
      </c>
      <c r="D53" s="72">
        <f t="shared" ca="1" si="2"/>
        <v>0.55709849555668634</v>
      </c>
      <c r="E53" s="72">
        <f t="shared" ca="1" si="2"/>
        <v>0.72572831303772123</v>
      </c>
      <c r="F53" s="73">
        <f t="shared" ca="1" si="3"/>
        <v>0.11910713836488863</v>
      </c>
      <c r="G53" s="73">
        <f t="shared" ca="1" si="4"/>
        <v>3.4141377047989155E-2</v>
      </c>
      <c r="H53" s="73">
        <f t="shared" ca="1" si="5"/>
        <v>0.25556177156851989</v>
      </c>
      <c r="I53" s="57" cm="1">
        <f t="array" aca="1" ref="I53" ca="1">SUMPRODUCT('Forecast DCF'!$D$16:$M$16,1/(1+F53)^('Forecast DCF'!$D$6:$M$6-0.5))+(('Forecast DCF'!$M$7*H53*(1-Assumptions!$C$21)+'Forecast DCF'!$M$15)*(1+G53)/(F53-G53))/(1+F53)^('Forecast DCF'!$M$6-0.5)</f>
        <v>177218.89623669218</v>
      </c>
      <c r="K53" s="49">
        <f ca="1">(I53-Assumptions!$C$12)/Assumptions!$C$9</f>
        <v>277.40306975482821</v>
      </c>
    </row>
    <row r="54" spans="2:11" outlineLevel="1" x14ac:dyDescent="0.2">
      <c r="B54" s="69">
        <f t="shared" si="1"/>
        <v>25</v>
      </c>
      <c r="C54" s="72">
        <f t="shared" ca="1" si="2"/>
        <v>5.5729637734246662E-2</v>
      </c>
      <c r="D54" s="72">
        <f t="shared" ca="1" si="2"/>
        <v>0.1052020394625639</v>
      </c>
      <c r="E54" s="72">
        <f t="shared" ca="1" si="2"/>
        <v>0.21747539965201745</v>
      </c>
      <c r="F54" s="73">
        <f t="shared" ca="1" si="3"/>
        <v>0.12000177264921257</v>
      </c>
      <c r="G54" s="73">
        <f t="shared" ca="1" si="4"/>
        <v>2.8972443318586762E-2</v>
      </c>
      <c r="H54" s="73">
        <f t="shared" ca="1" si="5"/>
        <v>0.21957047987445344</v>
      </c>
      <c r="I54" s="57" cm="1">
        <f t="array" aca="1" ref="I54" ca="1">SUMPRODUCT('Forecast DCF'!$D$16:$M$16,1/(1+F54)^('Forecast DCF'!$D$6:$M$6-0.5))+(('Forecast DCF'!$M$7*H54*(1-Assumptions!$C$21)+'Forecast DCF'!$M$15)*(1+G54)/(F54-G54))/(1+F54)^('Forecast DCF'!$M$6-0.5)</f>
        <v>142641.99784647752</v>
      </c>
      <c r="K54" s="49">
        <f ca="1">(I54-Assumptions!$C$12)/Assumptions!$C$9</f>
        <v>214.02554762094914</v>
      </c>
    </row>
    <row r="55" spans="2:11" outlineLevel="1" x14ac:dyDescent="0.2">
      <c r="B55" s="69">
        <f t="shared" si="1"/>
        <v>26</v>
      </c>
      <c r="C55" s="72">
        <f t="shared" ca="1" si="2"/>
        <v>0.32711592799736167</v>
      </c>
      <c r="D55" s="72">
        <f t="shared" ca="1" si="2"/>
        <v>0.54672226073942776</v>
      </c>
      <c r="E55" s="72">
        <f t="shared" ca="1" si="2"/>
        <v>0.30646841605663488</v>
      </c>
      <c r="F55" s="73">
        <f t="shared" ca="1" si="3"/>
        <v>0.12711802050729382</v>
      </c>
      <c r="G55" s="73">
        <f t="shared" ca="1" si="4"/>
        <v>3.4055845576803648E-2</v>
      </c>
      <c r="H55" s="73">
        <f t="shared" ca="1" si="5"/>
        <v>0.22697416945096283</v>
      </c>
      <c r="I55" s="57" cm="1">
        <f t="array" aca="1" ref="I55" ca="1">SUMPRODUCT('Forecast DCF'!$D$16:$M$16,1/(1+F55)^('Forecast DCF'!$D$6:$M$6-0.5))+(('Forecast DCF'!$M$7*H55*(1-Assumptions!$C$21)+'Forecast DCF'!$M$15)*(1+G55)/(F55-G55))/(1+F55)^('Forecast DCF'!$M$6-0.5)</f>
        <v>135071.34376055584</v>
      </c>
      <c r="K55" s="49">
        <f ca="1">(I55-Assumptions!$C$12)/Assumptions!$C$9</f>
        <v>200.14896182995088</v>
      </c>
    </row>
    <row r="56" spans="2:11" outlineLevel="1" x14ac:dyDescent="0.2">
      <c r="B56" s="69">
        <f t="shared" si="1"/>
        <v>27</v>
      </c>
      <c r="C56" s="72">
        <f t="shared" ca="1" si="2"/>
        <v>0.46838089938230443</v>
      </c>
      <c r="D56" s="72">
        <f t="shared" ca="1" si="2"/>
        <v>0.28839869280366637</v>
      </c>
      <c r="E56" s="72">
        <f t="shared" ca="1" si="2"/>
        <v>0.82301782759287245</v>
      </c>
      <c r="F56" s="73">
        <f t="shared" ca="1" si="3"/>
        <v>0.12950041478793239</v>
      </c>
      <c r="G56" s="73">
        <f t="shared" ca="1" si="4"/>
        <v>3.157721855502385E-2</v>
      </c>
      <c r="H56" s="73">
        <f t="shared" ca="1" si="5"/>
        <v>0.26430305837566304</v>
      </c>
      <c r="I56" s="57" cm="1">
        <f t="array" aca="1" ref="I56" ca="1">SUMPRODUCT('Forecast DCF'!$D$16:$M$16,1/(1+F56)^('Forecast DCF'!$D$6:$M$6-0.5))+(('Forecast DCF'!$M$7*H56*(1-Assumptions!$C$21)+'Forecast DCF'!$M$15)*(1+G56)/(F56-G56))/(1+F56)^('Forecast DCF'!$M$6-0.5)</f>
        <v>144798.73890913909</v>
      </c>
      <c r="K56" s="49">
        <f ca="1">(I56-Assumptions!$C$12)/Assumptions!$C$9</f>
        <v>217.97873344153052</v>
      </c>
    </row>
    <row r="57" spans="2:11" outlineLevel="1" x14ac:dyDescent="0.2">
      <c r="B57" s="69">
        <f t="shared" si="1"/>
        <v>28</v>
      </c>
      <c r="C57" s="72">
        <f t="shared" ca="1" si="2"/>
        <v>0.64222597349158206</v>
      </c>
      <c r="D57" s="72">
        <f t="shared" ca="1" si="2"/>
        <v>8.611397279600097E-2</v>
      </c>
      <c r="E57" s="72">
        <f t="shared" ca="1" si="2"/>
        <v>0.50056945134152075</v>
      </c>
      <c r="F57" s="73">
        <f t="shared" ca="1" si="3"/>
        <v>0.13229616593522117</v>
      </c>
      <c r="G57" s="73">
        <f t="shared" ca="1" si="4"/>
        <v>2.8594036160001755E-2</v>
      </c>
      <c r="H57" s="73">
        <f t="shared" ca="1" si="5"/>
        <v>0.24003417681427985</v>
      </c>
      <c r="I57" s="57" cm="1">
        <f t="array" aca="1" ref="I57" ca="1">SUMPRODUCT('Forecast DCF'!$D$16:$M$16,1/(1+F57)^('Forecast DCF'!$D$6:$M$6-0.5))+(('Forecast DCF'!$M$7*H57*(1-Assumptions!$C$21)+'Forecast DCF'!$M$15)*(1+G57)/(F57-G57))/(1+F57)^('Forecast DCF'!$M$6-0.5)</f>
        <v>121804.14717775697</v>
      </c>
      <c r="K57" s="49">
        <f ca="1">(I57-Assumptions!$C$12)/Assumptions!$C$9</f>
        <v>175.83093204047674</v>
      </c>
    </row>
    <row r="58" spans="2:11" outlineLevel="1" x14ac:dyDescent="0.2">
      <c r="B58" s="69">
        <f t="shared" si="1"/>
        <v>29</v>
      </c>
      <c r="C58" s="72">
        <f t="shared" ca="1" si="2"/>
        <v>0.170547228494904</v>
      </c>
      <c r="D58" s="72">
        <f t="shared" ca="1" si="2"/>
        <v>0.20162981736814511</v>
      </c>
      <c r="E58" s="72">
        <f t="shared" ca="1" si="2"/>
        <v>0.28021526348569914</v>
      </c>
      <c r="F58" s="73">
        <f t="shared" ca="1" si="3"/>
        <v>0.12374990162999402</v>
      </c>
      <c r="G58" s="73">
        <f t="shared" ca="1" si="4"/>
        <v>3.0499497486609281E-2</v>
      </c>
      <c r="H58" s="73">
        <f t="shared" ca="1" si="5"/>
        <v>0.22491714480125638</v>
      </c>
      <c r="I58" s="57" cm="1">
        <f t="array" aca="1" ref="I58" ca="1">SUMPRODUCT('Forecast DCF'!$D$16:$M$16,1/(1+F58)^('Forecast DCF'!$D$6:$M$6-0.5))+(('Forecast DCF'!$M$7*H58*(1-Assumptions!$C$21)+'Forecast DCF'!$M$15)*(1+G58)/(F58-G58))/(1+F58)^('Forecast DCF'!$M$6-0.5)</f>
        <v>137726.88126175952</v>
      </c>
      <c r="K58" s="49">
        <f ca="1">(I58-Assumptions!$C$12)/Assumptions!$C$9</f>
        <v>205.01641364302361</v>
      </c>
    </row>
    <row r="59" spans="2:11" outlineLevel="1" x14ac:dyDescent="0.2">
      <c r="B59" s="69">
        <f t="shared" si="1"/>
        <v>30</v>
      </c>
      <c r="C59" s="72">
        <f t="shared" ca="1" si="2"/>
        <v>5.820826785328248E-3</v>
      </c>
      <c r="D59" s="72">
        <f t="shared" ca="1" si="2"/>
        <v>0.63078157616989528</v>
      </c>
      <c r="E59" s="72">
        <f t="shared" ca="1" si="2"/>
        <v>0.37498558339031318</v>
      </c>
      <c r="F59" s="73">
        <f t="shared" ca="1" si="3"/>
        <v>0.11661649056962961</v>
      </c>
      <c r="G59" s="73">
        <f t="shared" ca="1" si="4"/>
        <v>3.4727139169636892E-2</v>
      </c>
      <c r="H59" s="73">
        <f t="shared" ca="1" si="5"/>
        <v>0.23196052540544845</v>
      </c>
      <c r="I59" s="57" cm="1">
        <f t="array" aca="1" ref="I59" ca="1">SUMPRODUCT('Forecast DCF'!$D$16:$M$16,1/(1+F59)^('Forecast DCF'!$D$6:$M$6-0.5))+(('Forecast DCF'!$M$7*H59*(1-Assumptions!$C$21)+'Forecast DCF'!$M$15)*(1+G59)/(F59-G59))/(1+F59)^('Forecast DCF'!$M$6-0.5)</f>
        <v>171660.92627238869</v>
      </c>
      <c r="K59" s="49">
        <f ca="1">(I59-Assumptions!$C$12)/Assumptions!$C$9</f>
        <v>267.21562146329012</v>
      </c>
    </row>
    <row r="60" spans="2:11" outlineLevel="1" x14ac:dyDescent="0.2">
      <c r="B60" s="69">
        <f t="shared" si="1"/>
        <v>31</v>
      </c>
      <c r="C60" s="72">
        <f t="shared" ca="1" si="2"/>
        <v>0.31145808442500889</v>
      </c>
      <c r="D60" s="72">
        <f t="shared" ca="1" si="2"/>
        <v>0.32716206432187966</v>
      </c>
      <c r="E60" s="72">
        <f t="shared" ca="1" si="2"/>
        <v>0.79853282816942683</v>
      </c>
      <c r="F60" s="73">
        <f t="shared" ca="1" si="3"/>
        <v>0.1268244416230121</v>
      </c>
      <c r="G60" s="73">
        <f t="shared" ca="1" si="4"/>
        <v>3.2005305821181683E-2</v>
      </c>
      <c r="H60" s="73">
        <f t="shared" ca="1" si="5"/>
        <v>0.26191373427099834</v>
      </c>
      <c r="I60" s="57" cm="1">
        <f t="array" aca="1" ref="I60" ca="1">SUMPRODUCT('Forecast DCF'!$D$16:$M$16,1/(1+F60)^('Forecast DCF'!$D$6:$M$6-0.5))+(('Forecast DCF'!$M$7*H60*(1-Assumptions!$C$21)+'Forecast DCF'!$M$15)*(1+G60)/(F60-G60))/(1+F60)^('Forecast DCF'!$M$6-0.5)</f>
        <v>151855.90876764824</v>
      </c>
      <c r="K60" s="49">
        <f ca="1">(I60-Assumptions!$C$12)/Assumptions!$C$9</f>
        <v>230.91413134398627</v>
      </c>
    </row>
    <row r="61" spans="2:11" outlineLevel="1" x14ac:dyDescent="0.2">
      <c r="B61" s="69">
        <f t="shared" si="1"/>
        <v>32</v>
      </c>
      <c r="C61" s="72">
        <f t="shared" ca="1" si="2"/>
        <v>0.70973641795561215</v>
      </c>
      <c r="D61" s="72">
        <f t="shared" ca="1" si="2"/>
        <v>0.41846719652449516</v>
      </c>
      <c r="E61" s="72">
        <f t="shared" ca="1" si="2"/>
        <v>0.28676048664684817</v>
      </c>
      <c r="F61" s="73">
        <f t="shared" ca="1" si="3"/>
        <v>0.13355734817995582</v>
      </c>
      <c r="G61" s="73">
        <f t="shared" ca="1" si="4"/>
        <v>3.2922757062959482E-2</v>
      </c>
      <c r="H61" s="73">
        <f t="shared" ca="1" si="5"/>
        <v>0.22543870050801745</v>
      </c>
      <c r="I61" s="57" cm="1">
        <f t="array" aca="1" ref="I61" ca="1">SUMPRODUCT('Forecast DCF'!$D$16:$M$16,1/(1+F61)^('Forecast DCF'!$D$6:$M$6-0.5))+(('Forecast DCF'!$M$7*H61*(1-Assumptions!$C$21)+'Forecast DCF'!$M$15)*(1+G61)/(F61-G61))/(1+F61)^('Forecast DCF'!$M$6-0.5)</f>
        <v>117111.34566379858</v>
      </c>
      <c r="K61" s="49">
        <f ca="1">(I61-Assumptions!$C$12)/Assumptions!$C$9</f>
        <v>167.22928916134074</v>
      </c>
    </row>
    <row r="62" spans="2:11" outlineLevel="1" x14ac:dyDescent="0.2">
      <c r="B62" s="69">
        <f t="shared" si="1"/>
        <v>33</v>
      </c>
      <c r="C62" s="72">
        <f t="shared" ca="1" si="2"/>
        <v>0.94759286085057659</v>
      </c>
      <c r="D62" s="72">
        <f t="shared" ca="1" si="2"/>
        <v>0.33252742464398033</v>
      </c>
      <c r="E62" s="72">
        <f t="shared" ca="1" si="2"/>
        <v>0.39009824201318888</v>
      </c>
      <c r="F62" s="73">
        <f t="shared" ca="1" si="3"/>
        <v>0.14013788043496941</v>
      </c>
      <c r="G62" s="73">
        <f t="shared" ca="1" si="4"/>
        <v>3.2062514686469479E-2</v>
      </c>
      <c r="H62" s="73">
        <f t="shared" ca="1" si="5"/>
        <v>0.2329972390082253</v>
      </c>
      <c r="I62" s="57" cm="1">
        <f t="array" aca="1" ref="I62" ca="1">SUMPRODUCT('Forecast DCF'!$D$16:$M$16,1/(1+F62)^('Forecast DCF'!$D$6:$M$6-0.5))+(('Forecast DCF'!$M$7*H62*(1-Assumptions!$C$21)+'Forecast DCF'!$M$15)*(1+G62)/(F62-G62))/(1+F62)^('Forecast DCF'!$M$6-0.5)</f>
        <v>105796.41267195532</v>
      </c>
      <c r="K62" s="49">
        <f ca="1">(I62-Assumptions!$C$12)/Assumptions!$C$9</f>
        <v>146.48964941572231</v>
      </c>
    </row>
    <row r="63" spans="2:11" outlineLevel="1" x14ac:dyDescent="0.2">
      <c r="B63" s="69">
        <f t="shared" si="1"/>
        <v>34</v>
      </c>
      <c r="C63" s="72">
        <f t="shared" ca="1" si="2"/>
        <v>0.26886919728980752</v>
      </c>
      <c r="D63" s="72">
        <f t="shared" ca="1" si="2"/>
        <v>0.12729161120878318</v>
      </c>
      <c r="E63" s="72">
        <f t="shared" ca="1" si="2"/>
        <v>0.58158199315045989</v>
      </c>
      <c r="F63" s="73">
        <f t="shared" ca="1" si="3"/>
        <v>0.12598629769044389</v>
      </c>
      <c r="G63" s="73">
        <f t="shared" ca="1" si="4"/>
        <v>2.9369638621364186E-2</v>
      </c>
      <c r="H63" s="73">
        <f t="shared" ca="1" si="5"/>
        <v>0.24511275513093511</v>
      </c>
      <c r="I63" s="57" cm="1">
        <f t="array" aca="1" ref="I63" ca="1">SUMPRODUCT('Forecast DCF'!$D$16:$M$16,1/(1+F63)^('Forecast DCF'!$D$6:$M$6-0.5))+(('Forecast DCF'!$M$7*H63*(1-Assumptions!$C$21)+'Forecast DCF'!$M$15)*(1+G63)/(F63-G63))/(1+F63)^('Forecast DCF'!$M$6-0.5)</f>
        <v>141109.89007440541</v>
      </c>
      <c r="K63" s="49">
        <f ca="1">(I63-Assumptions!$C$12)/Assumptions!$C$9</f>
        <v>211.21727970923072</v>
      </c>
    </row>
    <row r="64" spans="2:11" outlineLevel="1" x14ac:dyDescent="0.2">
      <c r="B64" s="69">
        <f t="shared" si="1"/>
        <v>35</v>
      </c>
      <c r="C64" s="72">
        <f t="shared" ca="1" si="2"/>
        <v>0.21127666328231098</v>
      </c>
      <c r="D64" s="72">
        <f t="shared" ca="1" si="2"/>
        <v>0.84374625158863925</v>
      </c>
      <c r="E64" s="72">
        <f t="shared" ca="1" si="2"/>
        <v>0.22254062450489553</v>
      </c>
      <c r="F64" s="73">
        <f t="shared" ca="1" si="3"/>
        <v>0.12473882590105213</v>
      </c>
      <c r="G64" s="73">
        <f t="shared" ca="1" si="4"/>
        <v>3.6576692954049833E-2</v>
      </c>
      <c r="H64" s="73">
        <f t="shared" ca="1" si="5"/>
        <v>0.22002864594806132</v>
      </c>
      <c r="I64" s="57" cm="1">
        <f t="array" aca="1" ref="I64" ca="1">SUMPRODUCT('Forecast DCF'!$D$16:$M$16,1/(1+F64)^('Forecast DCF'!$D$6:$M$6-0.5))+(('Forecast DCF'!$M$7*H64*(1-Assumptions!$C$21)+'Forecast DCF'!$M$15)*(1+G64)/(F64-G64))/(1+F64)^('Forecast DCF'!$M$6-0.5)</f>
        <v>141470.98796109841</v>
      </c>
      <c r="K64" s="49">
        <f ca="1">(I64-Assumptions!$C$12)/Assumptions!$C$9</f>
        <v>211.87915195260285</v>
      </c>
    </row>
    <row r="65" spans="2:11" outlineLevel="1" x14ac:dyDescent="0.2">
      <c r="B65" s="69">
        <f t="shared" si="1"/>
        <v>36</v>
      </c>
      <c r="C65" s="72">
        <f t="shared" ca="1" si="2"/>
        <v>1.5840862673220268E-2</v>
      </c>
      <c r="D65" s="72">
        <f t="shared" ca="1" si="2"/>
        <v>0.93877906159306801</v>
      </c>
      <c r="E65" s="72">
        <f t="shared" ca="1" si="2"/>
        <v>0.35705624637308098</v>
      </c>
      <c r="F65" s="73">
        <f t="shared" ca="1" si="3"/>
        <v>0.1176666759977185</v>
      </c>
      <c r="G65" s="73">
        <f t="shared" ca="1" si="4"/>
        <v>3.7857205007351402E-2</v>
      </c>
      <c r="H65" s="73">
        <f t="shared" ca="1" si="5"/>
        <v>0.23070310615619305</v>
      </c>
      <c r="I65" s="57" cm="1">
        <f t="array" aca="1" ref="I65" ca="1">SUMPRODUCT('Forecast DCF'!$D$16:$M$16,1/(1+F65)^('Forecast DCF'!$D$6:$M$6-0.5))+(('Forecast DCF'!$M$7*H65*(1-Assumptions!$C$21)+'Forecast DCF'!$M$15)*(1+G65)/(F65-G65))/(1+F65)^('Forecast DCF'!$M$6-0.5)</f>
        <v>173624.00157608191</v>
      </c>
      <c r="K65" s="49">
        <f ca="1">(I65-Assumptions!$C$12)/Assumptions!$C$9</f>
        <v>270.81382877229208</v>
      </c>
    </row>
    <row r="66" spans="2:11" outlineLevel="1" x14ac:dyDescent="0.2">
      <c r="B66" s="69">
        <f t="shared" si="1"/>
        <v>37</v>
      </c>
      <c r="C66" s="72">
        <f t="shared" ca="1" si="2"/>
        <v>0.6917378655039087</v>
      </c>
      <c r="D66" s="72">
        <f t="shared" ca="1" si="2"/>
        <v>0.79046537660221683</v>
      </c>
      <c r="E66" s="72">
        <f t="shared" ca="1" si="2"/>
        <v>0.45310697751231155</v>
      </c>
      <c r="F66" s="73">
        <f t="shared" ca="1" si="3"/>
        <v>0.13320791777739616</v>
      </c>
      <c r="G66" s="73">
        <f t="shared" ca="1" si="4"/>
        <v>3.6035772867905561E-2</v>
      </c>
      <c r="H66" s="73">
        <f t="shared" ca="1" si="5"/>
        <v>0.23711716237777086</v>
      </c>
      <c r="I66" s="57" cm="1">
        <f t="array" aca="1" ref="I66" ca="1">SUMPRODUCT('Forecast DCF'!$D$16:$M$16,1/(1+F66)^('Forecast DCF'!$D$6:$M$6-0.5))+(('Forecast DCF'!$M$7*H66*(1-Assumptions!$C$21)+'Forecast DCF'!$M$15)*(1+G66)/(F66-G66))/(1+F66)^('Forecast DCF'!$M$6-0.5)</f>
        <v>127590.8055039743</v>
      </c>
      <c r="K66" s="49">
        <f ca="1">(I66-Assumptions!$C$12)/Assumptions!$C$9</f>
        <v>186.43755331726612</v>
      </c>
    </row>
    <row r="67" spans="2:11" outlineLevel="1" x14ac:dyDescent="0.2">
      <c r="B67" s="69">
        <f t="shared" si="1"/>
        <v>38</v>
      </c>
      <c r="C67" s="72">
        <f t="shared" ca="1" si="2"/>
        <v>0.58484863597317249</v>
      </c>
      <c r="D67" s="72">
        <f t="shared" ca="1" si="2"/>
        <v>0.22448072096675575</v>
      </c>
      <c r="E67" s="72">
        <f t="shared" ca="1" si="2"/>
        <v>0.75582614843632145</v>
      </c>
      <c r="F67" s="73">
        <f t="shared" ca="1" si="3"/>
        <v>0.13131535162714836</v>
      </c>
      <c r="G67" s="73">
        <f t="shared" ca="1" si="4"/>
        <v>3.0802767283375526E-2</v>
      </c>
      <c r="H67" s="73">
        <f t="shared" ca="1" si="5"/>
        <v>0.25807087251970912</v>
      </c>
      <c r="I67" s="57" cm="1">
        <f t="array" aca="1" ref="I67" ca="1">SUMPRODUCT('Forecast DCF'!$D$16:$M$16,1/(1+F67)^('Forecast DCF'!$D$6:$M$6-0.5))+(('Forecast DCF'!$M$7*H67*(1-Assumptions!$C$21)+'Forecast DCF'!$M$15)*(1+G67)/(F67-G67))/(1+F67)^('Forecast DCF'!$M$6-0.5)</f>
        <v>135705.24194542051</v>
      </c>
      <c r="K67" s="49">
        <f ca="1">(I67-Assumptions!$C$12)/Assumptions!$C$9</f>
        <v>201.3108617721752</v>
      </c>
    </row>
    <row r="68" spans="2:11" outlineLevel="1" x14ac:dyDescent="0.2">
      <c r="B68" s="69">
        <f t="shared" si="1"/>
        <v>39</v>
      </c>
      <c r="C68" s="72">
        <f t="shared" ca="1" si="2"/>
        <v>9.9612431237430243E-3</v>
      </c>
      <c r="D68" s="72">
        <f t="shared" ca="1" si="2"/>
        <v>0.87564430183784625</v>
      </c>
      <c r="E68" s="72">
        <f t="shared" ca="1" si="2"/>
        <v>0.49667388687031255</v>
      </c>
      <c r="F68" s="73">
        <f t="shared" ca="1" si="3"/>
        <v>0.117114645670038</v>
      </c>
      <c r="G68" s="73">
        <f t="shared" ca="1" si="4"/>
        <v>3.6946039069968066E-2</v>
      </c>
      <c r="H68" s="73">
        <f t="shared" ca="1" si="5"/>
        <v>0.23980010021284454</v>
      </c>
      <c r="I68" s="57" cm="1">
        <f t="array" aca="1" ref="I68" ca="1">SUMPRODUCT('Forecast DCF'!$D$16:$M$16,1/(1+F68)^('Forecast DCF'!$D$6:$M$6-0.5))+(('Forecast DCF'!$M$7*H68*(1-Assumptions!$C$21)+'Forecast DCF'!$M$15)*(1+G68)/(F68-G68))/(1+F68)^('Forecast DCF'!$M$6-0.5)</f>
        <v>180044.79141731805</v>
      </c>
      <c r="K68" s="49">
        <f ca="1">(I68-Assumptions!$C$12)/Assumptions!$C$9</f>
        <v>282.58277767243669</v>
      </c>
    </row>
    <row r="69" spans="2:11" outlineLevel="1" x14ac:dyDescent="0.2">
      <c r="B69" s="69">
        <f t="shared" si="1"/>
        <v>40</v>
      </c>
      <c r="C69" s="72">
        <f t="shared" ca="1" si="2"/>
        <v>0.67327211654604247</v>
      </c>
      <c r="D69" s="72">
        <f t="shared" ca="1" si="2"/>
        <v>0.12919230689126815</v>
      </c>
      <c r="E69" s="72">
        <f t="shared" ca="1" si="2"/>
        <v>0.8837733505321308</v>
      </c>
      <c r="F69" s="73">
        <f t="shared" ca="1" si="3"/>
        <v>0.1328598652342754</v>
      </c>
      <c r="G69" s="73">
        <f t="shared" ca="1" si="4"/>
        <v>2.9402141073806044E-2</v>
      </c>
      <c r="H69" s="73">
        <f t="shared" ca="1" si="5"/>
        <v>0.2710719534678081</v>
      </c>
      <c r="I69" s="57" cm="1">
        <f t="array" aca="1" ref="I69" ca="1">SUMPRODUCT('Forecast DCF'!$D$16:$M$16,1/(1+F69)^('Forecast DCF'!$D$6:$M$6-0.5))+(('Forecast DCF'!$M$7*H69*(1-Assumptions!$C$21)+'Forecast DCF'!$M$15)*(1+G69)/(F69-G69))/(1+F69)^('Forecast DCF'!$M$6-0.5)</f>
        <v>136103.94620684133</v>
      </c>
      <c r="K69" s="49">
        <f ca="1">(I69-Assumptions!$C$12)/Assumptions!$C$9</f>
        <v>202.04166439848078</v>
      </c>
    </row>
    <row r="70" spans="2:11" outlineLevel="1" x14ac:dyDescent="0.2">
      <c r="B70" s="69">
        <f t="shared" si="1"/>
        <v>41</v>
      </c>
      <c r="C70" s="72">
        <f t="shared" ca="1" si="2"/>
        <v>0.87760684211021545</v>
      </c>
      <c r="D70" s="72">
        <f t="shared" ca="1" si="2"/>
        <v>0.91848148081773207</v>
      </c>
      <c r="E70" s="72">
        <f t="shared" ca="1" si="2"/>
        <v>0.14538266167102598</v>
      </c>
      <c r="F70" s="73">
        <f t="shared" ca="1" si="3"/>
        <v>0.1375696550142449</v>
      </c>
      <c r="G70" s="73">
        <f t="shared" ca="1" si="4"/>
        <v>3.7527372058179784E-2</v>
      </c>
      <c r="H70" s="73">
        <f t="shared" ca="1" si="5"/>
        <v>0.21235359584391489</v>
      </c>
      <c r="I70" s="57" cm="1">
        <f t="array" aca="1" ref="I70" ca="1">SUMPRODUCT('Forecast DCF'!$D$16:$M$16,1/(1+F70)^('Forecast DCF'!$D$6:$M$6-0.5))+(('Forecast DCF'!$M$7*H70*(1-Assumptions!$C$21)+'Forecast DCF'!$M$15)*(1+G70)/(F70-G70))/(1+F70)^('Forecast DCF'!$M$6-0.5)</f>
        <v>107441.49254532901</v>
      </c>
      <c r="K70" s="49">
        <f ca="1">(I70-Assumptions!$C$12)/Assumptions!$C$9</f>
        <v>149.50498887474814</v>
      </c>
    </row>
    <row r="71" spans="2:11" outlineLevel="1" x14ac:dyDescent="0.2">
      <c r="B71" s="69">
        <f t="shared" si="1"/>
        <v>42</v>
      </c>
      <c r="C71" s="72">
        <f t="shared" ca="1" si="2"/>
        <v>0.53205948520058099</v>
      </c>
      <c r="D71" s="72">
        <f t="shared" ca="1" si="2"/>
        <v>0.21115126431756015</v>
      </c>
      <c r="E71" s="72">
        <f t="shared" ca="1" si="2"/>
        <v>0.40224108205008158</v>
      </c>
      <c r="F71" s="73">
        <f t="shared" ca="1" si="3"/>
        <v>0.1304713342515334</v>
      </c>
      <c r="G71" s="73">
        <f t="shared" ca="1" si="4"/>
        <v>3.0627849469169733E-2</v>
      </c>
      <c r="H71" s="73">
        <f t="shared" ca="1" si="5"/>
        <v>0.23381575782947395</v>
      </c>
      <c r="I71" s="57" cm="1">
        <f t="array" aca="1" ref="I71" ca="1">SUMPRODUCT('Forecast DCF'!$D$16:$M$16,1/(1+F71)^('Forecast DCF'!$D$6:$M$6-0.5))+(('Forecast DCF'!$M$7*H71*(1-Assumptions!$C$21)+'Forecast DCF'!$M$15)*(1+G71)/(F71-G71))/(1+F71)^('Forecast DCF'!$M$6-0.5)</f>
        <v>125555.91705195882</v>
      </c>
      <c r="K71" s="49">
        <f ca="1">(I71-Assumptions!$C$12)/Assumptions!$C$9</f>
        <v>182.70771652126001</v>
      </c>
    </row>
    <row r="72" spans="2:11" outlineLevel="1" x14ac:dyDescent="0.2">
      <c r="B72" s="69">
        <f t="shared" si="1"/>
        <v>43</v>
      </c>
      <c r="C72" s="72">
        <f t="shared" ca="1" si="2"/>
        <v>0.46997661653129952</v>
      </c>
      <c r="D72" s="72">
        <f t="shared" ca="1" si="2"/>
        <v>0.92511876960738804</v>
      </c>
      <c r="E72" s="72">
        <f t="shared" ca="1" si="2"/>
        <v>0.80783376807541785</v>
      </c>
      <c r="F72" s="73">
        <f t="shared" ca="1" si="3"/>
        <v>0.12952509436656623</v>
      </c>
      <c r="G72" s="73">
        <f t="shared" ca="1" si="4"/>
        <v>3.7630170411306778E-2</v>
      </c>
      <c r="H72" s="73">
        <f t="shared" ca="1" si="5"/>
        <v>0.2628032680218142</v>
      </c>
      <c r="I72" s="57" cm="1">
        <f t="array" aca="1" ref="I72" ca="1">SUMPRODUCT('Forecast DCF'!$D$16:$M$16,1/(1+F72)^('Forecast DCF'!$D$6:$M$6-0.5))+(('Forecast DCF'!$M$7*H72*(1-Assumptions!$C$21)+'Forecast DCF'!$M$15)*(1+G72)/(F72-G72))/(1+F72)^('Forecast DCF'!$M$6-0.5)</f>
        <v>153603.22525956866</v>
      </c>
      <c r="K72" s="49">
        <f ca="1">(I72-Assumptions!$C$12)/Assumptions!$C$9</f>
        <v>234.11686481047087</v>
      </c>
    </row>
    <row r="73" spans="2:11" outlineLevel="1" x14ac:dyDescent="0.2">
      <c r="B73" s="69">
        <f t="shared" si="1"/>
        <v>44</v>
      </c>
      <c r="C73" s="72">
        <f t="shared" ca="1" si="2"/>
        <v>0.55848248616352403</v>
      </c>
      <c r="D73" s="72">
        <f t="shared" ca="1" si="2"/>
        <v>0.59291804132187909</v>
      </c>
      <c r="E73" s="72">
        <f t="shared" ca="1" si="2"/>
        <v>0.71461002011065333</v>
      </c>
      <c r="F73" s="73">
        <f t="shared" ca="1" si="3"/>
        <v>0.13088748632111816</v>
      </c>
      <c r="G73" s="73">
        <f t="shared" ca="1" si="4"/>
        <v>3.4430678989250028E-2</v>
      </c>
      <c r="H73" s="73">
        <f t="shared" ca="1" si="5"/>
        <v>0.25467001152434188</v>
      </c>
      <c r="I73" s="57" cm="1">
        <f t="array" aca="1" ref="I73" ca="1">SUMPRODUCT('Forecast DCF'!$D$16:$M$16,1/(1+F73)^('Forecast DCF'!$D$6:$M$6-0.5))+(('Forecast DCF'!$M$7*H73*(1-Assumptions!$C$21)+'Forecast DCF'!$M$15)*(1+G73)/(F73-G73))/(1+F73)^('Forecast DCF'!$M$6-0.5)</f>
        <v>140292.0643456463</v>
      </c>
      <c r="K73" s="49">
        <f ca="1">(I73-Assumptions!$C$12)/Assumptions!$C$9</f>
        <v>209.71825085935691</v>
      </c>
    </row>
    <row r="74" spans="2:11" outlineLevel="1" x14ac:dyDescent="0.2">
      <c r="B74" s="69">
        <f t="shared" si="1"/>
        <v>45</v>
      </c>
      <c r="C74" s="72">
        <f t="shared" ca="1" si="2"/>
        <v>4.6894844267850622E-2</v>
      </c>
      <c r="D74" s="72">
        <f t="shared" ca="1" si="2"/>
        <v>0.61294874788005826</v>
      </c>
      <c r="E74" s="72">
        <f t="shared" ca="1" si="2"/>
        <v>0.37403877900214233</v>
      </c>
      <c r="F74" s="73">
        <f t="shared" ca="1" si="3"/>
        <v>0.11958821104885275</v>
      </c>
      <c r="G74" s="73">
        <f t="shared" ca="1" si="4"/>
        <v>3.458865538967841E-2</v>
      </c>
      <c r="H74" s="73">
        <f t="shared" ca="1" si="5"/>
        <v>0.23189488615283227</v>
      </c>
      <c r="I74" s="57" cm="1">
        <f t="array" aca="1" ref="I74" ca="1">SUMPRODUCT('Forecast DCF'!$D$16:$M$16,1/(1+F74)^('Forecast DCF'!$D$6:$M$6-0.5))+(('Forecast DCF'!$M$7*H74*(1-Assumptions!$C$21)+'Forecast DCF'!$M$15)*(1+G74)/(F74-G74))/(1+F74)^('Forecast DCF'!$M$6-0.5)</f>
        <v>161158.52111386071</v>
      </c>
      <c r="K74" s="49">
        <f ca="1">(I74-Assumptions!$C$12)/Assumptions!$C$9</f>
        <v>247.96529982131358</v>
      </c>
    </row>
    <row r="75" spans="2:11" outlineLevel="1" x14ac:dyDescent="0.2">
      <c r="B75" s="69">
        <f t="shared" si="1"/>
        <v>46</v>
      </c>
      <c r="C75" s="72">
        <f t="shared" ca="1" si="2"/>
        <v>0.92528758266337763</v>
      </c>
      <c r="D75" s="72">
        <f t="shared" ca="1" si="2"/>
        <v>0.79493176752199723</v>
      </c>
      <c r="E75" s="72">
        <f t="shared" ca="1" si="2"/>
        <v>0.92374985036944979</v>
      </c>
      <c r="F75" s="73">
        <f t="shared" ca="1" si="3"/>
        <v>0.13919467146621006</v>
      </c>
      <c r="G75" s="73">
        <f t="shared" ca="1" si="4"/>
        <v>3.6078250717364736E-2</v>
      </c>
      <c r="H75" s="73">
        <f t="shared" ca="1" si="5"/>
        <v>0.27656922798241673</v>
      </c>
      <c r="I75" s="57" cm="1">
        <f t="array" aca="1" ref="I75" ca="1">SUMPRODUCT('Forecast DCF'!$D$16:$M$16,1/(1+F75)^('Forecast DCF'!$D$6:$M$6-0.5))+(('Forecast DCF'!$M$7*H75*(1-Assumptions!$C$21)+'Forecast DCF'!$M$15)*(1+G75)/(F75-G75))/(1+F75)^('Forecast DCF'!$M$6-0.5)</f>
        <v>131628.78306292283</v>
      </c>
      <c r="K75" s="49">
        <f ca="1">(I75-Assumptions!$C$12)/Assumptions!$C$9</f>
        <v>193.83894048711105</v>
      </c>
    </row>
    <row r="76" spans="2:11" outlineLevel="1" x14ac:dyDescent="0.2">
      <c r="B76" s="69">
        <f t="shared" si="1"/>
        <v>47</v>
      </c>
      <c r="C76" s="72">
        <f t="shared" ca="1" si="2"/>
        <v>0.35257294312364429</v>
      </c>
      <c r="D76" s="72">
        <f t="shared" ca="1" si="2"/>
        <v>0.89769124649791543</v>
      </c>
      <c r="E76" s="72">
        <f t="shared" ca="1" si="2"/>
        <v>0.76030665452214907</v>
      </c>
      <c r="F76" s="73">
        <f t="shared" ca="1" si="3"/>
        <v>0.12758071511061919</v>
      </c>
      <c r="G76" s="73">
        <f t="shared" ca="1" si="4"/>
        <v>3.722995369846345E-2</v>
      </c>
      <c r="H76" s="73">
        <f t="shared" ca="1" si="5"/>
        <v>0.25845734616757704</v>
      </c>
      <c r="I76" s="57" cm="1">
        <f t="array" aca="1" ref="I76" ca="1">SUMPRODUCT('Forecast DCF'!$D$16:$M$16,1/(1+F76)^('Forecast DCF'!$D$6:$M$6-0.5))+(('Forecast DCF'!$M$7*H76*(1-Assumptions!$C$21)+'Forecast DCF'!$M$15)*(1+G76)/(F76-G76))/(1+F76)^('Forecast DCF'!$M$6-0.5)</f>
        <v>156455.88820747958</v>
      </c>
      <c r="K76" s="49">
        <f ca="1">(I76-Assumptions!$C$12)/Assumptions!$C$9</f>
        <v>239.3456365493752</v>
      </c>
    </row>
    <row r="77" spans="2:11" outlineLevel="1" x14ac:dyDescent="0.2">
      <c r="B77" s="69">
        <f t="shared" si="1"/>
        <v>48</v>
      </c>
      <c r="C77" s="72">
        <f t="shared" ca="1" si="2"/>
        <v>0.78737778389189117</v>
      </c>
      <c r="D77" s="72">
        <f t="shared" ca="1" si="2"/>
        <v>0.8225927675505692</v>
      </c>
      <c r="E77" s="72">
        <f t="shared" ca="1" si="2"/>
        <v>7.8053611501488485E-2</v>
      </c>
      <c r="F77" s="73">
        <f t="shared" ca="1" si="3"/>
        <v>0.13520657214677417</v>
      </c>
      <c r="G77" s="73">
        <f t="shared" ca="1" si="4"/>
        <v>3.6352323693951548E-2</v>
      </c>
      <c r="H77" s="73">
        <f t="shared" ca="1" si="5"/>
        <v>0.20370624396252424</v>
      </c>
      <c r="I77" s="57" cm="1">
        <f t="array" aca="1" ref="I77" ca="1">SUMPRODUCT('Forecast DCF'!$D$16:$M$16,1/(1+F77)^('Forecast DCF'!$D$6:$M$6-0.5))+(('Forecast DCF'!$M$7*H77*(1-Assumptions!$C$21)+'Forecast DCF'!$M$15)*(1+G77)/(F77-G77))/(1+F77)^('Forecast DCF'!$M$6-0.5)</f>
        <v>106906.78289360911</v>
      </c>
      <c r="K77" s="49">
        <f ca="1">(I77-Assumptions!$C$12)/Assumptions!$C$9</f>
        <v>148.52489596980826</v>
      </c>
    </row>
    <row r="78" spans="2:11" outlineLevel="1" x14ac:dyDescent="0.2">
      <c r="B78" s="69">
        <f t="shared" si="1"/>
        <v>49</v>
      </c>
      <c r="C78" s="72">
        <f t="shared" ca="1" si="2"/>
        <v>0.37914342868019679</v>
      </c>
      <c r="D78" s="72">
        <f t="shared" ca="1" si="2"/>
        <v>0.38929529077060954</v>
      </c>
      <c r="E78" s="72">
        <f t="shared" ca="1" si="2"/>
        <v>0.64107542843414667</v>
      </c>
      <c r="F78" s="73">
        <f t="shared" ca="1" si="3"/>
        <v>0.12804615710242626</v>
      </c>
      <c r="G78" s="73">
        <f t="shared" ca="1" si="4"/>
        <v>3.2641615903432432E-2</v>
      </c>
      <c r="H78" s="73">
        <f t="shared" ca="1" si="5"/>
        <v>0.2491644129051887</v>
      </c>
      <c r="I78" s="57" cm="1">
        <f t="array" aca="1" ref="I78" ca="1">SUMPRODUCT('Forecast DCF'!$D$16:$M$16,1/(1+F78)^('Forecast DCF'!$D$6:$M$6-0.5))+(('Forecast DCF'!$M$7*H78*(1-Assumptions!$C$21)+'Forecast DCF'!$M$15)*(1+G78)/(F78-G78))/(1+F78)^('Forecast DCF'!$M$6-0.5)</f>
        <v>142506.27353406983</v>
      </c>
      <c r="K78" s="49">
        <f ca="1">(I78-Assumptions!$C$12)/Assumptions!$C$9</f>
        <v>213.77677254237938</v>
      </c>
    </row>
    <row r="79" spans="2:11" outlineLevel="1" x14ac:dyDescent="0.2">
      <c r="B79" s="69">
        <f t="shared" si="1"/>
        <v>50</v>
      </c>
      <c r="C79" s="72">
        <f t="shared" ca="1" si="2"/>
        <v>0.4270033813609061</v>
      </c>
      <c r="D79" s="72">
        <f t="shared" ca="1" si="2"/>
        <v>0.25248466463416341</v>
      </c>
      <c r="E79" s="72">
        <f t="shared" ca="1" si="2"/>
        <v>0.55192717381657497</v>
      </c>
      <c r="F79" s="73">
        <f t="shared" ca="1" si="3"/>
        <v>0.12884511267475823</v>
      </c>
      <c r="G79" s="73">
        <f t="shared" ca="1" si="4"/>
        <v>3.1154079922711804E-2</v>
      </c>
      <c r="H79" s="73">
        <f t="shared" ca="1" si="5"/>
        <v>0.24320101806792077</v>
      </c>
      <c r="I79" s="57" cm="1">
        <f t="array" aca="1" ref="I79" ca="1">SUMPRODUCT('Forecast DCF'!$D$16:$M$16,1/(1+F79)^('Forecast DCF'!$D$6:$M$6-0.5))+(('Forecast DCF'!$M$7*H79*(1-Assumptions!$C$21)+'Forecast DCF'!$M$15)*(1+G79)/(F79-G79))/(1+F79)^('Forecast DCF'!$M$6-0.5)</f>
        <v>135074.71707222052</v>
      </c>
      <c r="K79" s="49">
        <f ca="1">(I79-Assumptions!$C$12)/Assumptions!$C$9</f>
        <v>200.15514492168685</v>
      </c>
    </row>
    <row r="80" spans="2:11" outlineLevel="1" x14ac:dyDescent="0.2">
      <c r="B80" s="69">
        <f t="shared" si="1"/>
        <v>51</v>
      </c>
      <c r="C80" s="72">
        <f t="shared" ca="1" si="2"/>
        <v>0.21000087660329048</v>
      </c>
      <c r="D80" s="72">
        <f t="shared" ca="1" si="2"/>
        <v>0.56320907060308412</v>
      </c>
      <c r="E80" s="72">
        <f t="shared" ca="1" si="2"/>
        <v>0.67144319132483787</v>
      </c>
      <c r="F80" s="73">
        <f t="shared" ca="1" si="3"/>
        <v>0.12470937759975918</v>
      </c>
      <c r="G80" s="73">
        <f t="shared" ca="1" si="4"/>
        <v>3.4191374249287351E-2</v>
      </c>
      <c r="H80" s="73">
        <f t="shared" ca="1" si="5"/>
        <v>0.25136247310500698</v>
      </c>
      <c r="I80" s="57" cm="1">
        <f t="array" aca="1" ref="I80" ca="1">SUMPRODUCT('Forecast DCF'!$D$16:$M$16,1/(1+F80)^('Forecast DCF'!$D$6:$M$6-0.5))+(('Forecast DCF'!$M$7*H80*(1-Assumptions!$C$21)+'Forecast DCF'!$M$15)*(1+G80)/(F80-G80))/(1+F80)^('Forecast DCF'!$M$6-0.5)</f>
        <v>155994.92791524055</v>
      </c>
      <c r="K80" s="49">
        <f ca="1">(I80-Assumptions!$C$12)/Assumptions!$C$9</f>
        <v>238.50072209827204</v>
      </c>
    </row>
    <row r="81" spans="2:11" outlineLevel="1" x14ac:dyDescent="0.2">
      <c r="B81" s="69">
        <f t="shared" si="1"/>
        <v>52</v>
      </c>
      <c r="C81" s="72">
        <f t="shared" ca="1" si="2"/>
        <v>0.32731803306278173</v>
      </c>
      <c r="D81" s="72">
        <f t="shared" ca="1" si="2"/>
        <v>0.36103999362778805</v>
      </c>
      <c r="E81" s="72">
        <f t="shared" ca="1" si="2"/>
        <v>0.17949825604504444</v>
      </c>
      <c r="F81" s="73">
        <f t="shared" ca="1" si="3"/>
        <v>0.12712176342371123</v>
      </c>
      <c r="G81" s="73">
        <f t="shared" ca="1" si="4"/>
        <v>3.2359075964016694E-2</v>
      </c>
      <c r="H81" s="73">
        <f t="shared" ca="1" si="5"/>
        <v>0.21594979059082708</v>
      </c>
      <c r="I81" s="57" cm="1">
        <f t="array" aca="1" ref="I81" ca="1">SUMPRODUCT('Forecast DCF'!$D$16:$M$16,1/(1+F81)^('Forecast DCF'!$D$6:$M$6-0.5))+(('Forecast DCF'!$M$7*H81*(1-Assumptions!$C$21)+'Forecast DCF'!$M$15)*(1+G81)/(F81-G81))/(1+F81)^('Forecast DCF'!$M$6-0.5)</f>
        <v>126670.21501825776</v>
      </c>
      <c r="K81" s="49">
        <f ca="1">(I81-Assumptions!$C$12)/Assumptions!$C$9</f>
        <v>184.75016241174606</v>
      </c>
    </row>
    <row r="82" spans="2:11" outlineLevel="1" x14ac:dyDescent="0.2">
      <c r="B82" s="69">
        <f t="shared" si="1"/>
        <v>53</v>
      </c>
      <c r="C82" s="72">
        <f t="shared" ca="1" si="2"/>
        <v>0.55509961883200165</v>
      </c>
      <c r="D82" s="72">
        <f t="shared" ca="1" si="2"/>
        <v>0.99197713471452809</v>
      </c>
      <c r="E82" s="72">
        <f t="shared" ca="1" si="2"/>
        <v>0.59389911769046633</v>
      </c>
      <c r="F82" s="73">
        <f t="shared" ca="1" si="3"/>
        <v>0.1308335250825447</v>
      </c>
      <c r="G82" s="73">
        <f t="shared" ca="1" si="4"/>
        <v>3.9224297159725197E-2</v>
      </c>
      <c r="H82" s="73">
        <f t="shared" ca="1" si="5"/>
        <v>0.24592665765251195</v>
      </c>
      <c r="I82" s="57" cm="1">
        <f t="array" aca="1" ref="I82" ca="1">SUMPRODUCT('Forecast DCF'!$D$16:$M$16,1/(1+F82)^('Forecast DCF'!$D$6:$M$6-0.5))+(('Forecast DCF'!$M$7*H82*(1-Assumptions!$C$21)+'Forecast DCF'!$M$15)*(1+G82)/(F82-G82))/(1+F82)^('Forecast DCF'!$M$6-0.5)</f>
        <v>143127.04244450433</v>
      </c>
      <c r="K82" s="49">
        <f ca="1">(I82-Assumptions!$C$12)/Assumptions!$C$9</f>
        <v>214.91460725841108</v>
      </c>
    </row>
    <row r="83" spans="2:11" outlineLevel="1" x14ac:dyDescent="0.2">
      <c r="B83" s="69">
        <f t="shared" si="1"/>
        <v>54</v>
      </c>
      <c r="C83" s="72">
        <f t="shared" ca="1" si="2"/>
        <v>0.76207938523470542</v>
      </c>
      <c r="D83" s="72">
        <f t="shared" ca="1" si="2"/>
        <v>0.21334598179044884</v>
      </c>
      <c r="E83" s="72">
        <f t="shared" ca="1" si="2"/>
        <v>0.64776198441898281</v>
      </c>
      <c r="F83" s="73">
        <f t="shared" ca="1" si="3"/>
        <v>0.13464031751740255</v>
      </c>
      <c r="G83" s="73">
        <f t="shared" ca="1" si="4"/>
        <v>3.0657021943440502E-2</v>
      </c>
      <c r="H83" s="73">
        <f t="shared" ca="1" si="5"/>
        <v>0.24964015774266837</v>
      </c>
      <c r="I83" s="57" cm="1">
        <f t="array" aca="1" ref="I83" ca="1">SUMPRODUCT('Forecast DCF'!$D$16:$M$16,1/(1+F83)^('Forecast DCF'!$D$6:$M$6-0.5))+(('Forecast DCF'!$M$7*H83*(1-Assumptions!$C$21)+'Forecast DCF'!$M$15)*(1+G83)/(F83-G83))/(1+F83)^('Forecast DCF'!$M$6-0.5)</f>
        <v>123379.60757687929</v>
      </c>
      <c r="K83" s="49">
        <f ca="1">(I83-Assumptions!$C$12)/Assumptions!$C$9</f>
        <v>178.71866289445879</v>
      </c>
    </row>
    <row r="84" spans="2:11" outlineLevel="1" x14ac:dyDescent="0.2">
      <c r="B84" s="69">
        <f t="shared" si="1"/>
        <v>55</v>
      </c>
      <c r="C84" s="72">
        <f t="shared" ca="1" si="2"/>
        <v>0.71544705169161038</v>
      </c>
      <c r="D84" s="72">
        <f t="shared" ca="1" si="2"/>
        <v>0.14711310021933688</v>
      </c>
      <c r="E84" s="72">
        <f t="shared" ca="1" si="2"/>
        <v>0.67028931869351549</v>
      </c>
      <c r="F84" s="73">
        <f t="shared" ca="1" si="3"/>
        <v>0.13367046845454303</v>
      </c>
      <c r="G84" s="73">
        <f t="shared" ca="1" si="4"/>
        <v>2.9697548832412553E-2</v>
      </c>
      <c r="H84" s="73">
        <f t="shared" ca="1" si="5"/>
        <v>0.25127714185921879</v>
      </c>
      <c r="I84" s="57" cm="1">
        <f t="array" aca="1" ref="I84" ca="1">SUMPRODUCT('Forecast DCF'!$D$16:$M$16,1/(1+F84)^('Forecast DCF'!$D$6:$M$6-0.5))+(('Forecast DCF'!$M$7*H84*(1-Assumptions!$C$21)+'Forecast DCF'!$M$15)*(1+G84)/(F84-G84))/(1+F84)^('Forecast DCF'!$M$6-0.5)</f>
        <v>125228.38874043297</v>
      </c>
      <c r="K84" s="49">
        <f ca="1">(I84-Assumptions!$C$12)/Assumptions!$C$9</f>
        <v>182.10737543285643</v>
      </c>
    </row>
    <row r="85" spans="2:11" outlineLevel="1" x14ac:dyDescent="0.2">
      <c r="B85" s="69">
        <f t="shared" si="1"/>
        <v>56</v>
      </c>
      <c r="C85" s="72">
        <f t="shared" ca="1" si="2"/>
        <v>0.79301348478941969</v>
      </c>
      <c r="D85" s="72">
        <f t="shared" ca="1" si="2"/>
        <v>0.24919423232250171</v>
      </c>
      <c r="E85" s="72">
        <f t="shared" ca="1" si="2"/>
        <v>0.37844690391776914</v>
      </c>
      <c r="F85" s="73">
        <f t="shared" ca="1" si="3"/>
        <v>0.13533723462203018</v>
      </c>
      <c r="G85" s="73">
        <f t="shared" ca="1" si="4"/>
        <v>3.1113847794014445E-2</v>
      </c>
      <c r="H85" s="73">
        <f t="shared" ca="1" si="5"/>
        <v>0.23219978647665079</v>
      </c>
      <c r="I85" s="57" cm="1">
        <f t="array" aca="1" ref="I85" ca="1">SUMPRODUCT('Forecast DCF'!$D$16:$M$16,1/(1+F85)^('Forecast DCF'!$D$6:$M$6-0.5))+(('Forecast DCF'!$M$7*H85*(1-Assumptions!$C$21)+'Forecast DCF'!$M$15)*(1+G85)/(F85-G85))/(1+F85)^('Forecast DCF'!$M$6-0.5)</f>
        <v>114322.06097067705</v>
      </c>
      <c r="K85" s="49">
        <f ca="1">(I85-Assumptions!$C$12)/Assumptions!$C$9</f>
        <v>162.11668622104841</v>
      </c>
    </row>
    <row r="86" spans="2:11" outlineLevel="1" x14ac:dyDescent="0.2">
      <c r="B86" s="69">
        <f t="shared" si="1"/>
        <v>57</v>
      </c>
      <c r="C86" s="72">
        <f t="shared" ca="1" si="2"/>
        <v>0.96500920854490957</v>
      </c>
      <c r="D86" s="72">
        <f t="shared" ca="1" si="2"/>
        <v>0.97429442639344244</v>
      </c>
      <c r="E86" s="72">
        <f t="shared" ca="1" si="2"/>
        <v>0.29551350583372182</v>
      </c>
      <c r="F86" s="73">
        <f t="shared" ca="1" si="3"/>
        <v>0.14102710313530367</v>
      </c>
      <c r="G86" s="73">
        <f t="shared" ca="1" si="4"/>
        <v>3.8611505124067136E-2</v>
      </c>
      <c r="H86" s="73">
        <f t="shared" ca="1" si="5"/>
        <v>0.22612696870598367</v>
      </c>
      <c r="I86" s="57" cm="1">
        <f t="array" aca="1" ref="I86" ca="1">SUMPRODUCT('Forecast DCF'!$D$16:$M$16,1/(1+F86)^('Forecast DCF'!$D$6:$M$6-0.5))+(('Forecast DCF'!$M$7*H86*(1-Assumptions!$C$21)+'Forecast DCF'!$M$15)*(1+G86)/(F86-G86))/(1+F86)^('Forecast DCF'!$M$6-0.5)</f>
        <v>107816.09127430465</v>
      </c>
      <c r="K86" s="49">
        <f ca="1">(I86-Assumptions!$C$12)/Assumptions!$C$9</f>
        <v>150.19160740741836</v>
      </c>
    </row>
    <row r="87" spans="2:11" outlineLevel="1" x14ac:dyDescent="0.2">
      <c r="B87" s="69">
        <f t="shared" si="1"/>
        <v>58</v>
      </c>
      <c r="C87" s="72">
        <f t="shared" ca="1" si="2"/>
        <v>0.94580815831064169</v>
      </c>
      <c r="D87" s="72">
        <f t="shared" ca="1" si="2"/>
        <v>0.68140539915077392</v>
      </c>
      <c r="E87" s="72">
        <f t="shared" ca="1" si="2"/>
        <v>5.9573258935883389E-2</v>
      </c>
      <c r="F87" s="73">
        <f t="shared" ca="1" si="3"/>
        <v>0.14005578482311418</v>
      </c>
      <c r="G87" s="73">
        <f t="shared" ca="1" si="4"/>
        <v>3.511179019847839E-2</v>
      </c>
      <c r="H87" s="73">
        <f t="shared" ca="1" si="5"/>
        <v>0.20071056407581311</v>
      </c>
      <c r="I87" s="57" cm="1">
        <f t="array" aca="1" ref="I87" ca="1">SUMPRODUCT('Forecast DCF'!$D$16:$M$16,1/(1+F87)^('Forecast DCF'!$D$6:$M$6-0.5))+(('Forecast DCF'!$M$7*H87*(1-Assumptions!$C$21)+'Forecast DCF'!$M$15)*(1+G87)/(F87-G87))/(1+F87)^('Forecast DCF'!$M$6-0.5)</f>
        <v>94916.003206143592</v>
      </c>
      <c r="K87" s="49">
        <f ca="1">(I87-Assumptions!$C$12)/Assumptions!$C$9</f>
        <v>126.54646700638567</v>
      </c>
    </row>
    <row r="88" spans="2:11" outlineLevel="1" x14ac:dyDescent="0.2">
      <c r="B88" s="69">
        <f t="shared" si="1"/>
        <v>59</v>
      </c>
      <c r="C88" s="72">
        <f t="shared" ca="1" si="2"/>
        <v>0.4238887877989318</v>
      </c>
      <c r="D88" s="72">
        <f t="shared" ca="1" si="2"/>
        <v>0.42389969044820819</v>
      </c>
      <c r="E88" s="72">
        <f t="shared" ca="1" si="2"/>
        <v>0.17947097360331465</v>
      </c>
      <c r="F88" s="73">
        <f t="shared" ca="1" si="3"/>
        <v>0.12879452663452595</v>
      </c>
      <c r="G88" s="73">
        <f t="shared" ca="1" si="4"/>
        <v>3.2974017404497638E-2</v>
      </c>
      <c r="H88" s="73">
        <f t="shared" ca="1" si="5"/>
        <v>0.21594705843242065</v>
      </c>
      <c r="I88" s="57" cm="1">
        <f t="array" aca="1" ref="I88" ca="1">SUMPRODUCT('Forecast DCF'!$D$16:$M$16,1/(1+F88)^('Forecast DCF'!$D$6:$M$6-0.5))+(('Forecast DCF'!$M$7*H88*(1-Assumptions!$C$21)+'Forecast DCF'!$M$15)*(1+G88)/(F88-G88))/(1+F88)^('Forecast DCF'!$M$6-0.5)</f>
        <v>123403.38464351352</v>
      </c>
      <c r="K88" s="49">
        <f ca="1">(I88-Assumptions!$C$12)/Assumptions!$C$9</f>
        <v>178.7622449286217</v>
      </c>
    </row>
    <row r="89" spans="2:11" outlineLevel="1" x14ac:dyDescent="0.2">
      <c r="B89" s="69">
        <f t="shared" si="1"/>
        <v>60</v>
      </c>
      <c r="C89" s="72">
        <f t="shared" ca="1" si="2"/>
        <v>0.58387150589167025</v>
      </c>
      <c r="D89" s="72">
        <f t="shared" ca="1" si="2"/>
        <v>0.75813656454240885</v>
      </c>
      <c r="E89" s="72">
        <f t="shared" ca="1" si="2"/>
        <v>0.14773300251389065</v>
      </c>
      <c r="F89" s="73">
        <f t="shared" ca="1" si="3"/>
        <v>0.13129925650637297</v>
      </c>
      <c r="G89" s="73">
        <f t="shared" ca="1" si="4"/>
        <v>3.5740920561985336E-2</v>
      </c>
      <c r="H89" s="73">
        <f t="shared" ca="1" si="5"/>
        <v>0.21261407086059653</v>
      </c>
      <c r="I89" s="57" cm="1">
        <f t="array" aca="1" ref="I89" ca="1">SUMPRODUCT('Forecast DCF'!$D$16:$M$16,1/(1+F89)^('Forecast DCF'!$D$6:$M$6-0.5))+(('Forecast DCF'!$M$7*H89*(1-Assumptions!$C$21)+'Forecast DCF'!$M$15)*(1+G89)/(F89-G89))/(1+F89)^('Forecast DCF'!$M$6-0.5)</f>
        <v>119251.10729385295</v>
      </c>
      <c r="K89" s="49">
        <f ca="1">(I89-Assumptions!$C$12)/Assumptions!$C$9</f>
        <v>171.15135263098887</v>
      </c>
    </row>
    <row r="90" spans="2:11" outlineLevel="1" x14ac:dyDescent="0.2">
      <c r="B90" s="69">
        <f t="shared" si="1"/>
        <v>61</v>
      </c>
      <c r="C90" s="72">
        <f t="shared" ca="1" si="2"/>
        <v>2.370987250726575E-2</v>
      </c>
      <c r="D90" s="72">
        <f t="shared" ca="1" si="2"/>
        <v>0.15751412693755396</v>
      </c>
      <c r="E90" s="72">
        <f t="shared" ca="1" si="2"/>
        <v>0.12368907677926333</v>
      </c>
      <c r="F90" s="73">
        <f t="shared" ca="1" si="3"/>
        <v>0.11826246188655153</v>
      </c>
      <c r="G90" s="73">
        <f t="shared" ca="1" si="4"/>
        <v>2.9860773502297048E-2</v>
      </c>
      <c r="H90" s="73">
        <f t="shared" ca="1" si="5"/>
        <v>0.20984227459177157</v>
      </c>
      <c r="I90" s="57" cm="1">
        <f t="array" aca="1" ref="I90" ca="1">SUMPRODUCT('Forecast DCF'!$D$16:$M$16,1/(1+F90)^('Forecast DCF'!$D$6:$M$6-0.5))+(('Forecast DCF'!$M$7*H90*(1-Assumptions!$C$21)+'Forecast DCF'!$M$15)*(1+G90)/(F90-G90))/(1+F90)^('Forecast DCF'!$M$6-0.5)</f>
        <v>143041.22752030744</v>
      </c>
      <c r="K90" s="49">
        <f ca="1">(I90-Assumptions!$C$12)/Assumptions!$C$9</f>
        <v>214.75731329883359</v>
      </c>
    </row>
    <row r="91" spans="2:11" outlineLevel="1" x14ac:dyDescent="0.2">
      <c r="B91" s="69">
        <f t="shared" si="1"/>
        <v>62</v>
      </c>
      <c r="C91" s="72">
        <f t="shared" ca="1" si="2"/>
        <v>0.41708371452769766</v>
      </c>
      <c r="D91" s="72">
        <f t="shared" ca="1" si="2"/>
        <v>0.27618832914309199</v>
      </c>
      <c r="E91" s="72">
        <f t="shared" ca="1" si="2"/>
        <v>0.20676860729640201</v>
      </c>
      <c r="F91" s="73">
        <f t="shared" ca="1" si="3"/>
        <v>0.12868335056857227</v>
      </c>
      <c r="G91" s="73">
        <f t="shared" ca="1" si="4"/>
        <v>3.1436478025400526E-2</v>
      </c>
      <c r="H91" s="73">
        <f t="shared" ca="1" si="5"/>
        <v>0.21858411554686843</v>
      </c>
      <c r="I91" s="57" cm="1">
        <f t="array" aca="1" ref="I91" ca="1">SUMPRODUCT('Forecast DCF'!$D$16:$M$16,1/(1+F91)^('Forecast DCF'!$D$6:$M$6-0.5))+(('Forecast DCF'!$M$7*H91*(1-Assumptions!$C$21)+'Forecast DCF'!$M$15)*(1+G91)/(F91-G91))/(1+F91)^('Forecast DCF'!$M$6-0.5)</f>
        <v>123086.94361395338</v>
      </c>
      <c r="K91" s="49">
        <f ca="1">(I91-Assumptions!$C$12)/Assumptions!$C$9</f>
        <v>178.18222620835698</v>
      </c>
    </row>
    <row r="92" spans="2:11" outlineLevel="1" x14ac:dyDescent="0.2">
      <c r="B92" s="69">
        <f t="shared" si="1"/>
        <v>63</v>
      </c>
      <c r="C92" s="72">
        <f t="shared" ca="1" si="2"/>
        <v>3.1251439452900431E-2</v>
      </c>
      <c r="D92" s="72">
        <f t="shared" ca="1" si="2"/>
        <v>6.4384307387317041E-2</v>
      </c>
      <c r="E92" s="72">
        <f t="shared" ca="1" si="2"/>
        <v>0.252731807064418</v>
      </c>
      <c r="F92" s="73">
        <f t="shared" ca="1" si="3"/>
        <v>0.11874555216863561</v>
      </c>
      <c r="G92" s="73">
        <f t="shared" ca="1" si="4"/>
        <v>2.8107675354360165E-2</v>
      </c>
      <c r="H92" s="73">
        <f t="shared" ca="1" si="5"/>
        <v>0.22265757858650453</v>
      </c>
      <c r="I92" s="57" cm="1">
        <f t="array" aca="1" ref="I92" ca="1">SUMPRODUCT('Forecast DCF'!$D$16:$M$16,1/(1+F92)^('Forecast DCF'!$D$6:$M$6-0.5))+(('Forecast DCF'!$M$7*H92*(1-Assumptions!$C$21)+'Forecast DCF'!$M$15)*(1+G92)/(F92-G92))/(1+F92)^('Forecast DCF'!$M$6-0.5)</f>
        <v>146723.48703292984</v>
      </c>
      <c r="K92" s="49">
        <f ca="1">(I92-Assumptions!$C$12)/Assumptions!$C$9</f>
        <v>221.50668917200207</v>
      </c>
    </row>
    <row r="93" spans="2:11" outlineLevel="1" x14ac:dyDescent="0.2">
      <c r="B93" s="69">
        <f t="shared" si="1"/>
        <v>64</v>
      </c>
      <c r="C93" s="72">
        <f t="shared" ca="1" si="2"/>
        <v>0.71042466074657973</v>
      </c>
      <c r="D93" s="72">
        <f t="shared" ca="1" si="2"/>
        <v>0.8748923734336449</v>
      </c>
      <c r="E93" s="72">
        <f t="shared" ca="1" si="2"/>
        <v>0.61030715213032061</v>
      </c>
      <c r="F93" s="73">
        <f t="shared" ca="1" si="3"/>
        <v>0.13357092204340471</v>
      </c>
      <c r="G93" s="73">
        <f t="shared" ca="1" si="4"/>
        <v>3.6936819954283356E-2</v>
      </c>
      <c r="H93" s="73">
        <f t="shared" ca="1" si="5"/>
        <v>0.24703030579037016</v>
      </c>
      <c r="I93" s="57" cm="1">
        <f t="array" aca="1" ref="I93" ca="1">SUMPRODUCT('Forecast DCF'!$D$16:$M$16,1/(1+F93)^('Forecast DCF'!$D$6:$M$6-0.5))+(('Forecast DCF'!$M$7*H93*(1-Assumptions!$C$21)+'Forecast DCF'!$M$15)*(1+G93)/(F93-G93))/(1+F93)^('Forecast DCF'!$M$6-0.5)</f>
        <v>132904.70325182599</v>
      </c>
      <c r="K93" s="49">
        <f ca="1">(I93-Assumptions!$C$12)/Assumptions!$C$9</f>
        <v>196.17763087803863</v>
      </c>
    </row>
    <row r="94" spans="2:11" outlineLevel="1" x14ac:dyDescent="0.2">
      <c r="B94" s="69">
        <f t="shared" si="1"/>
        <v>65</v>
      </c>
      <c r="C94" s="72">
        <f t="shared" ca="1" si="2"/>
        <v>0.62412243326094763</v>
      </c>
      <c r="D94" s="72">
        <f t="shared" ca="1" si="2"/>
        <v>0.1840007800063298</v>
      </c>
      <c r="E94" s="72">
        <f t="shared" ca="1" si="2"/>
        <v>0.25933526259597928</v>
      </c>
      <c r="F94" s="73">
        <f t="shared" ca="1" si="3"/>
        <v>0.13197872198696978</v>
      </c>
      <c r="G94" s="73">
        <f t="shared" ca="1" si="4"/>
        <v>3.0253581349988738E-2</v>
      </c>
      <c r="H94" s="73">
        <f t="shared" ca="1" si="5"/>
        <v>0.22321127041283384</v>
      </c>
      <c r="I94" s="57" cm="1">
        <f t="array" aca="1" ref="I94" ca="1">SUMPRODUCT('Forecast DCF'!$D$16:$M$16,1/(1+F94)^('Forecast DCF'!$D$6:$M$6-0.5))+(('Forecast DCF'!$M$7*H94*(1-Assumptions!$C$21)+'Forecast DCF'!$M$15)*(1+G94)/(F94-G94))/(1+F94)^('Forecast DCF'!$M$6-0.5)</f>
        <v>116431.32459936332</v>
      </c>
      <c r="K94" s="49">
        <f ca="1">(I94-Assumptions!$C$12)/Assumptions!$C$9</f>
        <v>165.98284855882136</v>
      </c>
    </row>
    <row r="95" spans="2:11" outlineLevel="1" x14ac:dyDescent="0.2">
      <c r="B95" s="69">
        <f t="shared" si="1"/>
        <v>66</v>
      </c>
      <c r="C95" s="72">
        <f t="shared" ca="1" si="2"/>
        <v>0.26313963289036846</v>
      </c>
      <c r="D95" s="72">
        <f t="shared" ca="1" si="2"/>
        <v>0.66554877767938248</v>
      </c>
      <c r="E95" s="72">
        <f t="shared" ca="1" si="2"/>
        <v>0.90823765418276836</v>
      </c>
      <c r="F95" s="73">
        <f t="shared" ca="1" si="3"/>
        <v>0.12586860911087161</v>
      </c>
      <c r="G95" s="73">
        <f t="shared" ca="1" si="4"/>
        <v>3.4991612314932329E-2</v>
      </c>
      <c r="H95" s="73">
        <f t="shared" ca="1" si="5"/>
        <v>0.27429613083825571</v>
      </c>
      <c r="I95" s="57" cm="1">
        <f t="array" aca="1" ref="I95" ca="1">SUMPRODUCT('Forecast DCF'!$D$16:$M$16,1/(1+F95)^('Forecast DCF'!$D$6:$M$6-0.5))+(('Forecast DCF'!$M$7*H95*(1-Assumptions!$C$21)+'Forecast DCF'!$M$15)*(1+G95)/(F95-G95))/(1+F95)^('Forecast DCF'!$M$6-0.5)</f>
        <v>166929.58180404297</v>
      </c>
      <c r="K95" s="49">
        <f ca="1">(I95-Assumptions!$C$12)/Assumptions!$C$9</f>
        <v>258.54333150305331</v>
      </c>
    </row>
    <row r="96" spans="2:11" outlineLevel="1" x14ac:dyDescent="0.2">
      <c r="B96" s="69">
        <f t="shared" ref="B96:B159" si="6">ROW()-29</f>
        <v>67</v>
      </c>
      <c r="C96" s="72">
        <f t="shared" ref="C96:E159" ca="1" si="7">RAND()</f>
        <v>0.55409093857317104</v>
      </c>
      <c r="D96" s="72">
        <f t="shared" ca="1" si="7"/>
        <v>0.41027453656568935</v>
      </c>
      <c r="E96" s="72">
        <f t="shared" ca="1" si="7"/>
        <v>0.84867716237827973</v>
      </c>
      <c r="F96" s="73">
        <f t="shared" ref="F96:F159" ca="1" si="8">IF(C96&lt;($D$7-$C$7)/($E$7-$C$7),$C$7+SQRT(C96*($E$7-$C$7)*($D$7-$C$7)),$E$7-SQRT((1-C96)*($E$7-$C$7)*($E$7-$D$7)))</f>
        <v>0.13081747502495233</v>
      </c>
      <c r="G96" s="73">
        <f t="shared" ref="G96:G159" ca="1" si="9">IF(D96&lt;($D$8-$C$8)/($E$8-$C$8),$C$8+SQRT(D96*($E$8-$C$8)*($D$8-$C$8)),$E$8-SQRT((1-D96)*($E$8-$C$8)*($E$8-$D$8)))</f>
        <v>3.2844818703122045E-2</v>
      </c>
      <c r="H96" s="73">
        <f t="shared" ref="H96:H159" ca="1" si="10">IF(E96&lt;($D$9-$C$9)/($E$9-$C$9),$C$9+SQRT(E96*($E$9-$C$9)*($D$9-$C$9)),$E$9-SQRT((1-E96)*($E$9-$C$9)*($E$9-$D$9)))</f>
        <v>0.26699205503403178</v>
      </c>
      <c r="I96" s="57" cm="1">
        <f t="array" aca="1" ref="I96" ca="1">SUMPRODUCT('Forecast DCF'!$D$16:$M$16,1/(1+F96)^('Forecast DCF'!$D$6:$M$6-0.5))+(('Forecast DCF'!$M$7*H96*(1-Assumptions!$C$21)+'Forecast DCF'!$M$15)*(1+G96)/(F96-G96))/(1+F96)^('Forecast DCF'!$M$6-0.5)</f>
        <v>144429.49256412993</v>
      </c>
      <c r="K96" s="49">
        <f ca="1">(I96-Assumptions!$C$12)/Assumptions!$C$9</f>
        <v>217.30192552950871</v>
      </c>
    </row>
    <row r="97" spans="2:11" outlineLevel="1" x14ac:dyDescent="0.2">
      <c r="B97" s="69">
        <f t="shared" si="6"/>
        <v>68</v>
      </c>
      <c r="C97" s="72">
        <f t="shared" ca="1" si="7"/>
        <v>0.72093616429700047</v>
      </c>
      <c r="D97" s="72">
        <f t="shared" ca="1" si="7"/>
        <v>0.29662435377085916</v>
      </c>
      <c r="E97" s="72">
        <f t="shared" ca="1" si="7"/>
        <v>0.4782701068682117</v>
      </c>
      <c r="F97" s="73">
        <f t="shared" ca="1" si="8"/>
        <v>0.13378027563517364</v>
      </c>
      <c r="G97" s="73">
        <f t="shared" ca="1" si="9"/>
        <v>3.1670356292255231E-2</v>
      </c>
      <c r="H97" s="73">
        <f t="shared" ca="1" si="10"/>
        <v>0.23868172432240828</v>
      </c>
      <c r="I97" s="57" cm="1">
        <f t="array" aca="1" ref="I97" ca="1">SUMPRODUCT('Forecast DCF'!$D$16:$M$16,1/(1+F97)^('Forecast DCF'!$D$6:$M$6-0.5))+(('Forecast DCF'!$M$7*H97*(1-Assumptions!$C$21)+'Forecast DCF'!$M$15)*(1+G97)/(F97-G97))/(1+F97)^('Forecast DCF'!$M$6-0.5)</f>
        <v>121455.07092150724</v>
      </c>
      <c r="K97" s="49">
        <f ca="1">(I97-Assumptions!$C$12)/Assumptions!$C$9</f>
        <v>175.19109477377904</v>
      </c>
    </row>
    <row r="98" spans="2:11" outlineLevel="1" x14ac:dyDescent="0.2">
      <c r="B98" s="69">
        <f t="shared" si="6"/>
        <v>69</v>
      </c>
      <c r="C98" s="72">
        <f t="shared" ca="1" si="7"/>
        <v>0.93805341921845509</v>
      </c>
      <c r="D98" s="72">
        <f t="shared" ca="1" si="7"/>
        <v>6.0939573226826638E-2</v>
      </c>
      <c r="E98" s="72">
        <f t="shared" ca="1" si="7"/>
        <v>0.53317733612598084</v>
      </c>
      <c r="F98" s="73">
        <f t="shared" ca="1" si="8"/>
        <v>0.13971385492295865</v>
      </c>
      <c r="G98" s="73">
        <f t="shared" ca="1" si="9"/>
        <v>2.8023398085602357E-2</v>
      </c>
      <c r="H98" s="73">
        <f t="shared" ca="1" si="10"/>
        <v>0.24202480547774818</v>
      </c>
      <c r="I98" s="57" cm="1">
        <f t="array" aca="1" ref="I98" ca="1">SUMPRODUCT('Forecast DCF'!$D$16:$M$16,1/(1+F98)^('Forecast DCF'!$D$6:$M$6-0.5))+(('Forecast DCF'!$M$7*H98*(1-Assumptions!$C$21)+'Forecast DCF'!$M$15)*(1+G98)/(F98-G98))/(1+F98)^('Forecast DCF'!$M$6-0.5)</f>
        <v>106398.93122901049</v>
      </c>
      <c r="K98" s="49">
        <f ca="1">(I98-Assumptions!$C$12)/Assumptions!$C$9</f>
        <v>147.59403225408136</v>
      </c>
    </row>
    <row r="99" spans="2:11" outlineLevel="1" x14ac:dyDescent="0.2">
      <c r="B99" s="69">
        <f t="shared" si="6"/>
        <v>70</v>
      </c>
      <c r="C99" s="72">
        <f t="shared" ca="1" si="7"/>
        <v>0.67916312751049013</v>
      </c>
      <c r="D99" s="72">
        <f t="shared" ca="1" si="7"/>
        <v>0.56994860466614472</v>
      </c>
      <c r="E99" s="72">
        <f t="shared" ca="1" si="7"/>
        <v>3.7366140420285965E-2</v>
      </c>
      <c r="F99" s="73">
        <f t="shared" ca="1" si="8"/>
        <v>0.13296980837321185</v>
      </c>
      <c r="G99" s="73">
        <f t="shared" ca="1" si="9"/>
        <v>3.424620412385114E-2</v>
      </c>
      <c r="H99" s="73">
        <f t="shared" ca="1" si="10"/>
        <v>0.19640232334232133</v>
      </c>
      <c r="I99" s="57" cm="1">
        <f t="array" aca="1" ref="I99" ca="1">SUMPRODUCT('Forecast DCF'!$D$16:$M$16,1/(1+F99)^('Forecast DCF'!$D$6:$M$6-0.5))+(('Forecast DCF'!$M$7*H99*(1-Assumptions!$C$21)+'Forecast DCF'!$M$15)*(1+G99)/(F99-G99))/(1+F99)^('Forecast DCF'!$M$6-0.5)</f>
        <v>105645.23881614112</v>
      </c>
      <c r="K99" s="49">
        <f ca="1">(I99-Assumptions!$C$12)/Assumptions!$C$9</f>
        <v>146.2125561876137</v>
      </c>
    </row>
    <row r="100" spans="2:11" outlineLevel="1" x14ac:dyDescent="0.2">
      <c r="B100" s="69">
        <f t="shared" si="6"/>
        <v>71</v>
      </c>
      <c r="C100" s="72">
        <f t="shared" ca="1" si="7"/>
        <v>0.2778713446975396</v>
      </c>
      <c r="D100" s="72">
        <f t="shared" ca="1" si="7"/>
        <v>0.41073984970208399</v>
      </c>
      <c r="E100" s="72">
        <f t="shared" ca="1" si="7"/>
        <v>0.44099136396540561</v>
      </c>
      <c r="F100" s="73">
        <f t="shared" ca="1" si="8"/>
        <v>0.12616870239646219</v>
      </c>
      <c r="G100" s="73">
        <f t="shared" ca="1" si="9"/>
        <v>3.2849266045644816E-2</v>
      </c>
      <c r="H100" s="73">
        <f t="shared" ca="1" si="10"/>
        <v>0.23634836129428183</v>
      </c>
      <c r="I100" s="57" cm="1">
        <f t="array" aca="1" ref="I100" ca="1">SUMPRODUCT('Forecast DCF'!$D$16:$M$16,1/(1+F100)^('Forecast DCF'!$D$6:$M$6-0.5))+(('Forecast DCF'!$M$7*H100*(1-Assumptions!$C$21)+'Forecast DCF'!$M$15)*(1+G100)/(F100-G100))/(1+F100)^('Forecast DCF'!$M$6-0.5)</f>
        <v>141036.29273504068</v>
      </c>
      <c r="K100" s="49">
        <f ca="1">(I100-Assumptions!$C$12)/Assumptions!$C$9</f>
        <v>211.08237989976999</v>
      </c>
    </row>
    <row r="101" spans="2:11" outlineLevel="1" x14ac:dyDescent="0.2">
      <c r="B101" s="69">
        <f t="shared" si="6"/>
        <v>72</v>
      </c>
      <c r="C101" s="72">
        <f t="shared" ca="1" si="7"/>
        <v>0.20157212273959857</v>
      </c>
      <c r="D101" s="72">
        <f t="shared" ca="1" si="7"/>
        <v>0.35221007271128968</v>
      </c>
      <c r="E101" s="72">
        <f t="shared" ca="1" si="7"/>
        <v>0.30524073409231767</v>
      </c>
      <c r="F101" s="73">
        <f t="shared" ca="1" si="8"/>
        <v>0.12451253071544649</v>
      </c>
      <c r="G101" s="73">
        <f t="shared" ca="1" si="9"/>
        <v>3.2268528799330266E-2</v>
      </c>
      <c r="H101" s="73">
        <f t="shared" ca="1" si="10"/>
        <v>0.22687998811288979</v>
      </c>
      <c r="I101" s="57" cm="1">
        <f t="array" aca="1" ref="I101" ca="1">SUMPRODUCT('Forecast DCF'!$D$16:$M$16,1/(1+F101)^('Forecast DCF'!$D$6:$M$6-0.5))+(('Forecast DCF'!$M$7*H101*(1-Assumptions!$C$21)+'Forecast DCF'!$M$15)*(1+G101)/(F101-G101))/(1+F101)^('Forecast DCF'!$M$6-0.5)</f>
        <v>139401.73934023382</v>
      </c>
      <c r="K101" s="49">
        <f ca="1">(I101-Assumptions!$C$12)/Assumptions!$C$9</f>
        <v>208.08633488759804</v>
      </c>
    </row>
    <row r="102" spans="2:11" outlineLevel="1" x14ac:dyDescent="0.2">
      <c r="B102" s="69">
        <f t="shared" si="6"/>
        <v>73</v>
      </c>
      <c r="C102" s="72">
        <f t="shared" ca="1" si="7"/>
        <v>0.88830914540899197</v>
      </c>
      <c r="D102" s="72">
        <f t="shared" ca="1" si="7"/>
        <v>0.77276366451460954</v>
      </c>
      <c r="E102" s="72">
        <f t="shared" ca="1" si="7"/>
        <v>0.11501244228059992</v>
      </c>
      <c r="F102" s="73">
        <f t="shared" ca="1" si="8"/>
        <v>0.13790194737227726</v>
      </c>
      <c r="G102" s="73">
        <f t="shared" ca="1" si="9"/>
        <v>3.587171643883269E-2</v>
      </c>
      <c r="H102" s="73">
        <f t="shared" ca="1" si="10"/>
        <v>0.20877654573468329</v>
      </c>
      <c r="I102" s="57" cm="1">
        <f t="array" aca="1" ref="I102" ca="1">SUMPRODUCT('Forecast DCF'!$D$16:$M$16,1/(1+F102)^('Forecast DCF'!$D$6:$M$6-0.5))+(('Forecast DCF'!$M$7*H102*(1-Assumptions!$C$21)+'Forecast DCF'!$M$15)*(1+G102)/(F102-G102))/(1+F102)^('Forecast DCF'!$M$6-0.5)</f>
        <v>103352.11052360006</v>
      </c>
      <c r="K102" s="49">
        <f ca="1">(I102-Assumptions!$C$12)/Assumptions!$C$9</f>
        <v>142.0093801977894</v>
      </c>
    </row>
    <row r="103" spans="2:11" outlineLevel="1" x14ac:dyDescent="0.2">
      <c r="B103" s="69">
        <f t="shared" si="6"/>
        <v>74</v>
      </c>
      <c r="C103" s="72">
        <f t="shared" ca="1" si="7"/>
        <v>0.13458034567875299</v>
      </c>
      <c r="D103" s="72">
        <f t="shared" ca="1" si="7"/>
        <v>0.54676683828790573</v>
      </c>
      <c r="E103" s="72">
        <f t="shared" ca="1" si="7"/>
        <v>0.82518593892250658</v>
      </c>
      <c r="F103" s="73">
        <f t="shared" ca="1" si="8"/>
        <v>0.12277269555130584</v>
      </c>
      <c r="G103" s="73">
        <f t="shared" ca="1" si="9"/>
        <v>3.4056214758009323E-2</v>
      </c>
      <c r="H103" s="73">
        <f t="shared" ca="1" si="10"/>
        <v>0.26452238396174355</v>
      </c>
      <c r="I103" s="57" cm="1">
        <f t="array" aca="1" ref="I103" ca="1">SUMPRODUCT('Forecast DCF'!$D$16:$M$16,1/(1+F103)^('Forecast DCF'!$D$6:$M$6-0.5))+(('Forecast DCF'!$M$7*H103*(1-Assumptions!$C$21)+'Forecast DCF'!$M$15)*(1+G103)/(F103-G103))/(1+F103)^('Forecast DCF'!$M$6-0.5)</f>
        <v>169792.72739095119</v>
      </c>
      <c r="K103" s="49">
        <f ca="1">(I103-Assumptions!$C$12)/Assumptions!$C$9</f>
        <v>263.79131733333088</v>
      </c>
    </row>
    <row r="104" spans="2:11" outlineLevel="1" x14ac:dyDescent="0.2">
      <c r="B104" s="69">
        <f t="shared" si="6"/>
        <v>75</v>
      </c>
      <c r="C104" s="72">
        <f t="shared" ca="1" si="7"/>
        <v>0.48123819368567466</v>
      </c>
      <c r="D104" s="72">
        <f t="shared" ca="1" si="7"/>
        <v>0.3716562157701675</v>
      </c>
      <c r="E104" s="72">
        <f t="shared" ca="1" si="7"/>
        <v>0.90877314166492462</v>
      </c>
      <c r="F104" s="73">
        <f t="shared" ca="1" si="8"/>
        <v>0.12969808929201826</v>
      </c>
      <c r="G104" s="73">
        <f t="shared" ca="1" si="9"/>
        <v>3.2466487284227109E-2</v>
      </c>
      <c r="H104" s="73">
        <f t="shared" ca="1" si="10"/>
        <v>0.27437123920255713</v>
      </c>
      <c r="I104" s="57" cm="1">
        <f t="array" aca="1" ref="I104" ca="1">SUMPRODUCT('Forecast DCF'!$D$16:$M$16,1/(1+F104)^('Forecast DCF'!$D$6:$M$6-0.5))+(('Forecast DCF'!$M$7*H104*(1-Assumptions!$C$21)+'Forecast DCF'!$M$15)*(1+G104)/(F104-G104))/(1+F104)^('Forecast DCF'!$M$6-0.5)</f>
        <v>150793.15205230139</v>
      </c>
      <c r="K104" s="49">
        <f ca="1">(I104-Assumptions!$C$12)/Assumptions!$C$9</f>
        <v>228.96615768568714</v>
      </c>
    </row>
    <row r="105" spans="2:11" outlineLevel="1" x14ac:dyDescent="0.2">
      <c r="B105" s="69">
        <f t="shared" si="6"/>
        <v>76</v>
      </c>
      <c r="C105" s="72">
        <f t="shared" ca="1" si="7"/>
        <v>0.25710285950520162</v>
      </c>
      <c r="D105" s="72">
        <f t="shared" ca="1" si="7"/>
        <v>0.77381570716422421</v>
      </c>
      <c r="E105" s="72">
        <f t="shared" ca="1" si="7"/>
        <v>7.1448696981361137E-2</v>
      </c>
      <c r="F105" s="73">
        <f t="shared" ca="1" si="8"/>
        <v>0.12574321558568519</v>
      </c>
      <c r="G105" s="73">
        <f t="shared" ca="1" si="9"/>
        <v>3.5881283942454496E-2</v>
      </c>
      <c r="H105" s="73">
        <f t="shared" ca="1" si="10"/>
        <v>0.2026810629880039</v>
      </c>
      <c r="I105" s="57" cm="1">
        <f t="array" aca="1" ref="I105" ca="1">SUMPRODUCT('Forecast DCF'!$D$16:$M$16,1/(1+F105)^('Forecast DCF'!$D$6:$M$6-0.5))+(('Forecast DCF'!$M$7*H105*(1-Assumptions!$C$21)+'Forecast DCF'!$M$15)*(1+G105)/(F105-G105))/(1+F105)^('Forecast DCF'!$M$6-0.5)</f>
        <v>127520.51138428455</v>
      </c>
      <c r="K105" s="49">
        <f ca="1">(I105-Assumptions!$C$12)/Assumptions!$C$9</f>
        <v>186.3087081248419</v>
      </c>
    </row>
    <row r="106" spans="2:11" outlineLevel="1" x14ac:dyDescent="0.2">
      <c r="B106" s="69">
        <f t="shared" si="6"/>
        <v>77</v>
      </c>
      <c r="C106" s="72">
        <f t="shared" ca="1" si="7"/>
        <v>0.53123551804262481</v>
      </c>
      <c r="D106" s="72">
        <f t="shared" ca="1" si="7"/>
        <v>0.70686468297756089</v>
      </c>
      <c r="E106" s="72">
        <f t="shared" ca="1" si="7"/>
        <v>0.90788057235825159</v>
      </c>
      <c r="F106" s="73">
        <f t="shared" ca="1" si="8"/>
        <v>0.13045854856844707</v>
      </c>
      <c r="G106" s="73">
        <f t="shared" ca="1" si="9"/>
        <v>3.531116765316962E-2</v>
      </c>
      <c r="H106" s="73">
        <f t="shared" ca="1" si="10"/>
        <v>0.27424616768283622</v>
      </c>
      <c r="I106" s="57" cm="1">
        <f t="array" aca="1" ref="I106" ca="1">SUMPRODUCT('Forecast DCF'!$D$16:$M$16,1/(1+F106)^('Forecast DCF'!$D$6:$M$6-0.5))+(('Forecast DCF'!$M$7*H106*(1-Assumptions!$C$21)+'Forecast DCF'!$M$15)*(1+G106)/(F106-G106))/(1+F106)^('Forecast DCF'!$M$6-0.5)</f>
        <v>153082.25056259695</v>
      </c>
      <c r="K106" s="49">
        <f ca="1">(I106-Assumptions!$C$12)/Assumptions!$C$9</f>
        <v>233.16194730989309</v>
      </c>
    </row>
    <row r="107" spans="2:11" outlineLevel="1" x14ac:dyDescent="0.2">
      <c r="B107" s="69">
        <f t="shared" si="6"/>
        <v>78</v>
      </c>
      <c r="C107" s="72">
        <f t="shared" ca="1" si="7"/>
        <v>0.48184895173993381</v>
      </c>
      <c r="D107" s="72">
        <f t="shared" ca="1" si="7"/>
        <v>0.61487974121588673</v>
      </c>
      <c r="E107" s="72">
        <f t="shared" ca="1" si="7"/>
        <v>0.79254871223272805</v>
      </c>
      <c r="F107" s="73">
        <f t="shared" ca="1" si="8"/>
        <v>0.12970741329215357</v>
      </c>
      <c r="G107" s="73">
        <f t="shared" ca="1" si="9"/>
        <v>3.4603747246902281E-2</v>
      </c>
      <c r="H107" s="73">
        <f t="shared" ca="1" si="10"/>
        <v>0.26135224104913252</v>
      </c>
      <c r="I107" s="57" cm="1">
        <f t="array" aca="1" ref="I107" ca="1">SUMPRODUCT('Forecast DCF'!$D$16:$M$16,1/(1+F107)^('Forecast DCF'!$D$6:$M$6-0.5))+(('Forecast DCF'!$M$7*H107*(1-Assumptions!$C$21)+'Forecast DCF'!$M$15)*(1+G107)/(F107-G107))/(1+F107)^('Forecast DCF'!$M$6-0.5)</f>
        <v>147335.4957948167</v>
      </c>
      <c r="K107" s="49">
        <f ca="1">(I107-Assumptions!$C$12)/Assumptions!$C$9</f>
        <v>222.62846702537914</v>
      </c>
    </row>
    <row r="108" spans="2:11" outlineLevel="1" x14ac:dyDescent="0.2">
      <c r="B108" s="69">
        <f t="shared" si="6"/>
        <v>79</v>
      </c>
      <c r="C108" s="72">
        <f t="shared" ca="1" si="7"/>
        <v>0.32486920928603424</v>
      </c>
      <c r="D108" s="72">
        <f t="shared" ca="1" si="7"/>
        <v>0.19001062489021792</v>
      </c>
      <c r="E108" s="72">
        <f t="shared" ca="1" si="7"/>
        <v>0.29506731596627367</v>
      </c>
      <c r="F108" s="73">
        <f t="shared" ca="1" si="8"/>
        <v>0.12707633392038836</v>
      </c>
      <c r="G108" s="73">
        <f t="shared" ca="1" si="9"/>
        <v>3.0338688390750365E-2</v>
      </c>
      <c r="H108" s="73">
        <f t="shared" ca="1" si="10"/>
        <v>0.22609213246267923</v>
      </c>
      <c r="I108" s="57" cm="1">
        <f t="array" aca="1" ref="I108" ca="1">SUMPRODUCT('Forecast DCF'!$D$16:$M$16,1/(1+F108)^('Forecast DCF'!$D$6:$M$6-0.5))+(('Forecast DCF'!$M$7*H108*(1-Assumptions!$C$21)+'Forecast DCF'!$M$15)*(1+G108)/(F108-G108))/(1+F108)^('Forecast DCF'!$M$6-0.5)</f>
        <v>129511.16455405434</v>
      </c>
      <c r="K108" s="49">
        <f ca="1">(I108-Assumptions!$C$12)/Assumptions!$C$9</f>
        <v>189.95746412094553</v>
      </c>
    </row>
    <row r="109" spans="2:11" outlineLevel="1" x14ac:dyDescent="0.2">
      <c r="B109" s="69">
        <f t="shared" si="6"/>
        <v>80</v>
      </c>
      <c r="C109" s="72">
        <f t="shared" ca="1" si="7"/>
        <v>0.57995837188753674</v>
      </c>
      <c r="D109" s="72">
        <f t="shared" ca="1" si="7"/>
        <v>0.97766000183438584</v>
      </c>
      <c r="E109" s="72">
        <f t="shared" ca="1" si="7"/>
        <v>0.37828459829978955</v>
      </c>
      <c r="F109" s="73">
        <f t="shared" ca="1" si="8"/>
        <v>0.13123498862299432</v>
      </c>
      <c r="G109" s="73">
        <f t="shared" ca="1" si="9"/>
        <v>3.870558899014994E-2</v>
      </c>
      <c r="H109" s="73">
        <f t="shared" ca="1" si="10"/>
        <v>0.23218859173956014</v>
      </c>
      <c r="I109" s="57" cm="1">
        <f t="array" aca="1" ref="I109" ca="1">SUMPRODUCT('Forecast DCF'!$D$16:$M$16,1/(1+F109)^('Forecast DCF'!$D$6:$M$6-0.5))+(('Forecast DCF'!$M$7*H109*(1-Assumptions!$C$21)+'Forecast DCF'!$M$15)*(1+G109)/(F109-G109))/(1+F109)^('Forecast DCF'!$M$6-0.5)</f>
        <v>133783.85925767454</v>
      </c>
      <c r="K109" s="49">
        <f ca="1">(I109-Assumptions!$C$12)/Assumptions!$C$9</f>
        <v>197.78907469786856</v>
      </c>
    </row>
    <row r="110" spans="2:11" outlineLevel="1" x14ac:dyDescent="0.2">
      <c r="B110" s="69">
        <f t="shared" si="6"/>
        <v>81</v>
      </c>
      <c r="C110" s="72">
        <f t="shared" ca="1" si="7"/>
        <v>0.91591637301837736</v>
      </c>
      <c r="D110" s="72">
        <f t="shared" ca="1" si="7"/>
        <v>0.42500277072911885</v>
      </c>
      <c r="E110" s="72">
        <f t="shared" ca="1" si="7"/>
        <v>0.66508106287922619</v>
      </c>
      <c r="F110" s="73">
        <f t="shared" ca="1" si="8"/>
        <v>0.13884134144918717</v>
      </c>
      <c r="G110" s="73">
        <f t="shared" ca="1" si="9"/>
        <v>3.2984385737761412E-2</v>
      </c>
      <c r="H110" s="73">
        <f t="shared" ca="1" si="10"/>
        <v>0.2508938257724187</v>
      </c>
      <c r="I110" s="57" cm="1">
        <f t="array" aca="1" ref="I110" ca="1">SUMPRODUCT('Forecast DCF'!$D$16:$M$16,1/(1+F110)^('Forecast DCF'!$D$6:$M$6-0.5))+(('Forecast DCF'!$M$7*H110*(1-Assumptions!$C$21)+'Forecast DCF'!$M$15)*(1+G110)/(F110-G110))/(1+F110)^('Forecast DCF'!$M$6-0.5)</f>
        <v>117218.88487954556</v>
      </c>
      <c r="K110" s="49">
        <f ca="1">(I110-Assumptions!$C$12)/Assumptions!$C$9</f>
        <v>167.42640253308818</v>
      </c>
    </row>
    <row r="111" spans="2:11" outlineLevel="1" x14ac:dyDescent="0.2">
      <c r="B111" s="69">
        <f t="shared" si="6"/>
        <v>82</v>
      </c>
      <c r="C111" s="72">
        <f t="shared" ca="1" si="7"/>
        <v>0.438566240682427</v>
      </c>
      <c r="D111" s="72">
        <f t="shared" ca="1" si="7"/>
        <v>9.1382355320411945E-2</v>
      </c>
      <c r="E111" s="72">
        <f t="shared" ca="1" si="7"/>
        <v>1.8995007699753264E-2</v>
      </c>
      <c r="F111" s="73">
        <f t="shared" ca="1" si="8"/>
        <v>0.12903131700086343</v>
      </c>
      <c r="G111" s="73">
        <f t="shared" ca="1" si="9"/>
        <v>2.8702344297612231E-2</v>
      </c>
      <c r="H111" s="73">
        <f t="shared" ca="1" si="10"/>
        <v>0.19169461651522712</v>
      </c>
      <c r="I111" s="57" cm="1">
        <f t="array" aca="1" ref="I111" ca="1">SUMPRODUCT('Forecast DCF'!$D$16:$M$16,1/(1+F111)^('Forecast DCF'!$D$6:$M$6-0.5))+(('Forecast DCF'!$M$7*H111*(1-Assumptions!$C$21)+'Forecast DCF'!$M$15)*(1+G111)/(F111-G111))/(1+F111)^('Forecast DCF'!$M$6-0.5)</f>
        <v>105444.67557306011</v>
      </c>
      <c r="K111" s="49">
        <f ca="1">(I111-Assumptions!$C$12)/Assumptions!$C$9</f>
        <v>145.84493497317862</v>
      </c>
    </row>
    <row r="112" spans="2:11" outlineLevel="1" x14ac:dyDescent="0.2">
      <c r="B112" s="69">
        <f t="shared" si="6"/>
        <v>83</v>
      </c>
      <c r="C112" s="72">
        <f t="shared" ca="1" si="7"/>
        <v>0.98642497495023518</v>
      </c>
      <c r="D112" s="72">
        <f t="shared" ca="1" si="7"/>
        <v>0.70322103259700486</v>
      </c>
      <c r="E112" s="72">
        <f t="shared" ca="1" si="7"/>
        <v>0.61503633966246396</v>
      </c>
      <c r="F112" s="73">
        <f t="shared" ca="1" si="8"/>
        <v>0.14252542439100691</v>
      </c>
      <c r="G112" s="73">
        <f t="shared" ca="1" si="9"/>
        <v>3.5282116729376978E-2</v>
      </c>
      <c r="H112" s="73">
        <f t="shared" ca="1" si="10"/>
        <v>0.24735269850761332</v>
      </c>
      <c r="I112" s="57" cm="1">
        <f t="array" aca="1" ref="I112" ca="1">SUMPRODUCT('Forecast DCF'!$D$16:$M$16,1/(1+F112)^('Forecast DCF'!$D$6:$M$6-0.5))+(('Forecast DCF'!$M$7*H112*(1-Assumptions!$C$21)+'Forecast DCF'!$M$15)*(1+G112)/(F112-G112))/(1+F112)^('Forecast DCF'!$M$6-0.5)</f>
        <v>110392.61219853317</v>
      </c>
      <c r="K112" s="49">
        <f ca="1">(I112-Assumptions!$C$12)/Assumptions!$C$9</f>
        <v>154.91422625138929</v>
      </c>
    </row>
    <row r="113" spans="2:11" outlineLevel="1" x14ac:dyDescent="0.2">
      <c r="B113" s="69">
        <f t="shared" si="6"/>
        <v>84</v>
      </c>
      <c r="C113" s="72">
        <f t="shared" ca="1" si="7"/>
        <v>0.69106661820558823</v>
      </c>
      <c r="D113" s="72">
        <f t="shared" ca="1" si="7"/>
        <v>0.15946827575811251</v>
      </c>
      <c r="E113" s="72">
        <f t="shared" ca="1" si="7"/>
        <v>0.49144152218000947</v>
      </c>
      <c r="F113" s="73">
        <f t="shared" ca="1" si="8"/>
        <v>0.1331950860051091</v>
      </c>
      <c r="G113" s="73">
        <f t="shared" ca="1" si="9"/>
        <v>2.9890832379433678E-2</v>
      </c>
      <c r="H113" s="73">
        <f t="shared" ca="1" si="10"/>
        <v>0.2394842748942615</v>
      </c>
      <c r="I113" s="57" cm="1">
        <f t="array" aca="1" ref="I113" ca="1">SUMPRODUCT('Forecast DCF'!$D$16:$M$16,1/(1+F113)^('Forecast DCF'!$D$6:$M$6-0.5))+(('Forecast DCF'!$M$7*H113*(1-Assumptions!$C$21)+'Forecast DCF'!$M$15)*(1+G113)/(F113-G113))/(1+F113)^('Forecast DCF'!$M$6-0.5)</f>
        <v>121038.83488532956</v>
      </c>
      <c r="K113" s="49">
        <f ca="1">(I113-Assumptions!$C$12)/Assumptions!$C$9</f>
        <v>174.4281573842521</v>
      </c>
    </row>
    <row r="114" spans="2:11" outlineLevel="1" x14ac:dyDescent="0.2">
      <c r="B114" s="69">
        <f t="shared" si="6"/>
        <v>85</v>
      </c>
      <c r="C114" s="72">
        <f t="shared" ca="1" si="7"/>
        <v>1.3247827523498734E-2</v>
      </c>
      <c r="D114" s="72">
        <f t="shared" ca="1" si="7"/>
        <v>0.3706913135525145</v>
      </c>
      <c r="E114" s="72">
        <f t="shared" ca="1" si="7"/>
        <v>0.76737969271153805</v>
      </c>
      <c r="F114" s="73">
        <f t="shared" ca="1" si="8"/>
        <v>0.11743867075446211</v>
      </c>
      <c r="G114" s="73">
        <f t="shared" ca="1" si="9"/>
        <v>3.2456788654164556E-2</v>
      </c>
      <c r="H114" s="73">
        <f t="shared" ca="1" si="10"/>
        <v>0.25907487064801227</v>
      </c>
      <c r="I114" s="57" cm="1">
        <f t="array" aca="1" ref="I114" ca="1">SUMPRODUCT('Forecast DCF'!$D$16:$M$16,1/(1+F114)^('Forecast DCF'!$D$6:$M$6-0.5))+(('Forecast DCF'!$M$7*H114*(1-Assumptions!$C$21)+'Forecast DCF'!$M$15)*(1+G114)/(F114-G114))/(1+F114)^('Forecast DCF'!$M$6-0.5)</f>
        <v>182053.23177051151</v>
      </c>
      <c r="K114" s="49">
        <f ca="1">(I114-Assumptions!$C$12)/Assumptions!$C$9</f>
        <v>286.26413658157236</v>
      </c>
    </row>
    <row r="115" spans="2:11" outlineLevel="1" x14ac:dyDescent="0.2">
      <c r="B115" s="69">
        <f t="shared" si="6"/>
        <v>86</v>
      </c>
      <c r="C115" s="72">
        <f t="shared" ca="1" si="7"/>
        <v>0.57262520261147865</v>
      </c>
      <c r="D115" s="72">
        <f t="shared" ca="1" si="7"/>
        <v>0.3389004065319795</v>
      </c>
      <c r="E115" s="72">
        <f t="shared" ca="1" si="7"/>
        <v>0.213824486406616</v>
      </c>
      <c r="F115" s="73">
        <f t="shared" ca="1" si="8"/>
        <v>0.13111535238529554</v>
      </c>
      <c r="G115" s="73">
        <f t="shared" ca="1" si="9"/>
        <v>3.2129871035285071E-2</v>
      </c>
      <c r="H115" s="73">
        <f t="shared" ca="1" si="10"/>
        <v>0.21923692523793925</v>
      </c>
      <c r="I115" s="57" cm="1">
        <f t="array" aca="1" ref="I115" ca="1">SUMPRODUCT('Forecast DCF'!$D$16:$M$16,1/(1+F115)^('Forecast DCF'!$D$6:$M$6-0.5))+(('Forecast DCF'!$M$7*H115*(1-Assumptions!$C$21)+'Forecast DCF'!$M$15)*(1+G115)/(F115-G115))/(1+F115)^('Forecast DCF'!$M$6-0.5)</f>
        <v>118622.70673492568</v>
      </c>
      <c r="K115" s="49">
        <f ca="1">(I115-Assumptions!$C$12)/Assumptions!$C$9</f>
        <v>169.99952952982761</v>
      </c>
    </row>
    <row r="116" spans="2:11" outlineLevel="1" x14ac:dyDescent="0.2">
      <c r="B116" s="69">
        <f t="shared" si="6"/>
        <v>87</v>
      </c>
      <c r="C116" s="72">
        <f t="shared" ca="1" si="7"/>
        <v>0.60332950933638463</v>
      </c>
      <c r="D116" s="72">
        <f t="shared" ca="1" si="7"/>
        <v>0.28223750294507888</v>
      </c>
      <c r="E116" s="72">
        <f t="shared" ca="1" si="7"/>
        <v>0.80318035564761525</v>
      </c>
      <c r="F116" s="73">
        <f t="shared" ca="1" si="8"/>
        <v>0.13162341188222054</v>
      </c>
      <c r="G116" s="73">
        <f t="shared" ca="1" si="9"/>
        <v>3.1506583238671573E-2</v>
      </c>
      <c r="H116" s="73">
        <f t="shared" ca="1" si="10"/>
        <v>0.26235559219037746</v>
      </c>
      <c r="I116" s="57" cm="1">
        <f t="array" aca="1" ref="I116" ca="1">SUMPRODUCT('Forecast DCF'!$D$16:$M$16,1/(1+F116)^('Forecast DCF'!$D$6:$M$6-0.5))+(('Forecast DCF'!$M$7*H116*(1-Assumptions!$C$21)+'Forecast DCF'!$M$15)*(1+G116)/(F116-G116))/(1+F116)^('Forecast DCF'!$M$6-0.5)</f>
        <v>137993.85715962865</v>
      </c>
      <c r="K116" s="49">
        <f ca="1">(I116-Assumptions!$C$12)/Assumptions!$C$9</f>
        <v>205.50576554166591</v>
      </c>
    </row>
    <row r="117" spans="2:11" outlineLevel="1" x14ac:dyDescent="0.2">
      <c r="B117" s="69">
        <f t="shared" si="6"/>
        <v>88</v>
      </c>
      <c r="C117" s="72">
        <f t="shared" ca="1" si="7"/>
        <v>0.19963417070351452</v>
      </c>
      <c r="D117" s="72">
        <f t="shared" ca="1" si="7"/>
        <v>3.6934206721391805E-2</v>
      </c>
      <c r="E117" s="72">
        <f t="shared" ca="1" si="7"/>
        <v>0.49127712076825736</v>
      </c>
      <c r="F117" s="73">
        <f t="shared" ca="1" si="8"/>
        <v>0.1244666926519445</v>
      </c>
      <c r="G117" s="73">
        <f t="shared" ca="1" si="9"/>
        <v>2.7353748289050631E-2</v>
      </c>
      <c r="H117" s="73">
        <f t="shared" ca="1" si="10"/>
        <v>0.23947432445628491</v>
      </c>
      <c r="I117" s="57" cm="1">
        <f t="array" aca="1" ref="I117" ca="1">SUMPRODUCT('Forecast DCF'!$D$16:$M$16,1/(1+F117)^('Forecast DCF'!$D$6:$M$6-0.5))+(('Forecast DCF'!$M$7*H117*(1-Assumptions!$C$21)+'Forecast DCF'!$M$15)*(1+G117)/(F117-G117))/(1+F117)^('Forecast DCF'!$M$6-0.5)</f>
        <v>139248.96129423863</v>
      </c>
      <c r="K117" s="49">
        <f ca="1">(I117-Assumptions!$C$12)/Assumptions!$C$9</f>
        <v>207.80630126855107</v>
      </c>
    </row>
    <row r="118" spans="2:11" outlineLevel="1" x14ac:dyDescent="0.2">
      <c r="B118" s="69">
        <f t="shared" si="6"/>
        <v>89</v>
      </c>
      <c r="C118" s="72">
        <f t="shared" ca="1" si="7"/>
        <v>0.41674212801080457</v>
      </c>
      <c r="D118" s="72">
        <f t="shared" ca="1" si="7"/>
        <v>0.94397529695250826</v>
      </c>
      <c r="E118" s="72">
        <f t="shared" ca="1" si="7"/>
        <v>0.98333594649419154</v>
      </c>
      <c r="F118" s="73">
        <f t="shared" ca="1" si="8"/>
        <v>0.12867774617155722</v>
      </c>
      <c r="G118" s="73">
        <f t="shared" ca="1" si="9"/>
        <v>3.7950157877161786E-2</v>
      </c>
      <c r="H118" s="73">
        <f t="shared" ca="1" si="10"/>
        <v>0.28904640765584999</v>
      </c>
      <c r="I118" s="57" cm="1">
        <f t="array" aca="1" ref="I118" ca="1">SUMPRODUCT('Forecast DCF'!$D$16:$M$16,1/(1+F118)^('Forecast DCF'!$D$6:$M$6-0.5))+(('Forecast DCF'!$M$7*H118*(1-Assumptions!$C$21)+'Forecast DCF'!$M$15)*(1+G118)/(F118-G118))/(1+F118)^('Forecast DCF'!$M$6-0.5)</f>
        <v>171483.86804050906</v>
      </c>
      <c r="K118" s="49">
        <f ca="1">(I118-Assumptions!$C$12)/Assumptions!$C$9</f>
        <v>266.89108362061558</v>
      </c>
    </row>
    <row r="119" spans="2:11" outlineLevel="1" x14ac:dyDescent="0.2">
      <c r="B119" s="69">
        <f t="shared" si="6"/>
        <v>90</v>
      </c>
      <c r="C119" s="72">
        <f t="shared" ca="1" si="7"/>
        <v>0.57005378893366698</v>
      </c>
      <c r="D119" s="72">
        <f t="shared" ca="1" si="7"/>
        <v>0.12238936244123289</v>
      </c>
      <c r="E119" s="72">
        <f t="shared" ca="1" si="7"/>
        <v>0.61894125617967433</v>
      </c>
      <c r="F119" s="73">
        <f t="shared" ca="1" si="8"/>
        <v>0.13107364469737726</v>
      </c>
      <c r="G119" s="73">
        <f t="shared" ca="1" si="9"/>
        <v>2.9284670858559028E-2</v>
      </c>
      <c r="H119" s="73">
        <f t="shared" ca="1" si="10"/>
        <v>0.24762039561521731</v>
      </c>
      <c r="I119" s="57" cm="1">
        <f t="array" aca="1" ref="I119" ca="1">SUMPRODUCT('Forecast DCF'!$D$16:$M$16,1/(1+F119)^('Forecast DCF'!$D$6:$M$6-0.5))+(('Forecast DCF'!$M$7*H119*(1-Assumptions!$C$21)+'Forecast DCF'!$M$15)*(1+G119)/(F119-G119))/(1+F119)^('Forecast DCF'!$M$6-0.5)</f>
        <v>129179.51896739175</v>
      </c>
      <c r="K119" s="49">
        <f ca="1">(I119-Assumptions!$C$12)/Assumptions!$C$9</f>
        <v>189.34957629734421</v>
      </c>
    </row>
    <row r="120" spans="2:11" outlineLevel="1" x14ac:dyDescent="0.2">
      <c r="B120" s="69">
        <f t="shared" si="6"/>
        <v>91</v>
      </c>
      <c r="C120" s="72">
        <f t="shared" ca="1" si="7"/>
        <v>0.85713612275682072</v>
      </c>
      <c r="D120" s="72">
        <f t="shared" ca="1" si="7"/>
        <v>0.23065154705651347</v>
      </c>
      <c r="E120" s="72">
        <f t="shared" ca="1" si="7"/>
        <v>0.3689248898897558</v>
      </c>
      <c r="F120" s="73">
        <f t="shared" ca="1" si="8"/>
        <v>0.13697229094167945</v>
      </c>
      <c r="G120" s="73">
        <f t="shared" ca="1" si="9"/>
        <v>3.088198368396896E-2</v>
      </c>
      <c r="H120" s="73">
        <f t="shared" ca="1" si="10"/>
        <v>0.23153890964316418</v>
      </c>
      <c r="I120" s="57" cm="1">
        <f t="array" aca="1" ref="I120" ca="1">SUMPRODUCT('Forecast DCF'!$D$16:$M$16,1/(1+F120)^('Forecast DCF'!$D$6:$M$6-0.5))+(('Forecast DCF'!$M$7*H120*(1-Assumptions!$C$21)+'Forecast DCF'!$M$15)*(1+G120)/(F120-G120))/(1+F120)^('Forecast DCF'!$M$6-0.5)</f>
        <v>110327.51720664116</v>
      </c>
      <c r="K120" s="49">
        <f ca="1">(I120-Assumptions!$C$12)/Assumptions!$C$9</f>
        <v>154.79491076962219</v>
      </c>
    </row>
    <row r="121" spans="2:11" outlineLevel="1" x14ac:dyDescent="0.2">
      <c r="B121" s="69">
        <f t="shared" si="6"/>
        <v>92</v>
      </c>
      <c r="C121" s="72">
        <f t="shared" ca="1" si="7"/>
        <v>0.9612409636064061</v>
      </c>
      <c r="D121" s="72">
        <f t="shared" ca="1" si="7"/>
        <v>0.45651109988970373</v>
      </c>
      <c r="E121" s="72">
        <f t="shared" ca="1" si="7"/>
        <v>0.39473700854859306</v>
      </c>
      <c r="F121" s="73">
        <f t="shared" ca="1" si="8"/>
        <v>0.1408186464179042</v>
      </c>
      <c r="G121" s="73">
        <f t="shared" ca="1" si="9"/>
        <v>3.3275062838640901E-2</v>
      </c>
      <c r="H121" s="73">
        <f t="shared" ca="1" si="10"/>
        <v>0.23331141023786436</v>
      </c>
      <c r="I121" s="57" cm="1">
        <f t="array" aca="1" ref="I121" ca="1">SUMPRODUCT('Forecast DCF'!$D$16:$M$16,1/(1+F121)^('Forecast DCF'!$D$6:$M$6-0.5))+(('Forecast DCF'!$M$7*H121*(1-Assumptions!$C$21)+'Forecast DCF'!$M$15)*(1+G121)/(F121-G121))/(1+F121)^('Forecast DCF'!$M$6-0.5)</f>
        <v>105808.00994113338</v>
      </c>
      <c r="K121" s="49">
        <f ca="1">(I121-Assumptions!$C$12)/Assumptions!$C$9</f>
        <v>146.51090656191658</v>
      </c>
    </row>
    <row r="122" spans="2:11" outlineLevel="1" x14ac:dyDescent="0.2">
      <c r="B122" s="69">
        <f t="shared" si="6"/>
        <v>93</v>
      </c>
      <c r="C122" s="72">
        <f t="shared" ca="1" si="7"/>
        <v>0.58496254395563496</v>
      </c>
      <c r="D122" s="72">
        <f t="shared" ca="1" si="7"/>
        <v>0.14874370327178088</v>
      </c>
      <c r="E122" s="72">
        <f t="shared" ca="1" si="7"/>
        <v>0.41272889090668563</v>
      </c>
      <c r="F122" s="73">
        <f t="shared" ca="1" si="8"/>
        <v>0.1313172291322714</v>
      </c>
      <c r="G122" s="73">
        <f t="shared" ca="1" si="9"/>
        <v>2.9723510928405604E-2</v>
      </c>
      <c r="H122" s="73">
        <f t="shared" ca="1" si="10"/>
        <v>0.23451282431252427</v>
      </c>
      <c r="I122" s="57" cm="1">
        <f t="array" aca="1" ref="I122" ca="1">SUMPRODUCT('Forecast DCF'!$D$16:$M$16,1/(1+F122)^('Forecast DCF'!$D$6:$M$6-0.5))+(('Forecast DCF'!$M$7*H122*(1-Assumptions!$C$21)+'Forecast DCF'!$M$15)*(1+G122)/(F122-G122))/(1+F122)^('Forecast DCF'!$M$6-0.5)</f>
        <v>122778.16003692098</v>
      </c>
      <c r="K122" s="49">
        <f ca="1">(I122-Assumptions!$C$12)/Assumptions!$C$9</f>
        <v>177.61624317057567</v>
      </c>
    </row>
    <row r="123" spans="2:11" outlineLevel="1" x14ac:dyDescent="0.2">
      <c r="B123" s="69">
        <f t="shared" si="6"/>
        <v>94</v>
      </c>
      <c r="C123" s="72">
        <f t="shared" ca="1" si="7"/>
        <v>0.6413241595045911</v>
      </c>
      <c r="D123" s="72">
        <f t="shared" ca="1" si="7"/>
        <v>0.78383395593178307</v>
      </c>
      <c r="E123" s="72">
        <f t="shared" ca="1" si="7"/>
        <v>0.1352921304309268</v>
      </c>
      <c r="F123" s="73">
        <f t="shared" ca="1" si="8"/>
        <v>0.13228016521395111</v>
      </c>
      <c r="G123" s="73">
        <f t="shared" ca="1" si="9"/>
        <v>3.5973530913428461E-2</v>
      </c>
      <c r="H123" s="73">
        <f t="shared" ca="1" si="10"/>
        <v>0.21121062862395873</v>
      </c>
      <c r="I123" s="57" cm="1">
        <f t="array" aca="1" ref="I123" ca="1">SUMPRODUCT('Forecast DCF'!$D$16:$M$16,1/(1+F123)^('Forecast DCF'!$D$6:$M$6-0.5))+(('Forecast DCF'!$M$7*H123*(1-Assumptions!$C$21)+'Forecast DCF'!$M$15)*(1+G123)/(F123-G123))/(1+F123)^('Forecast DCF'!$M$6-0.5)</f>
        <v>116559.10483674271</v>
      </c>
      <c r="K123" s="49">
        <f ca="1">(I123-Assumptions!$C$12)/Assumptions!$C$9</f>
        <v>166.21706259188446</v>
      </c>
    </row>
    <row r="124" spans="2:11" outlineLevel="1" x14ac:dyDescent="0.2">
      <c r="B124" s="69">
        <f t="shared" si="6"/>
        <v>95</v>
      </c>
      <c r="C124" s="72">
        <f t="shared" ca="1" si="7"/>
        <v>0.71364622814976753</v>
      </c>
      <c r="D124" s="72">
        <f t="shared" ca="1" si="7"/>
        <v>0.67862455689854861</v>
      </c>
      <c r="E124" s="72">
        <f t="shared" ca="1" si="7"/>
        <v>0.32399310774571577</v>
      </c>
      <c r="F124" s="73">
        <f t="shared" ca="1" si="8"/>
        <v>0.13363467492444486</v>
      </c>
      <c r="G124" s="73">
        <f t="shared" ca="1" si="9"/>
        <v>3.5090503260759937E-2</v>
      </c>
      <c r="H124" s="73">
        <f t="shared" ca="1" si="10"/>
        <v>0.22829855459296017</v>
      </c>
      <c r="I124" s="57" cm="1">
        <f t="array" aca="1" ref="I124" ca="1">SUMPRODUCT('Forecast DCF'!$D$16:$M$16,1/(1+F124)^('Forecast DCF'!$D$6:$M$6-0.5))+(('Forecast DCF'!$M$7*H124*(1-Assumptions!$C$21)+'Forecast DCF'!$M$15)*(1+G124)/(F124-G124))/(1+F124)^('Forecast DCF'!$M$6-0.5)</f>
        <v>120953.27937895949</v>
      </c>
      <c r="K124" s="49">
        <f ca="1">(I124-Assumptions!$C$12)/Assumptions!$C$9</f>
        <v>174.27133892305145</v>
      </c>
    </row>
    <row r="125" spans="2:11" outlineLevel="1" x14ac:dyDescent="0.2">
      <c r="B125" s="69">
        <f t="shared" si="6"/>
        <v>96</v>
      </c>
      <c r="C125" s="72">
        <f t="shared" ca="1" si="7"/>
        <v>0.38989101224382572</v>
      </c>
      <c r="D125" s="72">
        <f t="shared" ca="1" si="7"/>
        <v>0.23881113879115778</v>
      </c>
      <c r="E125" s="72">
        <f t="shared" ca="1" si="7"/>
        <v>0.42597798425098776</v>
      </c>
      <c r="F125" s="73">
        <f t="shared" ca="1" si="8"/>
        <v>0.12822977473294456</v>
      </c>
      <c r="G125" s="73">
        <f t="shared" ca="1" si="9"/>
        <v>3.0985120785637803E-2</v>
      </c>
      <c r="H125" s="73">
        <f t="shared" ca="1" si="10"/>
        <v>0.23538087654242312</v>
      </c>
      <c r="I125" s="57" cm="1">
        <f t="array" aca="1" ref="I125" ca="1">SUMPRODUCT('Forecast DCF'!$D$16:$M$16,1/(1+F125)^('Forecast DCF'!$D$6:$M$6-0.5))+(('Forecast DCF'!$M$7*H125*(1-Assumptions!$C$21)+'Forecast DCF'!$M$15)*(1+G125)/(F125-G125))/(1+F125)^('Forecast DCF'!$M$6-0.5)</f>
        <v>132360.41960665176</v>
      </c>
      <c r="K125" s="49">
        <f ca="1">(I125-Assumptions!$C$12)/Assumptions!$C$9</f>
        <v>195.17998937821858</v>
      </c>
    </row>
    <row r="126" spans="2:11" outlineLevel="1" x14ac:dyDescent="0.2">
      <c r="B126" s="69">
        <f t="shared" si="6"/>
        <v>97</v>
      </c>
      <c r="C126" s="72">
        <f t="shared" ca="1" si="7"/>
        <v>0.75997887027862387</v>
      </c>
      <c r="D126" s="72">
        <f t="shared" ca="1" si="7"/>
        <v>0.78806019025228391</v>
      </c>
      <c r="E126" s="72">
        <f t="shared" ca="1" si="7"/>
        <v>0.56087363367673304</v>
      </c>
      <c r="F126" s="73">
        <f t="shared" ca="1" si="8"/>
        <v>0.13459468706708275</v>
      </c>
      <c r="G126" s="73">
        <f t="shared" ca="1" si="9"/>
        <v>3.6013085688019031E-2</v>
      </c>
      <c r="H126" s="73">
        <f t="shared" ca="1" si="10"/>
        <v>0.24377091644417878</v>
      </c>
      <c r="I126" s="57" cm="1">
        <f t="array" aca="1" ref="I126" ca="1">SUMPRODUCT('Forecast DCF'!$D$16:$M$16,1/(1+F126)^('Forecast DCF'!$D$6:$M$6-0.5))+(('Forecast DCF'!$M$7*H126*(1-Assumptions!$C$21)+'Forecast DCF'!$M$15)*(1+G126)/(F126-G126))/(1+F126)^('Forecast DCF'!$M$6-0.5)</f>
        <v>127457.25527410988</v>
      </c>
      <c r="K126" s="49">
        <f ca="1">(I126-Assumptions!$C$12)/Assumptions!$C$9</f>
        <v>186.19276321048162</v>
      </c>
    </row>
    <row r="127" spans="2:11" outlineLevel="1" x14ac:dyDescent="0.2">
      <c r="B127" s="69">
        <f t="shared" si="6"/>
        <v>98</v>
      </c>
      <c r="C127" s="72">
        <f t="shared" ca="1" si="7"/>
        <v>0.58781972243659231</v>
      </c>
      <c r="D127" s="72">
        <f t="shared" ca="1" si="7"/>
        <v>0.76519168854366659</v>
      </c>
      <c r="E127" s="72">
        <f t="shared" ca="1" si="7"/>
        <v>0.46451835067529257</v>
      </c>
      <c r="F127" s="73">
        <f t="shared" ca="1" si="8"/>
        <v>0.1313644075650981</v>
      </c>
      <c r="G127" s="73">
        <f t="shared" ca="1" si="9"/>
        <v>3.58034986763704E-2</v>
      </c>
      <c r="H127" s="73">
        <f t="shared" ca="1" si="10"/>
        <v>0.23783192997697816</v>
      </c>
      <c r="I127" s="57" cm="1">
        <f t="array" aca="1" ref="I127" ca="1">SUMPRODUCT('Forecast DCF'!$D$16:$M$16,1/(1+F127)^('Forecast DCF'!$D$6:$M$6-0.5))+(('Forecast DCF'!$M$7*H127*(1-Assumptions!$C$21)+'Forecast DCF'!$M$15)*(1+G127)/(F127-G127))/(1+F127)^('Forecast DCF'!$M$6-0.5)</f>
        <v>132284.9417564999</v>
      </c>
      <c r="K127" s="49">
        <f ca="1">(I127-Assumptions!$C$12)/Assumptions!$C$9</f>
        <v>195.04164269759292</v>
      </c>
    </row>
    <row r="128" spans="2:11" outlineLevel="1" x14ac:dyDescent="0.2">
      <c r="B128" s="69">
        <f t="shared" si="6"/>
        <v>99</v>
      </c>
      <c r="C128" s="72">
        <f t="shared" ca="1" si="7"/>
        <v>0.26082243253956627</v>
      </c>
      <c r="D128" s="72">
        <f t="shared" ca="1" si="7"/>
        <v>0.84884978205056094</v>
      </c>
      <c r="E128" s="72">
        <f t="shared" ca="1" si="7"/>
        <v>6.2950265264922312E-2</v>
      </c>
      <c r="F128" s="73">
        <f t="shared" ca="1" si="8"/>
        <v>0.12582064895739606</v>
      </c>
      <c r="G128" s="73">
        <f t="shared" ca="1" si="9"/>
        <v>3.6633062764735894E-2</v>
      </c>
      <c r="H128" s="73">
        <f t="shared" ca="1" si="10"/>
        <v>0.20128947885476392</v>
      </c>
      <c r="I128" s="57" cm="1">
        <f t="array" aca="1" ref="I128" ca="1">SUMPRODUCT('Forecast DCF'!$D$16:$M$16,1/(1+F128)^('Forecast DCF'!$D$6:$M$6-0.5))+(('Forecast DCF'!$M$7*H128*(1-Assumptions!$C$21)+'Forecast DCF'!$M$15)*(1+G128)/(F128-G128))/(1+F128)^('Forecast DCF'!$M$6-0.5)</f>
        <v>127573.66482468233</v>
      </c>
      <c r="K128" s="49">
        <f ca="1">(I128-Assumptions!$C$12)/Assumptions!$C$9</f>
        <v>186.40613541017228</v>
      </c>
    </row>
    <row r="129" spans="2:11" outlineLevel="1" x14ac:dyDescent="0.2">
      <c r="B129" s="69">
        <f t="shared" si="6"/>
        <v>100</v>
      </c>
      <c r="C129" s="72">
        <f t="shared" ca="1" si="7"/>
        <v>0.42663912656896907</v>
      </c>
      <c r="D129" s="72">
        <f t="shared" ca="1" si="7"/>
        <v>0.16367336000442578</v>
      </c>
      <c r="E129" s="72">
        <f t="shared" ca="1" si="7"/>
        <v>0.47487098480319667</v>
      </c>
      <c r="F129" s="73">
        <f t="shared" ca="1" si="8"/>
        <v>0.12883920613533836</v>
      </c>
      <c r="G129" s="73">
        <f t="shared" ca="1" si="9"/>
        <v>2.9954896971750661E-2</v>
      </c>
      <c r="H129" s="73">
        <f t="shared" ca="1" si="10"/>
        <v>0.23847282352155585</v>
      </c>
      <c r="I129" s="57" cm="1">
        <f t="array" aca="1" ref="I129" ca="1">SUMPRODUCT('Forecast DCF'!$D$16:$M$16,1/(1+F129)^('Forecast DCF'!$D$6:$M$6-0.5))+(('Forecast DCF'!$M$7*H129*(1-Assumptions!$C$21)+'Forecast DCF'!$M$15)*(1+G129)/(F129-G129))/(1+F129)^('Forecast DCF'!$M$6-0.5)</f>
        <v>131023.19402536211</v>
      </c>
      <c r="K129" s="49">
        <f ca="1">(I129-Assumptions!$C$12)/Assumptions!$C$9</f>
        <v>192.72892962960452</v>
      </c>
    </row>
    <row r="130" spans="2:11" outlineLevel="1" x14ac:dyDescent="0.2">
      <c r="B130" s="69">
        <f t="shared" si="6"/>
        <v>101</v>
      </c>
      <c r="C130" s="72">
        <f t="shared" ca="1" si="7"/>
        <v>0.27540387382325038</v>
      </c>
      <c r="D130" s="72">
        <f t="shared" ca="1" si="7"/>
        <v>0.26704049556571174</v>
      </c>
      <c r="E130" s="72">
        <f t="shared" ca="1" si="7"/>
        <v>0.82205889491930639</v>
      </c>
      <c r="F130" s="73">
        <f t="shared" ca="1" si="8"/>
        <v>0.12611900331694889</v>
      </c>
      <c r="G130" s="73">
        <f t="shared" ca="1" si="9"/>
        <v>3.1328986833202989E-2</v>
      </c>
      <c r="H130" s="73">
        <f t="shared" ca="1" si="10"/>
        <v>0.26420648164009308</v>
      </c>
      <c r="I130" s="57" cm="1">
        <f t="array" aca="1" ref="I130" ca="1">SUMPRODUCT('Forecast DCF'!$D$16:$M$16,1/(1+F130)^('Forecast DCF'!$D$6:$M$6-0.5))+(('Forecast DCF'!$M$7*H130*(1-Assumptions!$C$21)+'Forecast DCF'!$M$15)*(1+G130)/(F130-G130))/(1+F130)^('Forecast DCF'!$M$6-0.5)</f>
        <v>154090.9298471894</v>
      </c>
      <c r="K130" s="49">
        <f ca="1">(I130-Assumptions!$C$12)/Assumptions!$C$9</f>
        <v>235.01080006018302</v>
      </c>
    </row>
    <row r="131" spans="2:11" outlineLevel="1" x14ac:dyDescent="0.2">
      <c r="B131" s="69">
        <f t="shared" si="6"/>
        <v>102</v>
      </c>
      <c r="C131" s="72">
        <f t="shared" ca="1" si="7"/>
        <v>0.79931217809635913</v>
      </c>
      <c r="D131" s="72">
        <f t="shared" ca="1" si="7"/>
        <v>0.7817834925217666</v>
      </c>
      <c r="E131" s="72">
        <f t="shared" ca="1" si="7"/>
        <v>1.9197815176816846E-3</v>
      </c>
      <c r="F131" s="73">
        <f t="shared" ca="1" si="8"/>
        <v>0.13548539161193027</v>
      </c>
      <c r="G131" s="73">
        <f t="shared" ca="1" si="9"/>
        <v>3.5954479259617186E-2</v>
      </c>
      <c r="H131" s="73">
        <f t="shared" ca="1" si="10"/>
        <v>0.18371785246174563</v>
      </c>
      <c r="I131" s="57" cm="1">
        <f t="array" aca="1" ref="I131" ca="1">SUMPRODUCT('Forecast DCF'!$D$16:$M$16,1/(1+F131)^('Forecast DCF'!$D$6:$M$6-0.5))+(('Forecast DCF'!$M$7*H131*(1-Assumptions!$C$21)+'Forecast DCF'!$M$15)*(1+G131)/(F131-G131))/(1+F131)^('Forecast DCF'!$M$6-0.5)</f>
        <v>96267.109789519731</v>
      </c>
      <c r="K131" s="49">
        <f ca="1">(I131-Assumptions!$C$12)/Assumptions!$C$9</f>
        <v>129.0229698559699</v>
      </c>
    </row>
    <row r="132" spans="2:11" outlineLevel="1" x14ac:dyDescent="0.2">
      <c r="B132" s="69">
        <f t="shared" si="6"/>
        <v>103</v>
      </c>
      <c r="C132" s="72">
        <f t="shared" ca="1" si="7"/>
        <v>0.70961522010215383</v>
      </c>
      <c r="D132" s="72">
        <f t="shared" ca="1" si="7"/>
        <v>0.8077493565716809</v>
      </c>
      <c r="E132" s="72">
        <f t="shared" ca="1" si="7"/>
        <v>0.7824366901455575</v>
      </c>
      <c r="F132" s="73">
        <f t="shared" ca="1" si="8"/>
        <v>0.13355495952324981</v>
      </c>
      <c r="G132" s="73">
        <f t="shared" ca="1" si="9"/>
        <v>3.6202790727768101E-2</v>
      </c>
      <c r="H132" s="73">
        <f t="shared" ca="1" si="10"/>
        <v>0.2604215231350171</v>
      </c>
      <c r="I132" s="57" cm="1">
        <f t="array" aca="1" ref="I132" ca="1">SUMPRODUCT('Forecast DCF'!$D$16:$M$16,1/(1+F132)^('Forecast DCF'!$D$6:$M$6-0.5))+(('Forecast DCF'!$M$7*H132*(1-Assumptions!$C$21)+'Forecast DCF'!$M$15)*(1+G132)/(F132-G132))/(1+F132)^('Forecast DCF'!$M$6-0.5)</f>
        <v>138636.23473919139</v>
      </c>
      <c r="K132" s="49">
        <f ca="1">(I132-Assumptions!$C$12)/Assumptions!$C$9</f>
        <v>206.68320774043082</v>
      </c>
    </row>
    <row r="133" spans="2:11" outlineLevel="1" x14ac:dyDescent="0.2">
      <c r="B133" s="69">
        <f t="shared" si="6"/>
        <v>104</v>
      </c>
      <c r="C133" s="72">
        <f t="shared" ca="1" si="7"/>
        <v>0.47806573730470292</v>
      </c>
      <c r="D133" s="72">
        <f t="shared" ca="1" si="7"/>
        <v>0.27933977562012158</v>
      </c>
      <c r="E133" s="72">
        <f t="shared" ca="1" si="7"/>
        <v>0.47834087559113225</v>
      </c>
      <c r="F133" s="73">
        <f t="shared" ca="1" si="8"/>
        <v>0.12964956223198223</v>
      </c>
      <c r="G133" s="73">
        <f t="shared" ca="1" si="9"/>
        <v>3.1473095576539732E-2</v>
      </c>
      <c r="H133" s="73">
        <f t="shared" ca="1" si="10"/>
        <v>0.23868606567368569</v>
      </c>
      <c r="I133" s="57" cm="1">
        <f t="array" aca="1" ref="I133" ca="1">SUMPRODUCT('Forecast DCF'!$D$16:$M$16,1/(1+F133)^('Forecast DCF'!$D$6:$M$6-0.5))+(('Forecast DCF'!$M$7*H133*(1-Assumptions!$C$21)+'Forecast DCF'!$M$15)*(1+G133)/(F133-G133))/(1+F133)^('Forecast DCF'!$M$6-0.5)</f>
        <v>131137.10237637401</v>
      </c>
      <c r="K133" s="49">
        <f ca="1">(I133-Assumptions!$C$12)/Assumptions!$C$9</f>
        <v>192.93771727030085</v>
      </c>
    </row>
    <row r="134" spans="2:11" outlineLevel="1" x14ac:dyDescent="0.2">
      <c r="B134" s="69">
        <f t="shared" si="6"/>
        <v>105</v>
      </c>
      <c r="C134" s="72">
        <f t="shared" ca="1" si="7"/>
        <v>9.9750808871326146E-2</v>
      </c>
      <c r="D134" s="72">
        <f t="shared" ca="1" si="7"/>
        <v>0.60081314852770784</v>
      </c>
      <c r="E134" s="72">
        <f t="shared" ca="1" si="7"/>
        <v>0.52515162238889246</v>
      </c>
      <c r="F134" s="73">
        <f t="shared" ca="1" si="8"/>
        <v>0.12169173987422492</v>
      </c>
      <c r="G134" s="73">
        <f t="shared" ca="1" si="9"/>
        <v>3.4493259307485299E-2</v>
      </c>
      <c r="H134" s="73">
        <f t="shared" ca="1" si="10"/>
        <v>0.24152856835342601</v>
      </c>
      <c r="I134" s="57" cm="1">
        <f t="array" aca="1" ref="I134" ca="1">SUMPRODUCT('Forecast DCF'!$D$16:$M$16,1/(1+F134)^('Forecast DCF'!$D$6:$M$6-0.5))+(('Forecast DCF'!$M$7*H134*(1-Assumptions!$C$21)+'Forecast DCF'!$M$15)*(1+G134)/(F134-G134))/(1+F134)^('Forecast DCF'!$M$6-0.5)</f>
        <v>160196.24032260032</v>
      </c>
      <c r="K134" s="49">
        <f ca="1">(I134-Assumptions!$C$12)/Assumptions!$C$9</f>
        <v>246.20149291593853</v>
      </c>
    </row>
    <row r="135" spans="2:11" outlineLevel="1" x14ac:dyDescent="0.2">
      <c r="B135" s="69">
        <f t="shared" si="6"/>
        <v>106</v>
      </c>
      <c r="C135" s="72">
        <f t="shared" ca="1" si="7"/>
        <v>0.56854293489581631</v>
      </c>
      <c r="D135" s="72">
        <f t="shared" ca="1" si="7"/>
        <v>0.18657962904360015</v>
      </c>
      <c r="E135" s="72">
        <f t="shared" ca="1" si="7"/>
        <v>0.90310510832000501</v>
      </c>
      <c r="F135" s="73">
        <f t="shared" ca="1" si="8"/>
        <v>0.13104919717640981</v>
      </c>
      <c r="G135" s="73">
        <f t="shared" ca="1" si="9"/>
        <v>3.0290268835942089E-2</v>
      </c>
      <c r="H135" s="73">
        <f t="shared" ca="1" si="10"/>
        <v>0.27358706339507166</v>
      </c>
      <c r="I135" s="57" cm="1">
        <f t="array" aca="1" ref="I135" ca="1">SUMPRODUCT('Forecast DCF'!$D$16:$M$16,1/(1+F135)^('Forecast DCF'!$D$6:$M$6-0.5))+(('Forecast DCF'!$M$7*H135*(1-Assumptions!$C$21)+'Forecast DCF'!$M$15)*(1+G135)/(F135-G135))/(1+F135)^('Forecast DCF'!$M$6-0.5)</f>
        <v>143314.02805715517</v>
      </c>
      <c r="K135" s="49">
        <f ca="1">(I135-Assumptions!$C$12)/Assumptions!$C$9</f>
        <v>215.25734143516561</v>
      </c>
    </row>
    <row r="136" spans="2:11" outlineLevel="1" x14ac:dyDescent="0.2">
      <c r="B136" s="69">
        <f t="shared" si="6"/>
        <v>107</v>
      </c>
      <c r="C136" s="72">
        <f t="shared" ca="1" si="7"/>
        <v>0.99899070821608094</v>
      </c>
      <c r="D136" s="72">
        <f t="shared" ca="1" si="7"/>
        <v>0.28272288813774393</v>
      </c>
      <c r="E136" s="72">
        <f t="shared" ca="1" si="7"/>
        <v>0.97829937166333314</v>
      </c>
      <c r="F136" s="73">
        <f t="shared" ca="1" si="8"/>
        <v>0.14432525639514049</v>
      </c>
      <c r="G136" s="73">
        <f t="shared" ca="1" si="9"/>
        <v>3.1512175767027611E-2</v>
      </c>
      <c r="H136" s="73">
        <f t="shared" ca="1" si="10"/>
        <v>0.28750021904095907</v>
      </c>
      <c r="I136" s="57" cm="1">
        <f t="array" aca="1" ref="I136" ca="1">SUMPRODUCT('Forecast DCF'!$D$16:$M$16,1/(1+F136)^('Forecast DCF'!$D$6:$M$6-0.5))+(('Forecast DCF'!$M$7*H136*(1-Assumptions!$C$21)+'Forecast DCF'!$M$15)*(1+G136)/(F136-G136))/(1+F136)^('Forecast DCF'!$M$6-0.5)</f>
        <v>118848.11086058042</v>
      </c>
      <c r="K136" s="49">
        <f ca="1">(I136-Assumptions!$C$12)/Assumptions!$C$9</f>
        <v>170.41268269358255</v>
      </c>
    </row>
    <row r="137" spans="2:11" outlineLevel="1" x14ac:dyDescent="0.2">
      <c r="B137" s="69">
        <f t="shared" si="6"/>
        <v>108</v>
      </c>
      <c r="C137" s="72">
        <f t="shared" ca="1" si="7"/>
        <v>4.2857441319869349E-2</v>
      </c>
      <c r="D137" s="72">
        <f t="shared" ca="1" si="7"/>
        <v>8.8348869221335113E-2</v>
      </c>
      <c r="E137" s="72">
        <f t="shared" ca="1" si="7"/>
        <v>0.36094085080351079</v>
      </c>
      <c r="F137" s="73">
        <f t="shared" ca="1" si="8"/>
        <v>0.1193862558152501</v>
      </c>
      <c r="G137" s="73">
        <f t="shared" ca="1" si="9"/>
        <v>2.8640375033317348E-2</v>
      </c>
      <c r="H137" s="73">
        <f t="shared" ca="1" si="10"/>
        <v>0.23097817303302734</v>
      </c>
      <c r="I137" s="57" cm="1">
        <f t="array" aca="1" ref="I137" ca="1">SUMPRODUCT('Forecast DCF'!$D$16:$M$16,1/(1+F137)^('Forecast DCF'!$D$6:$M$6-0.5))+(('Forecast DCF'!$M$7*H137*(1-Assumptions!$C$21)+'Forecast DCF'!$M$15)*(1+G137)/(F137-G137))/(1+F137)^('Forecast DCF'!$M$6-0.5)</f>
        <v>150726.33067300924</v>
      </c>
      <c r="K137" s="49">
        <f ca="1">(I137-Assumptions!$C$12)/Assumptions!$C$9</f>
        <v>228.843677832309</v>
      </c>
    </row>
    <row r="138" spans="2:11" outlineLevel="1" x14ac:dyDescent="0.2">
      <c r="B138" s="69">
        <f t="shared" si="6"/>
        <v>109</v>
      </c>
      <c r="C138" s="72">
        <f t="shared" ca="1" si="7"/>
        <v>0.58386552140755055</v>
      </c>
      <c r="D138" s="72">
        <f t="shared" ca="1" si="7"/>
        <v>0.77642179978773695</v>
      </c>
      <c r="E138" s="72">
        <f t="shared" ca="1" si="7"/>
        <v>0.60558629354182258</v>
      </c>
      <c r="F138" s="73">
        <f t="shared" ca="1" si="8"/>
        <v>0.13129915798922231</v>
      </c>
      <c r="G138" s="73">
        <f t="shared" ca="1" si="9"/>
        <v>3.5905080584929694E-2</v>
      </c>
      <c r="H138" s="73">
        <f t="shared" ca="1" si="10"/>
        <v>0.24671042609948096</v>
      </c>
      <c r="I138" s="57" cm="1">
        <f t="array" aca="1" ref="I138" ca="1">SUMPRODUCT('Forecast DCF'!$D$16:$M$16,1/(1+F138)^('Forecast DCF'!$D$6:$M$6-0.5))+(('Forecast DCF'!$M$7*H138*(1-Assumptions!$C$21)+'Forecast DCF'!$M$15)*(1+G138)/(F138-G138))/(1+F138)^('Forecast DCF'!$M$6-0.5)</f>
        <v>137221.35814420672</v>
      </c>
      <c r="K138" s="49">
        <f ca="1">(I138-Assumptions!$C$12)/Assumptions!$C$9</f>
        <v>204.08981802388163</v>
      </c>
    </row>
    <row r="139" spans="2:11" outlineLevel="1" x14ac:dyDescent="0.2">
      <c r="B139" s="69">
        <f t="shared" si="6"/>
        <v>110</v>
      </c>
      <c r="C139" s="72">
        <f t="shared" ca="1" si="7"/>
        <v>0.26176863897756908</v>
      </c>
      <c r="D139" s="72">
        <f t="shared" ca="1" si="7"/>
        <v>0.70186578357599583</v>
      </c>
      <c r="E139" s="72">
        <f t="shared" ca="1" si="7"/>
        <v>0.76258664465875081</v>
      </c>
      <c r="F139" s="73">
        <f t="shared" ca="1" si="8"/>
        <v>0.12584025865621395</v>
      </c>
      <c r="G139" s="73">
        <f t="shared" ca="1" si="9"/>
        <v>3.5271356829723745E-2</v>
      </c>
      <c r="H139" s="73">
        <f t="shared" ca="1" si="10"/>
        <v>0.25865539746887151</v>
      </c>
      <c r="I139" s="57" cm="1">
        <f t="array" aca="1" ref="I139" ca="1">SUMPRODUCT('Forecast DCF'!$D$16:$M$16,1/(1+F139)^('Forecast DCF'!$D$6:$M$6-0.5))+(('Forecast DCF'!$M$7*H139*(1-Assumptions!$C$21)+'Forecast DCF'!$M$15)*(1+G139)/(F139-G139))/(1+F139)^('Forecast DCF'!$M$6-0.5)</f>
        <v>158565.43681082549</v>
      </c>
      <c r="K139" s="49">
        <f ca="1">(I139-Assumptions!$C$12)/Assumptions!$C$9</f>
        <v>243.21232122977111</v>
      </c>
    </row>
    <row r="140" spans="2:11" outlineLevel="1" x14ac:dyDescent="0.2">
      <c r="B140" s="69">
        <f t="shared" si="6"/>
        <v>111</v>
      </c>
      <c r="C140" s="72">
        <f t="shared" ca="1" si="7"/>
        <v>0.2678906110451067</v>
      </c>
      <c r="D140" s="72">
        <f t="shared" ca="1" si="7"/>
        <v>0.4033008946970591</v>
      </c>
      <c r="E140" s="72">
        <f t="shared" ca="1" si="7"/>
        <v>1.5400782146018144E-2</v>
      </c>
      <c r="F140" s="73">
        <f t="shared" ca="1" si="8"/>
        <v>0.12596628639829577</v>
      </c>
      <c r="G140" s="73">
        <f t="shared" ca="1" si="9"/>
        <v>3.2777861801585248E-2</v>
      </c>
      <c r="H140" s="73">
        <f t="shared" ca="1" si="10"/>
        <v>0.1905302246629087</v>
      </c>
      <c r="I140" s="57" cm="1">
        <f t="array" aca="1" ref="I140" ca="1">SUMPRODUCT('Forecast DCF'!$D$16:$M$16,1/(1+F140)^('Forecast DCF'!$D$6:$M$6-0.5))+(('Forecast DCF'!$M$7*H140*(1-Assumptions!$C$21)+'Forecast DCF'!$M$15)*(1+G140)/(F140-G140))/(1+F140)^('Forecast DCF'!$M$6-0.5)</f>
        <v>116006.77138185885</v>
      </c>
      <c r="K140" s="49">
        <f ca="1">(I140-Assumptions!$C$12)/Assumptions!$C$9</f>
        <v>165.20466624079677</v>
      </c>
    </row>
    <row r="141" spans="2:11" outlineLevel="1" x14ac:dyDescent="0.2">
      <c r="B141" s="69">
        <f t="shared" si="6"/>
        <v>112</v>
      </c>
      <c r="C141" s="72">
        <f t="shared" ca="1" si="7"/>
        <v>0.41787366943475157</v>
      </c>
      <c r="D141" s="72">
        <f t="shared" ca="1" si="7"/>
        <v>0.82290395541491734</v>
      </c>
      <c r="E141" s="72">
        <f t="shared" ca="1" si="7"/>
        <v>0.59139075438318933</v>
      </c>
      <c r="F141" s="73">
        <f t="shared" ca="1" si="8"/>
        <v>0.12869630254467648</v>
      </c>
      <c r="G141" s="73">
        <f t="shared" ca="1" si="9"/>
        <v>3.6355524270367381E-2</v>
      </c>
      <c r="H141" s="73">
        <f t="shared" ca="1" si="10"/>
        <v>0.24575991732638086</v>
      </c>
      <c r="I141" s="57" cm="1">
        <f t="array" aca="1" ref="I141" ca="1">SUMPRODUCT('Forecast DCF'!$D$16:$M$16,1/(1+F141)^('Forecast DCF'!$D$6:$M$6-0.5))+(('Forecast DCF'!$M$7*H141*(1-Assumptions!$C$21)+'Forecast DCF'!$M$15)*(1+G141)/(F141-G141))/(1+F141)^('Forecast DCF'!$M$6-0.5)</f>
        <v>144574.89181959897</v>
      </c>
      <c r="K141" s="49">
        <f ca="1">(I141-Assumptions!$C$12)/Assumptions!$C$9</f>
        <v>217.56843423794584</v>
      </c>
    </row>
    <row r="142" spans="2:11" outlineLevel="1" x14ac:dyDescent="0.2">
      <c r="B142" s="69">
        <f t="shared" si="6"/>
        <v>113</v>
      </c>
      <c r="C142" s="72">
        <f t="shared" ca="1" si="7"/>
        <v>0.20720549716954628</v>
      </c>
      <c r="D142" s="72">
        <f t="shared" ca="1" si="7"/>
        <v>0.93179190338921358</v>
      </c>
      <c r="E142" s="72">
        <f t="shared" ca="1" si="7"/>
        <v>0.24306152793326485</v>
      </c>
      <c r="F142" s="73">
        <f t="shared" ca="1" si="8"/>
        <v>0.12464453900780752</v>
      </c>
      <c r="G142" s="73">
        <f t="shared" ca="1" si="9"/>
        <v>3.7738229179202949E-2</v>
      </c>
      <c r="H142" s="73">
        <f t="shared" ca="1" si="10"/>
        <v>0.22183351528522921</v>
      </c>
      <c r="I142" s="57" cm="1">
        <f t="array" aca="1" ref="I142" ca="1">SUMPRODUCT('Forecast DCF'!$D$16:$M$16,1/(1+F142)^('Forecast DCF'!$D$6:$M$6-0.5))+(('Forecast DCF'!$M$7*H142*(1-Assumptions!$C$21)+'Forecast DCF'!$M$15)*(1+G142)/(F142-G142))/(1+F142)^('Forecast DCF'!$M$6-0.5)</f>
        <v>144720.68441296689</v>
      </c>
      <c r="K142" s="49">
        <f ca="1">(I142-Assumptions!$C$12)/Assumptions!$C$9</f>
        <v>217.83566391276671</v>
      </c>
    </row>
    <row r="143" spans="2:11" outlineLevel="1" x14ac:dyDescent="0.2">
      <c r="B143" s="69">
        <f t="shared" si="6"/>
        <v>114</v>
      </c>
      <c r="C143" s="72">
        <f t="shared" ca="1" si="7"/>
        <v>0.30706568453045624</v>
      </c>
      <c r="D143" s="72">
        <f t="shared" ca="1" si="7"/>
        <v>0.52028893553539812</v>
      </c>
      <c r="E143" s="72">
        <f t="shared" ca="1" si="7"/>
        <v>0.76872026710387742</v>
      </c>
      <c r="F143" s="73">
        <f t="shared" ca="1" si="8"/>
        <v>0.12674076729119263</v>
      </c>
      <c r="G143" s="73">
        <f t="shared" ca="1" si="9"/>
        <v>3.3834214188614049E-2</v>
      </c>
      <c r="H143" s="73">
        <f t="shared" ca="1" si="10"/>
        <v>0.25919296535090935</v>
      </c>
      <c r="I143" s="57" cm="1">
        <f t="array" aca="1" ref="I143" ca="1">SUMPRODUCT('Forecast DCF'!$D$16:$M$16,1/(1+F143)^('Forecast DCF'!$D$6:$M$6-0.5))+(('Forecast DCF'!$M$7*H143*(1-Assumptions!$C$21)+'Forecast DCF'!$M$15)*(1+G143)/(F143-G143))/(1+F143)^('Forecast DCF'!$M$6-0.5)</f>
        <v>153625.50858686207</v>
      </c>
      <c r="K143" s="49">
        <f ca="1">(I143-Assumptions!$C$12)/Assumptions!$C$9</f>
        <v>234.15770890391201</v>
      </c>
    </row>
    <row r="144" spans="2:11" outlineLevel="1" x14ac:dyDescent="0.2">
      <c r="B144" s="69">
        <f t="shared" si="6"/>
        <v>115</v>
      </c>
      <c r="C144" s="72">
        <f t="shared" ca="1" si="7"/>
        <v>0.5827444771380873</v>
      </c>
      <c r="D144" s="72">
        <f t="shared" ca="1" si="7"/>
        <v>0.67064504105235934</v>
      </c>
      <c r="E144" s="72">
        <f t="shared" ca="1" si="7"/>
        <v>0.70876443898330899</v>
      </c>
      <c r="F144" s="73">
        <f t="shared" ca="1" si="8"/>
        <v>0.13128071572972375</v>
      </c>
      <c r="G144" s="73">
        <f t="shared" ca="1" si="9"/>
        <v>3.502992737265611E-2</v>
      </c>
      <c r="H144" s="73">
        <f t="shared" ca="1" si="10"/>
        <v>0.25420812256174491</v>
      </c>
      <c r="I144" s="57" cm="1">
        <f t="array" aca="1" ref="I144" ca="1">SUMPRODUCT('Forecast DCF'!$D$16:$M$16,1/(1+F144)^('Forecast DCF'!$D$6:$M$6-0.5))+(('Forecast DCF'!$M$7*H144*(1-Assumptions!$C$21)+'Forecast DCF'!$M$15)*(1+G144)/(F144-G144))/(1+F144)^('Forecast DCF'!$M$6-0.5)</f>
        <v>139873.78346583582</v>
      </c>
      <c r="K144" s="49">
        <f ca="1">(I144-Assumptions!$C$12)/Assumptions!$C$9</f>
        <v>208.951565385744</v>
      </c>
    </row>
    <row r="145" spans="2:11" outlineLevel="1" x14ac:dyDescent="0.2">
      <c r="B145" s="69">
        <f t="shared" si="6"/>
        <v>116</v>
      </c>
      <c r="C145" s="72">
        <f t="shared" ca="1" si="7"/>
        <v>0.43960951992211139</v>
      </c>
      <c r="D145" s="72">
        <f t="shared" ca="1" si="7"/>
        <v>0.88899926679406072</v>
      </c>
      <c r="E145" s="72">
        <f t="shared" ca="1" si="7"/>
        <v>0.78888723932176019</v>
      </c>
      <c r="F145" s="73">
        <f t="shared" ca="1" si="8"/>
        <v>0.12904799622169835</v>
      </c>
      <c r="G145" s="73">
        <f t="shared" ca="1" si="9"/>
        <v>3.7114682861374607E-2</v>
      </c>
      <c r="H145" s="73">
        <f t="shared" ca="1" si="10"/>
        <v>0.26101267030324687</v>
      </c>
      <c r="I145" s="57" cm="1">
        <f t="array" aca="1" ref="I145" ca="1">SUMPRODUCT('Forecast DCF'!$D$16:$M$16,1/(1+F145)^('Forecast DCF'!$D$6:$M$6-0.5))+(('Forecast DCF'!$M$7*H145*(1-Assumptions!$C$21)+'Forecast DCF'!$M$15)*(1+G145)/(F145-G145))/(1+F145)^('Forecast DCF'!$M$6-0.5)</f>
        <v>153188.19634982274</v>
      </c>
      <c r="K145" s="49">
        <f ca="1">(I145-Assumptions!$C$12)/Assumptions!$C$9</f>
        <v>233.35614001622312</v>
      </c>
    </row>
    <row r="146" spans="2:11" outlineLevel="1" x14ac:dyDescent="0.2">
      <c r="B146" s="69">
        <f t="shared" si="6"/>
        <v>117</v>
      </c>
      <c r="C146" s="72">
        <f t="shared" ca="1" si="7"/>
        <v>0.88060481209391583</v>
      </c>
      <c r="D146" s="72">
        <f t="shared" ca="1" si="7"/>
        <v>0.65830010445424958</v>
      </c>
      <c r="E146" s="72">
        <f t="shared" ca="1" si="7"/>
        <v>0.29793673469934834</v>
      </c>
      <c r="F146" s="73">
        <f t="shared" ca="1" si="8"/>
        <v>0.13766122082707993</v>
      </c>
      <c r="G146" s="73">
        <f t="shared" ca="1" si="9"/>
        <v>3.493705266505806E-2</v>
      </c>
      <c r="H146" s="73">
        <f t="shared" ca="1" si="10"/>
        <v>0.22631570457021363</v>
      </c>
      <c r="I146" s="57" cm="1">
        <f t="array" aca="1" ref="I146" ca="1">SUMPRODUCT('Forecast DCF'!$D$16:$M$16,1/(1+F146)^('Forecast DCF'!$D$6:$M$6-0.5))+(('Forecast DCF'!$M$7*H146*(1-Assumptions!$C$21)+'Forecast DCF'!$M$15)*(1+G146)/(F146-G146))/(1+F146)^('Forecast DCF'!$M$6-0.5)</f>
        <v>110911.41721532826</v>
      </c>
      <c r="K146" s="49">
        <f ca="1">(I146-Assumptions!$C$12)/Assumptions!$C$9</f>
        <v>155.86516684947378</v>
      </c>
    </row>
    <row r="147" spans="2:11" outlineLevel="1" x14ac:dyDescent="0.2">
      <c r="B147" s="69">
        <f t="shared" si="6"/>
        <v>118</v>
      </c>
      <c r="C147" s="72">
        <f t="shared" ca="1" si="7"/>
        <v>0.83209841524512496</v>
      </c>
      <c r="D147" s="72">
        <f t="shared" ca="1" si="7"/>
        <v>0.7786533972301185</v>
      </c>
      <c r="E147" s="72">
        <f t="shared" ca="1" si="7"/>
        <v>0.3096227506212007</v>
      </c>
      <c r="F147" s="73">
        <f t="shared" ca="1" si="8"/>
        <v>0.13629722399314664</v>
      </c>
      <c r="G147" s="73">
        <f t="shared" ca="1" si="9"/>
        <v>3.5925568112271225E-2</v>
      </c>
      <c r="H147" s="73">
        <f t="shared" ca="1" si="10"/>
        <v>0.22721529206171073</v>
      </c>
      <c r="I147" s="57" cm="1">
        <f t="array" aca="1" ref="I147" ca="1">SUMPRODUCT('Forecast DCF'!$D$16:$M$16,1/(1+F147)^('Forecast DCF'!$D$6:$M$6-0.5))+(('Forecast DCF'!$M$7*H147*(1-Assumptions!$C$21)+'Forecast DCF'!$M$15)*(1+G147)/(F147-G147))/(1+F147)^('Forecast DCF'!$M$6-0.5)</f>
        <v>115394.41743713991</v>
      </c>
      <c r="K147" s="49">
        <f ca="1">(I147-Assumptions!$C$12)/Assumptions!$C$9</f>
        <v>164.08225568658187</v>
      </c>
    </row>
    <row r="148" spans="2:11" outlineLevel="1" x14ac:dyDescent="0.2">
      <c r="B148" s="69">
        <f t="shared" si="6"/>
        <v>119</v>
      </c>
      <c r="C148" s="72">
        <f t="shared" ca="1" si="7"/>
        <v>0.39414158293738322</v>
      </c>
      <c r="D148" s="72">
        <f t="shared" ca="1" si="7"/>
        <v>4.3011273908336367E-2</v>
      </c>
      <c r="E148" s="72">
        <f t="shared" ca="1" si="7"/>
        <v>0.65300938541624765</v>
      </c>
      <c r="F148" s="73">
        <f t="shared" ca="1" si="8"/>
        <v>0.12830169439194958</v>
      </c>
      <c r="G148" s="73">
        <f t="shared" ca="1" si="9"/>
        <v>2.7540017930300979E-2</v>
      </c>
      <c r="H148" s="73">
        <f t="shared" ca="1" si="10"/>
        <v>0.25001667853170401</v>
      </c>
      <c r="I148" s="57" cm="1">
        <f t="array" aca="1" ref="I148" ca="1">SUMPRODUCT('Forecast DCF'!$D$16:$M$16,1/(1+F148)^('Forecast DCF'!$D$6:$M$6-0.5))+(('Forecast DCF'!$M$7*H148*(1-Assumptions!$C$21)+'Forecast DCF'!$M$15)*(1+G148)/(F148-G148))/(1+F148)^('Forecast DCF'!$M$6-0.5)</f>
        <v>134971.71935342139</v>
      </c>
      <c r="K148" s="49">
        <f ca="1">(I148-Assumptions!$C$12)/Assumptions!$C$9</f>
        <v>199.96635586000576</v>
      </c>
    </row>
    <row r="149" spans="2:11" outlineLevel="1" x14ac:dyDescent="0.2">
      <c r="B149" s="69">
        <f t="shared" si="6"/>
        <v>120</v>
      </c>
      <c r="C149" s="72">
        <f t="shared" ca="1" si="7"/>
        <v>0.25860579984610832</v>
      </c>
      <c r="D149" s="72">
        <f t="shared" ca="1" si="7"/>
        <v>0.78632672520050417</v>
      </c>
      <c r="E149" s="72">
        <f t="shared" ca="1" si="7"/>
        <v>0.10129095595338655</v>
      </c>
      <c r="F149" s="73">
        <f t="shared" ca="1" si="8"/>
        <v>0.12577457051531454</v>
      </c>
      <c r="G149" s="73">
        <f t="shared" ca="1" si="9"/>
        <v>3.5996814317326493E-2</v>
      </c>
      <c r="H149" s="73">
        <f t="shared" ca="1" si="10"/>
        <v>0.20700546024166933</v>
      </c>
      <c r="I149" s="57" cm="1">
        <f t="array" aca="1" ref="I149" ca="1">SUMPRODUCT('Forecast DCF'!$D$16:$M$16,1/(1+F149)^('Forecast DCF'!$D$6:$M$6-0.5))+(('Forecast DCF'!$M$7*H149*(1-Assumptions!$C$21)+'Forecast DCF'!$M$15)*(1+G149)/(F149-G149))/(1+F149)^('Forecast DCF'!$M$6-0.5)</f>
        <v>130111.16202108376</v>
      </c>
      <c r="K149" s="49">
        <f ca="1">(I149-Assumptions!$C$12)/Assumptions!$C$9</f>
        <v>191.0572259421993</v>
      </c>
    </row>
    <row r="150" spans="2:11" outlineLevel="1" x14ac:dyDescent="0.2">
      <c r="B150" s="69">
        <f t="shared" si="6"/>
        <v>121</v>
      </c>
      <c r="C150" s="72">
        <f t="shared" ca="1" si="7"/>
        <v>0.82375924090709496</v>
      </c>
      <c r="D150" s="72">
        <f t="shared" ca="1" si="7"/>
        <v>0.23433623147899263</v>
      </c>
      <c r="E150" s="72">
        <f t="shared" ca="1" si="7"/>
        <v>0.65501474278350802</v>
      </c>
      <c r="F150" s="73">
        <f t="shared" ca="1" si="8"/>
        <v>0.13608372231624</v>
      </c>
      <c r="G150" s="73">
        <f t="shared" ca="1" si="9"/>
        <v>3.0928780205223407E-2</v>
      </c>
      <c r="H150" s="73">
        <f t="shared" ca="1" si="10"/>
        <v>0.2501613217274099</v>
      </c>
      <c r="I150" s="57" cm="1">
        <f t="array" aca="1" ref="I150" ca="1">SUMPRODUCT('Forecast DCF'!$D$16:$M$16,1/(1+F150)^('Forecast DCF'!$D$6:$M$6-0.5))+(('Forecast DCF'!$M$7*H150*(1-Assumptions!$C$21)+'Forecast DCF'!$M$15)*(1+G150)/(F150-G150))/(1+F150)^('Forecast DCF'!$M$6-0.5)</f>
        <v>120644.68282258295</v>
      </c>
      <c r="K150" s="49">
        <f ca="1">(I150-Assumptions!$C$12)/Assumptions!$C$9</f>
        <v>173.70569868367915</v>
      </c>
    </row>
    <row r="151" spans="2:11" outlineLevel="1" x14ac:dyDescent="0.2">
      <c r="B151" s="69">
        <f t="shared" si="6"/>
        <v>122</v>
      </c>
      <c r="C151" s="72">
        <f t="shared" ca="1" si="7"/>
        <v>0.11394567241283937</v>
      </c>
      <c r="D151" s="72">
        <f t="shared" ca="1" si="7"/>
        <v>0.23977085313724655</v>
      </c>
      <c r="E151" s="72">
        <f t="shared" ca="1" si="7"/>
        <v>0.92361958895089158</v>
      </c>
      <c r="F151" s="73">
        <f t="shared" ca="1" si="8"/>
        <v>0.12215203704382199</v>
      </c>
      <c r="G151" s="73">
        <f t="shared" ca="1" si="9"/>
        <v>3.0997134980187371E-2</v>
      </c>
      <c r="H151" s="73">
        <f t="shared" ca="1" si="10"/>
        <v>0.27654922262368298</v>
      </c>
      <c r="I151" s="57" cm="1">
        <f t="array" aca="1" ref="I151" ca="1">SUMPRODUCT('Forecast DCF'!$D$16:$M$16,1/(1+F151)^('Forecast DCF'!$D$6:$M$6-0.5))+(('Forecast DCF'!$M$7*H151*(1-Assumptions!$C$21)+'Forecast DCF'!$M$15)*(1+G151)/(F151-G151))/(1+F151)^('Forecast DCF'!$M$6-0.5)</f>
        <v>173153.32399127862</v>
      </c>
      <c r="K151" s="49">
        <f ca="1">(I151-Assumptions!$C$12)/Assumptions!$C$9</f>
        <v>269.9511030670497</v>
      </c>
    </row>
    <row r="152" spans="2:11" outlineLevel="1" x14ac:dyDescent="0.2">
      <c r="B152" s="69">
        <f t="shared" si="6"/>
        <v>123</v>
      </c>
      <c r="C152" s="72">
        <f t="shared" ca="1" si="7"/>
        <v>1.5161553601884425E-2</v>
      </c>
      <c r="D152" s="72">
        <f t="shared" ca="1" si="7"/>
        <v>1.1101827462692726E-2</v>
      </c>
      <c r="E152" s="72">
        <f t="shared" ca="1" si="7"/>
        <v>0.82896729309046635</v>
      </c>
      <c r="F152" s="73">
        <f t="shared" ca="1" si="8"/>
        <v>0.11760887151081842</v>
      </c>
      <c r="G152" s="73">
        <f t="shared" ca="1" si="9"/>
        <v>2.6290455004796338E-2</v>
      </c>
      <c r="H152" s="73">
        <f t="shared" ca="1" si="10"/>
        <v>0.26490818486101575</v>
      </c>
      <c r="I152" s="57" cm="1">
        <f t="array" aca="1" ref="I152" ca="1">SUMPRODUCT('Forecast DCF'!$D$16:$M$16,1/(1+F152)^('Forecast DCF'!$D$6:$M$6-0.5))+(('Forecast DCF'!$M$7*H152*(1-Assumptions!$C$21)+'Forecast DCF'!$M$15)*(1+G152)/(F152-G152))/(1+F152)^('Forecast DCF'!$M$6-0.5)</f>
        <v>172689.3487573376</v>
      </c>
      <c r="K152" s="49">
        <f ca="1">(I152-Assumptions!$C$12)/Assumptions!$C$9</f>
        <v>269.1006623963217</v>
      </c>
    </row>
    <row r="153" spans="2:11" outlineLevel="1" x14ac:dyDescent="0.2">
      <c r="B153" s="69">
        <f t="shared" si="6"/>
        <v>124</v>
      </c>
      <c r="C153" s="72">
        <f t="shared" ca="1" si="7"/>
        <v>0.58511660313760838</v>
      </c>
      <c r="D153" s="72">
        <f t="shared" ca="1" si="7"/>
        <v>1.4826671653835666E-2</v>
      </c>
      <c r="E153" s="72">
        <f t="shared" ca="1" si="7"/>
        <v>0.94306252490154985</v>
      </c>
      <c r="F153" s="73">
        <f t="shared" ca="1" si="8"/>
        <v>0.13131976884538346</v>
      </c>
      <c r="G153" s="73">
        <f t="shared" ca="1" si="9"/>
        <v>2.6491308401396355E-2</v>
      </c>
      <c r="H153" s="73">
        <f t="shared" ca="1" si="10"/>
        <v>0.2797527823958737</v>
      </c>
      <c r="I153" s="57" cm="1">
        <f t="array" aca="1" ref="I153" ca="1">SUMPRODUCT('Forecast DCF'!$D$16:$M$16,1/(1+F153)^('Forecast DCF'!$D$6:$M$6-0.5))+(('Forecast DCF'!$M$7*H153*(1-Assumptions!$C$21)+'Forecast DCF'!$M$15)*(1+G153)/(F153-G153))/(1+F153)^('Forecast DCF'!$M$6-0.5)</f>
        <v>140195.35835851048</v>
      </c>
      <c r="K153" s="49">
        <f ca="1">(I153-Assumptions!$C$12)/Assumptions!$C$9</f>
        <v>209.54099419014932</v>
      </c>
    </row>
    <row r="154" spans="2:11" outlineLevel="1" x14ac:dyDescent="0.2">
      <c r="B154" s="69">
        <f t="shared" si="6"/>
        <v>125</v>
      </c>
      <c r="C154" s="72">
        <f t="shared" ca="1" si="7"/>
        <v>0.41482002769276471</v>
      </c>
      <c r="D154" s="72">
        <f t="shared" ca="1" si="7"/>
        <v>0.6558667557919402</v>
      </c>
      <c r="E154" s="72">
        <f t="shared" ca="1" si="7"/>
        <v>0.99080799207857884</v>
      </c>
      <c r="F154" s="73">
        <f t="shared" ca="1" si="8"/>
        <v>0.12864616742978055</v>
      </c>
      <c r="G154" s="73">
        <f t="shared" ca="1" si="9"/>
        <v>3.4918669939502531E-2</v>
      </c>
      <c r="H154" s="73">
        <f t="shared" ca="1" si="10"/>
        <v>0.29186473989142125</v>
      </c>
      <c r="I154" s="57" cm="1">
        <f t="array" aca="1" ref="I154" ca="1">SUMPRODUCT('Forecast DCF'!$D$16:$M$16,1/(1+F154)^('Forecast DCF'!$D$6:$M$6-0.5))+(('Forecast DCF'!$M$7*H154*(1-Assumptions!$C$21)+'Forecast DCF'!$M$15)*(1+G154)/(F154-G154))/(1+F154)^('Forecast DCF'!$M$6-0.5)</f>
        <v>167452.6106178592</v>
      </c>
      <c r="K154" s="49">
        <f ca="1">(I154-Assumptions!$C$12)/Assumptions!$C$9</f>
        <v>259.50201408499578</v>
      </c>
    </row>
    <row r="155" spans="2:11" outlineLevel="1" x14ac:dyDescent="0.2">
      <c r="B155" s="69">
        <f t="shared" si="6"/>
        <v>126</v>
      </c>
      <c r="C155" s="72">
        <f t="shared" ca="1" si="7"/>
        <v>0.64724115092101453</v>
      </c>
      <c r="D155" s="72">
        <f t="shared" ca="1" si="7"/>
        <v>0.48411818553124453</v>
      </c>
      <c r="E155" s="72">
        <f t="shared" ca="1" si="7"/>
        <v>0.71389192688929004</v>
      </c>
      <c r="F155" s="73">
        <f t="shared" ca="1" si="8"/>
        <v>0.13238551959160025</v>
      </c>
      <c r="G155" s="73">
        <f t="shared" ca="1" si="9"/>
        <v>3.352160359496302E-2</v>
      </c>
      <c r="H155" s="73">
        <f t="shared" ca="1" si="10"/>
        <v>0.25461301809552533</v>
      </c>
      <c r="I155" s="57" cm="1">
        <f t="array" aca="1" ref="I155" ca="1">SUMPRODUCT('Forecast DCF'!$D$16:$M$16,1/(1+F155)^('Forecast DCF'!$D$6:$M$6-0.5))+(('Forecast DCF'!$M$7*H155*(1-Assumptions!$C$21)+'Forecast DCF'!$M$15)*(1+G155)/(F155-G155))/(1+F155)^('Forecast DCF'!$M$6-0.5)</f>
        <v>134996.19400714664</v>
      </c>
      <c r="K155" s="49">
        <f ca="1">(I155-Assumptions!$C$12)/Assumptions!$C$9</f>
        <v>200.0112165323161</v>
      </c>
    </row>
    <row r="156" spans="2:11" outlineLevel="1" x14ac:dyDescent="0.2">
      <c r="B156" s="69">
        <f t="shared" si="6"/>
        <v>127</v>
      </c>
      <c r="C156" s="72">
        <f t="shared" ca="1" si="7"/>
        <v>0.32087225616683568</v>
      </c>
      <c r="D156" s="72">
        <f t="shared" ca="1" si="7"/>
        <v>0.67485754768559314</v>
      </c>
      <c r="E156" s="72">
        <f t="shared" ca="1" si="7"/>
        <v>0.87967998852154461</v>
      </c>
      <c r="F156" s="73">
        <f t="shared" ca="1" si="8"/>
        <v>0.12700181481433104</v>
      </c>
      <c r="G156" s="73">
        <f t="shared" ca="1" si="9"/>
        <v>3.5061813701005147E-2</v>
      </c>
      <c r="H156" s="73">
        <f t="shared" ca="1" si="10"/>
        <v>0.27056695593988145</v>
      </c>
      <c r="I156" s="57" cm="1">
        <f t="array" aca="1" ref="I156" ca="1">SUMPRODUCT('Forecast DCF'!$D$16:$M$16,1/(1+F156)^('Forecast DCF'!$D$6:$M$6-0.5))+(('Forecast DCF'!$M$7*H156*(1-Assumptions!$C$21)+'Forecast DCF'!$M$15)*(1+G156)/(F156-G156))/(1+F156)^('Forecast DCF'!$M$6-0.5)</f>
        <v>161276.86872014523</v>
      </c>
      <c r="K156" s="49">
        <f ca="1">(I156-Assumptions!$C$12)/Assumptions!$C$9</f>
        <v>248.18222436880021</v>
      </c>
    </row>
    <row r="157" spans="2:11" outlineLevel="1" x14ac:dyDescent="0.2">
      <c r="B157" s="69">
        <f t="shared" si="6"/>
        <v>128</v>
      </c>
      <c r="C157" s="72">
        <f t="shared" ca="1" si="7"/>
        <v>0.89569250961488611</v>
      </c>
      <c r="D157" s="72">
        <f t="shared" ca="1" si="7"/>
        <v>0.30456978462322948</v>
      </c>
      <c r="E157" s="72">
        <f t="shared" ca="1" si="7"/>
        <v>0.54513770057126731</v>
      </c>
      <c r="F157" s="73">
        <f t="shared" ca="1" si="8"/>
        <v>0.13814056798095808</v>
      </c>
      <c r="G157" s="73">
        <f t="shared" ca="1" si="9"/>
        <v>3.1759102580482444E-2</v>
      </c>
      <c r="H157" s="73">
        <f t="shared" ca="1" si="10"/>
        <v>0.24277230953562012</v>
      </c>
      <c r="I157" s="57" cm="1">
        <f t="array" aca="1" ref="I157" ca="1">SUMPRODUCT('Forecast DCF'!$D$16:$M$16,1/(1+F157)^('Forecast DCF'!$D$6:$M$6-0.5))+(('Forecast DCF'!$M$7*H157*(1-Assumptions!$C$21)+'Forecast DCF'!$M$15)*(1+G157)/(F157-G157))/(1+F157)^('Forecast DCF'!$M$6-0.5)</f>
        <v>113792.18665924128</v>
      </c>
      <c r="K157" s="49">
        <f ca="1">(I157-Assumptions!$C$12)/Assumptions!$C$9</f>
        <v>161.14545622458644</v>
      </c>
    </row>
    <row r="158" spans="2:11" outlineLevel="1" x14ac:dyDescent="0.2">
      <c r="B158" s="69">
        <f t="shared" si="6"/>
        <v>129</v>
      </c>
      <c r="C158" s="72">
        <f t="shared" ca="1" si="7"/>
        <v>0.74247147487274001</v>
      </c>
      <c r="D158" s="72">
        <f t="shared" ca="1" si="7"/>
        <v>0.82037395297404125</v>
      </c>
      <c r="E158" s="72">
        <f t="shared" ca="1" si="7"/>
        <v>0.80427266128870678</v>
      </c>
      <c r="F158" s="73">
        <f t="shared" ca="1" si="8"/>
        <v>0.13422187841570302</v>
      </c>
      <c r="G158" s="73">
        <f t="shared" ca="1" si="9"/>
        <v>3.6329584011730157E-2</v>
      </c>
      <c r="H158" s="73">
        <f t="shared" ca="1" si="10"/>
        <v>0.26246019660784953</v>
      </c>
      <c r="I158" s="57" cm="1">
        <f t="array" aca="1" ref="I158" ca="1">SUMPRODUCT('Forecast DCF'!$D$16:$M$16,1/(1+F158)^('Forecast DCF'!$D$6:$M$6-0.5))+(('Forecast DCF'!$M$7*H158*(1-Assumptions!$C$21)+'Forecast DCF'!$M$15)*(1+G158)/(F158-G158))/(1+F158)^('Forecast DCF'!$M$6-0.5)</f>
        <v>138059.60348665781</v>
      </c>
      <c r="K158" s="49">
        <f ca="1">(I158-Assumptions!$C$12)/Assumptions!$C$9</f>
        <v>205.62627488433415</v>
      </c>
    </row>
    <row r="159" spans="2:11" outlineLevel="1" x14ac:dyDescent="0.2">
      <c r="B159" s="69">
        <f t="shared" si="6"/>
        <v>130</v>
      </c>
      <c r="C159" s="72">
        <f t="shared" ca="1" si="7"/>
        <v>0.46987901625135919</v>
      </c>
      <c r="D159" s="72">
        <f t="shared" ca="1" si="7"/>
        <v>0.43861997798698049</v>
      </c>
      <c r="E159" s="72">
        <f t="shared" ca="1" si="7"/>
        <v>0.15212582951968645</v>
      </c>
      <c r="F159" s="73">
        <f t="shared" ca="1" si="8"/>
        <v>0.12952358607143483</v>
      </c>
      <c r="G159" s="73">
        <f t="shared" ca="1" si="9"/>
        <v>3.3111288226789076E-2</v>
      </c>
      <c r="H159" s="73">
        <f t="shared" ca="1" si="10"/>
        <v>0.21309540712155906</v>
      </c>
      <c r="I159" s="57" cm="1">
        <f t="array" aca="1" ref="I159" ca="1">SUMPRODUCT('Forecast DCF'!$D$16:$M$16,1/(1+F159)^('Forecast DCF'!$D$6:$M$6-0.5))+(('Forecast DCF'!$M$7*H159*(1-Assumptions!$C$21)+'Forecast DCF'!$M$15)*(1+G159)/(F159-G159))/(1+F159)^('Forecast DCF'!$M$6-0.5)</f>
        <v>120355.03792305155</v>
      </c>
      <c r="K159" s="49">
        <f ca="1">(I159-Assumptions!$C$12)/Assumptions!$C$9</f>
        <v>173.1747957720342</v>
      </c>
    </row>
    <row r="160" spans="2:11" outlineLevel="1" x14ac:dyDescent="0.2">
      <c r="B160" s="69">
        <f t="shared" ref="B160:B223" si="11">ROW()-29</f>
        <v>131</v>
      </c>
      <c r="C160" s="72">
        <f t="shared" ref="C160:E223" ca="1" si="12">RAND()</f>
        <v>0.11984073988739774</v>
      </c>
      <c r="D160" s="72">
        <f t="shared" ca="1" si="12"/>
        <v>0.8209699488700547</v>
      </c>
      <c r="E160" s="72">
        <f t="shared" ca="1" si="12"/>
        <v>7.9321376360244056E-2</v>
      </c>
      <c r="F160" s="73">
        <f t="shared" ref="F160:F223" ca="1" si="13">IF(C160&lt;($D$7-$C$7)/($E$7-$C$7),$C$7+SQRT(C160*($E$7-$C$7)*($D$7-$C$7)),$E$7-SQRT((1-C160)*($E$7-$C$7)*($E$7-$D$7)))</f>
        <v>0.1223347122104067</v>
      </c>
      <c r="G160" s="73">
        <f t="shared" ref="G160:G223" ca="1" si="14">IF(D160&lt;($D$8-$C$8)/($E$8-$C$8),$C$8+SQRT(D160*($E$8-$C$8)*($D$8-$C$8)),$E$8-SQRT((1-D160)*($E$8-$C$8)*($E$8-$D$8)))</f>
        <v>3.6335678257201492E-2</v>
      </c>
      <c r="H160" s="73">
        <f t="shared" ref="H160:H223" ca="1" si="15">IF(E160&lt;($D$9-$C$9)/($E$9-$C$9),$C$9+SQRT(E160*($E$9-$C$9)*($D$9-$C$9)),$E$9-SQRT((1-E160)*($E$9-$C$9)*($E$9-$D$9)))</f>
        <v>0.20389798966008976</v>
      </c>
      <c r="I160" s="57" cm="1">
        <f t="array" aca="1" ref="I160" ca="1">SUMPRODUCT('Forecast DCF'!$D$16:$M$16,1/(1+F160)^('Forecast DCF'!$D$6:$M$6-0.5))+(('Forecast DCF'!$M$7*H160*(1-Assumptions!$C$21)+'Forecast DCF'!$M$15)*(1+G160)/(F160-G160))/(1+F160)^('Forecast DCF'!$M$6-0.5)</f>
        <v>138060.70296970516</v>
      </c>
      <c r="K160" s="49">
        <f ca="1">(I160-Assumptions!$C$12)/Assumptions!$C$9</f>
        <v>205.62829017530626</v>
      </c>
    </row>
    <row r="161" spans="2:11" outlineLevel="1" x14ac:dyDescent="0.2">
      <c r="B161" s="69">
        <f t="shared" si="11"/>
        <v>132</v>
      </c>
      <c r="C161" s="72">
        <f t="shared" ca="1" si="12"/>
        <v>0.43173866738080258</v>
      </c>
      <c r="D161" s="72">
        <f t="shared" ca="1" si="12"/>
        <v>0.40072347770505468</v>
      </c>
      <c r="E161" s="72">
        <f t="shared" ca="1" si="12"/>
        <v>0.14978296803007973</v>
      </c>
      <c r="F161" s="73">
        <f t="shared" ca="1" si="13"/>
        <v>0.12892166922269663</v>
      </c>
      <c r="G161" s="73">
        <f t="shared" ca="1" si="14"/>
        <v>3.2752968570538527E-2</v>
      </c>
      <c r="H161" s="73">
        <f t="shared" ca="1" si="15"/>
        <v>0.21283957018318866</v>
      </c>
      <c r="I161" s="57" cm="1">
        <f t="array" aca="1" ref="I161" ca="1">SUMPRODUCT('Forecast DCF'!$D$16:$M$16,1/(1+F161)^('Forecast DCF'!$D$6:$M$6-0.5))+(('Forecast DCF'!$M$7*H161*(1-Assumptions!$C$21)+'Forecast DCF'!$M$15)*(1+G161)/(F161-G161))/(1+F161)^('Forecast DCF'!$M$6-0.5)</f>
        <v>121182.50349400347</v>
      </c>
      <c r="K161" s="49">
        <f ca="1">(I161-Assumptions!$C$12)/Assumptions!$C$9</f>
        <v>174.69149391384525</v>
      </c>
    </row>
    <row r="162" spans="2:11" outlineLevel="1" x14ac:dyDescent="0.2">
      <c r="B162" s="69">
        <f t="shared" si="11"/>
        <v>133</v>
      </c>
      <c r="C162" s="72">
        <f t="shared" ca="1" si="12"/>
        <v>0.88865736501221737</v>
      </c>
      <c r="D162" s="72">
        <f t="shared" ca="1" si="12"/>
        <v>0.95556537341278658</v>
      </c>
      <c r="E162" s="72">
        <f t="shared" ca="1" si="12"/>
        <v>0.98981001345596309</v>
      </c>
      <c r="F162" s="73">
        <f t="shared" ca="1" si="13"/>
        <v>0.13791302084191556</v>
      </c>
      <c r="G162" s="73">
        <f t="shared" ca="1" si="14"/>
        <v>3.817445980760735E-2</v>
      </c>
      <c r="H162" s="73">
        <f t="shared" ca="1" si="15"/>
        <v>0.29143449341153332</v>
      </c>
      <c r="I162" s="57" cm="1">
        <f t="array" aca="1" ref="I162" ca="1">SUMPRODUCT('Forecast DCF'!$D$16:$M$16,1/(1+F162)^('Forecast DCF'!$D$6:$M$6-0.5))+(('Forecast DCF'!$M$7*H162*(1-Assumptions!$C$21)+'Forecast DCF'!$M$15)*(1+G162)/(F162-G162))/(1+F162)^('Forecast DCF'!$M$6-0.5)</f>
        <v>144800.78031816555</v>
      </c>
      <c r="K162" s="49">
        <f ca="1">(I162-Assumptions!$C$12)/Assumptions!$C$9</f>
        <v>217.98247523017503</v>
      </c>
    </row>
    <row r="163" spans="2:11" outlineLevel="1" x14ac:dyDescent="0.2">
      <c r="B163" s="69">
        <f t="shared" si="11"/>
        <v>134</v>
      </c>
      <c r="C163" s="72">
        <f t="shared" ca="1" si="12"/>
        <v>0.87152259335501026</v>
      </c>
      <c r="D163" s="72">
        <f t="shared" ca="1" si="12"/>
        <v>0.35387140577476117</v>
      </c>
      <c r="E163" s="72">
        <f t="shared" ca="1" si="12"/>
        <v>0.89134726989141599</v>
      </c>
      <c r="F163" s="73">
        <f t="shared" ca="1" si="13"/>
        <v>0.1373872110684245</v>
      </c>
      <c r="G163" s="73">
        <f t="shared" ca="1" si="14"/>
        <v>3.2285651025557992E-2</v>
      </c>
      <c r="H163" s="73">
        <f t="shared" ca="1" si="15"/>
        <v>0.27203037975263511</v>
      </c>
      <c r="I163" s="57" cm="1">
        <f t="array" aca="1" ref="I163" ca="1">SUMPRODUCT('Forecast DCF'!$D$16:$M$16,1/(1+F163)^('Forecast DCF'!$D$6:$M$6-0.5))+(('Forecast DCF'!$M$7*H163*(1-Assumptions!$C$21)+'Forecast DCF'!$M$15)*(1+G163)/(F163-G163))/(1+F163)^('Forecast DCF'!$M$6-0.5)</f>
        <v>129099.12041115265</v>
      </c>
      <c r="K163" s="49">
        <f ca="1">(I163-Assumptions!$C$12)/Assumptions!$C$9</f>
        <v>189.20221023749491</v>
      </c>
    </row>
    <row r="164" spans="2:11" outlineLevel="1" x14ac:dyDescent="0.2">
      <c r="B164" s="69">
        <f t="shared" si="11"/>
        <v>135</v>
      </c>
      <c r="C164" s="72">
        <f t="shared" ca="1" si="12"/>
        <v>0.75118895576472744</v>
      </c>
      <c r="D164" s="72">
        <f t="shared" ca="1" si="12"/>
        <v>0.82381547905478536</v>
      </c>
      <c r="E164" s="72">
        <f t="shared" ca="1" si="12"/>
        <v>0.46642963347573563</v>
      </c>
      <c r="F164" s="73">
        <f t="shared" ca="1" si="13"/>
        <v>0.13440587153133821</v>
      </c>
      <c r="G164" s="73">
        <f t="shared" ca="1" si="14"/>
        <v>3.6364915534558916E-2</v>
      </c>
      <c r="H164" s="73">
        <f t="shared" ca="1" si="15"/>
        <v>0.23795078395522615</v>
      </c>
      <c r="I164" s="57" cm="1">
        <f t="array" aca="1" ref="I164" ca="1">SUMPRODUCT('Forecast DCF'!$D$16:$M$16,1/(1+F164)^('Forecast DCF'!$D$6:$M$6-0.5))+(('Forecast DCF'!$M$7*H164*(1-Assumptions!$C$21)+'Forecast DCF'!$M$15)*(1+G164)/(F164-G164))/(1+F164)^('Forecast DCF'!$M$6-0.5)</f>
        <v>125512.30400162737</v>
      </c>
      <c r="K164" s="49">
        <f ca="1">(I164-Assumptions!$C$12)/Assumptions!$C$9</f>
        <v>182.62777623767781</v>
      </c>
    </row>
    <row r="165" spans="2:11" outlineLevel="1" x14ac:dyDescent="0.2">
      <c r="B165" s="69">
        <f t="shared" si="11"/>
        <v>136</v>
      </c>
      <c r="C165" s="72">
        <f t="shared" ca="1" si="12"/>
        <v>0.72060339880112689</v>
      </c>
      <c r="D165" s="72">
        <f t="shared" ca="1" si="12"/>
        <v>0.11364413410384477</v>
      </c>
      <c r="E165" s="72">
        <f t="shared" ca="1" si="12"/>
        <v>0.15280970231228685</v>
      </c>
      <c r="F165" s="73">
        <f t="shared" ca="1" si="13"/>
        <v>0.13377358823192165</v>
      </c>
      <c r="G165" s="73">
        <f t="shared" ca="1" si="14"/>
        <v>2.9128755274362567E-2</v>
      </c>
      <c r="H165" s="73">
        <f t="shared" ca="1" si="15"/>
        <v>0.21316971294190629</v>
      </c>
      <c r="I165" s="57" cm="1">
        <f t="array" aca="1" ref="I165" ca="1">SUMPRODUCT('Forecast DCF'!$D$16:$M$16,1/(1+F165)^('Forecast DCF'!$D$6:$M$6-0.5))+(('Forecast DCF'!$M$7*H165*(1-Assumptions!$C$21)+'Forecast DCF'!$M$15)*(1+G165)/(F165-G165))/(1+F165)^('Forecast DCF'!$M$6-0.5)</f>
        <v>106682.31350283667</v>
      </c>
      <c r="K165" s="49">
        <f ca="1">(I165-Assumptions!$C$12)/Assumptions!$C$9</f>
        <v>148.11345612284717</v>
      </c>
    </row>
    <row r="166" spans="2:11" outlineLevel="1" x14ac:dyDescent="0.2">
      <c r="B166" s="69">
        <f t="shared" si="11"/>
        <v>137</v>
      </c>
      <c r="C166" s="72">
        <f t="shared" ca="1" si="12"/>
        <v>0.20860812638912818</v>
      </c>
      <c r="D166" s="72">
        <f t="shared" ca="1" si="12"/>
        <v>0.97688066593426348</v>
      </c>
      <c r="E166" s="72">
        <f t="shared" ca="1" si="12"/>
        <v>0.86189505156156687</v>
      </c>
      <c r="F166" s="73">
        <f t="shared" ca="1" si="13"/>
        <v>0.12467712717847101</v>
      </c>
      <c r="G166" s="73">
        <f t="shared" ca="1" si="14"/>
        <v>3.8683204626781278E-2</v>
      </c>
      <c r="H166" s="73">
        <f t="shared" ca="1" si="15"/>
        <v>0.26846659503388953</v>
      </c>
      <c r="I166" s="57" cm="1">
        <f t="array" aca="1" ref="I166" ca="1">SUMPRODUCT('Forecast DCF'!$D$16:$M$16,1/(1+F166)^('Forecast DCF'!$D$6:$M$6-0.5))+(('Forecast DCF'!$M$7*H166*(1-Assumptions!$C$21)+'Forecast DCF'!$M$15)*(1+G166)/(F166-G166))/(1+F166)^('Forecast DCF'!$M$6-0.5)</f>
        <v>174783.4646722411</v>
      </c>
      <c r="K166" s="49">
        <f ca="1">(I166-Assumptions!$C$12)/Assumptions!$C$9</f>
        <v>272.93905982138585</v>
      </c>
    </row>
    <row r="167" spans="2:11" outlineLevel="1" x14ac:dyDescent="0.2">
      <c r="B167" s="69">
        <f t="shared" si="11"/>
        <v>138</v>
      </c>
      <c r="C167" s="72">
        <f t="shared" ca="1" si="12"/>
        <v>0.36040063011732704</v>
      </c>
      <c r="D167" s="72">
        <f t="shared" ca="1" si="12"/>
        <v>0.18156054259249765</v>
      </c>
      <c r="E167" s="72">
        <f t="shared" ca="1" si="12"/>
        <v>0.17361810034835568</v>
      </c>
      <c r="F167" s="73">
        <f t="shared" ca="1" si="13"/>
        <v>0.12771960451587994</v>
      </c>
      <c r="G167" s="73">
        <f t="shared" ca="1" si="14"/>
        <v>3.0218628305299648E-2</v>
      </c>
      <c r="H167" s="73">
        <f t="shared" ca="1" si="15"/>
        <v>0.21535605071990027</v>
      </c>
      <c r="I167" s="57" cm="1">
        <f t="array" aca="1" ref="I167" ca="1">SUMPRODUCT('Forecast DCF'!$D$16:$M$16,1/(1+F167)^('Forecast DCF'!$D$6:$M$6-0.5))+(('Forecast DCF'!$M$7*H167*(1-Assumptions!$C$21)+'Forecast DCF'!$M$15)*(1+G167)/(F167-G167))/(1+F167)^('Forecast DCF'!$M$6-0.5)</f>
        <v>122149.00241790475</v>
      </c>
      <c r="K167" s="49">
        <f ca="1">(I167-Assumptions!$C$12)/Assumptions!$C$9</f>
        <v>176.46303242058588</v>
      </c>
    </row>
    <row r="168" spans="2:11" outlineLevel="1" x14ac:dyDescent="0.2">
      <c r="B168" s="69">
        <f t="shared" si="11"/>
        <v>139</v>
      </c>
      <c r="C168" s="72">
        <f t="shared" ca="1" si="12"/>
        <v>0.31417911877245519</v>
      </c>
      <c r="D168" s="72">
        <f t="shared" ca="1" si="12"/>
        <v>0.33573328589582652</v>
      </c>
      <c r="E168" s="72">
        <f t="shared" ca="1" si="12"/>
        <v>0.43118011091677977</v>
      </c>
      <c r="F168" s="73">
        <f t="shared" ca="1" si="13"/>
        <v>0.12687598105256462</v>
      </c>
      <c r="G168" s="73">
        <f t="shared" ca="1" si="14"/>
        <v>3.2096477498334934E-2</v>
      </c>
      <c r="H168" s="73">
        <f t="shared" ca="1" si="15"/>
        <v>0.23571801143796153</v>
      </c>
      <c r="I168" s="57" cm="1">
        <f t="array" aca="1" ref="I168" ca="1">SUMPRODUCT('Forecast DCF'!$D$16:$M$16,1/(1+F168)^('Forecast DCF'!$D$6:$M$6-0.5))+(('Forecast DCF'!$M$7*H168*(1-Assumptions!$C$21)+'Forecast DCF'!$M$15)*(1+G168)/(F168-G168))/(1+F168)^('Forecast DCF'!$M$6-0.5)</f>
        <v>137646.95687744411</v>
      </c>
      <c r="K168" s="49">
        <f ca="1">(I168-Assumptions!$C$12)/Assumptions!$C$9</f>
        <v>204.86991671380744</v>
      </c>
    </row>
    <row r="169" spans="2:11" outlineLevel="1" x14ac:dyDescent="0.2">
      <c r="B169" s="69">
        <f t="shared" si="11"/>
        <v>140</v>
      </c>
      <c r="C169" s="72">
        <f t="shared" ca="1" si="12"/>
        <v>0.42237645594192885</v>
      </c>
      <c r="D169" s="72">
        <f t="shared" ca="1" si="12"/>
        <v>0.93879579203475261</v>
      </c>
      <c r="E169" s="72">
        <f t="shared" ca="1" si="12"/>
        <v>0.1168185267281423</v>
      </c>
      <c r="F169" s="73">
        <f t="shared" ca="1" si="13"/>
        <v>0.12876989689260346</v>
      </c>
      <c r="G169" s="73">
        <f t="shared" ca="1" si="14"/>
        <v>3.7857497818579049E-2</v>
      </c>
      <c r="H169" s="73">
        <f t="shared" ca="1" si="15"/>
        <v>0.20900161016982718</v>
      </c>
      <c r="I169" s="57" cm="1">
        <f t="array" aca="1" ref="I169" ca="1">SUMPRODUCT('Forecast DCF'!$D$16:$M$16,1/(1+F169)^('Forecast DCF'!$D$6:$M$6-0.5))+(('Forecast DCF'!$M$7*H169*(1-Assumptions!$C$21)+'Forecast DCF'!$M$15)*(1+G169)/(F169-G169))/(1+F169)^('Forecast DCF'!$M$6-0.5)</f>
        <v>126208.84481367309</v>
      </c>
      <c r="K169" s="49">
        <f ca="1">(I169-Assumptions!$C$12)/Assumptions!$C$9</f>
        <v>183.90449661422466</v>
      </c>
    </row>
    <row r="170" spans="2:11" outlineLevel="1" x14ac:dyDescent="0.2">
      <c r="B170" s="69">
        <f t="shared" si="11"/>
        <v>141</v>
      </c>
      <c r="C170" s="72">
        <f t="shared" ca="1" si="12"/>
        <v>0.81851204455454407</v>
      </c>
      <c r="D170" s="72">
        <f t="shared" ca="1" si="12"/>
        <v>1.5702343578836042E-2</v>
      </c>
      <c r="E170" s="72">
        <f t="shared" ca="1" si="12"/>
        <v>0.44100666121078702</v>
      </c>
      <c r="F170" s="73">
        <f t="shared" ca="1" si="13"/>
        <v>0.13595196416081834</v>
      </c>
      <c r="G170" s="73">
        <f t="shared" ca="1" si="14"/>
        <v>2.6534715457935253E-2</v>
      </c>
      <c r="H170" s="73">
        <f t="shared" ca="1" si="15"/>
        <v>0.23634933860053431</v>
      </c>
      <c r="I170" s="57" cm="1">
        <f t="array" aca="1" ref="I170" ca="1">SUMPRODUCT('Forecast DCF'!$D$16:$M$16,1/(1+F170)^('Forecast DCF'!$D$6:$M$6-0.5))+(('Forecast DCF'!$M$7*H170*(1-Assumptions!$C$21)+'Forecast DCF'!$M$15)*(1+G170)/(F170-G170))/(1+F170)^('Forecast DCF'!$M$6-0.5)</f>
        <v>109991.8255661655</v>
      </c>
      <c r="K170" s="49">
        <f ca="1">(I170-Assumptions!$C$12)/Assumptions!$C$9</f>
        <v>154.17960675552862</v>
      </c>
    </row>
    <row r="171" spans="2:11" outlineLevel="1" x14ac:dyDescent="0.2">
      <c r="B171" s="69">
        <f t="shared" si="11"/>
        <v>142</v>
      </c>
      <c r="C171" s="72">
        <f t="shared" ca="1" si="12"/>
        <v>0.90042159201437699</v>
      </c>
      <c r="D171" s="72">
        <f t="shared" ca="1" si="12"/>
        <v>0.446128806303981</v>
      </c>
      <c r="E171" s="72">
        <f t="shared" ca="1" si="12"/>
        <v>0.35991852656775103</v>
      </c>
      <c r="F171" s="73">
        <f t="shared" ca="1" si="13"/>
        <v>0.13829786768623972</v>
      </c>
      <c r="G171" s="73">
        <f t="shared" ca="1" si="14"/>
        <v>3.3180423029745908E-2</v>
      </c>
      <c r="H171" s="73">
        <f t="shared" ca="1" si="15"/>
        <v>0.23090592687779887</v>
      </c>
      <c r="I171" s="57" cm="1">
        <f t="array" aca="1" ref="I171" ca="1">SUMPRODUCT('Forecast DCF'!$D$16:$M$16,1/(1+F171)^('Forecast DCF'!$D$6:$M$6-0.5))+(('Forecast DCF'!$M$7*H171*(1-Assumptions!$C$21)+'Forecast DCF'!$M$15)*(1+G171)/(F171-G171))/(1+F171)^('Forecast DCF'!$M$6-0.5)</f>
        <v>109754.24567848483</v>
      </c>
      <c r="K171" s="49">
        <f ca="1">(I171-Assumptions!$C$12)/Assumptions!$C$9</f>
        <v>153.74413610052309</v>
      </c>
    </row>
    <row r="172" spans="2:11" outlineLevel="1" x14ac:dyDescent="0.2">
      <c r="B172" s="69">
        <f t="shared" si="11"/>
        <v>143</v>
      </c>
      <c r="C172" s="72">
        <f t="shared" ca="1" si="12"/>
        <v>0.66057921403922781</v>
      </c>
      <c r="D172" s="72">
        <f t="shared" ca="1" si="12"/>
        <v>0.33139552507028092</v>
      </c>
      <c r="E172" s="72">
        <f t="shared" ca="1" si="12"/>
        <v>0.70906201897089749</v>
      </c>
      <c r="F172" s="73">
        <f t="shared" ca="1" si="13"/>
        <v>0.13262629877116874</v>
      </c>
      <c r="G172" s="73">
        <f t="shared" ca="1" si="14"/>
        <v>3.2050484292624311E-2</v>
      </c>
      <c r="H172" s="73">
        <f t="shared" ca="1" si="15"/>
        <v>0.25423152325661758</v>
      </c>
      <c r="I172" s="57" cm="1">
        <f t="array" aca="1" ref="I172" ca="1">SUMPRODUCT('Forecast DCF'!$D$16:$M$16,1/(1+F172)^('Forecast DCF'!$D$6:$M$6-0.5))+(('Forecast DCF'!$M$7*H172*(1-Assumptions!$C$21)+'Forecast DCF'!$M$15)*(1+G172)/(F172-G172))/(1+F172)^('Forecast DCF'!$M$6-0.5)</f>
        <v>132187.90184557202</v>
      </c>
      <c r="K172" s="49">
        <f ca="1">(I172-Assumptions!$C$12)/Assumptions!$C$9</f>
        <v>194.86377396473856</v>
      </c>
    </row>
    <row r="173" spans="2:11" outlineLevel="1" x14ac:dyDescent="0.2">
      <c r="B173" s="69">
        <f t="shared" si="11"/>
        <v>144</v>
      </c>
      <c r="C173" s="72">
        <f t="shared" ca="1" si="12"/>
        <v>0.46719888233197171</v>
      </c>
      <c r="D173" s="72">
        <f t="shared" ca="1" si="12"/>
        <v>0.32295345599806691</v>
      </c>
      <c r="E173" s="72">
        <f t="shared" ca="1" si="12"/>
        <v>0.12882199812412454</v>
      </c>
      <c r="F173" s="73">
        <f t="shared" ca="1" si="13"/>
        <v>0.1294821064359413</v>
      </c>
      <c r="G173" s="73">
        <f t="shared" ca="1" si="14"/>
        <v>3.1960101895785006E-2</v>
      </c>
      <c r="H173" s="73">
        <f t="shared" ca="1" si="15"/>
        <v>0.21045518652863082</v>
      </c>
      <c r="I173" s="57" cm="1">
        <f t="array" aca="1" ref="I173" ca="1">SUMPRODUCT('Forecast DCF'!$D$16:$M$16,1/(1+F173)^('Forecast DCF'!$D$6:$M$6-0.5))+(('Forecast DCF'!$M$7*H173*(1-Assumptions!$C$21)+'Forecast DCF'!$M$15)*(1+G173)/(F173-G173))/(1+F173)^('Forecast DCF'!$M$6-0.5)</f>
        <v>117669.0806134322</v>
      </c>
      <c r="K173" s="49">
        <f ca="1">(I173-Assumptions!$C$12)/Assumptions!$C$9</f>
        <v>168.25158615039763</v>
      </c>
    </row>
    <row r="174" spans="2:11" outlineLevel="1" x14ac:dyDescent="0.2">
      <c r="B174" s="69">
        <f t="shared" si="11"/>
        <v>145</v>
      </c>
      <c r="C174" s="72">
        <f t="shared" ca="1" si="12"/>
        <v>0.12254272138587408</v>
      </c>
      <c r="D174" s="72">
        <f t="shared" ca="1" si="12"/>
        <v>0.33891098177888768</v>
      </c>
      <c r="E174" s="72">
        <f t="shared" ca="1" si="12"/>
        <v>0.1648239893594291</v>
      </c>
      <c r="F174" s="73">
        <f t="shared" ca="1" si="13"/>
        <v>0.12241693713150822</v>
      </c>
      <c r="G174" s="73">
        <f t="shared" ca="1" si="14"/>
        <v>3.2129982276754496E-2</v>
      </c>
      <c r="H174" s="73">
        <f t="shared" ca="1" si="15"/>
        <v>0.21444898726215167</v>
      </c>
      <c r="I174" s="57" cm="1">
        <f t="array" aca="1" ref="I174" ca="1">SUMPRODUCT('Forecast DCF'!$D$16:$M$16,1/(1+F174)^('Forecast DCF'!$D$6:$M$6-0.5))+(('Forecast DCF'!$M$7*H174*(1-Assumptions!$C$21)+'Forecast DCF'!$M$15)*(1+G174)/(F174-G174))/(1+F174)^('Forecast DCF'!$M$6-0.5)</f>
        <v>137729.99252381703</v>
      </c>
      <c r="K174" s="49">
        <f ca="1">(I174-Assumptions!$C$12)/Assumptions!$C$9</f>
        <v>205.02211641247646</v>
      </c>
    </row>
    <row r="175" spans="2:11" outlineLevel="1" x14ac:dyDescent="0.2">
      <c r="B175" s="69">
        <f t="shared" si="11"/>
        <v>146</v>
      </c>
      <c r="C175" s="72">
        <f t="shared" ca="1" si="12"/>
        <v>0.98885652937521884</v>
      </c>
      <c r="D175" s="72">
        <f t="shared" ca="1" si="12"/>
        <v>0.97725984434123048</v>
      </c>
      <c r="E175" s="72">
        <f t="shared" ca="1" si="12"/>
        <v>0.18280189866427854</v>
      </c>
      <c r="F175" s="73">
        <f t="shared" ca="1" si="13"/>
        <v>0.14275797400140217</v>
      </c>
      <c r="G175" s="73">
        <f t="shared" ca="1" si="14"/>
        <v>3.8694047598720492E-2</v>
      </c>
      <c r="H175" s="73">
        <f t="shared" ca="1" si="15"/>
        <v>0.21627910790500238</v>
      </c>
      <c r="I175" s="57" cm="1">
        <f t="array" aca="1" ref="I175" ca="1">SUMPRODUCT('Forecast DCF'!$D$16:$M$16,1/(1+F175)^('Forecast DCF'!$D$6:$M$6-0.5))+(('Forecast DCF'!$M$7*H175*(1-Assumptions!$C$21)+'Forecast DCF'!$M$15)*(1+G175)/(F175-G175))/(1+F175)^('Forecast DCF'!$M$6-0.5)</f>
        <v>100119.19544642136</v>
      </c>
      <c r="K175" s="49">
        <f ca="1">(I175-Assumptions!$C$12)/Assumptions!$C$9</f>
        <v>136.08362755946629</v>
      </c>
    </row>
    <row r="176" spans="2:11" outlineLevel="1" x14ac:dyDescent="0.2">
      <c r="B176" s="69">
        <f t="shared" si="11"/>
        <v>147</v>
      </c>
      <c r="C176" s="72">
        <f t="shared" ca="1" si="12"/>
        <v>0.16898552150861901</v>
      </c>
      <c r="D176" s="72">
        <f t="shared" ca="1" si="12"/>
        <v>0.98983516147797834</v>
      </c>
      <c r="E176" s="72">
        <f t="shared" ca="1" si="12"/>
        <v>0.25351614470992745</v>
      </c>
      <c r="F176" s="73">
        <f t="shared" ca="1" si="13"/>
        <v>0.12370974791743951</v>
      </c>
      <c r="G176" s="73">
        <f t="shared" ca="1" si="14"/>
        <v>3.9126866053144409E-2</v>
      </c>
      <c r="H176" s="73">
        <f t="shared" ca="1" si="15"/>
        <v>0.22272371989786793</v>
      </c>
      <c r="I176" s="57" cm="1">
        <f t="array" aca="1" ref="I176" ca="1">SUMPRODUCT('Forecast DCF'!$D$16:$M$16,1/(1+F176)^('Forecast DCF'!$D$6:$M$6-0.5))+(('Forecast DCF'!$M$7*H176*(1-Assumptions!$C$21)+'Forecast DCF'!$M$15)*(1+G176)/(F176-G176))/(1+F176)^('Forecast DCF'!$M$6-0.5)</f>
        <v>150467.93812359549</v>
      </c>
      <c r="K176" s="49">
        <f ca="1">(I176-Assumptions!$C$12)/Assumptions!$C$9</f>
        <v>228.37005873163415</v>
      </c>
    </row>
    <row r="177" spans="2:11" outlineLevel="1" x14ac:dyDescent="0.2">
      <c r="B177" s="69">
        <f t="shared" si="11"/>
        <v>148</v>
      </c>
      <c r="C177" s="72">
        <f t="shared" ca="1" si="12"/>
        <v>0.30902714392651209</v>
      </c>
      <c r="D177" s="72">
        <f t="shared" ca="1" si="12"/>
        <v>0.61146202025479923</v>
      </c>
      <c r="E177" s="72">
        <f t="shared" ca="1" si="12"/>
        <v>0.12796343810750133</v>
      </c>
      <c r="F177" s="73">
        <f t="shared" ca="1" si="13"/>
        <v>0.12677820615284982</v>
      </c>
      <c r="G177" s="73">
        <f t="shared" ca="1" si="14"/>
        <v>3.4577019527923074E-2</v>
      </c>
      <c r="H177" s="73">
        <f t="shared" ca="1" si="15"/>
        <v>0.21035352952086478</v>
      </c>
      <c r="I177" s="57" cm="1">
        <f t="array" aca="1" ref="I177" ca="1">SUMPRODUCT('Forecast DCF'!$D$16:$M$16,1/(1+F177)^('Forecast DCF'!$D$6:$M$6-0.5))+(('Forecast DCF'!$M$7*H177*(1-Assumptions!$C$21)+'Forecast DCF'!$M$15)*(1+G177)/(F177-G177))/(1+F177)^('Forecast DCF'!$M$6-0.5)</f>
        <v>127451.70862057824</v>
      </c>
      <c r="K177" s="49">
        <f ca="1">(I177-Assumptions!$C$12)/Assumptions!$C$9</f>
        <v>186.18259650457864</v>
      </c>
    </row>
    <row r="178" spans="2:11" outlineLevel="1" x14ac:dyDescent="0.2">
      <c r="B178" s="69">
        <f t="shared" si="11"/>
        <v>149</v>
      </c>
      <c r="C178" s="72">
        <f t="shared" ca="1" si="12"/>
        <v>2.9328873021272517E-2</v>
      </c>
      <c r="D178" s="72">
        <f t="shared" ca="1" si="12"/>
        <v>0.65541830111597588</v>
      </c>
      <c r="E178" s="72">
        <f t="shared" ca="1" si="12"/>
        <v>0.1610311377875443</v>
      </c>
      <c r="F178" s="73">
        <f t="shared" ca="1" si="13"/>
        <v>0.11862851167723372</v>
      </c>
      <c r="G178" s="73">
        <f t="shared" ca="1" si="14"/>
        <v>3.49152783706458E-2</v>
      </c>
      <c r="H178" s="73">
        <f t="shared" ca="1" si="15"/>
        <v>0.21405031853111389</v>
      </c>
      <c r="I178" s="57" cm="1">
        <f t="array" aca="1" ref="I178" ca="1">SUMPRODUCT('Forecast DCF'!$D$16:$M$16,1/(1+F178)^('Forecast DCF'!$D$6:$M$6-0.5))+(('Forecast DCF'!$M$7*H178*(1-Assumptions!$C$21)+'Forecast DCF'!$M$15)*(1+G178)/(F178-G178))/(1+F178)^('Forecast DCF'!$M$6-0.5)</f>
        <v>153214.42187274122</v>
      </c>
      <c r="K178" s="49">
        <f ca="1">(I178-Assumptions!$C$12)/Assumptions!$C$9</f>
        <v>233.40420993390285</v>
      </c>
    </row>
    <row r="179" spans="2:11" outlineLevel="1" x14ac:dyDescent="0.2">
      <c r="B179" s="69">
        <f t="shared" si="11"/>
        <v>150</v>
      </c>
      <c r="C179" s="72">
        <f t="shared" ca="1" si="12"/>
        <v>0.59397956097756621</v>
      </c>
      <c r="D179" s="72">
        <f t="shared" ca="1" si="12"/>
        <v>0.50449125930985128</v>
      </c>
      <c r="E179" s="72">
        <f t="shared" ca="1" si="12"/>
        <v>0.37351493313348261</v>
      </c>
      <c r="F179" s="73">
        <f t="shared" ca="1" si="13"/>
        <v>0.13146667983338783</v>
      </c>
      <c r="G179" s="73">
        <f t="shared" ca="1" si="14"/>
        <v>3.3699062529748691E-2</v>
      </c>
      <c r="H179" s="73">
        <f t="shared" ca="1" si="15"/>
        <v>0.23185853371009513</v>
      </c>
      <c r="I179" s="57" cm="1">
        <f t="array" aca="1" ref="I179" ca="1">SUMPRODUCT('Forecast DCF'!$D$16:$M$16,1/(1+F179)^('Forecast DCF'!$D$6:$M$6-0.5))+(('Forecast DCF'!$M$7*H179*(1-Assumptions!$C$21)+'Forecast DCF'!$M$15)*(1+G179)/(F179-G179))/(1+F179)^('Forecast DCF'!$M$6-0.5)</f>
        <v>126121.35742687708</v>
      </c>
      <c r="K179" s="49">
        <f ca="1">(I179-Assumptions!$C$12)/Assumptions!$C$9</f>
        <v>183.74413712418234</v>
      </c>
    </row>
    <row r="180" spans="2:11" outlineLevel="1" x14ac:dyDescent="0.2">
      <c r="B180" s="69">
        <f t="shared" si="11"/>
        <v>151</v>
      </c>
      <c r="C180" s="72">
        <f t="shared" ca="1" si="12"/>
        <v>0.27350728265782043</v>
      </c>
      <c r="D180" s="72">
        <f t="shared" ca="1" si="12"/>
        <v>0.29053254012834506</v>
      </c>
      <c r="E180" s="72">
        <f t="shared" ca="1" si="12"/>
        <v>3.7967708019416402E-2</v>
      </c>
      <c r="F180" s="73">
        <f t="shared" ca="1" si="13"/>
        <v>0.12608065121404072</v>
      </c>
      <c r="G180" s="73">
        <f t="shared" ca="1" si="14"/>
        <v>3.1601505966008955E-2</v>
      </c>
      <c r="H180" s="73">
        <f t="shared" ca="1" si="15"/>
        <v>0.1965338288892742</v>
      </c>
      <c r="I180" s="57" cm="1">
        <f t="array" aca="1" ref="I180" ca="1">SUMPRODUCT('Forecast DCF'!$D$16:$M$16,1/(1+F180)^('Forecast DCF'!$D$6:$M$6-0.5))+(('Forecast DCF'!$M$7*H180*(1-Assumptions!$C$21)+'Forecast DCF'!$M$15)*(1+G180)/(F180-G180))/(1+F180)^('Forecast DCF'!$M$6-0.5)</f>
        <v>117612.95474852833</v>
      </c>
      <c r="K180" s="49">
        <f ca="1">(I180-Assumptions!$C$12)/Assumptions!$C$9</f>
        <v>168.14871057708609</v>
      </c>
    </row>
    <row r="181" spans="2:11" outlineLevel="1" x14ac:dyDescent="0.2">
      <c r="B181" s="69">
        <f t="shared" si="11"/>
        <v>152</v>
      </c>
      <c r="C181" s="72">
        <f t="shared" ca="1" si="12"/>
        <v>0.29276098123014938</v>
      </c>
      <c r="D181" s="72">
        <f t="shared" ca="1" si="12"/>
        <v>0.56043193438466166</v>
      </c>
      <c r="E181" s="72">
        <f t="shared" ca="1" si="12"/>
        <v>0.82587461798481288</v>
      </c>
      <c r="F181" s="73">
        <f t="shared" ca="1" si="13"/>
        <v>0.12646403318278518</v>
      </c>
      <c r="G181" s="73">
        <f t="shared" ca="1" si="14"/>
        <v>3.4168685301486756E-2</v>
      </c>
      <c r="H181" s="73">
        <f t="shared" ca="1" si="15"/>
        <v>0.26459233486221734</v>
      </c>
      <c r="I181" s="57" cm="1">
        <f t="array" aca="1" ref="I181" ca="1">SUMPRODUCT('Forecast DCF'!$D$16:$M$16,1/(1+F181)^('Forecast DCF'!$D$6:$M$6-0.5))+(('Forecast DCF'!$M$7*H181*(1-Assumptions!$C$21)+'Forecast DCF'!$M$15)*(1+G181)/(F181-G181))/(1+F181)^('Forecast DCF'!$M$6-0.5)</f>
        <v>158050.88431278986</v>
      </c>
      <c r="K181" s="49">
        <f ca="1">(I181-Assumptions!$C$12)/Assumptions!$C$9</f>
        <v>242.26917526088556</v>
      </c>
    </row>
    <row r="182" spans="2:11" outlineLevel="1" x14ac:dyDescent="0.2">
      <c r="B182" s="69">
        <f t="shared" si="11"/>
        <v>153</v>
      </c>
      <c r="C182" s="72">
        <f t="shared" ca="1" si="12"/>
        <v>0.74908656140640428</v>
      </c>
      <c r="D182" s="72">
        <f t="shared" ca="1" si="12"/>
        <v>0.65623150711488309</v>
      </c>
      <c r="E182" s="72">
        <f t="shared" ca="1" si="12"/>
        <v>0.53895292250480786</v>
      </c>
      <c r="F182" s="73">
        <f t="shared" ca="1" si="13"/>
        <v>0.13436120674713936</v>
      </c>
      <c r="G182" s="73">
        <f t="shared" ca="1" si="14"/>
        <v>3.4921427622435823E-2</v>
      </c>
      <c r="H182" s="73">
        <f t="shared" ca="1" si="15"/>
        <v>0.2423845597260128</v>
      </c>
      <c r="I182" s="57" cm="1">
        <f t="array" aca="1" ref="I182" ca="1">SUMPRODUCT('Forecast DCF'!$D$16:$M$16,1/(1+F182)^('Forecast DCF'!$D$6:$M$6-0.5))+(('Forecast DCF'!$M$7*H182*(1-Assumptions!$C$21)+'Forecast DCF'!$M$15)*(1+G182)/(F182-G182))/(1+F182)^('Forecast DCF'!$M$6-0.5)</f>
        <v>125925.36780199379</v>
      </c>
      <c r="K182" s="49">
        <f ca="1">(I182-Assumptions!$C$12)/Assumptions!$C$9</f>
        <v>183.38489909626929</v>
      </c>
    </row>
    <row r="183" spans="2:11" outlineLevel="1" x14ac:dyDescent="0.2">
      <c r="B183" s="69">
        <f t="shared" si="11"/>
        <v>154</v>
      </c>
      <c r="C183" s="72">
        <f t="shared" ca="1" si="12"/>
        <v>0.3249541864941029</v>
      </c>
      <c r="D183" s="72">
        <f t="shared" ca="1" si="12"/>
        <v>0.87073363022375516</v>
      </c>
      <c r="E183" s="72">
        <f t="shared" ca="1" si="12"/>
        <v>0.73384398089814329</v>
      </c>
      <c r="F183" s="73">
        <f t="shared" ca="1" si="13"/>
        <v>0.12707791324217715</v>
      </c>
      <c r="G183" s="73">
        <f t="shared" ca="1" si="14"/>
        <v>3.6886324080252032E-2</v>
      </c>
      <c r="H183" s="73">
        <f t="shared" ca="1" si="15"/>
        <v>0.25622416948208326</v>
      </c>
      <c r="I183" s="57" cm="1">
        <f t="array" aca="1" ref="I183" ca="1">SUMPRODUCT('Forecast DCF'!$D$16:$M$16,1/(1+F183)^('Forecast DCF'!$D$6:$M$6-0.5))+(('Forecast DCF'!$M$7*H183*(1-Assumptions!$C$21)+'Forecast DCF'!$M$15)*(1+G183)/(F183-G183))/(1+F183)^('Forecast DCF'!$M$6-0.5)</f>
        <v>156144.72096825909</v>
      </c>
      <c r="K183" s="49">
        <f ca="1">(I183-Assumptions!$C$12)/Assumptions!$C$9</f>
        <v>238.77528439203377</v>
      </c>
    </row>
    <row r="184" spans="2:11" outlineLevel="1" x14ac:dyDescent="0.2">
      <c r="B184" s="69">
        <f t="shared" si="11"/>
        <v>155</v>
      </c>
      <c r="C184" s="72">
        <f t="shared" ca="1" si="12"/>
        <v>0.61325848482722678</v>
      </c>
      <c r="D184" s="72">
        <f t="shared" ca="1" si="12"/>
        <v>0.30847720349732266</v>
      </c>
      <c r="E184" s="72">
        <f t="shared" ca="1" si="12"/>
        <v>0.62512457046676317</v>
      </c>
      <c r="F184" s="73">
        <f t="shared" ca="1" si="13"/>
        <v>0.13179188610369341</v>
      </c>
      <c r="G184" s="73">
        <f t="shared" ca="1" si="14"/>
        <v>3.1802321701051663E-2</v>
      </c>
      <c r="H184" s="73">
        <f t="shared" ca="1" si="15"/>
        <v>0.24804710698489152</v>
      </c>
      <c r="I184" s="57" cm="1">
        <f t="array" aca="1" ref="I184" ca="1">SUMPRODUCT('Forecast DCF'!$D$16:$M$16,1/(1+F184)^('Forecast DCF'!$D$6:$M$6-0.5))+(('Forecast DCF'!$M$7*H184*(1-Assumptions!$C$21)+'Forecast DCF'!$M$15)*(1+G184)/(F184-G184))/(1+F184)^('Forecast DCF'!$M$6-0.5)</f>
        <v>130913.49931484551</v>
      </c>
      <c r="K184" s="49">
        <f ca="1">(I184-Assumptions!$C$12)/Assumptions!$C$9</f>
        <v>192.52786535642196</v>
      </c>
    </row>
    <row r="185" spans="2:11" outlineLevel="1" x14ac:dyDescent="0.2">
      <c r="B185" s="69">
        <f t="shared" si="11"/>
        <v>156</v>
      </c>
      <c r="C185" s="72">
        <f t="shared" ca="1" si="12"/>
        <v>0.57715917892589974</v>
      </c>
      <c r="D185" s="72">
        <f t="shared" ca="1" si="12"/>
        <v>0.36225862665812536</v>
      </c>
      <c r="E185" s="72">
        <f t="shared" ca="1" si="12"/>
        <v>0.91246879830869621</v>
      </c>
      <c r="F185" s="73">
        <f t="shared" ca="1" si="13"/>
        <v>0.13118919918206268</v>
      </c>
      <c r="G185" s="73">
        <f t="shared" ca="1" si="14"/>
        <v>3.2371485196262609E-2</v>
      </c>
      <c r="H185" s="73">
        <f t="shared" ca="1" si="15"/>
        <v>0.27489572442436572</v>
      </c>
      <c r="I185" s="57" cm="1">
        <f t="array" aca="1" ref="I185" ca="1">SUMPRODUCT('Forecast DCF'!$D$16:$M$16,1/(1+F185)^('Forecast DCF'!$D$6:$M$6-0.5))+(('Forecast DCF'!$M$7*H185*(1-Assumptions!$C$21)+'Forecast DCF'!$M$15)*(1+G185)/(F185-G185))/(1+F185)^('Forecast DCF'!$M$6-0.5)</f>
        <v>146669.85427136632</v>
      </c>
      <c r="K185" s="49">
        <f ca="1">(I185-Assumptions!$C$12)/Assumptions!$C$9</f>
        <v>221.40838331776573</v>
      </c>
    </row>
    <row r="186" spans="2:11" outlineLevel="1" x14ac:dyDescent="0.2">
      <c r="B186" s="69">
        <f t="shared" si="11"/>
        <v>157</v>
      </c>
      <c r="C186" s="72">
        <f t="shared" ca="1" si="12"/>
        <v>0.11029287848916458</v>
      </c>
      <c r="D186" s="72">
        <f t="shared" ca="1" si="12"/>
        <v>0.47383526273762011</v>
      </c>
      <c r="E186" s="72">
        <f t="shared" ca="1" si="12"/>
        <v>0.20438553312524066</v>
      </c>
      <c r="F186" s="73">
        <f t="shared" ca="1" si="13"/>
        <v>0.12203646566916992</v>
      </c>
      <c r="G186" s="73">
        <f t="shared" ca="1" si="14"/>
        <v>3.3430616194006404E-2</v>
      </c>
      <c r="H186" s="73">
        <f t="shared" ca="1" si="15"/>
        <v>0.21836112405159333</v>
      </c>
      <c r="I186" s="57" cm="1">
        <f t="array" aca="1" ref="I186" ca="1">SUMPRODUCT('Forecast DCF'!$D$16:$M$16,1/(1+F186)^('Forecast DCF'!$D$6:$M$6-0.5))+(('Forecast DCF'!$M$7*H186*(1-Assumptions!$C$21)+'Forecast DCF'!$M$15)*(1+G186)/(F186-G186))/(1+F186)^('Forecast DCF'!$M$6-0.5)</f>
        <v>143160.78312609365</v>
      </c>
      <c r="K186" s="49">
        <f ca="1">(I186-Assumptions!$C$12)/Assumptions!$C$9</f>
        <v>214.9764520418878</v>
      </c>
    </row>
    <row r="187" spans="2:11" outlineLevel="1" x14ac:dyDescent="0.2">
      <c r="B187" s="69">
        <f t="shared" si="11"/>
        <v>158</v>
      </c>
      <c r="C187" s="72">
        <f t="shared" ca="1" si="12"/>
        <v>0.13468001379517136</v>
      </c>
      <c r="D187" s="72">
        <f t="shared" ca="1" si="12"/>
        <v>0.58840131532744155</v>
      </c>
      <c r="E187" s="72">
        <f t="shared" ca="1" si="12"/>
        <v>0.13277773061130238</v>
      </c>
      <c r="F187" s="73">
        <f t="shared" ca="1" si="13"/>
        <v>0.12277557318749943</v>
      </c>
      <c r="G187" s="73">
        <f t="shared" ca="1" si="14"/>
        <v>3.4394689845818026E-2</v>
      </c>
      <c r="H187" s="73">
        <f t="shared" ca="1" si="15"/>
        <v>0.21091924417577793</v>
      </c>
      <c r="I187" s="57" cm="1">
        <f t="array" aca="1" ref="I187" ca="1">SUMPRODUCT('Forecast DCF'!$D$16:$M$16,1/(1+F187)^('Forecast DCF'!$D$6:$M$6-0.5))+(('Forecast DCF'!$M$7*H187*(1-Assumptions!$C$21)+'Forecast DCF'!$M$15)*(1+G187)/(F187-G187))/(1+F187)^('Forecast DCF'!$M$6-0.5)</f>
        <v>138096.86322781199</v>
      </c>
      <c r="K187" s="49">
        <f ca="1">(I187-Assumptions!$C$12)/Assumptions!$C$9</f>
        <v>205.69456990730157</v>
      </c>
    </row>
    <row r="188" spans="2:11" outlineLevel="1" x14ac:dyDescent="0.2">
      <c r="B188" s="69">
        <f t="shared" si="11"/>
        <v>159</v>
      </c>
      <c r="C188" s="72">
        <f t="shared" ca="1" si="12"/>
        <v>0.46580654636032515</v>
      </c>
      <c r="D188" s="72">
        <f t="shared" ca="1" si="12"/>
        <v>0.50931546822489515</v>
      </c>
      <c r="E188" s="72">
        <f t="shared" ca="1" si="12"/>
        <v>0.23958560775244697</v>
      </c>
      <c r="F188" s="73">
        <f t="shared" ca="1" si="13"/>
        <v>0.12946051070447245</v>
      </c>
      <c r="G188" s="73">
        <f t="shared" ca="1" si="14"/>
        <v>3.374055605975583E-2</v>
      </c>
      <c r="H188" s="73">
        <f t="shared" ca="1" si="15"/>
        <v>0.22153331645579988</v>
      </c>
      <c r="I188" s="57" cm="1">
        <f t="array" aca="1" ref="I188" ca="1">SUMPRODUCT('Forecast DCF'!$D$16:$M$16,1/(1+F188)^('Forecast DCF'!$D$6:$M$6-0.5))+(('Forecast DCF'!$M$7*H188*(1-Assumptions!$C$21)+'Forecast DCF'!$M$15)*(1+G188)/(F188-G188))/(1+F188)^('Forecast DCF'!$M$6-0.5)</f>
        <v>125734.690844536</v>
      </c>
      <c r="K188" s="49">
        <f ca="1">(I188-Assumptions!$C$12)/Assumptions!$C$9</f>
        <v>183.03539889080488</v>
      </c>
    </row>
    <row r="189" spans="2:11" outlineLevel="1" x14ac:dyDescent="0.2">
      <c r="B189" s="69">
        <f t="shared" si="11"/>
        <v>160</v>
      </c>
      <c r="C189" s="72">
        <f t="shared" ca="1" si="12"/>
        <v>0.60223326331426663</v>
      </c>
      <c r="D189" s="72">
        <f t="shared" ca="1" si="12"/>
        <v>0.84893167659113988</v>
      </c>
      <c r="E189" s="72">
        <f t="shared" ca="1" si="12"/>
        <v>0.57129712360969853</v>
      </c>
      <c r="F189" s="73">
        <f t="shared" ca="1" si="13"/>
        <v>0.13160494074006873</v>
      </c>
      <c r="G189" s="73">
        <f t="shared" ca="1" si="14"/>
        <v>3.6633975006678574E-2</v>
      </c>
      <c r="H189" s="73">
        <f t="shared" ca="1" si="15"/>
        <v>0.24444227587445494</v>
      </c>
      <c r="I189" s="57" cm="1">
        <f t="array" aca="1" ref="I189" ca="1">SUMPRODUCT('Forecast DCF'!$D$16:$M$16,1/(1+F189)^('Forecast DCF'!$D$6:$M$6-0.5))+(('Forecast DCF'!$M$7*H189*(1-Assumptions!$C$21)+'Forecast DCF'!$M$15)*(1+G189)/(F189-G189))/(1+F189)^('Forecast DCF'!$M$6-0.5)</f>
        <v>136285.5987547276</v>
      </c>
      <c r="K189" s="49">
        <f ca="1">(I189-Assumptions!$C$12)/Assumptions!$C$9</f>
        <v>202.37462336560421</v>
      </c>
    </row>
    <row r="190" spans="2:11" outlineLevel="1" x14ac:dyDescent="0.2">
      <c r="B190" s="69">
        <f t="shared" si="11"/>
        <v>161</v>
      </c>
      <c r="C190" s="72">
        <f t="shared" ca="1" si="12"/>
        <v>0.67411366509379322</v>
      </c>
      <c r="D190" s="72">
        <f t="shared" ca="1" si="12"/>
        <v>0.23159328774469012</v>
      </c>
      <c r="E190" s="72">
        <f t="shared" ca="1" si="12"/>
        <v>0.20936125938157313</v>
      </c>
      <c r="F190" s="73">
        <f t="shared" ca="1" si="13"/>
        <v>0.13287550990437907</v>
      </c>
      <c r="G190" s="73">
        <f t="shared" ca="1" si="14"/>
        <v>3.0893979399497722E-2</v>
      </c>
      <c r="H190" s="73">
        <f t="shared" ca="1" si="15"/>
        <v>0.21882526326436597</v>
      </c>
      <c r="I190" s="57" cm="1">
        <f t="array" aca="1" ref="I190" ca="1">SUMPRODUCT('Forecast DCF'!$D$16:$M$16,1/(1+F190)^('Forecast DCF'!$D$6:$M$6-0.5))+(('Forecast DCF'!$M$7*H190*(1-Assumptions!$C$21)+'Forecast DCF'!$M$15)*(1+G190)/(F190-G190))/(1+F190)^('Forecast DCF'!$M$6-0.5)</f>
        <v>113097.25719381309</v>
      </c>
      <c r="K190" s="49">
        <f ca="1">(I190-Assumptions!$C$12)/Assumptions!$C$9</f>
        <v>159.8716893563261</v>
      </c>
    </row>
    <row r="191" spans="2:11" outlineLevel="1" x14ac:dyDescent="0.2">
      <c r="B191" s="69">
        <f t="shared" si="11"/>
        <v>162</v>
      </c>
      <c r="C191" s="72">
        <f t="shared" ca="1" si="12"/>
        <v>0.81827270725397383</v>
      </c>
      <c r="D191" s="72">
        <f t="shared" ca="1" si="12"/>
        <v>0.82994877176682835</v>
      </c>
      <c r="E191" s="72">
        <f t="shared" ca="1" si="12"/>
        <v>0.68692686425710525</v>
      </c>
      <c r="F191" s="73">
        <f t="shared" ca="1" si="13"/>
        <v>0.13594600007634478</v>
      </c>
      <c r="G191" s="73">
        <f t="shared" ca="1" si="14"/>
        <v>3.642874782219347E-2</v>
      </c>
      <c r="H191" s="73">
        <f t="shared" ca="1" si="15"/>
        <v>0.25252235707884346</v>
      </c>
      <c r="I191" s="57" cm="1">
        <f t="array" aca="1" ref="I191" ca="1">SUMPRODUCT('Forecast DCF'!$D$16:$M$16,1/(1+F191)^('Forecast DCF'!$D$6:$M$6-0.5))+(('Forecast DCF'!$M$7*H191*(1-Assumptions!$C$21)+'Forecast DCF'!$M$15)*(1+G191)/(F191-G191))/(1+F191)^('Forecast DCF'!$M$6-0.5)</f>
        <v>128932.29970774418</v>
      </c>
      <c r="K191" s="49">
        <f ca="1">(I191-Assumptions!$C$12)/Assumptions!$C$9</f>
        <v>188.89643721229925</v>
      </c>
    </row>
    <row r="192" spans="2:11" outlineLevel="1" x14ac:dyDescent="0.2">
      <c r="B192" s="69">
        <f t="shared" si="11"/>
        <v>163</v>
      </c>
      <c r="C192" s="72">
        <f t="shared" ca="1" si="12"/>
        <v>0.98593124985700409</v>
      </c>
      <c r="D192" s="72">
        <f t="shared" ca="1" si="12"/>
        <v>0.12758315955003208</v>
      </c>
      <c r="E192" s="72">
        <f t="shared" ca="1" si="12"/>
        <v>0.61759889010791647</v>
      </c>
      <c r="F192" s="73">
        <f t="shared" ca="1" si="13"/>
        <v>0.14248082599356277</v>
      </c>
      <c r="G192" s="73">
        <f t="shared" ca="1" si="14"/>
        <v>2.9374639863177864E-2</v>
      </c>
      <c r="H192" s="73">
        <f t="shared" ca="1" si="15"/>
        <v>0.24752821719035076</v>
      </c>
      <c r="I192" s="57" cm="1">
        <f t="array" aca="1" ref="I192" ca="1">SUMPRODUCT('Forecast DCF'!$D$16:$M$16,1/(1+F192)^('Forecast DCF'!$D$6:$M$6-0.5))+(('Forecast DCF'!$M$7*H192*(1-Assumptions!$C$21)+'Forecast DCF'!$M$15)*(1+G192)/(F192-G192))/(1+F192)^('Forecast DCF'!$M$6-0.5)</f>
        <v>104589.83655324802</v>
      </c>
      <c r="K192" s="49">
        <f ca="1">(I192-Assumptions!$C$12)/Assumptions!$C$9</f>
        <v>144.27806282959804</v>
      </c>
    </row>
    <row r="193" spans="2:11" outlineLevel="1" x14ac:dyDescent="0.2">
      <c r="B193" s="69">
        <f t="shared" si="11"/>
        <v>164</v>
      </c>
      <c r="C193" s="72">
        <f t="shared" ca="1" si="12"/>
        <v>0.2572030948369689</v>
      </c>
      <c r="D193" s="72">
        <f t="shared" ca="1" si="12"/>
        <v>0.38867242354795517</v>
      </c>
      <c r="E193" s="72">
        <f t="shared" ca="1" si="12"/>
        <v>0.20840554141985157</v>
      </c>
      <c r="F193" s="73">
        <f t="shared" ca="1" si="13"/>
        <v>0.12574530958192578</v>
      </c>
      <c r="G193" s="73">
        <f t="shared" ca="1" si="14"/>
        <v>3.2635500214929822E-2</v>
      </c>
      <c r="H193" s="73">
        <f t="shared" ca="1" si="15"/>
        <v>0.21873654473779161</v>
      </c>
      <c r="I193" s="57" cm="1">
        <f t="array" aca="1" ref="I193" ca="1">SUMPRODUCT('Forecast DCF'!$D$16:$M$16,1/(1+F193)^('Forecast DCF'!$D$6:$M$6-0.5))+(('Forecast DCF'!$M$7*H193*(1-Assumptions!$C$21)+'Forecast DCF'!$M$15)*(1+G193)/(F193-G193))/(1+F193)^('Forecast DCF'!$M$6-0.5)</f>
        <v>132064.40675505518</v>
      </c>
      <c r="K193" s="49">
        <f ca="1">(I193-Assumptions!$C$12)/Assumptions!$C$9</f>
        <v>194.63741436636374</v>
      </c>
    </row>
    <row r="194" spans="2:11" outlineLevel="1" x14ac:dyDescent="0.2">
      <c r="B194" s="69">
        <f t="shared" si="11"/>
        <v>165</v>
      </c>
      <c r="C194" s="72">
        <f t="shared" ca="1" si="12"/>
        <v>0.67186645545514057</v>
      </c>
      <c r="D194" s="72">
        <f t="shared" ca="1" si="12"/>
        <v>0.67886986934790394</v>
      </c>
      <c r="E194" s="72">
        <f t="shared" ca="1" si="12"/>
        <v>0.17775317815791625</v>
      </c>
      <c r="F194" s="73">
        <f t="shared" ca="1" si="13"/>
        <v>0.13283377838802343</v>
      </c>
      <c r="G194" s="73">
        <f t="shared" ca="1" si="14"/>
        <v>3.5092377378107893E-2</v>
      </c>
      <c r="H194" s="73">
        <f t="shared" ca="1" si="15"/>
        <v>0.2157746122653621</v>
      </c>
      <c r="I194" s="57" cm="1">
        <f t="array" aca="1" ref="I194" ca="1">SUMPRODUCT('Forecast DCF'!$D$16:$M$16,1/(1+F194)^('Forecast DCF'!$D$6:$M$6-0.5))+(('Forecast DCF'!$M$7*H194*(1-Assumptions!$C$21)+'Forecast DCF'!$M$15)*(1+G194)/(F194-G194))/(1+F194)^('Forecast DCF'!$M$6-0.5)</f>
        <v>116555.64679142844</v>
      </c>
      <c r="K194" s="49">
        <f ca="1">(I194-Assumptions!$C$12)/Assumptions!$C$9</f>
        <v>166.21072418810482</v>
      </c>
    </row>
    <row r="195" spans="2:11" outlineLevel="1" x14ac:dyDescent="0.2">
      <c r="B195" s="69">
        <f t="shared" si="11"/>
        <v>166</v>
      </c>
      <c r="C195" s="72">
        <f t="shared" ca="1" si="12"/>
        <v>0.67643179957799293</v>
      </c>
      <c r="D195" s="72">
        <f t="shared" ca="1" si="12"/>
        <v>0.18705539338977817</v>
      </c>
      <c r="E195" s="72">
        <f t="shared" ca="1" si="12"/>
        <v>0.84698371150357388</v>
      </c>
      <c r="F195" s="73">
        <f t="shared" ca="1" si="13"/>
        <v>0.13291870956673538</v>
      </c>
      <c r="G195" s="73">
        <f t="shared" ca="1" si="14"/>
        <v>3.0297009440096057E-2</v>
      </c>
      <c r="H195" s="73">
        <f t="shared" ca="1" si="15"/>
        <v>0.26680787326527167</v>
      </c>
      <c r="I195" s="57" cm="1">
        <f t="array" aca="1" ref="I195" ca="1">SUMPRODUCT('Forecast DCF'!$D$16:$M$16,1/(1+F195)^('Forecast DCF'!$D$6:$M$6-0.5))+(('Forecast DCF'!$M$7*H195*(1-Assumptions!$C$21)+'Forecast DCF'!$M$15)*(1+G195)/(F195-G195))/(1+F195)^('Forecast DCF'!$M$6-0.5)</f>
        <v>135142.71490425422</v>
      </c>
      <c r="K195" s="49">
        <f ca="1">(I195-Assumptions!$C$12)/Assumptions!$C$9</f>
        <v>200.27978114718451</v>
      </c>
    </row>
    <row r="196" spans="2:11" outlineLevel="1" x14ac:dyDescent="0.2">
      <c r="B196" s="69">
        <f t="shared" si="11"/>
        <v>167</v>
      </c>
      <c r="C196" s="72">
        <f t="shared" ca="1" si="12"/>
        <v>0.43704381499666245</v>
      </c>
      <c r="D196" s="72">
        <f t="shared" ca="1" si="12"/>
        <v>0.32948535709562776</v>
      </c>
      <c r="E196" s="72">
        <f t="shared" ca="1" si="12"/>
        <v>0.30219898261753231</v>
      </c>
      <c r="F196" s="73">
        <f t="shared" ca="1" si="13"/>
        <v>0.12900694188234341</v>
      </c>
      <c r="G196" s="73">
        <f t="shared" ca="1" si="14"/>
        <v>3.2030135387341001E-2</v>
      </c>
      <c r="H196" s="73">
        <f t="shared" ca="1" si="15"/>
        <v>0.22664582162258728</v>
      </c>
      <c r="I196" s="57" cm="1">
        <f t="array" aca="1" ref="I196" ca="1">SUMPRODUCT('Forecast DCF'!$D$16:$M$16,1/(1+F196)^('Forecast DCF'!$D$6:$M$6-0.5))+(('Forecast DCF'!$M$7*H196*(1-Assumptions!$C$21)+'Forecast DCF'!$M$15)*(1+G196)/(F196-G196))/(1+F196)^('Forecast DCF'!$M$6-0.5)</f>
        <v>127267.4972342502</v>
      </c>
      <c r="K196" s="49">
        <f ca="1">(I196-Assumptions!$C$12)/Assumptions!$C$9</f>
        <v>185.84494732961326</v>
      </c>
    </row>
    <row r="197" spans="2:11" outlineLevel="1" x14ac:dyDescent="0.2">
      <c r="B197" s="69">
        <f t="shared" si="11"/>
        <v>168</v>
      </c>
      <c r="C197" s="72">
        <f t="shared" ca="1" si="12"/>
        <v>0.17207439839472771</v>
      </c>
      <c r="D197" s="72">
        <f t="shared" ca="1" si="12"/>
        <v>0.55931449829105129</v>
      </c>
      <c r="E197" s="72">
        <f t="shared" ca="1" si="12"/>
        <v>4.869431570974958E-2</v>
      </c>
      <c r="F197" s="73">
        <f t="shared" ca="1" si="13"/>
        <v>0.12378898993939705</v>
      </c>
      <c r="G197" s="73">
        <f t="shared" ca="1" si="14"/>
        <v>3.4159540094549384E-2</v>
      </c>
      <c r="H197" s="73">
        <f t="shared" ca="1" si="15"/>
        <v>0.19872429099085454</v>
      </c>
      <c r="I197" s="57" cm="1">
        <f t="array" aca="1" ref="I197" ca="1">SUMPRODUCT('Forecast DCF'!$D$16:$M$16,1/(1+F197)^('Forecast DCF'!$D$6:$M$6-0.5))+(('Forecast DCF'!$M$7*H197*(1-Assumptions!$C$21)+'Forecast DCF'!$M$15)*(1+G197)/(F197-G197))/(1+F197)^('Forecast DCF'!$M$6-0.5)</f>
        <v>127775.84366974641</v>
      </c>
      <c r="K197" s="49">
        <f ca="1">(I197-Assumptions!$C$12)/Assumptions!$C$9</f>
        <v>186.77671793274106</v>
      </c>
    </row>
    <row r="198" spans="2:11" outlineLevel="1" x14ac:dyDescent="0.2">
      <c r="B198" s="69">
        <f t="shared" si="11"/>
        <v>169</v>
      </c>
      <c r="C198" s="72">
        <f t="shared" ca="1" si="12"/>
        <v>0.58312682527217197</v>
      </c>
      <c r="D198" s="72">
        <f t="shared" ca="1" si="12"/>
        <v>0.95733025749181344</v>
      </c>
      <c r="E198" s="72">
        <f t="shared" ca="1" si="12"/>
        <v>0.32984997404195959</v>
      </c>
      <c r="F198" s="73">
        <f t="shared" ca="1" si="13"/>
        <v>0.13128700293825779</v>
      </c>
      <c r="G198" s="73">
        <f t="shared" ca="1" si="14"/>
        <v>3.8211081139874148E-2</v>
      </c>
      <c r="H198" s="73">
        <f t="shared" ca="1" si="15"/>
        <v>0.22873314901688693</v>
      </c>
      <c r="I198" s="57" cm="1">
        <f t="array" aca="1" ref="I198" ca="1">SUMPRODUCT('Forecast DCF'!$D$16:$M$16,1/(1+F198)^('Forecast DCF'!$D$6:$M$6-0.5))+(('Forecast DCF'!$M$7*H198*(1-Assumptions!$C$21)+'Forecast DCF'!$M$15)*(1+G198)/(F198-G198))/(1+F198)^('Forecast DCF'!$M$6-0.5)</f>
        <v>131080.36821343785</v>
      </c>
      <c r="K198" s="49">
        <f ca="1">(I198-Assumptions!$C$12)/Assumptions!$C$9</f>
        <v>192.83372672069589</v>
      </c>
    </row>
    <row r="199" spans="2:11" outlineLevel="1" x14ac:dyDescent="0.2">
      <c r="B199" s="69">
        <f t="shared" si="11"/>
        <v>170</v>
      </c>
      <c r="C199" s="72">
        <f t="shared" ca="1" si="12"/>
        <v>0.43301718983154913</v>
      </c>
      <c r="D199" s="72">
        <f t="shared" ca="1" si="12"/>
        <v>0.39049872516501161</v>
      </c>
      <c r="E199" s="72">
        <f t="shared" ca="1" si="12"/>
        <v>0.99902724151362721</v>
      </c>
      <c r="F199" s="73">
        <f t="shared" ca="1" si="13"/>
        <v>0.12894226734159603</v>
      </c>
      <c r="G199" s="73">
        <f t="shared" ca="1" si="14"/>
        <v>3.2653418110540663E-2</v>
      </c>
      <c r="H199" s="73">
        <f t="shared" ca="1" si="15"/>
        <v>0.29735351910985852</v>
      </c>
      <c r="I199" s="57" cm="1">
        <f t="array" aca="1" ref="I199" ca="1">SUMPRODUCT('Forecast DCF'!$D$16:$M$16,1/(1+F199)^('Forecast DCF'!$D$6:$M$6-0.5))+(('Forecast DCF'!$M$7*H199*(1-Assumptions!$C$21)+'Forecast DCF'!$M$15)*(1+G199)/(F199-G199))/(1+F199)^('Forecast DCF'!$M$6-0.5)</f>
        <v>165364.99181612211</v>
      </c>
      <c r="K199" s="49">
        <f ca="1">(I199-Assumptions!$C$12)/Assumptions!$C$9</f>
        <v>255.67552550522086</v>
      </c>
    </row>
    <row r="200" spans="2:11" outlineLevel="1" x14ac:dyDescent="0.2">
      <c r="B200" s="69">
        <f t="shared" si="11"/>
        <v>171</v>
      </c>
      <c r="C200" s="72">
        <f t="shared" ca="1" si="12"/>
        <v>0.31885737373324574</v>
      </c>
      <c r="D200" s="72">
        <f t="shared" ca="1" si="12"/>
        <v>0.6040461689646579</v>
      </c>
      <c r="E200" s="72">
        <f t="shared" ca="1" si="12"/>
        <v>0.17637389662574177</v>
      </c>
      <c r="F200" s="73">
        <f t="shared" ca="1" si="13"/>
        <v>0.12696407342740662</v>
      </c>
      <c r="G200" s="73">
        <f t="shared" ca="1" si="14"/>
        <v>3.4518767007585528E-2</v>
      </c>
      <c r="H200" s="73">
        <f t="shared" ca="1" si="15"/>
        <v>0.21563554483525318</v>
      </c>
      <c r="I200" s="57" cm="1">
        <f t="array" aca="1" ref="I200" ca="1">SUMPRODUCT('Forecast DCF'!$D$16:$M$16,1/(1+F200)^('Forecast DCF'!$D$6:$M$6-0.5))+(('Forecast DCF'!$M$7*H200*(1-Assumptions!$C$21)+'Forecast DCF'!$M$15)*(1+G200)/(F200-G200))/(1+F200)^('Forecast DCF'!$M$6-0.5)</f>
        <v>129846.2806481408</v>
      </c>
      <c r="K200" s="49">
        <f ca="1">(I200-Assumptions!$C$12)/Assumptions!$C$9</f>
        <v>190.57171319067686</v>
      </c>
    </row>
    <row r="201" spans="2:11" outlineLevel="1" x14ac:dyDescent="0.2">
      <c r="B201" s="69">
        <f t="shared" si="11"/>
        <v>172</v>
      </c>
      <c r="C201" s="72">
        <f t="shared" ca="1" si="12"/>
        <v>0.52818414768935118</v>
      </c>
      <c r="D201" s="72">
        <f t="shared" ca="1" si="12"/>
        <v>0.787327333870806</v>
      </c>
      <c r="E201" s="72">
        <f t="shared" ca="1" si="12"/>
        <v>0.90543782721519928</v>
      </c>
      <c r="F201" s="73">
        <f t="shared" ca="1" si="13"/>
        <v>0.1304112973559956</v>
      </c>
      <c r="G201" s="73">
        <f t="shared" ca="1" si="14"/>
        <v>3.6006198557803668E-2</v>
      </c>
      <c r="H201" s="73">
        <f t="shared" ca="1" si="15"/>
        <v>0.27390694260822307</v>
      </c>
      <c r="I201" s="57" cm="1">
        <f t="array" aca="1" ref="I201" ca="1">SUMPRODUCT('Forecast DCF'!$D$16:$M$16,1/(1+F201)^('Forecast DCF'!$D$6:$M$6-0.5))+(('Forecast DCF'!$M$7*H201*(1-Assumptions!$C$21)+'Forecast DCF'!$M$15)*(1+G201)/(F201-G201))/(1+F201)^('Forecast DCF'!$M$6-0.5)</f>
        <v>154193.780088503</v>
      </c>
      <c r="K201" s="49">
        <f ca="1">(I201-Assumptions!$C$12)/Assumptions!$C$9</f>
        <v>235.19931880387611</v>
      </c>
    </row>
    <row r="202" spans="2:11" outlineLevel="1" x14ac:dyDescent="0.2">
      <c r="B202" s="69">
        <f t="shared" si="11"/>
        <v>173</v>
      </c>
      <c r="C202" s="72">
        <f t="shared" ca="1" si="12"/>
        <v>9.5340592361705223E-2</v>
      </c>
      <c r="D202" s="72">
        <f t="shared" ca="1" si="12"/>
        <v>0.3536495880908691</v>
      </c>
      <c r="E202" s="72">
        <f t="shared" ca="1" si="12"/>
        <v>0.70281291686049407</v>
      </c>
      <c r="F202" s="73">
        <f t="shared" ca="1" si="13"/>
        <v>0.12154213889591425</v>
      </c>
      <c r="G202" s="73">
        <f t="shared" ca="1" si="14"/>
        <v>3.2283367230452574E-2</v>
      </c>
      <c r="H202" s="73">
        <f t="shared" ca="1" si="15"/>
        <v>0.25374260060699</v>
      </c>
      <c r="I202" s="57" cm="1">
        <f t="array" aca="1" ref="I202" ca="1">SUMPRODUCT('Forecast DCF'!$D$16:$M$16,1/(1+F202)^('Forecast DCF'!$D$6:$M$6-0.5))+(('Forecast DCF'!$M$7*H202*(1-Assumptions!$C$21)+'Forecast DCF'!$M$15)*(1+G202)/(F202-G202))/(1+F202)^('Forecast DCF'!$M$6-0.5)</f>
        <v>164061.29218666957</v>
      </c>
      <c r="K202" s="49">
        <f ca="1">(I202-Assumptions!$C$12)/Assumptions!$C$9</f>
        <v>253.28591695244964</v>
      </c>
    </row>
    <row r="203" spans="2:11" outlineLevel="1" x14ac:dyDescent="0.2">
      <c r="B203" s="69">
        <f t="shared" si="11"/>
        <v>174</v>
      </c>
      <c r="C203" s="72">
        <f t="shared" ca="1" si="12"/>
        <v>4.2864869753673984E-2</v>
      </c>
      <c r="D203" s="72">
        <f t="shared" ca="1" si="12"/>
        <v>0.29786530978854331</v>
      </c>
      <c r="E203" s="72">
        <f t="shared" ca="1" si="12"/>
        <v>0.90985751126807346</v>
      </c>
      <c r="F203" s="73">
        <f t="shared" ca="1" si="13"/>
        <v>0.11938663593126028</v>
      </c>
      <c r="G203" s="73">
        <f t="shared" ca="1" si="14"/>
        <v>3.1684294762222974E-2</v>
      </c>
      <c r="H203" s="73">
        <f t="shared" ca="1" si="15"/>
        <v>0.27452401289704614</v>
      </c>
      <c r="I203" s="57" cm="1">
        <f t="array" aca="1" ref="I203" ca="1">SUMPRODUCT('Forecast DCF'!$D$16:$M$16,1/(1+F203)^('Forecast DCF'!$D$6:$M$6-0.5))+(('Forecast DCF'!$M$7*H203*(1-Assumptions!$C$21)+'Forecast DCF'!$M$15)*(1+G203)/(F203-G203))/(1+F203)^('Forecast DCF'!$M$6-0.5)</f>
        <v>183099.78670868702</v>
      </c>
      <c r="K203" s="49">
        <f ca="1">(I203-Assumptions!$C$12)/Assumptions!$C$9</f>
        <v>288.18241328788645</v>
      </c>
    </row>
    <row r="204" spans="2:11" outlineLevel="1" x14ac:dyDescent="0.2">
      <c r="B204" s="69">
        <f t="shared" si="11"/>
        <v>175</v>
      </c>
      <c r="C204" s="72">
        <f t="shared" ca="1" si="12"/>
        <v>0.39930535089397767</v>
      </c>
      <c r="D204" s="72">
        <f t="shared" ca="1" si="12"/>
        <v>0.18998251380533571</v>
      </c>
      <c r="E204" s="72">
        <f t="shared" ca="1" si="12"/>
        <v>0.82342834395271869</v>
      </c>
      <c r="F204" s="73">
        <f t="shared" ca="1" si="13"/>
        <v>0.1283885456100789</v>
      </c>
      <c r="G204" s="73">
        <f t="shared" ca="1" si="14"/>
        <v>3.0338293460535903E-2</v>
      </c>
      <c r="H204" s="73">
        <f t="shared" ca="1" si="15"/>
        <v>0.26434448256524068</v>
      </c>
      <c r="I204" s="57" cm="1">
        <f t="array" aca="1" ref="I204" ca="1">SUMPRODUCT('Forecast DCF'!$D$16:$M$16,1/(1+F204)^('Forecast DCF'!$D$6:$M$6-0.5))+(('Forecast DCF'!$M$7*H204*(1-Assumptions!$C$21)+'Forecast DCF'!$M$15)*(1+G204)/(F204-G204))/(1+F204)^('Forecast DCF'!$M$6-0.5)</f>
        <v>146044.52828684537</v>
      </c>
      <c r="K204" s="49">
        <f ca="1">(I204-Assumptions!$C$12)/Assumptions!$C$9</f>
        <v>220.26219573964326</v>
      </c>
    </row>
    <row r="205" spans="2:11" outlineLevel="1" x14ac:dyDescent="0.2">
      <c r="B205" s="69">
        <f t="shared" si="11"/>
        <v>176</v>
      </c>
      <c r="C205" s="72">
        <f t="shared" ca="1" si="12"/>
        <v>0.79093920675643414</v>
      </c>
      <c r="D205" s="72">
        <f t="shared" ca="1" si="12"/>
        <v>0.44282409407716394</v>
      </c>
      <c r="E205" s="72">
        <f t="shared" ca="1" si="12"/>
        <v>0.35738807948776552</v>
      </c>
      <c r="F205" s="73">
        <f t="shared" ca="1" si="13"/>
        <v>0.13528893848785309</v>
      </c>
      <c r="G205" s="73">
        <f t="shared" ca="1" si="14"/>
        <v>3.3150068350116746E-2</v>
      </c>
      <c r="H205" s="73">
        <f t="shared" ca="1" si="15"/>
        <v>0.23072666135585812</v>
      </c>
      <c r="I205" s="57" cm="1">
        <f t="array" aca="1" ref="I205" ca="1">SUMPRODUCT('Forecast DCF'!$D$16:$M$16,1/(1+F205)^('Forecast DCF'!$D$6:$M$6-0.5))+(('Forecast DCF'!$M$7*H205*(1-Assumptions!$C$21)+'Forecast DCF'!$M$15)*(1+G205)/(F205-G205))/(1+F205)^('Forecast DCF'!$M$6-0.5)</f>
        <v>116053.72218355967</v>
      </c>
      <c r="K205" s="49">
        <f ca="1">(I205-Assumptions!$C$12)/Assumptions!$C$9</f>
        <v>165.29072443608126</v>
      </c>
    </row>
    <row r="206" spans="2:11" outlineLevel="1" x14ac:dyDescent="0.2">
      <c r="B206" s="69">
        <f t="shared" si="11"/>
        <v>177</v>
      </c>
      <c r="C206" s="72">
        <f t="shared" ca="1" si="12"/>
        <v>0.65912212004535764</v>
      </c>
      <c r="D206" s="72">
        <f t="shared" ca="1" si="12"/>
        <v>0.18077807827990455</v>
      </c>
      <c r="E206" s="72">
        <f t="shared" ca="1" si="12"/>
        <v>0.80789082683616931</v>
      </c>
      <c r="F206" s="73">
        <f t="shared" ca="1" si="13"/>
        <v>0.13259976778350388</v>
      </c>
      <c r="G206" s="73">
        <f t="shared" ca="1" si="14"/>
        <v>3.0207370904975533E-2</v>
      </c>
      <c r="H206" s="73">
        <f t="shared" ca="1" si="15"/>
        <v>0.26280879073249186</v>
      </c>
      <c r="I206" s="57" cm="1">
        <f t="array" aca="1" ref="I206" ca="1">SUMPRODUCT('Forecast DCF'!$D$16:$M$16,1/(1+F206)^('Forecast DCF'!$D$6:$M$6-0.5))+(('Forecast DCF'!$M$7*H206*(1-Assumptions!$C$21)+'Forecast DCF'!$M$15)*(1+G206)/(F206-G206))/(1+F206)^('Forecast DCF'!$M$6-0.5)</f>
        <v>133924.28653902715</v>
      </c>
      <c r="K206" s="49">
        <f ca="1">(I206-Assumptions!$C$12)/Assumptions!$C$9</f>
        <v>198.04647005565008</v>
      </c>
    </row>
    <row r="207" spans="2:11" outlineLevel="1" x14ac:dyDescent="0.2">
      <c r="B207" s="69">
        <f t="shared" si="11"/>
        <v>178</v>
      </c>
      <c r="C207" s="72">
        <f t="shared" ca="1" si="12"/>
        <v>0.30961785585934531</v>
      </c>
      <c r="D207" s="72">
        <f t="shared" ca="1" si="12"/>
        <v>0.4525228850602282</v>
      </c>
      <c r="E207" s="72">
        <f t="shared" ca="1" si="12"/>
        <v>0.3893459155293888</v>
      </c>
      <c r="F207" s="73">
        <f t="shared" ca="1" si="13"/>
        <v>0.12678945792371768</v>
      </c>
      <c r="G207" s="73">
        <f t="shared" ca="1" si="14"/>
        <v>3.3238836857168261E-2</v>
      </c>
      <c r="H207" s="73">
        <f t="shared" ca="1" si="15"/>
        <v>0.23294611026139311</v>
      </c>
      <c r="I207" s="57" cm="1">
        <f t="array" aca="1" ref="I207" ca="1">SUMPRODUCT('Forecast DCF'!$D$16:$M$16,1/(1+F207)^('Forecast DCF'!$D$6:$M$6-0.5))+(('Forecast DCF'!$M$7*H207*(1-Assumptions!$C$21)+'Forecast DCF'!$M$15)*(1+G207)/(F207-G207))/(1+F207)^('Forecast DCF'!$M$6-0.5)</f>
        <v>138044.59292789997</v>
      </c>
      <c r="K207" s="49">
        <f ca="1">(I207-Assumptions!$C$12)/Assumptions!$C$9</f>
        <v>205.59876136912001</v>
      </c>
    </row>
    <row r="208" spans="2:11" outlineLevel="1" x14ac:dyDescent="0.2">
      <c r="B208" s="69">
        <f t="shared" si="11"/>
        <v>179</v>
      </c>
      <c r="C208" s="72">
        <f t="shared" ca="1" si="12"/>
        <v>0.98069807764111327</v>
      </c>
      <c r="D208" s="72">
        <f t="shared" ca="1" si="12"/>
        <v>0.46195735731550502</v>
      </c>
      <c r="E208" s="72">
        <f t="shared" ca="1" si="12"/>
        <v>0.26269594477485902</v>
      </c>
      <c r="F208" s="73">
        <f t="shared" ca="1" si="13"/>
        <v>0.14204926172376831</v>
      </c>
      <c r="G208" s="73">
        <f t="shared" ca="1" si="14"/>
        <v>3.3324277962521784E-2</v>
      </c>
      <c r="H208" s="73">
        <f t="shared" ca="1" si="15"/>
        <v>0.2234903529806207</v>
      </c>
      <c r="I208" s="57" cm="1">
        <f t="array" aca="1" ref="I208" ca="1">SUMPRODUCT('Forecast DCF'!$D$16:$M$16,1/(1+F208)^('Forecast DCF'!$D$6:$M$6-0.5))+(('Forecast DCF'!$M$7*H208*(1-Assumptions!$C$21)+'Forecast DCF'!$M$15)*(1+G208)/(F208-G208))/(1+F208)^('Forecast DCF'!$M$6-0.5)</f>
        <v>99362.23909222256</v>
      </c>
      <c r="K208" s="49">
        <f ca="1">(I208-Assumptions!$C$12)/Assumptions!$C$9</f>
        <v>134.69616887097411</v>
      </c>
    </row>
    <row r="209" spans="2:11" outlineLevel="1" x14ac:dyDescent="0.2">
      <c r="B209" s="69">
        <f t="shared" si="11"/>
        <v>180</v>
      </c>
      <c r="C209" s="72">
        <f t="shared" ca="1" si="12"/>
        <v>0.53146728411028699</v>
      </c>
      <c r="D209" s="72">
        <f t="shared" ca="1" si="12"/>
        <v>0.53595851264026628</v>
      </c>
      <c r="E209" s="72">
        <f t="shared" ca="1" si="12"/>
        <v>0.5427324476717742</v>
      </c>
      <c r="F209" s="73">
        <f t="shared" ca="1" si="13"/>
        <v>0.13046214379784662</v>
      </c>
      <c r="G209" s="73">
        <f t="shared" ca="1" si="14"/>
        <v>3.3966257686239003E-2</v>
      </c>
      <c r="H209" s="73">
        <f t="shared" ca="1" si="15"/>
        <v>0.24262120272467166</v>
      </c>
      <c r="I209" s="57" cm="1">
        <f t="array" aca="1" ref="I209" ca="1">SUMPRODUCT('Forecast DCF'!$D$16:$M$16,1/(1+F209)^('Forecast DCF'!$D$6:$M$6-0.5))+(('Forecast DCF'!$M$7*H209*(1-Assumptions!$C$21)+'Forecast DCF'!$M$15)*(1+G209)/(F209-G209))/(1+F209)^('Forecast DCF'!$M$6-0.5)</f>
        <v>134521.77011473523</v>
      </c>
      <c r="K209" s="49">
        <f ca="1">(I209-Assumptions!$C$12)/Assumptions!$C$9</f>
        <v>199.14162405462142</v>
      </c>
    </row>
    <row r="210" spans="2:11" outlineLevel="1" x14ac:dyDescent="0.2">
      <c r="B210" s="69">
        <f t="shared" si="11"/>
        <v>181</v>
      </c>
      <c r="C210" s="72">
        <f t="shared" ca="1" si="12"/>
        <v>0.55086479626954465</v>
      </c>
      <c r="D210" s="72">
        <f t="shared" ca="1" si="12"/>
        <v>0.23199479899476627</v>
      </c>
      <c r="E210" s="72">
        <f t="shared" ca="1" si="12"/>
        <v>0.1897457043365216</v>
      </c>
      <c r="F210" s="73">
        <f t="shared" ca="1" si="13"/>
        <v>0.1307662623596873</v>
      </c>
      <c r="G210" s="73">
        <f t="shared" ca="1" si="14"/>
        <v>3.0899086357158621E-2</v>
      </c>
      <c r="H210" s="73">
        <f t="shared" ca="1" si="15"/>
        <v>0.21696172440813544</v>
      </c>
      <c r="I210" s="57" cm="1">
        <f t="array" aca="1" ref="I210" ca="1">SUMPRODUCT('Forecast DCF'!$D$16:$M$16,1/(1+F210)^('Forecast DCF'!$D$6:$M$6-0.5))+(('Forecast DCF'!$M$7*H210*(1-Assumptions!$C$21)+'Forecast DCF'!$M$15)*(1+G210)/(F210-G210))/(1+F210)^('Forecast DCF'!$M$6-0.5)</f>
        <v>116810.28586129288</v>
      </c>
      <c r="K210" s="49">
        <f ca="1">(I210-Assumptions!$C$12)/Assumptions!$C$9</f>
        <v>166.67746337055999</v>
      </c>
    </row>
    <row r="211" spans="2:11" outlineLevel="1" x14ac:dyDescent="0.2">
      <c r="B211" s="69">
        <f t="shared" si="11"/>
        <v>182</v>
      </c>
      <c r="C211" s="72">
        <f t="shared" ca="1" si="12"/>
        <v>0.37447639806969213</v>
      </c>
      <c r="D211" s="72">
        <f t="shared" ca="1" si="12"/>
        <v>0.73821265684036408</v>
      </c>
      <c r="E211" s="72">
        <f t="shared" ca="1" si="12"/>
        <v>0.19242372280009901</v>
      </c>
      <c r="F211" s="73">
        <f t="shared" ca="1" si="13"/>
        <v>0.12796561324722272</v>
      </c>
      <c r="G211" s="73">
        <f t="shared" ca="1" si="14"/>
        <v>3.5568967305810904E-2</v>
      </c>
      <c r="H211" s="73">
        <f t="shared" ca="1" si="15"/>
        <v>0.2172216442968431</v>
      </c>
      <c r="I211" s="57" cm="1">
        <f t="array" aca="1" ref="I211" ca="1">SUMPRODUCT('Forecast DCF'!$D$16:$M$16,1/(1+F211)^('Forecast DCF'!$D$6:$M$6-0.5))+(('Forecast DCF'!$M$7*H211*(1-Assumptions!$C$21)+'Forecast DCF'!$M$15)*(1+G211)/(F211-G211))/(1+F211)^('Forecast DCF'!$M$6-0.5)</f>
        <v>129633.58656278095</v>
      </c>
      <c r="K211" s="49">
        <f ca="1">(I211-Assumptions!$C$12)/Assumptions!$C$9</f>
        <v>190.18185682037694</v>
      </c>
    </row>
    <row r="212" spans="2:11" outlineLevel="1" x14ac:dyDescent="0.2">
      <c r="B212" s="69">
        <f t="shared" si="11"/>
        <v>183</v>
      </c>
      <c r="C212" s="72">
        <f t="shared" ca="1" si="12"/>
        <v>0.84038216004046895</v>
      </c>
      <c r="D212" s="72">
        <f t="shared" ca="1" si="12"/>
        <v>0.86912650640022082</v>
      </c>
      <c r="E212" s="72">
        <f t="shared" ca="1" si="12"/>
        <v>0.43592752120004785</v>
      </c>
      <c r="F212" s="73">
        <f t="shared" ca="1" si="13"/>
        <v>0.13651462338536455</v>
      </c>
      <c r="G212" s="73">
        <f t="shared" ca="1" si="14"/>
        <v>3.6867028244624053E-2</v>
      </c>
      <c r="H212" s="73">
        <f t="shared" ca="1" si="15"/>
        <v>0.23602390697407977</v>
      </c>
      <c r="I212" s="57" cm="1">
        <f t="array" aca="1" ref="I212" ca="1">SUMPRODUCT('Forecast DCF'!$D$16:$M$16,1/(1+F212)^('Forecast DCF'!$D$6:$M$6-0.5))+(('Forecast DCF'!$M$7*H212*(1-Assumptions!$C$21)+'Forecast DCF'!$M$15)*(1+G212)/(F212-G212))/(1+F212)^('Forecast DCF'!$M$6-0.5)</f>
        <v>120228.06225670864</v>
      </c>
      <c r="K212" s="49">
        <f ca="1">(I212-Assumptions!$C$12)/Assumptions!$C$9</f>
        <v>172.94205647271087</v>
      </c>
    </row>
    <row r="213" spans="2:11" outlineLevel="1" x14ac:dyDescent="0.2">
      <c r="B213" s="69">
        <f t="shared" si="11"/>
        <v>184</v>
      </c>
      <c r="C213" s="72">
        <f t="shared" ca="1" si="12"/>
        <v>0.39983219588290275</v>
      </c>
      <c r="D213" s="72">
        <f t="shared" ca="1" si="12"/>
        <v>0.19367298926172161</v>
      </c>
      <c r="E213" s="72">
        <f t="shared" ca="1" si="12"/>
        <v>0.28994578638107416</v>
      </c>
      <c r="F213" s="73">
        <f t="shared" ca="1" si="13"/>
        <v>0.12839737514744401</v>
      </c>
      <c r="G213" s="73">
        <f t="shared" ca="1" si="14"/>
        <v>3.0389893170486616E-2</v>
      </c>
      <c r="H213" s="73">
        <f t="shared" ca="1" si="15"/>
        <v>0.22569036727740033</v>
      </c>
      <c r="I213" s="57" cm="1">
        <f t="array" aca="1" ref="I213" ca="1">SUMPRODUCT('Forecast DCF'!$D$16:$M$16,1/(1+F213)^('Forecast DCF'!$D$6:$M$6-0.5))+(('Forecast DCF'!$M$7*H213*(1-Assumptions!$C$21)+'Forecast DCF'!$M$15)*(1+G213)/(F213-G213))/(1+F213)^('Forecast DCF'!$M$6-0.5)</f>
        <v>126118.88201934859</v>
      </c>
      <c r="K213" s="49">
        <f ca="1">(I213-Assumptions!$C$12)/Assumptions!$C$9</f>
        <v>183.73959984054122</v>
      </c>
    </row>
    <row r="214" spans="2:11" outlineLevel="1" x14ac:dyDescent="0.2">
      <c r="B214" s="69">
        <f t="shared" si="11"/>
        <v>185</v>
      </c>
      <c r="C214" s="72">
        <f t="shared" ca="1" si="12"/>
        <v>0.92632638088225649</v>
      </c>
      <c r="D214" s="72">
        <f t="shared" ca="1" si="12"/>
        <v>0.28837507917392424</v>
      </c>
      <c r="E214" s="72">
        <f t="shared" ca="1" si="12"/>
        <v>0.43974926258014768</v>
      </c>
      <c r="F214" s="73">
        <f t="shared" ca="1" si="13"/>
        <v>0.13923517125421456</v>
      </c>
      <c r="G214" s="73">
        <f t="shared" ca="1" si="14"/>
        <v>3.1576949283375129E-2</v>
      </c>
      <c r="H214" s="73">
        <f t="shared" ca="1" si="15"/>
        <v>0.23626894961323752</v>
      </c>
      <c r="I214" s="57" cm="1">
        <f t="array" aca="1" ref="I214" ca="1">SUMPRODUCT('Forecast DCF'!$D$16:$M$16,1/(1+F214)^('Forecast DCF'!$D$6:$M$6-0.5))+(('Forecast DCF'!$M$7*H214*(1-Assumptions!$C$21)+'Forecast DCF'!$M$15)*(1+G214)/(F214-G214))/(1+F214)^('Forecast DCF'!$M$6-0.5)</f>
        <v>108502.88943353239</v>
      </c>
      <c r="K214" s="49">
        <f ca="1">(I214-Assumptions!$C$12)/Assumptions!$C$9</f>
        <v>151.45047004589844</v>
      </c>
    </row>
    <row r="215" spans="2:11" outlineLevel="1" x14ac:dyDescent="0.2">
      <c r="B215" s="69">
        <f t="shared" si="11"/>
        <v>186</v>
      </c>
      <c r="C215" s="72">
        <f t="shared" ca="1" si="12"/>
        <v>0.66757110385647744</v>
      </c>
      <c r="D215" s="72">
        <f t="shared" ca="1" si="12"/>
        <v>0.13812527781401629</v>
      </c>
      <c r="E215" s="72">
        <f t="shared" ca="1" si="12"/>
        <v>0.63329933352029677</v>
      </c>
      <c r="F215" s="73">
        <f t="shared" ca="1" si="13"/>
        <v>0.13275440782031378</v>
      </c>
      <c r="G215" s="73">
        <f t="shared" ca="1" si="14"/>
        <v>2.9551789941561719E-2</v>
      </c>
      <c r="H215" s="73">
        <f t="shared" ca="1" si="15"/>
        <v>0.24861668754689065</v>
      </c>
      <c r="I215" s="57" cm="1">
        <f t="array" aca="1" ref="I215" ca="1">SUMPRODUCT('Forecast DCF'!$D$16:$M$16,1/(1+F215)^('Forecast DCF'!$D$6:$M$6-0.5))+(('Forecast DCF'!$M$7*H215*(1-Assumptions!$C$21)+'Forecast DCF'!$M$15)*(1+G215)/(F215-G215))/(1+F215)^('Forecast DCF'!$M$6-0.5)</f>
        <v>125958.12486445971</v>
      </c>
      <c r="K215" s="49">
        <f ca="1">(I215-Assumptions!$C$12)/Assumptions!$C$9</f>
        <v>183.4449409608705</v>
      </c>
    </row>
    <row r="216" spans="2:11" outlineLevel="1" x14ac:dyDescent="0.2">
      <c r="B216" s="69">
        <f t="shared" si="11"/>
        <v>187</v>
      </c>
      <c r="C216" s="72">
        <f t="shared" ca="1" si="12"/>
        <v>0.78478043686643972</v>
      </c>
      <c r="D216" s="72">
        <f t="shared" ca="1" si="12"/>
        <v>4.7402104475638529E-2</v>
      </c>
      <c r="E216" s="72">
        <f t="shared" ca="1" si="12"/>
        <v>0.77823513329633154</v>
      </c>
      <c r="F216" s="73">
        <f t="shared" ca="1" si="13"/>
        <v>0.13514693651921908</v>
      </c>
      <c r="G216" s="73">
        <f t="shared" ca="1" si="14"/>
        <v>2.7666517517539645E-2</v>
      </c>
      <c r="H216" s="73">
        <f t="shared" ca="1" si="15"/>
        <v>0.26004118319736663</v>
      </c>
      <c r="I216" s="57" cm="1">
        <f t="array" aca="1" ref="I216" ca="1">SUMPRODUCT('Forecast DCF'!$D$16:$M$16,1/(1+F216)^('Forecast DCF'!$D$6:$M$6-0.5))+(('Forecast DCF'!$M$7*H216*(1-Assumptions!$C$21)+'Forecast DCF'!$M$15)*(1+G216)/(F216-G216))/(1+F216)^('Forecast DCF'!$M$6-0.5)</f>
        <v>123358.22328484822</v>
      </c>
      <c r="K216" s="49">
        <f ca="1">(I216-Assumptions!$C$12)/Assumptions!$C$9</f>
        <v>178.67946668240353</v>
      </c>
    </row>
    <row r="217" spans="2:11" outlineLevel="1" x14ac:dyDescent="0.2">
      <c r="B217" s="69">
        <f t="shared" si="11"/>
        <v>188</v>
      </c>
      <c r="C217" s="72">
        <f t="shared" ca="1" si="12"/>
        <v>0.98560579949712468</v>
      </c>
      <c r="D217" s="72">
        <f t="shared" ca="1" si="12"/>
        <v>0.12729867155521468</v>
      </c>
      <c r="E217" s="72">
        <f t="shared" ca="1" si="12"/>
        <v>0.63414443127050235</v>
      </c>
      <c r="F217" s="73">
        <f t="shared" ca="1" si="13"/>
        <v>0.14245185473885566</v>
      </c>
      <c r="G217" s="73">
        <f t="shared" ca="1" si="14"/>
        <v>2.9369759802698795E-2</v>
      </c>
      <c r="H217" s="73">
        <f t="shared" ca="1" si="15"/>
        <v>0.24867593064796611</v>
      </c>
      <c r="I217" s="57" cm="1">
        <f t="array" aca="1" ref="I217" ca="1">SUMPRODUCT('Forecast DCF'!$D$16:$M$16,1/(1+F217)^('Forecast DCF'!$D$6:$M$6-0.5))+(('Forecast DCF'!$M$7*H217*(1-Assumptions!$C$21)+'Forecast DCF'!$M$15)*(1+G217)/(F217-G217))/(1+F217)^('Forecast DCF'!$M$6-0.5)</f>
        <v>105097.22520609836</v>
      </c>
      <c r="K217" s="49">
        <f ca="1">(I217-Assumptions!$C$12)/Assumptions!$C$9</f>
        <v>145.20807787066954</v>
      </c>
    </row>
    <row r="218" spans="2:11" outlineLevel="1" x14ac:dyDescent="0.2">
      <c r="B218" s="69">
        <f t="shared" si="11"/>
        <v>189</v>
      </c>
      <c r="C218" s="72">
        <f t="shared" ca="1" si="12"/>
        <v>0.13898760363455664</v>
      </c>
      <c r="D218" s="72">
        <f t="shared" ca="1" si="12"/>
        <v>0.81395384711662089</v>
      </c>
      <c r="E218" s="72">
        <f t="shared" ca="1" si="12"/>
        <v>0.84264131196785319</v>
      </c>
      <c r="F218" s="73">
        <f t="shared" ca="1" si="13"/>
        <v>0.1228989410184169</v>
      </c>
      <c r="G218" s="73">
        <f t="shared" ca="1" si="14"/>
        <v>3.6264566763245069E-2</v>
      </c>
      <c r="H218" s="73">
        <f t="shared" ca="1" si="15"/>
        <v>0.26634019379391116</v>
      </c>
      <c r="I218" s="57" cm="1">
        <f t="array" aca="1" ref="I218" ca="1">SUMPRODUCT('Forecast DCF'!$D$16:$M$16,1/(1+F218)^('Forecast DCF'!$D$6:$M$6-0.5))+(('Forecast DCF'!$M$7*H218*(1-Assumptions!$C$21)+'Forecast DCF'!$M$15)*(1+G218)/(F218-G218))/(1+F218)^('Forecast DCF'!$M$6-0.5)</f>
        <v>174837.87714470187</v>
      </c>
      <c r="K218" s="49">
        <f ca="1">(I218-Assumptions!$C$12)/Assumptions!$C$9</f>
        <v>273.03879484211626</v>
      </c>
    </row>
    <row r="219" spans="2:11" outlineLevel="1" x14ac:dyDescent="0.2">
      <c r="B219" s="69">
        <f t="shared" si="11"/>
        <v>190</v>
      </c>
      <c r="C219" s="72">
        <f t="shared" ca="1" si="12"/>
        <v>0.99493499149860365</v>
      </c>
      <c r="D219" s="72">
        <f t="shared" ca="1" si="12"/>
        <v>0.35696886821754736</v>
      </c>
      <c r="E219" s="72">
        <f t="shared" ca="1" si="12"/>
        <v>0.13873371563967885</v>
      </c>
      <c r="F219" s="73">
        <f t="shared" ca="1" si="13"/>
        <v>0.143488457031233</v>
      </c>
      <c r="G219" s="73">
        <f t="shared" ca="1" si="14"/>
        <v>3.2317467473971587E-2</v>
      </c>
      <c r="H219" s="73">
        <f t="shared" ca="1" si="15"/>
        <v>0.21160510643243727</v>
      </c>
      <c r="I219" s="57" cm="1">
        <f t="array" aca="1" ref="I219" ca="1">SUMPRODUCT('Forecast DCF'!$D$16:$M$16,1/(1+F219)^('Forecast DCF'!$D$6:$M$6-0.5))+(('Forecast DCF'!$M$7*H219*(1-Assumptions!$C$21)+'Forecast DCF'!$M$15)*(1+G219)/(F219-G219))/(1+F219)^('Forecast DCF'!$M$6-0.5)</f>
        <v>91048.094150901408</v>
      </c>
      <c r="K219" s="49">
        <f ca="1">(I219-Assumptions!$C$12)/Assumptions!$C$9</f>
        <v>119.45680589815227</v>
      </c>
    </row>
    <row r="220" spans="2:11" outlineLevel="1" x14ac:dyDescent="0.2">
      <c r="B220" s="69">
        <f t="shared" si="11"/>
        <v>191</v>
      </c>
      <c r="C220" s="72">
        <f t="shared" ca="1" si="12"/>
        <v>0.78218032536725957</v>
      </c>
      <c r="D220" s="72">
        <f t="shared" ca="1" si="12"/>
        <v>0.134876682905824</v>
      </c>
      <c r="E220" s="72">
        <f t="shared" ca="1" si="12"/>
        <v>5.6821042963131396E-2</v>
      </c>
      <c r="F220" s="73">
        <f t="shared" ca="1" si="13"/>
        <v>0.1350875967689027</v>
      </c>
      <c r="G220" s="73">
        <f t="shared" ca="1" si="14"/>
        <v>2.9497944245527465E-2</v>
      </c>
      <c r="H220" s="73">
        <f t="shared" ca="1" si="15"/>
        <v>0.20022650511913875</v>
      </c>
      <c r="I220" s="57" cm="1">
        <f t="array" aca="1" ref="I220" ca="1">SUMPRODUCT('Forecast DCF'!$D$16:$M$16,1/(1+F220)^('Forecast DCF'!$D$6:$M$6-0.5))+(('Forecast DCF'!$M$7*H220*(1-Assumptions!$C$21)+'Forecast DCF'!$M$15)*(1+G220)/(F220-G220))/(1+F220)^('Forecast DCF'!$M$6-0.5)</f>
        <v>98584.749735937643</v>
      </c>
      <c r="K220" s="49">
        <f ca="1">(I220-Assumptions!$C$12)/Assumptions!$C$9</f>
        <v>133.27107433731436</v>
      </c>
    </row>
    <row r="221" spans="2:11" outlineLevel="1" x14ac:dyDescent="0.2">
      <c r="B221" s="69">
        <f t="shared" si="11"/>
        <v>192</v>
      </c>
      <c r="C221" s="72">
        <f t="shared" ca="1" si="12"/>
        <v>0.32124343200202576</v>
      </c>
      <c r="D221" s="72">
        <f t="shared" ca="1" si="12"/>
        <v>0.19731282263810213</v>
      </c>
      <c r="E221" s="72">
        <f t="shared" ca="1" si="12"/>
        <v>0.93161238630832444</v>
      </c>
      <c r="F221" s="73">
        <f t="shared" ca="1" si="13"/>
        <v>0.12700875448581242</v>
      </c>
      <c r="G221" s="73">
        <f t="shared" ca="1" si="14"/>
        <v>3.0440305450589639E-2</v>
      </c>
      <c r="H221" s="73">
        <f t="shared" ca="1" si="15"/>
        <v>0.27781011900482422</v>
      </c>
      <c r="I221" s="57" cm="1">
        <f t="array" aca="1" ref="I221" ca="1">SUMPRODUCT('Forecast DCF'!$D$16:$M$16,1/(1+F221)^('Forecast DCF'!$D$6:$M$6-0.5))+(('Forecast DCF'!$M$7*H221*(1-Assumptions!$C$21)+'Forecast DCF'!$M$15)*(1+G221)/(F221-G221))/(1+F221)^('Forecast DCF'!$M$6-0.5)</f>
        <v>157267.10867561906</v>
      </c>
      <c r="K221" s="49">
        <f ca="1">(I221-Assumptions!$C$12)/Assumptions!$C$9</f>
        <v>240.83255832572272</v>
      </c>
    </row>
    <row r="222" spans="2:11" outlineLevel="1" x14ac:dyDescent="0.2">
      <c r="B222" s="69">
        <f t="shared" si="11"/>
        <v>193</v>
      </c>
      <c r="C222" s="72">
        <f t="shared" ca="1" si="12"/>
        <v>0.77298553559879968</v>
      </c>
      <c r="D222" s="72">
        <f t="shared" ca="1" si="12"/>
        <v>0.41933681479148843</v>
      </c>
      <c r="E222" s="72">
        <f t="shared" ca="1" si="12"/>
        <v>0.36256783164616391</v>
      </c>
      <c r="F222" s="73">
        <f t="shared" ca="1" si="13"/>
        <v>0.13488054385005038</v>
      </c>
      <c r="G222" s="73">
        <f t="shared" ca="1" si="14"/>
        <v>3.2930984946318034E-2</v>
      </c>
      <c r="H222" s="73">
        <f t="shared" ca="1" si="15"/>
        <v>0.23109293872789446</v>
      </c>
      <c r="I222" s="57" cm="1">
        <f t="array" aca="1" ref="I222" ca="1">SUMPRODUCT('Forecast DCF'!$D$16:$M$16,1/(1+F222)^('Forecast DCF'!$D$6:$M$6-0.5))+(('Forecast DCF'!$M$7*H222*(1-Assumptions!$C$21)+'Forecast DCF'!$M$15)*(1+G222)/(F222-G222))/(1+F222)^('Forecast DCF'!$M$6-0.5)</f>
        <v>116874.71739099943</v>
      </c>
      <c r="K222" s="49">
        <f ca="1">(I222-Assumptions!$C$12)/Assumptions!$C$9</f>
        <v>166.79556276322418</v>
      </c>
    </row>
    <row r="223" spans="2:11" outlineLevel="1" x14ac:dyDescent="0.2">
      <c r="B223" s="69">
        <f t="shared" si="11"/>
        <v>194</v>
      </c>
      <c r="C223" s="72">
        <f t="shared" ca="1" si="12"/>
        <v>0.79058380998639033</v>
      </c>
      <c r="D223" s="72">
        <f t="shared" ca="1" si="12"/>
        <v>0.20466461938756497</v>
      </c>
      <c r="E223" s="72">
        <f t="shared" ca="1" si="12"/>
        <v>0.12066461816570873</v>
      </c>
      <c r="F223" s="73">
        <f t="shared" ca="1" si="13"/>
        <v>0.13528068774336821</v>
      </c>
      <c r="G223" s="73">
        <f t="shared" ca="1" si="14"/>
        <v>3.0540730358728421E-2</v>
      </c>
      <c r="H223" s="73">
        <f t="shared" ca="1" si="15"/>
        <v>0.2094751632869625</v>
      </c>
      <c r="I223" s="57" cm="1">
        <f t="array" aca="1" ref="I223" ca="1">SUMPRODUCT('Forecast DCF'!$D$16:$M$16,1/(1+F223)^('Forecast DCF'!$D$6:$M$6-0.5))+(('Forecast DCF'!$M$7*H223*(1-Assumptions!$C$21)+'Forecast DCF'!$M$15)*(1+G223)/(F223-G223))/(1+F223)^('Forecast DCF'!$M$6-0.5)</f>
        <v>103431.88463584278</v>
      </c>
      <c r="K223" s="49">
        <f ca="1">(I223-Assumptions!$C$12)/Assumptions!$C$9</f>
        <v>142.15560168669555</v>
      </c>
    </row>
    <row r="224" spans="2:11" outlineLevel="1" x14ac:dyDescent="0.2">
      <c r="B224" s="69">
        <f t="shared" ref="B224:B287" si="16">ROW()-29</f>
        <v>195</v>
      </c>
      <c r="C224" s="72">
        <f t="shared" ref="C224:E287" ca="1" si="17">RAND()</f>
        <v>0.53795146981421171</v>
      </c>
      <c r="D224" s="72">
        <f t="shared" ca="1" si="17"/>
        <v>0.98259660140409455</v>
      </c>
      <c r="E224" s="72">
        <f t="shared" ca="1" si="17"/>
        <v>0.34550274023375704</v>
      </c>
      <c r="F224" s="73">
        <f t="shared" ref="F224:F287" ca="1" si="18">IF(C224&lt;($D$7-$C$7)/($E$7-$C$7),$C$7+SQRT(C224*($E$7-$C$7)*($D$7-$C$7)),$E$7-SQRT((1-C224)*($E$7-$C$7)*($E$7-$D$7)))</f>
        <v>0.13056309147784903</v>
      </c>
      <c r="G224" s="73">
        <f t="shared" ref="G224:G287" ca="1" si="19">IF(D224&lt;($D$8-$C$8)/($E$8-$C$8),$C$8+SQRT(D224*($E$8-$C$8)*($D$8-$C$8)),$E$8-SQRT((1-D224)*($E$8-$C$8)*($E$8-$D$8)))</f>
        <v>3.885752247519135E-2</v>
      </c>
      <c r="H224" s="73">
        <f t="shared" ref="H224:H287" ca="1" si="20">IF(E224&lt;($D$9-$C$9)/($E$9-$C$9),$C$9+SQRT(E224*($E$9-$C$9)*($D$9-$C$9)),$E$9-SQRT((1-E224)*($E$9-$C$9)*($E$9-$D$9)))</f>
        <v>0.22987604364505118</v>
      </c>
      <c r="I224" s="57" cm="1">
        <f t="array" aca="1" ref="I224" ca="1">SUMPRODUCT('Forecast DCF'!$D$16:$M$16,1/(1+F224)^('Forecast DCF'!$D$6:$M$6-0.5))+(('Forecast DCF'!$M$7*H224*(1-Assumptions!$C$21)+'Forecast DCF'!$M$15)*(1+G224)/(F224-G224))/(1+F224)^('Forecast DCF'!$M$6-0.5)</f>
        <v>134536.57994409621</v>
      </c>
      <c r="K224" s="49">
        <f ca="1">(I224-Assumptions!$C$12)/Assumptions!$C$9</f>
        <v>199.16876964407052</v>
      </c>
    </row>
    <row r="225" spans="2:11" outlineLevel="1" x14ac:dyDescent="0.2">
      <c r="B225" s="69">
        <f t="shared" si="16"/>
        <v>196</v>
      </c>
      <c r="C225" s="72">
        <f t="shared" ca="1" si="17"/>
        <v>0.25509940767083117</v>
      </c>
      <c r="D225" s="72">
        <f t="shared" ca="1" si="17"/>
        <v>0.10894383313125211</v>
      </c>
      <c r="E225" s="72">
        <f t="shared" ca="1" si="17"/>
        <v>0.35017632129250353</v>
      </c>
      <c r="F225" s="73">
        <f t="shared" ca="1" si="18"/>
        <v>0.12570127593317648</v>
      </c>
      <c r="G225" s="73">
        <f t="shared" ca="1" si="19"/>
        <v>2.904247139379957E-2</v>
      </c>
      <c r="H225" s="73">
        <f t="shared" ca="1" si="20"/>
        <v>0.23021224465512397</v>
      </c>
      <c r="I225" s="57" cm="1">
        <f t="array" aca="1" ref="I225" ca="1">SUMPRODUCT('Forecast DCF'!$D$16:$M$16,1/(1+F225)^('Forecast DCF'!$D$6:$M$6-0.5))+(('Forecast DCF'!$M$7*H225*(1-Assumptions!$C$21)+'Forecast DCF'!$M$15)*(1+G225)/(F225-G225))/(1+F225)^('Forecast DCF'!$M$6-0.5)</f>
        <v>133425.10334733251</v>
      </c>
      <c r="K225" s="49">
        <f ca="1">(I225-Assumptions!$C$12)/Assumptions!$C$9</f>
        <v>197.13149516624702</v>
      </c>
    </row>
    <row r="226" spans="2:11" outlineLevel="1" x14ac:dyDescent="0.2">
      <c r="B226" s="69">
        <f t="shared" si="16"/>
        <v>197</v>
      </c>
      <c r="C226" s="72">
        <f t="shared" ca="1" si="17"/>
        <v>0.86728315924234711</v>
      </c>
      <c r="D226" s="72">
        <f t="shared" ca="1" si="17"/>
        <v>0.59148718384447463</v>
      </c>
      <c r="E226" s="72">
        <f t="shared" ca="1" si="17"/>
        <v>5.0462247481608657E-2</v>
      </c>
      <c r="F226" s="73">
        <f t="shared" ca="1" si="18"/>
        <v>0.13726262892476718</v>
      </c>
      <c r="G226" s="73">
        <f t="shared" ca="1" si="19"/>
        <v>3.4419292838460389E-2</v>
      </c>
      <c r="H226" s="73">
        <f t="shared" ca="1" si="20"/>
        <v>0.19906116947796179</v>
      </c>
      <c r="I226" s="57" cm="1">
        <f t="array" aca="1" ref="I226" ca="1">SUMPRODUCT('Forecast DCF'!$D$16:$M$16,1/(1+F226)^('Forecast DCF'!$D$6:$M$6-0.5))+(('Forecast DCF'!$M$7*H226*(1-Assumptions!$C$21)+'Forecast DCF'!$M$15)*(1+G226)/(F226-G226))/(1+F226)^('Forecast DCF'!$M$6-0.5)</f>
        <v>98670.790709830078</v>
      </c>
      <c r="K226" s="49">
        <f ca="1">(I226-Assumptions!$C$12)/Assumptions!$C$9</f>
        <v>133.42878263334916</v>
      </c>
    </row>
    <row r="227" spans="2:11" outlineLevel="1" x14ac:dyDescent="0.2">
      <c r="B227" s="69">
        <f t="shared" si="16"/>
        <v>198</v>
      </c>
      <c r="C227" s="72">
        <f t="shared" ca="1" si="17"/>
        <v>0.37634692314687335</v>
      </c>
      <c r="D227" s="72">
        <f t="shared" ca="1" si="17"/>
        <v>0.50074216474393685</v>
      </c>
      <c r="E227" s="72">
        <f t="shared" ca="1" si="17"/>
        <v>0.86501095691074747</v>
      </c>
      <c r="F227" s="73">
        <f t="shared" ca="1" si="18"/>
        <v>0.12799795479756154</v>
      </c>
      <c r="G227" s="73">
        <f t="shared" ca="1" si="19"/>
        <v>3.3666678989762486E-2</v>
      </c>
      <c r="H227" s="73">
        <f t="shared" ca="1" si="20"/>
        <v>0.26882435068450666</v>
      </c>
      <c r="I227" s="57" cm="1">
        <f t="array" aca="1" ref="I227" ca="1">SUMPRODUCT('Forecast DCF'!$D$16:$M$16,1/(1+F227)^('Forecast DCF'!$D$6:$M$6-0.5))+(('Forecast DCF'!$M$7*H227*(1-Assumptions!$C$21)+'Forecast DCF'!$M$15)*(1+G227)/(F227-G227))/(1+F227)^('Forecast DCF'!$M$6-0.5)</f>
        <v>154832.75841998568</v>
      </c>
      <c r="K227" s="49">
        <f ca="1">(I227-Assumptions!$C$12)/Assumptions!$C$9</f>
        <v>236.3705303709053</v>
      </c>
    </row>
    <row r="228" spans="2:11" outlineLevel="1" x14ac:dyDescent="0.2">
      <c r="B228" s="69">
        <f t="shared" si="16"/>
        <v>199</v>
      </c>
      <c r="C228" s="72">
        <f t="shared" ca="1" si="17"/>
        <v>0.25929936851194735</v>
      </c>
      <c r="D228" s="72">
        <f t="shared" ca="1" si="17"/>
        <v>5.8649232528957818E-3</v>
      </c>
      <c r="E228" s="72">
        <f t="shared" ca="1" si="17"/>
        <v>0.70704503757322623</v>
      </c>
      <c r="F228" s="73">
        <f t="shared" ca="1" si="18"/>
        <v>0.12578900928798384</v>
      </c>
      <c r="G228" s="73">
        <f t="shared" ca="1" si="19"/>
        <v>2.5937943755208366E-2</v>
      </c>
      <c r="H228" s="73">
        <f t="shared" ca="1" si="20"/>
        <v>0.25407314805614506</v>
      </c>
      <c r="I228" s="57" cm="1">
        <f t="array" aca="1" ref="I228" ca="1">SUMPRODUCT('Forecast DCF'!$D$16:$M$16,1/(1+F228)^('Forecast DCF'!$D$6:$M$6-0.5))+(('Forecast DCF'!$M$7*H228*(1-Assumptions!$C$21)+'Forecast DCF'!$M$15)*(1+G228)/(F228-G228))/(1+F228)^('Forecast DCF'!$M$6-0.5)</f>
        <v>141373.79302312026</v>
      </c>
      <c r="K228" s="49">
        <f ca="1">(I228-Assumptions!$C$12)/Assumptions!$C$9</f>
        <v>211.70099906383035</v>
      </c>
    </row>
    <row r="229" spans="2:11" outlineLevel="1" x14ac:dyDescent="0.2">
      <c r="B229" s="69">
        <f t="shared" si="16"/>
        <v>200</v>
      </c>
      <c r="C229" s="72">
        <f t="shared" ca="1" si="17"/>
        <v>0.64545751675433205</v>
      </c>
      <c r="D229" s="72">
        <f t="shared" ca="1" si="17"/>
        <v>0.57305574119741742</v>
      </c>
      <c r="E229" s="72">
        <f t="shared" ca="1" si="17"/>
        <v>0.20010756282373354</v>
      </c>
      <c r="F229" s="73">
        <f t="shared" ca="1" si="18"/>
        <v>0.13235366886821515</v>
      </c>
      <c r="G229" s="73">
        <f t="shared" ca="1" si="19"/>
        <v>3.4271373208948755E-2</v>
      </c>
      <c r="H229" s="73">
        <f t="shared" ca="1" si="20"/>
        <v>0.2179575348558212</v>
      </c>
      <c r="I229" s="57" cm="1">
        <f t="array" aca="1" ref="I229" ca="1">SUMPRODUCT('Forecast DCF'!$D$16:$M$16,1/(1+F229)^('Forecast DCF'!$D$6:$M$6-0.5))+(('Forecast DCF'!$M$7*H229*(1-Assumptions!$C$21)+'Forecast DCF'!$M$15)*(1+G229)/(F229-G229))/(1+F229)^('Forecast DCF'!$M$6-0.5)</f>
        <v>117748.56253612324</v>
      </c>
      <c r="K229" s="49">
        <f ca="1">(I229-Assumptions!$C$12)/Assumptions!$C$9</f>
        <v>168.39727207218695</v>
      </c>
    </row>
    <row r="230" spans="2:11" outlineLevel="1" x14ac:dyDescent="0.2">
      <c r="B230" s="69">
        <f t="shared" si="16"/>
        <v>201</v>
      </c>
      <c r="C230" s="72">
        <f t="shared" ca="1" si="17"/>
        <v>0.30514802047079181</v>
      </c>
      <c r="D230" s="72">
        <f t="shared" ca="1" si="17"/>
        <v>0.43333223101563423</v>
      </c>
      <c r="E230" s="72">
        <f t="shared" ca="1" si="17"/>
        <v>0.48961615538332615</v>
      </c>
      <c r="F230" s="73">
        <f t="shared" ca="1" si="18"/>
        <v>0.12670404858438836</v>
      </c>
      <c r="G230" s="73">
        <f t="shared" ca="1" si="19"/>
        <v>3.3062247493865785E-2</v>
      </c>
      <c r="H230" s="73">
        <f t="shared" ca="1" si="20"/>
        <v>0.23937370056481191</v>
      </c>
      <c r="I230" s="57" cm="1">
        <f t="array" aca="1" ref="I230" ca="1">SUMPRODUCT('Forecast DCF'!$D$16:$M$16,1/(1+F230)^('Forecast DCF'!$D$6:$M$6-0.5))+(('Forecast DCF'!$M$7*H230*(1-Assumptions!$C$21)+'Forecast DCF'!$M$15)*(1+G230)/(F230-G230))/(1+F230)^('Forecast DCF'!$M$6-0.5)</f>
        <v>141550.22855683224</v>
      </c>
      <c r="K230" s="49">
        <f ca="1">(I230-Assumptions!$C$12)/Assumptions!$C$9</f>
        <v>212.0243955355682</v>
      </c>
    </row>
    <row r="231" spans="2:11" outlineLevel="1" x14ac:dyDescent="0.2">
      <c r="B231" s="69">
        <f t="shared" si="16"/>
        <v>202</v>
      </c>
      <c r="C231" s="72">
        <f t="shared" ca="1" si="17"/>
        <v>0.38943114966247039</v>
      </c>
      <c r="D231" s="72">
        <f t="shared" ca="1" si="17"/>
        <v>0.48765208955806638</v>
      </c>
      <c r="E231" s="72">
        <f t="shared" ca="1" si="17"/>
        <v>0.62939795287878175</v>
      </c>
      <c r="F231" s="73">
        <f t="shared" ca="1" si="18"/>
        <v>0.12822197040666289</v>
      </c>
      <c r="G231" s="73">
        <f t="shared" ca="1" si="19"/>
        <v>3.3552649497887187E-2</v>
      </c>
      <c r="H231" s="73">
        <f t="shared" ca="1" si="20"/>
        <v>0.24834407353194821</v>
      </c>
      <c r="I231" s="57" cm="1">
        <f t="array" aca="1" ref="I231" ca="1">SUMPRODUCT('Forecast DCF'!$D$16:$M$16,1/(1+F231)^('Forecast DCF'!$D$6:$M$6-0.5))+(('Forecast DCF'!$M$7*H231*(1-Assumptions!$C$21)+'Forecast DCF'!$M$15)*(1+G231)/(F231-G231))/(1+F231)^('Forecast DCF'!$M$6-0.5)</f>
        <v>142962.11145896273</v>
      </c>
      <c r="K231" s="49">
        <f ca="1">(I231-Assumptions!$C$12)/Assumptions!$C$9</f>
        <v>214.61229798044289</v>
      </c>
    </row>
    <row r="232" spans="2:11" outlineLevel="1" x14ac:dyDescent="0.2">
      <c r="B232" s="69">
        <f t="shared" si="16"/>
        <v>203</v>
      </c>
      <c r="C232" s="72">
        <f t="shared" ca="1" si="17"/>
        <v>0.72381495074331492</v>
      </c>
      <c r="D232" s="72">
        <f t="shared" ca="1" si="17"/>
        <v>0.21779199794539139</v>
      </c>
      <c r="E232" s="72">
        <f t="shared" ca="1" si="17"/>
        <v>0.77672772320364603</v>
      </c>
      <c r="F232" s="73">
        <f t="shared" ca="1" si="18"/>
        <v>0.1338382962693383</v>
      </c>
      <c r="G232" s="73">
        <f t="shared" ca="1" si="19"/>
        <v>3.0715662664276885E-2</v>
      </c>
      <c r="H232" s="73">
        <f t="shared" ca="1" si="20"/>
        <v>0.2599056064650711</v>
      </c>
      <c r="I232" s="57" cm="1">
        <f t="array" aca="1" ref="I232" ca="1">SUMPRODUCT('Forecast DCF'!$D$16:$M$16,1/(1+F232)^('Forecast DCF'!$D$6:$M$6-0.5))+(('Forecast DCF'!$M$7*H232*(1-Assumptions!$C$21)+'Forecast DCF'!$M$15)*(1+G232)/(F232-G232))/(1+F232)^('Forecast DCF'!$M$6-0.5)</f>
        <v>130143.66052607547</v>
      </c>
      <c r="K232" s="49">
        <f ca="1">(I232-Assumptions!$C$12)/Assumptions!$C$9</f>
        <v>191.11679388540188</v>
      </c>
    </row>
    <row r="233" spans="2:11" outlineLevel="1" x14ac:dyDescent="0.2">
      <c r="B233" s="69">
        <f t="shared" si="16"/>
        <v>204</v>
      </c>
      <c r="C233" s="72">
        <f t="shared" ca="1" si="17"/>
        <v>0.9596308974109371</v>
      </c>
      <c r="D233" s="72">
        <f t="shared" ca="1" si="17"/>
        <v>0.44942129267410735</v>
      </c>
      <c r="E233" s="72">
        <f t="shared" ca="1" si="17"/>
        <v>0.1542043114892182</v>
      </c>
      <c r="F233" s="73">
        <f t="shared" ca="1" si="18"/>
        <v>0.14073268251088714</v>
      </c>
      <c r="G233" s="73">
        <f t="shared" ca="1" si="19"/>
        <v>3.3210553812083335E-2</v>
      </c>
      <c r="H233" s="73">
        <f t="shared" ca="1" si="20"/>
        <v>0.21332072992481363</v>
      </c>
      <c r="I233" s="57" cm="1">
        <f t="array" aca="1" ref="I233" ca="1">SUMPRODUCT('Forecast DCF'!$D$16:$M$16,1/(1+F233)^('Forecast DCF'!$D$6:$M$6-0.5))+(('Forecast DCF'!$M$7*H233*(1-Assumptions!$C$21)+'Forecast DCF'!$M$15)*(1+G233)/(F233-G233))/(1+F233)^('Forecast DCF'!$M$6-0.5)</f>
        <v>97395.523246692246</v>
      </c>
      <c r="K233" s="49">
        <f ca="1">(I233-Assumptions!$C$12)/Assumptions!$C$9</f>
        <v>131.09128865226648</v>
      </c>
    </row>
    <row r="234" spans="2:11" outlineLevel="1" x14ac:dyDescent="0.2">
      <c r="B234" s="69">
        <f t="shared" si="16"/>
        <v>205</v>
      </c>
      <c r="C234" s="72">
        <f t="shared" ca="1" si="17"/>
        <v>0.47673694486847018</v>
      </c>
      <c r="D234" s="72">
        <f t="shared" ca="1" si="17"/>
        <v>0.86830457094896329</v>
      </c>
      <c r="E234" s="72">
        <f t="shared" ca="1" si="17"/>
        <v>0.5098918991435113</v>
      </c>
      <c r="F234" s="73">
        <f t="shared" ca="1" si="18"/>
        <v>0.1296291887022738</v>
      </c>
      <c r="G234" s="73">
        <f t="shared" ca="1" si="19"/>
        <v>3.6857205514382506E-2</v>
      </c>
      <c r="H234" s="73">
        <f t="shared" ca="1" si="20"/>
        <v>0.24059647884033541</v>
      </c>
      <c r="I234" s="57" cm="1">
        <f t="array" aca="1" ref="I234" ca="1">SUMPRODUCT('Forecast DCF'!$D$16:$M$16,1/(1+F234)^('Forecast DCF'!$D$6:$M$6-0.5))+(('Forecast DCF'!$M$7*H234*(1-Assumptions!$C$21)+'Forecast DCF'!$M$15)*(1+G234)/(F234-G234))/(1+F234)^('Forecast DCF'!$M$6-0.5)</f>
        <v>139914.41883454882</v>
      </c>
      <c r="K234" s="49">
        <f ca="1">(I234-Assumptions!$C$12)/Assumptions!$C$9</f>
        <v>209.02604774535195</v>
      </c>
    </row>
    <row r="235" spans="2:11" outlineLevel="1" x14ac:dyDescent="0.2">
      <c r="B235" s="69">
        <f t="shared" si="16"/>
        <v>206</v>
      </c>
      <c r="C235" s="72">
        <f t="shared" ca="1" si="17"/>
        <v>0.44524075963159959</v>
      </c>
      <c r="D235" s="72">
        <f t="shared" ca="1" si="17"/>
        <v>0.93701452464285517</v>
      </c>
      <c r="E235" s="72">
        <f t="shared" ca="1" si="17"/>
        <v>0.71424007839459769</v>
      </c>
      <c r="F235" s="73">
        <f t="shared" ca="1" si="18"/>
        <v>0.12913768480349638</v>
      </c>
      <c r="G235" s="73">
        <f t="shared" ca="1" si="19"/>
        <v>3.7826544076410597E-2</v>
      </c>
      <c r="H235" s="73">
        <f t="shared" ca="1" si="20"/>
        <v>0.25464064114695956</v>
      </c>
      <c r="I235" s="57" cm="1">
        <f t="array" aca="1" ref="I235" ca="1">SUMPRODUCT('Forecast DCF'!$D$16:$M$16,1/(1+F235)^('Forecast DCF'!$D$6:$M$6-0.5))+(('Forecast DCF'!$M$7*H235*(1-Assumptions!$C$21)+'Forecast DCF'!$M$15)*(1+G235)/(F235-G235))/(1+F235)^('Forecast DCF'!$M$6-0.5)</f>
        <v>150588.80334588431</v>
      </c>
      <c r="K235" s="49">
        <f ca="1">(I235-Assumptions!$C$12)/Assumptions!$C$9</f>
        <v>228.5915979285389</v>
      </c>
    </row>
    <row r="236" spans="2:11" outlineLevel="1" x14ac:dyDescent="0.2">
      <c r="B236" s="69">
        <f t="shared" si="16"/>
        <v>207</v>
      </c>
      <c r="C236" s="72">
        <f t="shared" ca="1" si="17"/>
        <v>0.99904226661582052</v>
      </c>
      <c r="D236" s="72">
        <f t="shared" ca="1" si="17"/>
        <v>0.49554688857202833</v>
      </c>
      <c r="E236" s="72">
        <f t="shared" ca="1" si="17"/>
        <v>0.91519229165107652</v>
      </c>
      <c r="F236" s="73">
        <f t="shared" ca="1" si="18"/>
        <v>0.14434271651367658</v>
      </c>
      <c r="G236" s="73">
        <f t="shared" ca="1" si="19"/>
        <v>3.3621602709810065E-2</v>
      </c>
      <c r="H236" s="73">
        <f t="shared" ca="1" si="20"/>
        <v>0.27528936463560172</v>
      </c>
      <c r="I236" s="57" cm="1">
        <f t="array" aca="1" ref="I236" ca="1">SUMPRODUCT('Forecast DCF'!$D$16:$M$16,1/(1+F236)^('Forecast DCF'!$D$6:$M$6-0.5))+(('Forecast DCF'!$M$7*H236*(1-Assumptions!$C$21)+'Forecast DCF'!$M$15)*(1+G236)/(F236-G236))/(1+F236)^('Forecast DCF'!$M$6-0.5)</f>
        <v>116278.04286433564</v>
      </c>
      <c r="K236" s="49">
        <f ca="1">(I236-Assumptions!$C$12)/Assumptions!$C$9</f>
        <v>165.70189170593068</v>
      </c>
    </row>
    <row r="237" spans="2:11" outlineLevel="1" x14ac:dyDescent="0.2">
      <c r="B237" s="69">
        <f t="shared" si="16"/>
        <v>208</v>
      </c>
      <c r="C237" s="72">
        <f t="shared" ca="1" si="17"/>
        <v>0.92505684019014234</v>
      </c>
      <c r="D237" s="72">
        <f t="shared" ca="1" si="17"/>
        <v>5.038204138736746E-2</v>
      </c>
      <c r="E237" s="72">
        <f t="shared" ca="1" si="17"/>
        <v>0.48296851808822283</v>
      </c>
      <c r="F237" s="73">
        <f t="shared" ca="1" si="18"/>
        <v>0.13918571376381567</v>
      </c>
      <c r="G237" s="73">
        <f t="shared" ca="1" si="19"/>
        <v>2.7749055512008649E-2</v>
      </c>
      <c r="H237" s="73">
        <f t="shared" ca="1" si="20"/>
        <v>0.23896925750113532</v>
      </c>
      <c r="I237" s="57" cm="1">
        <f t="array" aca="1" ref="I237" ca="1">SUMPRODUCT('Forecast DCF'!$D$16:$M$16,1/(1+F237)^('Forecast DCF'!$D$6:$M$6-0.5))+(('Forecast DCF'!$M$7*H237*(1-Assumptions!$C$21)+'Forecast DCF'!$M$15)*(1+G237)/(F237-G237))/(1+F237)^('Forecast DCF'!$M$6-0.5)</f>
        <v>105897.45718270015</v>
      </c>
      <c r="K237" s="49">
        <f ca="1">(I237-Assumptions!$C$12)/Assumptions!$C$9</f>
        <v>146.67485835621105</v>
      </c>
    </row>
    <row r="238" spans="2:11" outlineLevel="1" x14ac:dyDescent="0.2">
      <c r="B238" s="69">
        <f t="shared" si="16"/>
        <v>209</v>
      </c>
      <c r="C238" s="72">
        <f t="shared" ca="1" si="17"/>
        <v>0.79772934599090295</v>
      </c>
      <c r="D238" s="72">
        <f t="shared" ca="1" si="17"/>
        <v>0.8369712469803704</v>
      </c>
      <c r="E238" s="72">
        <f t="shared" ca="1" si="17"/>
        <v>0.87316816963377542</v>
      </c>
      <c r="F238" s="73">
        <f t="shared" ca="1" si="18"/>
        <v>0.13544794427390289</v>
      </c>
      <c r="G238" s="73">
        <f t="shared" ca="1" si="19"/>
        <v>3.6503264883284377E-2</v>
      </c>
      <c r="H238" s="73">
        <f t="shared" ca="1" si="20"/>
        <v>0.26978097985313193</v>
      </c>
      <c r="I238" s="57" cm="1">
        <f t="array" aca="1" ref="I238" ca="1">SUMPRODUCT('Forecast DCF'!$D$16:$M$16,1/(1+F238)^('Forecast DCF'!$D$6:$M$6-0.5))+(('Forecast DCF'!$M$7*H238*(1-Assumptions!$C$21)+'Forecast DCF'!$M$15)*(1+G238)/(F238-G238))/(1+F238)^('Forecast DCF'!$M$6-0.5)</f>
        <v>138646.26238771452</v>
      </c>
      <c r="K238" s="49">
        <f ca="1">(I238-Assumptions!$C$12)/Assumptions!$C$9</f>
        <v>206.70158785969582</v>
      </c>
    </row>
    <row r="239" spans="2:11" outlineLevel="1" x14ac:dyDescent="0.2">
      <c r="B239" s="69">
        <f t="shared" si="16"/>
        <v>210</v>
      </c>
      <c r="C239" s="72">
        <f t="shared" ca="1" si="17"/>
        <v>0.67940396086907939</v>
      </c>
      <c r="D239" s="72">
        <f t="shared" ca="1" si="17"/>
        <v>2.5321202477653681E-2</v>
      </c>
      <c r="E239" s="72">
        <f t="shared" ca="1" si="17"/>
        <v>0.52827404169926662</v>
      </c>
      <c r="F239" s="73">
        <f t="shared" ca="1" si="18"/>
        <v>0.13297432439928208</v>
      </c>
      <c r="G239" s="73">
        <f t="shared" ca="1" si="19"/>
        <v>2.6948892088251183E-2</v>
      </c>
      <c r="H239" s="73">
        <f t="shared" ca="1" si="20"/>
        <v>0.24172112818726429</v>
      </c>
      <c r="I239" s="57" cm="1">
        <f t="array" aca="1" ref="I239" ca="1">SUMPRODUCT('Forecast DCF'!$D$16:$M$16,1/(1+F239)^('Forecast DCF'!$D$6:$M$6-0.5))+(('Forecast DCF'!$M$7*H239*(1-Assumptions!$C$21)+'Forecast DCF'!$M$15)*(1+G239)/(F239-G239))/(1+F239)^('Forecast DCF'!$M$6-0.5)</f>
        <v>119143.4052242485</v>
      </c>
      <c r="K239" s="49">
        <f ca="1">(I239-Assumptions!$C$12)/Assumptions!$C$9</f>
        <v>170.95394075722311</v>
      </c>
    </row>
    <row r="240" spans="2:11" outlineLevel="1" x14ac:dyDescent="0.2">
      <c r="B240" s="69">
        <f t="shared" si="16"/>
        <v>211</v>
      </c>
      <c r="C240" s="72">
        <f t="shared" ca="1" si="17"/>
        <v>0.35710893428532131</v>
      </c>
      <c r="D240" s="72">
        <f t="shared" ca="1" si="17"/>
        <v>0.90845566826776181</v>
      </c>
      <c r="E240" s="72">
        <f t="shared" ca="1" si="17"/>
        <v>0.8256553692201164</v>
      </c>
      <c r="F240" s="73">
        <f t="shared" ca="1" si="18"/>
        <v>0.12766138443124725</v>
      </c>
      <c r="G240" s="73">
        <f t="shared" ca="1" si="19"/>
        <v>3.7379728090461251E-2</v>
      </c>
      <c r="H240" s="73">
        <f t="shared" ca="1" si="20"/>
        <v>0.26457005021715158</v>
      </c>
      <c r="I240" s="57" cm="1">
        <f t="array" aca="1" ref="I240" ca="1">SUMPRODUCT('Forecast DCF'!$D$16:$M$16,1/(1+F240)^('Forecast DCF'!$D$6:$M$6-0.5))+(('Forecast DCF'!$M$7*H240*(1-Assumptions!$C$21)+'Forecast DCF'!$M$15)*(1+G240)/(F240-G240))/(1+F240)^('Forecast DCF'!$M$6-0.5)</f>
        <v>159942.02472387426</v>
      </c>
      <c r="K240" s="49">
        <f ca="1">(I240-Assumptions!$C$12)/Assumptions!$C$9</f>
        <v>245.73552993241083</v>
      </c>
    </row>
    <row r="241" spans="2:11" outlineLevel="1" x14ac:dyDescent="0.2">
      <c r="B241" s="69">
        <f t="shared" si="16"/>
        <v>212</v>
      </c>
      <c r="C241" s="72">
        <f t="shared" ca="1" si="17"/>
        <v>0.98888999206057848</v>
      </c>
      <c r="D241" s="72">
        <f t="shared" ca="1" si="17"/>
        <v>0.62637624373462519</v>
      </c>
      <c r="E241" s="72">
        <f t="shared" ca="1" si="17"/>
        <v>0.67182806651200444</v>
      </c>
      <c r="F241" s="73">
        <f t="shared" ca="1" si="18"/>
        <v>0.14276134281800743</v>
      </c>
      <c r="G241" s="73">
        <f t="shared" ca="1" si="19"/>
        <v>3.4693112841610474E-2</v>
      </c>
      <c r="H241" s="73">
        <f t="shared" ca="1" si="20"/>
        <v>0.25139096872891242</v>
      </c>
      <c r="I241" s="57" cm="1">
        <f t="array" aca="1" ref="I241" ca="1">SUMPRODUCT('Forecast DCF'!$D$16:$M$16,1/(1+F241)^('Forecast DCF'!$D$6:$M$6-0.5))+(('Forecast DCF'!$M$7*H241*(1-Assumptions!$C$21)+'Forecast DCF'!$M$15)*(1+G241)/(F241-G241))/(1+F241)^('Forecast DCF'!$M$6-0.5)</f>
        <v>110973.49079121949</v>
      </c>
      <c r="K241" s="49">
        <f ca="1">(I241-Assumptions!$C$12)/Assumptions!$C$9</f>
        <v>155.97894424458823</v>
      </c>
    </row>
    <row r="242" spans="2:11" outlineLevel="1" x14ac:dyDescent="0.2">
      <c r="B242" s="69">
        <f t="shared" si="16"/>
        <v>213</v>
      </c>
      <c r="C242" s="72">
        <f t="shared" ca="1" si="17"/>
        <v>7.9420213731712708E-2</v>
      </c>
      <c r="D242" s="72">
        <f t="shared" ca="1" si="17"/>
        <v>0.31928935627157029</v>
      </c>
      <c r="E242" s="72">
        <f t="shared" ca="1" si="17"/>
        <v>0.20386098310450562</v>
      </c>
      <c r="F242" s="73">
        <f t="shared" ca="1" si="18"/>
        <v>0.12097099026557817</v>
      </c>
      <c r="G242" s="73">
        <f t="shared" ca="1" si="19"/>
        <v>3.1920506010454409E-2</v>
      </c>
      <c r="H242" s="73">
        <f t="shared" ca="1" si="20"/>
        <v>0.21831186602545535</v>
      </c>
      <c r="I242" s="57" cm="1">
        <f t="array" aca="1" ref="I242" ca="1">SUMPRODUCT('Forecast DCF'!$D$16:$M$16,1/(1+F242)^('Forecast DCF'!$D$6:$M$6-0.5))+(('Forecast DCF'!$M$7*H242*(1-Assumptions!$C$21)+'Forecast DCF'!$M$15)*(1+G242)/(F242-G242))/(1+F242)^('Forecast DCF'!$M$6-0.5)</f>
        <v>143771.83015846522</v>
      </c>
      <c r="K242" s="49">
        <f ca="1">(I242-Assumptions!$C$12)/Assumptions!$C$9</f>
        <v>216.09646709881756</v>
      </c>
    </row>
    <row r="243" spans="2:11" outlineLevel="1" x14ac:dyDescent="0.2">
      <c r="B243" s="69">
        <f t="shared" si="16"/>
        <v>214</v>
      </c>
      <c r="C243" s="72">
        <f t="shared" ca="1" si="17"/>
        <v>0.84290935532460087</v>
      </c>
      <c r="D243" s="72">
        <f t="shared" ca="1" si="17"/>
        <v>0.20607111026748981</v>
      </c>
      <c r="E243" s="72">
        <f t="shared" ca="1" si="17"/>
        <v>0.62677954386000678</v>
      </c>
      <c r="F243" s="73">
        <f t="shared" ca="1" si="18"/>
        <v>0.13658206497841818</v>
      </c>
      <c r="G243" s="73">
        <f t="shared" ca="1" si="19"/>
        <v>3.0559736193392945E-2</v>
      </c>
      <c r="H243" s="73">
        <f t="shared" ca="1" si="20"/>
        <v>0.24816191280334554</v>
      </c>
      <c r="I243" s="57" cm="1">
        <f t="array" aca="1" ref="I243" ca="1">SUMPRODUCT('Forecast DCF'!$D$16:$M$16,1/(1+F243)^('Forecast DCF'!$D$6:$M$6-0.5))+(('Forecast DCF'!$M$7*H243*(1-Assumptions!$C$21)+'Forecast DCF'!$M$15)*(1+G243)/(F243-G243))/(1+F243)^('Forecast DCF'!$M$6-0.5)</f>
        <v>118208.58571242131</v>
      </c>
      <c r="K243" s="49">
        <f ca="1">(I243-Assumptions!$C$12)/Assumptions!$C$9</f>
        <v>169.24046884214883</v>
      </c>
    </row>
    <row r="244" spans="2:11" outlineLevel="1" x14ac:dyDescent="0.2">
      <c r="B244" s="69">
        <f t="shared" si="16"/>
        <v>215</v>
      </c>
      <c r="C244" s="72">
        <f t="shared" ca="1" si="17"/>
        <v>0.1345582622860545</v>
      </c>
      <c r="D244" s="72">
        <f t="shared" ca="1" si="17"/>
        <v>0.12139253793352667</v>
      </c>
      <c r="E244" s="72">
        <f t="shared" ca="1" si="17"/>
        <v>0.83611958006817533</v>
      </c>
      <c r="F244" s="73">
        <f t="shared" ca="1" si="18"/>
        <v>0.12277205781133965</v>
      </c>
      <c r="G244" s="73">
        <f t="shared" ca="1" si="19"/>
        <v>2.9267186507527999E-2</v>
      </c>
      <c r="H244" s="73">
        <f t="shared" ca="1" si="20"/>
        <v>0.26564975948396957</v>
      </c>
      <c r="I244" s="57" cm="1">
        <f t="array" aca="1" ref="I244" ca="1">SUMPRODUCT('Forecast DCF'!$D$16:$M$16,1/(1+F244)^('Forecast DCF'!$D$6:$M$6-0.5))+(('Forecast DCF'!$M$7*H244*(1-Assumptions!$C$21)+'Forecast DCF'!$M$15)*(1+G244)/(F244-G244))/(1+F244)^('Forecast DCF'!$M$6-0.5)</f>
        <v>161666.76928500659</v>
      </c>
      <c r="K244" s="49">
        <f ca="1">(I244-Assumptions!$C$12)/Assumptions!$C$9</f>
        <v>248.89689031137956</v>
      </c>
    </row>
    <row r="245" spans="2:11" outlineLevel="1" x14ac:dyDescent="0.2">
      <c r="B245" s="69">
        <f t="shared" si="16"/>
        <v>216</v>
      </c>
      <c r="C245" s="72">
        <f t="shared" ca="1" si="17"/>
        <v>0.221118843271773</v>
      </c>
      <c r="D245" s="72">
        <f t="shared" ca="1" si="17"/>
        <v>0.24475884849539287</v>
      </c>
      <c r="E245" s="72">
        <f t="shared" ca="1" si="17"/>
        <v>0.46106046585600591</v>
      </c>
      <c r="F245" s="73">
        <f t="shared" ca="1" si="18"/>
        <v>0.12496308221959763</v>
      </c>
      <c r="G245" s="73">
        <f t="shared" ca="1" si="19"/>
        <v>3.1059193615846001E-2</v>
      </c>
      <c r="H245" s="73">
        <f t="shared" ca="1" si="20"/>
        <v>0.23761627681621958</v>
      </c>
      <c r="I245" s="57" cm="1">
        <f t="array" aca="1" ref="I245" ca="1">SUMPRODUCT('Forecast DCF'!$D$16:$M$16,1/(1+F245)^('Forecast DCF'!$D$6:$M$6-0.5))+(('Forecast DCF'!$M$7*H245*(1-Assumptions!$C$21)+'Forecast DCF'!$M$15)*(1+G245)/(F245-G245))/(1+F245)^('Forecast DCF'!$M$6-0.5)</f>
        <v>142360.31331850009</v>
      </c>
      <c r="K245" s="49">
        <f ca="1">(I245-Assumptions!$C$12)/Assumptions!$C$9</f>
        <v>213.50923562543156</v>
      </c>
    </row>
    <row r="246" spans="2:11" outlineLevel="1" x14ac:dyDescent="0.2">
      <c r="B246" s="69">
        <f t="shared" si="16"/>
        <v>217</v>
      </c>
      <c r="C246" s="72">
        <f t="shared" ca="1" si="17"/>
        <v>0.48589434533857745</v>
      </c>
      <c r="D246" s="72">
        <f t="shared" ca="1" si="17"/>
        <v>0.37912697350498559</v>
      </c>
      <c r="E246" s="72">
        <f t="shared" ca="1" si="17"/>
        <v>1.9501776748785948E-3</v>
      </c>
      <c r="F246" s="73">
        <f t="shared" ca="1" si="18"/>
        <v>0.12976902276391314</v>
      </c>
      <c r="G246" s="73">
        <f t="shared" ca="1" si="19"/>
        <v>3.2541156809518544E-2</v>
      </c>
      <c r="H246" s="73">
        <f t="shared" ca="1" si="20"/>
        <v>0.18374716949965247</v>
      </c>
      <c r="I246" s="57" cm="1">
        <f t="array" aca="1" ref="I246" ca="1">SUMPRODUCT('Forecast DCF'!$D$16:$M$16,1/(1+F246)^('Forecast DCF'!$D$6:$M$6-0.5))+(('Forecast DCF'!$M$7*H246*(1-Assumptions!$C$21)+'Forecast DCF'!$M$15)*(1+G246)/(F246-G246))/(1+F246)^('Forecast DCF'!$M$6-0.5)</f>
        <v>103933.99306198559</v>
      </c>
      <c r="K246" s="49">
        <f ca="1">(I246-Assumptions!$C$12)/Assumptions!$C$9</f>
        <v>143.07593836734122</v>
      </c>
    </row>
    <row r="247" spans="2:11" outlineLevel="1" x14ac:dyDescent="0.2">
      <c r="B247" s="69">
        <f t="shared" si="16"/>
        <v>218</v>
      </c>
      <c r="C247" s="72">
        <f t="shared" ca="1" si="17"/>
        <v>0.78035416569839833</v>
      </c>
      <c r="D247" s="72">
        <f t="shared" ca="1" si="17"/>
        <v>0.73845686802284016</v>
      </c>
      <c r="E247" s="72">
        <f t="shared" ca="1" si="17"/>
        <v>0.70071581576554487</v>
      </c>
      <c r="F247" s="73">
        <f t="shared" ca="1" si="18"/>
        <v>0.13504613162332235</v>
      </c>
      <c r="G247" s="73">
        <f t="shared" ca="1" si="19"/>
        <v>3.5571034556661454E-2</v>
      </c>
      <c r="H247" s="73">
        <f t="shared" ca="1" si="20"/>
        <v>0.2535796798105821</v>
      </c>
      <c r="I247" s="57" cm="1">
        <f t="array" aca="1" ref="I247" ca="1">SUMPRODUCT('Forecast DCF'!$D$16:$M$16,1/(1+F247)^('Forecast DCF'!$D$6:$M$6-0.5))+(('Forecast DCF'!$M$7*H247*(1-Assumptions!$C$21)+'Forecast DCF'!$M$15)*(1+G247)/(F247-G247))/(1+F247)^('Forecast DCF'!$M$6-0.5)</f>
        <v>130532.40476204615</v>
      </c>
      <c r="K247" s="49">
        <f ca="1">(I247-Assumptions!$C$12)/Assumptions!$C$9</f>
        <v>191.8293403417556</v>
      </c>
    </row>
    <row r="248" spans="2:11" outlineLevel="1" x14ac:dyDescent="0.2">
      <c r="B248" s="69">
        <f t="shared" si="16"/>
        <v>219</v>
      </c>
      <c r="C248" s="72">
        <f t="shared" ca="1" si="17"/>
        <v>0.70121249744340541</v>
      </c>
      <c r="D248" s="72">
        <f t="shared" ca="1" si="17"/>
        <v>0.44907407115334419</v>
      </c>
      <c r="E248" s="72">
        <f t="shared" ca="1" si="17"/>
        <v>0.25551810324688362</v>
      </c>
      <c r="F248" s="73">
        <f t="shared" ca="1" si="18"/>
        <v>0.13339055062125757</v>
      </c>
      <c r="G248" s="73">
        <f t="shared" ca="1" si="19"/>
        <v>3.3207381474806785E-2</v>
      </c>
      <c r="H248" s="73">
        <f t="shared" ca="1" si="20"/>
        <v>0.22289207786267251</v>
      </c>
      <c r="I248" s="57" cm="1">
        <f t="array" aca="1" ref="I248" ca="1">SUMPRODUCT('Forecast DCF'!$D$16:$M$16,1/(1+F248)^('Forecast DCF'!$D$6:$M$6-0.5))+(('Forecast DCF'!$M$7*H248*(1-Assumptions!$C$21)+'Forecast DCF'!$M$15)*(1+G248)/(F248-G248))/(1+F248)^('Forecast DCF'!$M$6-0.5)</f>
        <v>116583.93795284463</v>
      </c>
      <c r="K248" s="49">
        <f ca="1">(I248-Assumptions!$C$12)/Assumptions!$C$9</f>
        <v>166.26258030569559</v>
      </c>
    </row>
    <row r="249" spans="2:11" outlineLevel="1" x14ac:dyDescent="0.2">
      <c r="B249" s="69">
        <f t="shared" si="16"/>
        <v>220</v>
      </c>
      <c r="C249" s="72">
        <f t="shared" ca="1" si="17"/>
        <v>0.41333767840676428</v>
      </c>
      <c r="D249" s="72">
        <f t="shared" ca="1" si="17"/>
        <v>0.80322219409076712</v>
      </c>
      <c r="E249" s="72">
        <f t="shared" ca="1" si="17"/>
        <v>0.67623127807837979</v>
      </c>
      <c r="F249" s="73">
        <f t="shared" ca="1" si="18"/>
        <v>0.12862176348473495</v>
      </c>
      <c r="G249" s="73">
        <f t="shared" ca="1" si="19"/>
        <v>3.6158342097063763E-2</v>
      </c>
      <c r="H249" s="73">
        <f t="shared" ca="1" si="20"/>
        <v>0.25171817321356132</v>
      </c>
      <c r="I249" s="57" cm="1">
        <f t="array" aca="1" ref="I249" ca="1">SUMPRODUCT('Forecast DCF'!$D$16:$M$16,1/(1+F249)^('Forecast DCF'!$D$6:$M$6-0.5))+(('Forecast DCF'!$M$7*H249*(1-Assumptions!$C$21)+'Forecast DCF'!$M$15)*(1+G249)/(F249-G249))/(1+F249)^('Forecast DCF'!$M$6-0.5)</f>
        <v>147752.03185149803</v>
      </c>
      <c r="K249" s="49">
        <f ca="1">(I249-Assumptions!$C$12)/Assumptions!$C$9</f>
        <v>223.39195433572019</v>
      </c>
    </row>
    <row r="250" spans="2:11" outlineLevel="1" x14ac:dyDescent="0.2">
      <c r="B250" s="69">
        <f t="shared" si="16"/>
        <v>221</v>
      </c>
      <c r="C250" s="72">
        <f t="shared" ca="1" si="17"/>
        <v>0.87689355773394717</v>
      </c>
      <c r="D250" s="72">
        <f t="shared" ca="1" si="17"/>
        <v>0.31830454102539696</v>
      </c>
      <c r="E250" s="72">
        <f t="shared" ca="1" si="17"/>
        <v>1.5788801166761735E-3</v>
      </c>
      <c r="F250" s="73">
        <f t="shared" ca="1" si="18"/>
        <v>0.13754803513891228</v>
      </c>
      <c r="G250" s="73">
        <f t="shared" ca="1" si="19"/>
        <v>3.1909824972733355E-2</v>
      </c>
      <c r="H250" s="73">
        <f t="shared" ca="1" si="20"/>
        <v>0.18337163711571522</v>
      </c>
      <c r="I250" s="57" cm="1">
        <f t="array" aca="1" ref="I250" ca="1">SUMPRODUCT('Forecast DCF'!$D$16:$M$16,1/(1+F250)^('Forecast DCF'!$D$6:$M$6-0.5))+(('Forecast DCF'!$M$7*H250*(1-Assumptions!$C$21)+'Forecast DCF'!$M$15)*(1+G250)/(F250-G250))/(1+F250)^('Forecast DCF'!$M$6-0.5)</f>
        <v>88807.247262370642</v>
      </c>
      <c r="K250" s="49">
        <f ca="1">(I250-Assumptions!$C$12)/Assumptions!$C$9</f>
        <v>115.34945879970098</v>
      </c>
    </row>
    <row r="251" spans="2:11" outlineLevel="1" x14ac:dyDescent="0.2">
      <c r="B251" s="69">
        <f t="shared" si="16"/>
        <v>222</v>
      </c>
      <c r="C251" s="72">
        <f t="shared" ca="1" si="17"/>
        <v>0.57046665942727248</v>
      </c>
      <c r="D251" s="72">
        <f t="shared" ca="1" si="17"/>
        <v>0.295172321406583</v>
      </c>
      <c r="E251" s="72">
        <f t="shared" ca="1" si="17"/>
        <v>0.72480541352519301</v>
      </c>
      <c r="F251" s="73">
        <f t="shared" ca="1" si="18"/>
        <v>0.13108033293192714</v>
      </c>
      <c r="G251" s="73">
        <f t="shared" ca="1" si="19"/>
        <v>3.1654009934692577E-2</v>
      </c>
      <c r="H251" s="73">
        <f t="shared" ca="1" si="20"/>
        <v>0.25548706904034951</v>
      </c>
      <c r="I251" s="57" cm="1">
        <f t="array" aca="1" ref="I251" ca="1">SUMPRODUCT('Forecast DCF'!$D$16:$M$16,1/(1+F251)^('Forecast DCF'!$D$6:$M$6-0.5))+(('Forecast DCF'!$M$7*H251*(1-Assumptions!$C$21)+'Forecast DCF'!$M$15)*(1+G251)/(F251-G251))/(1+F251)^('Forecast DCF'!$M$6-0.5)</f>
        <v>136210.87202503768</v>
      </c>
      <c r="K251" s="49">
        <f ca="1">(I251-Assumptions!$C$12)/Assumptions!$C$9</f>
        <v>202.23765344680271</v>
      </c>
    </row>
    <row r="252" spans="2:11" outlineLevel="1" x14ac:dyDescent="0.2">
      <c r="B252" s="69">
        <f t="shared" si="16"/>
        <v>223</v>
      </c>
      <c r="C252" s="72">
        <f t="shared" ca="1" si="17"/>
        <v>0.78937966225004164</v>
      </c>
      <c r="D252" s="72">
        <f t="shared" ca="1" si="17"/>
        <v>0.11645192930436565</v>
      </c>
      <c r="E252" s="72">
        <f t="shared" ca="1" si="17"/>
        <v>8.5158192273725231E-2</v>
      </c>
      <c r="F252" s="73">
        <f t="shared" ca="1" si="18"/>
        <v>0.13525278466620205</v>
      </c>
      <c r="G252" s="73">
        <f t="shared" ca="1" si="19"/>
        <v>2.9179448455915549E-2</v>
      </c>
      <c r="H252" s="73">
        <f t="shared" ca="1" si="20"/>
        <v>0.20476164341013781</v>
      </c>
      <c r="I252" s="57" cm="1">
        <f t="array" aca="1" ref="I252" ca="1">SUMPRODUCT('Forecast DCF'!$D$16:$M$16,1/(1+F252)^('Forecast DCF'!$D$6:$M$6-0.5))+(('Forecast DCF'!$M$7*H252*(1-Assumptions!$C$21)+'Forecast DCF'!$M$15)*(1+G252)/(F252-G252))/(1+F252)^('Forecast DCF'!$M$6-0.5)</f>
        <v>100024.72614953737</v>
      </c>
      <c r="K252" s="49">
        <f ca="1">(I252-Assumptions!$C$12)/Assumptions!$C$9</f>
        <v>135.91047061847439</v>
      </c>
    </row>
    <row r="253" spans="2:11" outlineLevel="1" x14ac:dyDescent="0.2">
      <c r="B253" s="69">
        <f t="shared" si="16"/>
        <v>224</v>
      </c>
      <c r="C253" s="72">
        <f t="shared" ca="1" si="17"/>
        <v>0.33390471876262451</v>
      </c>
      <c r="D253" s="72">
        <f t="shared" ca="1" si="17"/>
        <v>0.38694865025863889</v>
      </c>
      <c r="E253" s="72">
        <f t="shared" ca="1" si="17"/>
        <v>0.96025442164080921</v>
      </c>
      <c r="F253" s="73">
        <f t="shared" ca="1" si="18"/>
        <v>0.12724312026745344</v>
      </c>
      <c r="G253" s="73">
        <f t="shared" ca="1" si="19"/>
        <v>3.2618549569228772E-2</v>
      </c>
      <c r="H253" s="73">
        <f t="shared" ca="1" si="20"/>
        <v>0.28308349432695468</v>
      </c>
      <c r="I253" s="57" cm="1">
        <f t="array" aca="1" ref="I253" ca="1">SUMPRODUCT('Forecast DCF'!$D$16:$M$16,1/(1+F253)^('Forecast DCF'!$D$6:$M$6-0.5))+(('Forecast DCF'!$M$7*H253*(1-Assumptions!$C$21)+'Forecast DCF'!$M$15)*(1+G253)/(F253-G253))/(1+F253)^('Forecast DCF'!$M$6-0.5)</f>
        <v>163086.10937603324</v>
      </c>
      <c r="K253" s="49">
        <f ca="1">(I253-Assumptions!$C$12)/Assumptions!$C$9</f>
        <v>251.49846136669436</v>
      </c>
    </row>
    <row r="254" spans="2:11" outlineLevel="1" x14ac:dyDescent="0.2">
      <c r="B254" s="69">
        <f t="shared" si="16"/>
        <v>225</v>
      </c>
      <c r="C254" s="72">
        <f t="shared" ca="1" si="17"/>
        <v>0.82957580814834475</v>
      </c>
      <c r="D254" s="72">
        <f t="shared" ca="1" si="17"/>
        <v>0.2662068225272346</v>
      </c>
      <c r="E254" s="72">
        <f t="shared" ca="1" si="17"/>
        <v>0.61359510482677326</v>
      </c>
      <c r="F254" s="73">
        <f t="shared" ca="1" si="18"/>
        <v>0.13623209108076409</v>
      </c>
      <c r="G254" s="73">
        <f t="shared" ca="1" si="19"/>
        <v>3.1319099886778591E-2</v>
      </c>
      <c r="H254" s="73">
        <f t="shared" ca="1" si="20"/>
        <v>0.24725423955191059</v>
      </c>
      <c r="I254" s="57" cm="1">
        <f t="array" aca="1" ref="I254" ca="1">SUMPRODUCT('Forecast DCF'!$D$16:$M$16,1/(1+F254)^('Forecast DCF'!$D$6:$M$6-0.5))+(('Forecast DCF'!$M$7*H254*(1-Assumptions!$C$21)+'Forecast DCF'!$M$15)*(1+G254)/(F254-G254))/(1+F254)^('Forecast DCF'!$M$6-0.5)</f>
        <v>119453.42577366336</v>
      </c>
      <c r="K254" s="49">
        <f ca="1">(I254-Assumptions!$C$12)/Assumptions!$C$9</f>
        <v>171.52219109624303</v>
      </c>
    </row>
    <row r="255" spans="2:11" outlineLevel="1" x14ac:dyDescent="0.2">
      <c r="B255" s="69">
        <f t="shared" si="16"/>
        <v>226</v>
      </c>
      <c r="C255" s="72">
        <f t="shared" ca="1" si="17"/>
        <v>0.53552934029752497</v>
      </c>
      <c r="D255" s="72">
        <f t="shared" ca="1" si="17"/>
        <v>0.58610986704086521</v>
      </c>
      <c r="E255" s="72">
        <f t="shared" ca="1" si="17"/>
        <v>5.3400364856757809E-2</v>
      </c>
      <c r="F255" s="73">
        <f t="shared" ca="1" si="18"/>
        <v>0.13052530069104584</v>
      </c>
      <c r="G255" s="73">
        <f t="shared" ca="1" si="19"/>
        <v>3.4376378834930346E-2</v>
      </c>
      <c r="H255" s="73">
        <f t="shared" ca="1" si="20"/>
        <v>0.19960822855254029</v>
      </c>
      <c r="I255" s="57" cm="1">
        <f t="array" aca="1" ref="I255" ca="1">SUMPRODUCT('Forecast DCF'!$D$16:$M$16,1/(1+F255)^('Forecast DCF'!$D$6:$M$6-0.5))+(('Forecast DCF'!$M$7*H255*(1-Assumptions!$C$21)+'Forecast DCF'!$M$15)*(1+G255)/(F255-G255))/(1+F255)^('Forecast DCF'!$M$6-0.5)</f>
        <v>112591.63097248752</v>
      </c>
      <c r="K255" s="49">
        <f ca="1">(I255-Assumptions!$C$12)/Assumptions!$C$9</f>
        <v>158.94490475373144</v>
      </c>
    </row>
    <row r="256" spans="2:11" outlineLevel="1" x14ac:dyDescent="0.2">
      <c r="B256" s="69">
        <f t="shared" si="16"/>
        <v>227</v>
      </c>
      <c r="C256" s="72">
        <f t="shared" ca="1" si="17"/>
        <v>0.91426747365880578</v>
      </c>
      <c r="D256" s="72">
        <f t="shared" ca="1" si="17"/>
        <v>0.50456895996352424</v>
      </c>
      <c r="E256" s="72">
        <f t="shared" ca="1" si="17"/>
        <v>0.88726144238272953</v>
      </c>
      <c r="F256" s="73">
        <f t="shared" ca="1" si="18"/>
        <v>0.13878124827029195</v>
      </c>
      <c r="G256" s="73">
        <f t="shared" ca="1" si="19"/>
        <v>3.3699732409363442E-2</v>
      </c>
      <c r="H256" s="73">
        <f t="shared" ca="1" si="20"/>
        <v>0.27150934162143059</v>
      </c>
      <c r="I256" s="57" cm="1">
        <f t="array" aca="1" ref="I256" ca="1">SUMPRODUCT('Forecast DCF'!$D$16:$M$16,1/(1+F256)^('Forecast DCF'!$D$6:$M$6-0.5))+(('Forecast DCF'!$M$7*H256*(1-Assumptions!$C$21)+'Forecast DCF'!$M$15)*(1+G256)/(F256-G256))/(1+F256)^('Forecast DCF'!$M$6-0.5)</f>
        <v>127311.22778185405</v>
      </c>
      <c r="K256" s="49">
        <f ca="1">(I256-Assumptions!$C$12)/Assumptions!$C$9</f>
        <v>185.92510297912847</v>
      </c>
    </row>
    <row r="257" spans="2:11" outlineLevel="1" x14ac:dyDescent="0.2">
      <c r="B257" s="69">
        <f t="shared" si="16"/>
        <v>228</v>
      </c>
      <c r="C257" s="72">
        <f t="shared" ca="1" si="17"/>
        <v>8.6023091610636482E-2</v>
      </c>
      <c r="D257" s="72">
        <f t="shared" ca="1" si="17"/>
        <v>0.64056222068770563</v>
      </c>
      <c r="E257" s="72">
        <f t="shared" ca="1" si="17"/>
        <v>0.84152153315677392</v>
      </c>
      <c r="F257" s="73">
        <f t="shared" ca="1" si="18"/>
        <v>0.12121424484597525</v>
      </c>
      <c r="G257" s="73">
        <f t="shared" ca="1" si="19"/>
        <v>3.4802261632049816E-2</v>
      </c>
      <c r="H257" s="73">
        <f t="shared" ca="1" si="20"/>
        <v>0.26622064297131709</v>
      </c>
      <c r="I257" s="57" cm="1">
        <f t="array" aca="1" ref="I257" ca="1">SUMPRODUCT('Forecast DCF'!$D$16:$M$16,1/(1+F257)^('Forecast DCF'!$D$6:$M$6-0.5))+(('Forecast DCF'!$M$7*H257*(1-Assumptions!$C$21)+'Forecast DCF'!$M$15)*(1+G257)/(F257-G257))/(1+F257)^('Forecast DCF'!$M$6-0.5)</f>
        <v>177773.67524537089</v>
      </c>
      <c r="K257" s="49">
        <f ca="1">(I257-Assumptions!$C$12)/Assumptions!$C$9</f>
        <v>278.41994866933192</v>
      </c>
    </row>
    <row r="258" spans="2:11" outlineLevel="1" x14ac:dyDescent="0.2">
      <c r="B258" s="69">
        <f t="shared" si="16"/>
        <v>229</v>
      </c>
      <c r="C258" s="72">
        <f t="shared" ca="1" si="17"/>
        <v>0.26601261073050675</v>
      </c>
      <c r="D258" s="72">
        <f t="shared" ca="1" si="17"/>
        <v>0.48463289779866014</v>
      </c>
      <c r="E258" s="72">
        <f t="shared" ca="1" si="17"/>
        <v>0.93291863335335323</v>
      </c>
      <c r="F258" s="73">
        <f t="shared" ca="1" si="18"/>
        <v>0.12592778017710898</v>
      </c>
      <c r="G258" s="73">
        <f t="shared" ca="1" si="19"/>
        <v>3.3526132456735531E-2</v>
      </c>
      <c r="H258" s="73">
        <f t="shared" ca="1" si="20"/>
        <v>0.27802306118095932</v>
      </c>
      <c r="I258" s="57" cm="1">
        <f t="array" aca="1" ref="I258" ca="1">SUMPRODUCT('Forecast DCF'!$D$16:$M$16,1/(1+F258)^('Forecast DCF'!$D$6:$M$6-0.5))+(('Forecast DCF'!$M$7*H258*(1-Assumptions!$C$21)+'Forecast DCF'!$M$15)*(1+G258)/(F258-G258))/(1+F258)^('Forecast DCF'!$M$6-0.5)</f>
        <v>166144.1514116227</v>
      </c>
      <c r="K258" s="49">
        <f ca="1">(I258-Assumptions!$C$12)/Assumptions!$C$9</f>
        <v>257.10368149400784</v>
      </c>
    </row>
    <row r="259" spans="2:11" outlineLevel="1" x14ac:dyDescent="0.2">
      <c r="B259" s="69">
        <f t="shared" si="16"/>
        <v>230</v>
      </c>
      <c r="C259" s="72">
        <f t="shared" ca="1" si="17"/>
        <v>0.92339956024716752</v>
      </c>
      <c r="D259" s="72">
        <f t="shared" ca="1" si="17"/>
        <v>0.50274471720547831</v>
      </c>
      <c r="E259" s="72">
        <f t="shared" ca="1" si="17"/>
        <v>0.31814480508968013</v>
      </c>
      <c r="F259" s="73">
        <f t="shared" ca="1" si="18"/>
        <v>0.13912177724621205</v>
      </c>
      <c r="G259" s="73">
        <f t="shared" ca="1" si="19"/>
        <v>3.3683991454442008E-2</v>
      </c>
      <c r="H259" s="73">
        <f t="shared" ca="1" si="20"/>
        <v>0.22786065813009362</v>
      </c>
      <c r="I259" s="57" cm="1">
        <f t="array" aca="1" ref="I259" ca="1">SUMPRODUCT('Forecast DCF'!$D$16:$M$16,1/(1+F259)^('Forecast DCF'!$D$6:$M$6-0.5))+(('Forecast DCF'!$M$7*H259*(1-Assumptions!$C$21)+'Forecast DCF'!$M$15)*(1+G259)/(F259-G259))/(1+F259)^('Forecast DCF'!$M$6-0.5)</f>
        <v>107254.9573800801</v>
      </c>
      <c r="K259" s="49">
        <f ca="1">(I259-Assumptions!$C$12)/Assumptions!$C$9</f>
        <v>149.16308034290435</v>
      </c>
    </row>
    <row r="260" spans="2:11" outlineLevel="1" x14ac:dyDescent="0.2">
      <c r="B260" s="69">
        <f t="shared" si="16"/>
        <v>231</v>
      </c>
      <c r="C260" s="72">
        <f t="shared" ca="1" si="17"/>
        <v>0.60021132394460397</v>
      </c>
      <c r="D260" s="72">
        <f t="shared" ca="1" si="17"/>
        <v>0.54957410905960602</v>
      </c>
      <c r="E260" s="72">
        <f t="shared" ca="1" si="17"/>
        <v>0.82976506796112348</v>
      </c>
      <c r="F260" s="73">
        <f t="shared" ca="1" si="18"/>
        <v>0.13157093881903853</v>
      </c>
      <c r="G260" s="73">
        <f t="shared" ca="1" si="19"/>
        <v>3.4079433702546708E-2</v>
      </c>
      <c r="H260" s="73">
        <f t="shared" ca="1" si="20"/>
        <v>0.26499012266973915</v>
      </c>
      <c r="I260" s="57" cm="1">
        <f t="array" aca="1" ref="I260" ca="1">SUMPRODUCT('Forecast DCF'!$D$16:$M$16,1/(1+F260)^('Forecast DCF'!$D$6:$M$6-0.5))+(('Forecast DCF'!$M$7*H260*(1-Assumptions!$C$21)+'Forecast DCF'!$M$15)*(1+G260)/(F260-G260))/(1+F260)^('Forecast DCF'!$M$6-0.5)</f>
        <v>143186.43716245418</v>
      </c>
      <c r="K260" s="49">
        <f ca="1">(I260-Assumptions!$C$12)/Assumptions!$C$9</f>
        <v>215.02347445664907</v>
      </c>
    </row>
    <row r="261" spans="2:11" outlineLevel="1" x14ac:dyDescent="0.2">
      <c r="B261" s="69">
        <f t="shared" si="16"/>
        <v>232</v>
      </c>
      <c r="C261" s="72">
        <f t="shared" ca="1" si="17"/>
        <v>6.6426506630568483E-2</v>
      </c>
      <c r="D261" s="72">
        <f t="shared" ca="1" si="17"/>
        <v>5.0962039694541383E-2</v>
      </c>
      <c r="E261" s="72">
        <f t="shared" ca="1" si="17"/>
        <v>0.44057661083832955</v>
      </c>
      <c r="F261" s="73">
        <f t="shared" ca="1" si="18"/>
        <v>0.1204607405661537</v>
      </c>
      <c r="G261" s="73">
        <f t="shared" ca="1" si="19"/>
        <v>2.7764833802271162E-2</v>
      </c>
      <c r="H261" s="73">
        <f t="shared" ca="1" si="20"/>
        <v>0.23632185719626059</v>
      </c>
      <c r="I261" s="57" cm="1">
        <f t="array" aca="1" ref="I261" ca="1">SUMPRODUCT('Forecast DCF'!$D$16:$M$16,1/(1+F261)^('Forecast DCF'!$D$6:$M$6-0.5))+(('Forecast DCF'!$M$7*H261*(1-Assumptions!$C$21)+'Forecast DCF'!$M$15)*(1+G261)/(F261-G261))/(1+F261)^('Forecast DCF'!$M$6-0.5)</f>
        <v>149297.1356290956</v>
      </c>
      <c r="K261" s="49">
        <f ca="1">(I261-Assumptions!$C$12)/Assumptions!$C$9</f>
        <v>226.22404319917771</v>
      </c>
    </row>
    <row r="262" spans="2:11" outlineLevel="1" x14ac:dyDescent="0.2">
      <c r="B262" s="69">
        <f t="shared" si="16"/>
        <v>233</v>
      </c>
      <c r="C262" s="72">
        <f t="shared" ca="1" si="17"/>
        <v>0.54792328172743032</v>
      </c>
      <c r="D262" s="72">
        <f t="shared" ca="1" si="17"/>
        <v>0.26427539768737007</v>
      </c>
      <c r="E262" s="72">
        <f t="shared" ca="1" si="17"/>
        <v>0.13427620166173482</v>
      </c>
      <c r="F262" s="73">
        <f t="shared" ca="1" si="18"/>
        <v>0.13071972802337728</v>
      </c>
      <c r="G262" s="73">
        <f t="shared" ca="1" si="19"/>
        <v>3.1296134500874762E-2</v>
      </c>
      <c r="H262" s="73">
        <f t="shared" ca="1" si="20"/>
        <v>0.2110932251779144</v>
      </c>
      <c r="I262" s="57" cm="1">
        <f t="array" aca="1" ref="I262" ca="1">SUMPRODUCT('Forecast DCF'!$D$16:$M$16,1/(1+F262)^('Forecast DCF'!$D$6:$M$6-0.5))+(('Forecast DCF'!$M$7*H262*(1-Assumptions!$C$21)+'Forecast DCF'!$M$15)*(1+G262)/(F262-G262))/(1+F262)^('Forecast DCF'!$M$6-0.5)</f>
        <v>114447.9457862351</v>
      </c>
      <c r="K262" s="49">
        <f ca="1">(I262-Assumptions!$C$12)/Assumptions!$C$9</f>
        <v>162.34742605185428</v>
      </c>
    </row>
    <row r="263" spans="2:11" outlineLevel="1" x14ac:dyDescent="0.2">
      <c r="B263" s="69">
        <f t="shared" si="16"/>
        <v>234</v>
      </c>
      <c r="C263" s="72">
        <f t="shared" ca="1" si="17"/>
        <v>0.97974852801440393</v>
      </c>
      <c r="D263" s="72">
        <f t="shared" ca="1" si="17"/>
        <v>0.51656049279361704</v>
      </c>
      <c r="E263" s="72">
        <f t="shared" ca="1" si="17"/>
        <v>0.19266514377805388</v>
      </c>
      <c r="F263" s="73">
        <f t="shared" ca="1" si="18"/>
        <v>0.14197755291769831</v>
      </c>
      <c r="G263" s="73">
        <f t="shared" ca="1" si="19"/>
        <v>3.3802503843739153E-2</v>
      </c>
      <c r="H263" s="73">
        <f t="shared" ca="1" si="20"/>
        <v>0.21724498671233469</v>
      </c>
      <c r="I263" s="57" cm="1">
        <f t="array" aca="1" ref="I263" ca="1">SUMPRODUCT('Forecast DCF'!$D$16:$M$16,1/(1+F263)^('Forecast DCF'!$D$6:$M$6-0.5))+(('Forecast DCF'!$M$7*H263*(1-Assumptions!$C$21)+'Forecast DCF'!$M$15)*(1+G263)/(F263-G263))/(1+F263)^('Forecast DCF'!$M$6-0.5)</f>
        <v>97327.595004723102</v>
      </c>
      <c r="K263" s="49">
        <f ca="1">(I263-Assumptions!$C$12)/Assumptions!$C$9</f>
        <v>130.96677998146757</v>
      </c>
    </row>
    <row r="264" spans="2:11" outlineLevel="1" x14ac:dyDescent="0.2">
      <c r="B264" s="69">
        <f t="shared" si="16"/>
        <v>235</v>
      </c>
      <c r="C264" s="72">
        <f t="shared" ca="1" si="17"/>
        <v>0.60542429650535468</v>
      </c>
      <c r="D264" s="72">
        <f t="shared" ca="1" si="17"/>
        <v>0.55761900411359078</v>
      </c>
      <c r="E264" s="72">
        <f t="shared" ca="1" si="17"/>
        <v>0.19111737099020543</v>
      </c>
      <c r="F264" s="73">
        <f t="shared" ca="1" si="18"/>
        <v>0.13165877901710907</v>
      </c>
      <c r="G264" s="73">
        <f t="shared" ca="1" si="19"/>
        <v>3.4145646539039141E-2</v>
      </c>
      <c r="H264" s="73">
        <f t="shared" ca="1" si="20"/>
        <v>0.21709508149511844</v>
      </c>
      <c r="I264" s="57" cm="1">
        <f t="array" aca="1" ref="I264" ca="1">SUMPRODUCT('Forecast DCF'!$D$16:$M$16,1/(1+F264)^('Forecast DCF'!$D$6:$M$6-0.5))+(('Forecast DCF'!$M$7*H264*(1-Assumptions!$C$21)+'Forecast DCF'!$M$15)*(1+G264)/(F264-G264))/(1+F264)^('Forecast DCF'!$M$6-0.5)</f>
        <v>118747.72734136568</v>
      </c>
      <c r="K264" s="49">
        <f ca="1">(I264-Assumptions!$C$12)/Assumptions!$C$9</f>
        <v>170.22868531362354</v>
      </c>
    </row>
    <row r="265" spans="2:11" outlineLevel="1" x14ac:dyDescent="0.2">
      <c r="B265" s="69">
        <f t="shared" si="16"/>
        <v>236</v>
      </c>
      <c r="C265" s="72">
        <f t="shared" ca="1" si="17"/>
        <v>0.49586644405505498</v>
      </c>
      <c r="D265" s="72">
        <f t="shared" ca="1" si="17"/>
        <v>0.42346966701164401</v>
      </c>
      <c r="E265" s="72">
        <f t="shared" ca="1" si="17"/>
        <v>0.24014903720936576</v>
      </c>
      <c r="F265" s="73">
        <f t="shared" ca="1" si="18"/>
        <v>0.12991980673205261</v>
      </c>
      <c r="G265" s="73">
        <f t="shared" ca="1" si="19"/>
        <v>3.2969971772330603E-2</v>
      </c>
      <c r="H265" s="73">
        <f t="shared" ca="1" si="20"/>
        <v>0.22158212437944258</v>
      </c>
      <c r="I265" s="57" cm="1">
        <f t="array" aca="1" ref="I265" ca="1">SUMPRODUCT('Forecast DCF'!$D$16:$M$16,1/(1+F265)^('Forecast DCF'!$D$6:$M$6-0.5))+(('Forecast DCF'!$M$7*H265*(1-Assumptions!$C$21)+'Forecast DCF'!$M$15)*(1+G265)/(F265-G265))/(1+F265)^('Forecast DCF'!$M$6-0.5)</f>
        <v>123648.80095793463</v>
      </c>
      <c r="K265" s="49">
        <f ca="1">(I265-Assumptions!$C$12)/Assumptions!$C$9</f>
        <v>179.21207931583902</v>
      </c>
    </row>
    <row r="266" spans="2:11" outlineLevel="1" x14ac:dyDescent="0.2">
      <c r="B266" s="69">
        <f t="shared" si="16"/>
        <v>237</v>
      </c>
      <c r="C266" s="72">
        <f t="shared" ca="1" si="17"/>
        <v>0.96745895237911528</v>
      </c>
      <c r="D266" s="72">
        <f t="shared" ca="1" si="17"/>
        <v>0.4827098936161458</v>
      </c>
      <c r="E266" s="72">
        <f t="shared" ca="1" si="17"/>
        <v>0.92237687375184207</v>
      </c>
      <c r="F266" s="73">
        <f t="shared" ca="1" si="18"/>
        <v>0.14116869987919231</v>
      </c>
      <c r="G266" s="73">
        <f t="shared" ca="1" si="19"/>
        <v>3.3509199964886355E-2</v>
      </c>
      <c r="H266" s="73">
        <f t="shared" ca="1" si="20"/>
        <v>0.27635921936596136</v>
      </c>
      <c r="I266" s="57" cm="1">
        <f t="array" aca="1" ref="I266" ca="1">SUMPRODUCT('Forecast DCF'!$D$16:$M$16,1/(1+F266)^('Forecast DCF'!$D$6:$M$6-0.5))+(('Forecast DCF'!$M$7*H266*(1-Assumptions!$C$21)+'Forecast DCF'!$M$15)*(1+G266)/(F266-G266))/(1+F266)^('Forecast DCF'!$M$6-0.5)</f>
        <v>123610.1847712046</v>
      </c>
      <c r="K266" s="49">
        <f ca="1">(I266-Assumptions!$C$12)/Assumptions!$C$9</f>
        <v>179.14129800394724</v>
      </c>
    </row>
    <row r="267" spans="2:11" outlineLevel="1" x14ac:dyDescent="0.2">
      <c r="B267" s="69">
        <f t="shared" si="16"/>
        <v>238</v>
      </c>
      <c r="C267" s="72">
        <f t="shared" ca="1" si="17"/>
        <v>0.44244055505919511</v>
      </c>
      <c r="D267" s="72">
        <f t="shared" ca="1" si="17"/>
        <v>0.62912009204955988</v>
      </c>
      <c r="E267" s="72">
        <f t="shared" ca="1" si="17"/>
        <v>0.11865062183794872</v>
      </c>
      <c r="F267" s="73">
        <f t="shared" ca="1" si="18"/>
        <v>0.12909315737641811</v>
      </c>
      <c r="G267" s="73">
        <f t="shared" ca="1" si="19"/>
        <v>3.4714320038347207E-2</v>
      </c>
      <c r="H267" s="73">
        <f t="shared" ca="1" si="20"/>
        <v>0.20922814529239292</v>
      </c>
      <c r="I267" s="57" cm="1">
        <f t="array" aca="1" ref="I267" ca="1">SUMPRODUCT('Forecast DCF'!$D$16:$M$16,1/(1+F267)^('Forecast DCF'!$D$6:$M$6-0.5))+(('Forecast DCF'!$M$7*H267*(1-Assumptions!$C$21)+'Forecast DCF'!$M$15)*(1+G267)/(F267-G267))/(1+F267)^('Forecast DCF'!$M$6-0.5)</f>
        <v>121352.9346401939</v>
      </c>
      <c r="K267" s="49">
        <f ca="1">(I267-Assumptions!$C$12)/Assumptions!$C$9</f>
        <v>175.00388467886086</v>
      </c>
    </row>
    <row r="268" spans="2:11" outlineLevel="1" x14ac:dyDescent="0.2">
      <c r="B268" s="69">
        <f t="shared" si="16"/>
        <v>239</v>
      </c>
      <c r="C268" s="72">
        <f t="shared" ca="1" si="17"/>
        <v>0.43118692863252983</v>
      </c>
      <c r="D268" s="72">
        <f t="shared" ca="1" si="17"/>
        <v>0.84438400998695007</v>
      </c>
      <c r="E268" s="72">
        <f t="shared" ca="1" si="17"/>
        <v>0.74817682475259228</v>
      </c>
      <c r="F268" s="73">
        <f t="shared" ca="1" si="18"/>
        <v>0.12891277080738622</v>
      </c>
      <c r="G268" s="73">
        <f t="shared" ca="1" si="19"/>
        <v>3.6583686306707372E-2</v>
      </c>
      <c r="H268" s="73">
        <f t="shared" ca="1" si="20"/>
        <v>0.25741917260337305</v>
      </c>
      <c r="I268" s="57" cm="1">
        <f t="array" aca="1" ref="I268" ca="1">SUMPRODUCT('Forecast DCF'!$D$16:$M$16,1/(1+F268)^('Forecast DCF'!$D$6:$M$6-0.5))+(('Forecast DCF'!$M$7*H268*(1-Assumptions!$C$21)+'Forecast DCF'!$M$15)*(1+G268)/(F268-G268))/(1+F268)^('Forecast DCF'!$M$6-0.5)</f>
        <v>150726.56793428084</v>
      </c>
      <c r="K268" s="49">
        <f ca="1">(I268-Assumptions!$C$12)/Assumptions!$C$9</f>
        <v>228.84411271895854</v>
      </c>
    </row>
    <row r="269" spans="2:11" outlineLevel="1" x14ac:dyDescent="0.2">
      <c r="B269" s="69">
        <f t="shared" si="16"/>
        <v>240</v>
      </c>
      <c r="C269" s="72">
        <f t="shared" ca="1" si="17"/>
        <v>0.68990009433667032</v>
      </c>
      <c r="D269" s="72">
        <f t="shared" ca="1" si="17"/>
        <v>0.75041220569759826</v>
      </c>
      <c r="E269" s="72">
        <f t="shared" ca="1" si="17"/>
        <v>0.68443013017885856</v>
      </c>
      <c r="F269" s="73">
        <f t="shared" ca="1" si="18"/>
        <v>0.13317281949105947</v>
      </c>
      <c r="G269" s="73">
        <f t="shared" ca="1" si="19"/>
        <v>3.5673444259843617E-2</v>
      </c>
      <c r="H269" s="73">
        <f t="shared" ca="1" si="20"/>
        <v>0.25233341775717272</v>
      </c>
      <c r="I269" s="57" cm="1">
        <f t="array" aca="1" ref="I269" ca="1">SUMPRODUCT('Forecast DCF'!$D$16:$M$16,1/(1+F269)^('Forecast DCF'!$D$6:$M$6-0.5))+(('Forecast DCF'!$M$7*H269*(1-Assumptions!$C$21)+'Forecast DCF'!$M$15)*(1+G269)/(F269-G269))/(1+F269)^('Forecast DCF'!$M$6-0.5)</f>
        <v>134830.16387414967</v>
      </c>
      <c r="K269" s="49">
        <f ca="1">(I269-Assumptions!$C$12)/Assumptions!$C$9</f>
        <v>199.70689257849716</v>
      </c>
    </row>
    <row r="270" spans="2:11" outlineLevel="1" x14ac:dyDescent="0.2">
      <c r="B270" s="69">
        <f t="shared" si="16"/>
        <v>241</v>
      </c>
      <c r="C270" s="72">
        <f t="shared" ca="1" si="17"/>
        <v>0.48413474853783667</v>
      </c>
      <c r="D270" s="72">
        <f t="shared" ca="1" si="17"/>
        <v>0.24911641641276017</v>
      </c>
      <c r="E270" s="72">
        <f t="shared" ca="1" si="17"/>
        <v>0.20858054070128651</v>
      </c>
      <c r="F270" s="73">
        <f t="shared" ca="1" si="18"/>
        <v>0.12974225655879279</v>
      </c>
      <c r="G270" s="73">
        <f t="shared" ca="1" si="19"/>
        <v>3.1112893133526387E-2</v>
      </c>
      <c r="H270" s="73">
        <f t="shared" ca="1" si="20"/>
        <v>0.21875280497008265</v>
      </c>
      <c r="I270" s="57" cm="1">
        <f t="array" aca="1" ref="I270" ca="1">SUMPRODUCT('Forecast DCF'!$D$16:$M$16,1/(1+F270)^('Forecast DCF'!$D$6:$M$6-0.5))+(('Forecast DCF'!$M$7*H270*(1-Assumptions!$C$21)+'Forecast DCF'!$M$15)*(1+G270)/(F270-G270))/(1+F270)^('Forecast DCF'!$M$6-0.5)</f>
        <v>120291.62345188815</v>
      </c>
      <c r="K270" s="49">
        <f ca="1">(I270-Assumptions!$C$12)/Assumptions!$C$9</f>
        <v>173.05856059083288</v>
      </c>
    </row>
    <row r="271" spans="2:11" outlineLevel="1" x14ac:dyDescent="0.2">
      <c r="B271" s="69">
        <f t="shared" si="16"/>
        <v>242</v>
      </c>
      <c r="C271" s="72">
        <f t="shared" ca="1" si="17"/>
        <v>0.54680715825266446</v>
      </c>
      <c r="D271" s="72">
        <f t="shared" ca="1" si="17"/>
        <v>0.95795029855088076</v>
      </c>
      <c r="E271" s="72">
        <f t="shared" ca="1" si="17"/>
        <v>0.19106221052018257</v>
      </c>
      <c r="F271" s="73">
        <f t="shared" ca="1" si="18"/>
        <v>0.13070211074663202</v>
      </c>
      <c r="G271" s="73">
        <f t="shared" ca="1" si="19"/>
        <v>3.8224126240780629E-2</v>
      </c>
      <c r="H271" s="73">
        <f t="shared" ca="1" si="20"/>
        <v>0.21708972790066428</v>
      </c>
      <c r="I271" s="57" cm="1">
        <f t="array" aca="1" ref="I271" ca="1">SUMPRODUCT('Forecast DCF'!$D$16:$M$16,1/(1+F271)^('Forecast DCF'!$D$6:$M$6-0.5))+(('Forecast DCF'!$M$7*H271*(1-Assumptions!$C$21)+'Forecast DCF'!$M$15)*(1+G271)/(F271-G271))/(1+F271)^('Forecast DCF'!$M$6-0.5)</f>
        <v>126318.39499950246</v>
      </c>
      <c r="K271" s="49">
        <f ca="1">(I271-Assumptions!$C$12)/Assumptions!$C$9</f>
        <v>184.10529598173346</v>
      </c>
    </row>
    <row r="272" spans="2:11" outlineLevel="1" x14ac:dyDescent="0.2">
      <c r="B272" s="69">
        <f t="shared" si="16"/>
        <v>243</v>
      </c>
      <c r="C272" s="72">
        <f t="shared" ca="1" si="17"/>
        <v>0.85379841215684316</v>
      </c>
      <c r="D272" s="72">
        <f t="shared" ca="1" si="17"/>
        <v>0.71057020950056782</v>
      </c>
      <c r="E272" s="72">
        <f t="shared" ca="1" si="17"/>
        <v>0.4514841129034477</v>
      </c>
      <c r="F272" s="73">
        <f t="shared" ca="1" si="18"/>
        <v>0.13687905717683849</v>
      </c>
      <c r="G272" s="73">
        <f t="shared" ca="1" si="19"/>
        <v>3.5340897695107204E-2</v>
      </c>
      <c r="H272" s="73">
        <f t="shared" ca="1" si="20"/>
        <v>0.23701478416081939</v>
      </c>
      <c r="I272" s="57" cm="1">
        <f t="array" aca="1" ref="I272" ca="1">SUMPRODUCT('Forecast DCF'!$D$16:$M$16,1/(1+F272)^('Forecast DCF'!$D$6:$M$6-0.5))+(('Forecast DCF'!$M$7*H272*(1-Assumptions!$C$21)+'Forecast DCF'!$M$15)*(1+G272)/(F272-G272))/(1+F272)^('Forecast DCF'!$M$6-0.5)</f>
        <v>118023.73909540709</v>
      </c>
      <c r="K272" s="49">
        <f ca="1">(I272-Assumptions!$C$12)/Assumptions!$C$9</f>
        <v>168.90165532484079</v>
      </c>
    </row>
    <row r="273" spans="2:11" outlineLevel="1" x14ac:dyDescent="0.2">
      <c r="B273" s="69">
        <f t="shared" si="16"/>
        <v>244</v>
      </c>
      <c r="C273" s="72">
        <f t="shared" ca="1" si="17"/>
        <v>0.66352802722147874</v>
      </c>
      <c r="D273" s="72">
        <f t="shared" ca="1" si="17"/>
        <v>0.79095285496367551</v>
      </c>
      <c r="E273" s="72">
        <f t="shared" ca="1" si="17"/>
        <v>0.5480857140245472</v>
      </c>
      <c r="F273" s="73">
        <f t="shared" ca="1" si="18"/>
        <v>0.13268016602133748</v>
      </c>
      <c r="G273" s="73">
        <f t="shared" ca="1" si="19"/>
        <v>3.6040386903026467E-2</v>
      </c>
      <c r="H273" s="73">
        <f t="shared" ca="1" si="20"/>
        <v>0.24295806052540586</v>
      </c>
      <c r="I273" s="57" cm="1">
        <f t="array" aca="1" ref="I273" ca="1">SUMPRODUCT('Forecast DCF'!$D$16:$M$16,1/(1+F273)^('Forecast DCF'!$D$6:$M$6-0.5))+(('Forecast DCF'!$M$7*H273*(1-Assumptions!$C$21)+'Forecast DCF'!$M$15)*(1+G273)/(F273-G273))/(1+F273)^('Forecast DCF'!$M$6-0.5)</f>
        <v>131876.94377660408</v>
      </c>
      <c r="K273" s="49">
        <f ca="1">(I273-Assumptions!$C$12)/Assumptions!$C$9</f>
        <v>194.29380520477883</v>
      </c>
    </row>
    <row r="274" spans="2:11" outlineLevel="1" x14ac:dyDescent="0.2">
      <c r="B274" s="69">
        <f t="shared" si="16"/>
        <v>245</v>
      </c>
      <c r="C274" s="72">
        <f t="shared" ca="1" si="17"/>
        <v>0.28136917208814638</v>
      </c>
      <c r="D274" s="72">
        <f t="shared" ca="1" si="17"/>
        <v>0.53268335108221876</v>
      </c>
      <c r="E274" s="72">
        <f t="shared" ca="1" si="17"/>
        <v>5.7835608455372056E-2</v>
      </c>
      <c r="F274" s="73">
        <f t="shared" ca="1" si="18"/>
        <v>0.1262387780284849</v>
      </c>
      <c r="G274" s="73">
        <f t="shared" ca="1" si="19"/>
        <v>3.393881998153743E-2</v>
      </c>
      <c r="H274" s="73">
        <f t="shared" ca="1" si="20"/>
        <v>0.20040628287755216</v>
      </c>
      <c r="I274" s="57" cm="1">
        <f t="array" aca="1" ref="I274" ca="1">SUMPRODUCT('Forecast DCF'!$D$16:$M$16,1/(1+F274)^('Forecast DCF'!$D$6:$M$6-0.5))+(('Forecast DCF'!$M$7*H274*(1-Assumptions!$C$21)+'Forecast DCF'!$M$15)*(1+G274)/(F274-G274))/(1+F274)^('Forecast DCF'!$M$6-0.5)</f>
        <v>122354.73453254222</v>
      </c>
      <c r="K274" s="49">
        <f ca="1">(I274-Assumptions!$C$12)/Assumptions!$C$9</f>
        <v>176.8401278876789</v>
      </c>
    </row>
    <row r="275" spans="2:11" outlineLevel="1" x14ac:dyDescent="0.2">
      <c r="B275" s="69">
        <f t="shared" si="16"/>
        <v>246</v>
      </c>
      <c r="C275" s="72">
        <f t="shared" ca="1" si="17"/>
        <v>0.60082293420220667</v>
      </c>
      <c r="D275" s="72">
        <f t="shared" ca="1" si="17"/>
        <v>0.42439232250063563</v>
      </c>
      <c r="E275" s="72">
        <f t="shared" ca="1" si="17"/>
        <v>0.90623702651750693</v>
      </c>
      <c r="F275" s="73">
        <f t="shared" ca="1" si="18"/>
        <v>0.13158121486702504</v>
      </c>
      <c r="G275" s="73">
        <f t="shared" ca="1" si="19"/>
        <v>3.2978649533291673E-2</v>
      </c>
      <c r="H275" s="73">
        <f t="shared" ca="1" si="20"/>
        <v>0.27401744029018793</v>
      </c>
      <c r="I275" s="57" cm="1">
        <f t="array" aca="1" ref="I275" ca="1">SUMPRODUCT('Forecast DCF'!$D$16:$M$16,1/(1+F275)^('Forecast DCF'!$D$6:$M$6-0.5))+(('Forecast DCF'!$M$7*H275*(1-Assumptions!$C$21)+'Forecast DCF'!$M$15)*(1+G275)/(F275-G275))/(1+F275)^('Forecast DCF'!$M$6-0.5)</f>
        <v>146054.71519601773</v>
      </c>
      <c r="K275" s="49">
        <f ca="1">(I275-Assumptions!$C$12)/Assumptions!$C$9</f>
        <v>220.28086777477671</v>
      </c>
    </row>
    <row r="276" spans="2:11" outlineLevel="1" x14ac:dyDescent="0.2">
      <c r="B276" s="69">
        <f t="shared" si="16"/>
        <v>247</v>
      </c>
      <c r="C276" s="72">
        <f t="shared" ca="1" si="17"/>
        <v>0.35678015308428479</v>
      </c>
      <c r="D276" s="72">
        <f t="shared" ca="1" si="17"/>
        <v>8.32099962094206E-2</v>
      </c>
      <c r="E276" s="72">
        <f t="shared" ca="1" si="17"/>
        <v>0.8073146719918437</v>
      </c>
      <c r="F276" s="73">
        <f t="shared" ca="1" si="18"/>
        <v>0.12765555458022179</v>
      </c>
      <c r="G276" s="73">
        <f t="shared" ca="1" si="19"/>
        <v>2.8532916561626258E-2</v>
      </c>
      <c r="H276" s="73">
        <f t="shared" ca="1" si="20"/>
        <v>0.26275306238549634</v>
      </c>
      <c r="I276" s="57" cm="1">
        <f t="array" aca="1" ref="I276" ca="1">SUMPRODUCT('Forecast DCF'!$D$16:$M$16,1/(1+F276)^('Forecast DCF'!$D$6:$M$6-0.5))+(('Forecast DCF'!$M$7*H276*(1-Assumptions!$C$21)+'Forecast DCF'!$M$15)*(1+G276)/(F276-G276))/(1+F276)^('Forecast DCF'!$M$6-0.5)</f>
        <v>144554.04312552474</v>
      </c>
      <c r="K276" s="49">
        <f ca="1">(I276-Assumptions!$C$12)/Assumptions!$C$9</f>
        <v>217.53021974700914</v>
      </c>
    </row>
    <row r="277" spans="2:11" outlineLevel="1" x14ac:dyDescent="0.2">
      <c r="B277" s="69">
        <f t="shared" si="16"/>
        <v>248</v>
      </c>
      <c r="C277" s="72">
        <f t="shared" ca="1" si="17"/>
        <v>0.46922703463017157</v>
      </c>
      <c r="D277" s="72">
        <f t="shared" ca="1" si="17"/>
        <v>0.72209610657886014</v>
      </c>
      <c r="E277" s="72">
        <f t="shared" ca="1" si="17"/>
        <v>0.32778774701754831</v>
      </c>
      <c r="F277" s="73">
        <f t="shared" ca="1" si="18"/>
        <v>0.1295135064574631</v>
      </c>
      <c r="G277" s="73">
        <f t="shared" ca="1" si="19"/>
        <v>3.5434609325962839E-2</v>
      </c>
      <c r="H277" s="73">
        <f t="shared" ca="1" si="20"/>
        <v>0.22858056996913836</v>
      </c>
      <c r="I277" s="57" cm="1">
        <f t="array" aca="1" ref="I277" ca="1">SUMPRODUCT('Forecast DCF'!$D$16:$M$16,1/(1+F277)^('Forecast DCF'!$D$6:$M$6-0.5))+(('Forecast DCF'!$M$7*H277*(1-Assumptions!$C$21)+'Forecast DCF'!$M$15)*(1+G277)/(F277-G277))/(1+F277)^('Forecast DCF'!$M$6-0.5)</f>
        <v>131651.92115360167</v>
      </c>
      <c r="K277" s="49">
        <f ca="1">(I277-Assumptions!$C$12)/Assumptions!$C$9</f>
        <v>193.88135131406216</v>
      </c>
    </row>
    <row r="278" spans="2:11" outlineLevel="1" x14ac:dyDescent="0.2">
      <c r="B278" s="69">
        <f t="shared" si="16"/>
        <v>249</v>
      </c>
      <c r="C278" s="72">
        <f t="shared" ca="1" si="17"/>
        <v>0.64554793353182738</v>
      </c>
      <c r="D278" s="72">
        <f t="shared" ca="1" si="17"/>
        <v>0.32760027897144661</v>
      </c>
      <c r="E278" s="72">
        <f t="shared" ca="1" si="17"/>
        <v>0.54637263255679724</v>
      </c>
      <c r="F278" s="73">
        <f t="shared" ca="1" si="18"/>
        <v>0.13235528152885886</v>
      </c>
      <c r="G278" s="73">
        <f t="shared" ca="1" si="19"/>
        <v>3.2009995852047064E-2</v>
      </c>
      <c r="H278" s="73">
        <f t="shared" ca="1" si="20"/>
        <v>0.24285004772013313</v>
      </c>
      <c r="I278" s="57" cm="1">
        <f t="array" aca="1" ref="I278" ca="1">SUMPRODUCT('Forecast DCF'!$D$16:$M$16,1/(1+F278)^('Forecast DCF'!$D$6:$M$6-0.5))+(('Forecast DCF'!$M$7*H278*(1-Assumptions!$C$21)+'Forecast DCF'!$M$15)*(1+G278)/(F278-G278))/(1+F278)^('Forecast DCF'!$M$6-0.5)</f>
        <v>127249.12078550013</v>
      </c>
      <c r="K278" s="49">
        <f ca="1">(I278-Assumptions!$C$12)/Assumptions!$C$9</f>
        <v>185.8112643261739</v>
      </c>
    </row>
    <row r="279" spans="2:11" outlineLevel="1" x14ac:dyDescent="0.2">
      <c r="B279" s="69">
        <f t="shared" si="16"/>
        <v>250</v>
      </c>
      <c r="C279" s="72">
        <f t="shared" ca="1" si="17"/>
        <v>1.096361551762548E-2</v>
      </c>
      <c r="D279" s="72">
        <f t="shared" ca="1" si="17"/>
        <v>0.2854023904220927</v>
      </c>
      <c r="E279" s="72">
        <f t="shared" ca="1" si="17"/>
        <v>0.80653137958529308</v>
      </c>
      <c r="F279" s="73">
        <f t="shared" ca="1" si="18"/>
        <v>0.11721849133028023</v>
      </c>
      <c r="G279" s="73">
        <f t="shared" ca="1" si="19"/>
        <v>3.1542962521924907E-2</v>
      </c>
      <c r="H279" s="73">
        <f t="shared" ca="1" si="20"/>
        <v>0.26267743220267542</v>
      </c>
      <c r="I279" s="57" cm="1">
        <f t="array" aca="1" ref="I279" ca="1">SUMPRODUCT('Forecast DCF'!$D$16:$M$16,1/(1+F279)^('Forecast DCF'!$D$6:$M$6-0.5))+(('Forecast DCF'!$M$7*H279*(1-Assumptions!$C$21)+'Forecast DCF'!$M$15)*(1+G279)/(F279-G279))/(1+F279)^('Forecast DCF'!$M$6-0.5)</f>
        <v>183264.53280726256</v>
      </c>
      <c r="K279" s="49">
        <f ca="1">(I279-Assumptions!$C$12)/Assumptions!$C$9</f>
        <v>288.4843836783798</v>
      </c>
    </row>
    <row r="280" spans="2:11" outlineLevel="1" x14ac:dyDescent="0.2">
      <c r="B280" s="69">
        <f t="shared" si="16"/>
        <v>251</v>
      </c>
      <c r="C280" s="72">
        <f t="shared" ca="1" si="17"/>
        <v>0.45176120189735158</v>
      </c>
      <c r="D280" s="72">
        <f t="shared" ca="1" si="17"/>
        <v>0.34342913412990705</v>
      </c>
      <c r="E280" s="72">
        <f t="shared" ca="1" si="17"/>
        <v>0.53257531858948759</v>
      </c>
      <c r="F280" s="73">
        <f t="shared" ca="1" si="18"/>
        <v>0.12924083001379957</v>
      </c>
      <c r="G280" s="73">
        <f t="shared" ca="1" si="19"/>
        <v>3.2177351191037408E-2</v>
      </c>
      <c r="H280" s="73">
        <f t="shared" ca="1" si="20"/>
        <v>0.24198743492866662</v>
      </c>
      <c r="I280" s="57" cm="1">
        <f t="array" aca="1" ref="I280" ca="1">SUMPRODUCT('Forecast DCF'!$D$16:$M$16,1/(1+F280)^('Forecast DCF'!$D$6:$M$6-0.5))+(('Forecast DCF'!$M$7*H280*(1-Assumptions!$C$21)+'Forecast DCF'!$M$15)*(1+G280)/(F280-G280))/(1+F280)^('Forecast DCF'!$M$6-0.5)</f>
        <v>134851.38984472412</v>
      </c>
      <c r="K280" s="49">
        <f ca="1">(I280-Assumptions!$C$12)/Assumptions!$C$9</f>
        <v>199.74579859617154</v>
      </c>
    </row>
    <row r="281" spans="2:11" outlineLevel="1" x14ac:dyDescent="0.2">
      <c r="B281" s="69">
        <f t="shared" si="16"/>
        <v>252</v>
      </c>
      <c r="C281" s="72">
        <f t="shared" ca="1" si="17"/>
        <v>0.53279081313626486</v>
      </c>
      <c r="D281" s="72">
        <f t="shared" ca="1" si="17"/>
        <v>9.8795908665729182E-2</v>
      </c>
      <c r="E281" s="72">
        <f t="shared" ca="1" si="17"/>
        <v>0.23075233836599618</v>
      </c>
      <c r="F281" s="73">
        <f t="shared" ca="1" si="18"/>
        <v>0.13048269186375908</v>
      </c>
      <c r="G281" s="73">
        <f t="shared" ca="1" si="19"/>
        <v>2.8849595602119707E-2</v>
      </c>
      <c r="H281" s="73">
        <f t="shared" ca="1" si="20"/>
        <v>0.22076048130524434</v>
      </c>
      <c r="I281" s="57" cm="1">
        <f t="array" aca="1" ref="I281" ca="1">SUMPRODUCT('Forecast DCF'!$D$16:$M$16,1/(1+F281)^('Forecast DCF'!$D$6:$M$6-0.5))+(('Forecast DCF'!$M$7*H281*(1-Assumptions!$C$21)+'Forecast DCF'!$M$15)*(1+G281)/(F281-G281))/(1+F281)^('Forecast DCF'!$M$6-0.5)</f>
        <v>116927.36094444283</v>
      </c>
      <c r="K281" s="49">
        <f ca="1">(I281-Assumptions!$C$12)/Assumptions!$C$9</f>
        <v>166.8920554542664</v>
      </c>
    </row>
    <row r="282" spans="2:11" outlineLevel="1" x14ac:dyDescent="0.2">
      <c r="B282" s="69">
        <f t="shared" si="16"/>
        <v>253</v>
      </c>
      <c r="C282" s="72">
        <f t="shared" ca="1" si="17"/>
        <v>0.14759316983520832</v>
      </c>
      <c r="D282" s="72">
        <f t="shared" ca="1" si="17"/>
        <v>0.94101026349210282</v>
      </c>
      <c r="E282" s="72">
        <f t="shared" ca="1" si="17"/>
        <v>0.21886021213849349</v>
      </c>
      <c r="F282" s="73">
        <f t="shared" ca="1" si="18"/>
        <v>0.12313980437349119</v>
      </c>
      <c r="G282" s="73">
        <f t="shared" ca="1" si="19"/>
        <v>3.789661457690411E-2</v>
      </c>
      <c r="H282" s="73">
        <f t="shared" ca="1" si="20"/>
        <v>0.21969626591251565</v>
      </c>
      <c r="I282" s="57" cm="1">
        <f t="array" aca="1" ref="I282" ca="1">SUMPRODUCT('Forecast DCF'!$D$16:$M$16,1/(1+F282)^('Forecast DCF'!$D$6:$M$6-0.5))+(('Forecast DCF'!$M$7*H282*(1-Assumptions!$C$21)+'Forecast DCF'!$M$15)*(1+G282)/(F282-G282))/(1+F282)^('Forecast DCF'!$M$6-0.5)</f>
        <v>148161.54585577091</v>
      </c>
      <c r="K282" s="49">
        <f ca="1">(I282-Assumptions!$C$12)/Assumptions!$C$9</f>
        <v>224.14257061648186</v>
      </c>
    </row>
    <row r="283" spans="2:11" outlineLevel="1" x14ac:dyDescent="0.2">
      <c r="B283" s="69">
        <f t="shared" si="16"/>
        <v>254</v>
      </c>
      <c r="C283" s="72">
        <f t="shared" ca="1" si="17"/>
        <v>0.23134121946709585</v>
      </c>
      <c r="D283" s="72">
        <f t="shared" ca="1" si="17"/>
        <v>1.1844211048261943E-2</v>
      </c>
      <c r="E283" s="72">
        <f t="shared" ca="1" si="17"/>
        <v>0.51775108180975282</v>
      </c>
      <c r="F283" s="73">
        <f t="shared" ca="1" si="18"/>
        <v>0.1251907781605662</v>
      </c>
      <c r="G283" s="73">
        <f t="shared" ca="1" si="19"/>
        <v>2.6332903468837595E-2</v>
      </c>
      <c r="H283" s="73">
        <f t="shared" ca="1" si="20"/>
        <v>0.24107468955559266</v>
      </c>
      <c r="I283" s="57" cm="1">
        <f t="array" aca="1" ref="I283" ca="1">SUMPRODUCT('Forecast DCF'!$D$16:$M$16,1/(1+F283)^('Forecast DCF'!$D$6:$M$6-0.5))+(('Forecast DCF'!$M$7*H283*(1-Assumptions!$C$21)+'Forecast DCF'!$M$15)*(1+G283)/(F283-G283))/(1+F283)^('Forecast DCF'!$M$6-0.5)</f>
        <v>136746.20888319708</v>
      </c>
      <c r="K283" s="49">
        <f ca="1">(I283-Assumptions!$C$12)/Assumptions!$C$9</f>
        <v>203.21889598608956</v>
      </c>
    </row>
    <row r="284" spans="2:11" outlineLevel="1" x14ac:dyDescent="0.2">
      <c r="B284" s="69">
        <f t="shared" si="16"/>
        <v>255</v>
      </c>
      <c r="C284" s="72">
        <f t="shared" ca="1" si="17"/>
        <v>0.5225819961030127</v>
      </c>
      <c r="D284" s="72">
        <f t="shared" ca="1" si="17"/>
        <v>0.8437408671637594</v>
      </c>
      <c r="E284" s="72">
        <f t="shared" ca="1" si="17"/>
        <v>0.52326273866198358</v>
      </c>
      <c r="F284" s="73">
        <f t="shared" ca="1" si="18"/>
        <v>0.13032494274198242</v>
      </c>
      <c r="G284" s="73">
        <f t="shared" ca="1" si="19"/>
        <v>3.6576633971846129E-2</v>
      </c>
      <c r="H284" s="73">
        <f t="shared" ca="1" si="20"/>
        <v>0.2414123879848844</v>
      </c>
      <c r="I284" s="57" cm="1">
        <f t="array" aca="1" ref="I284" ca="1">SUMPRODUCT('Forecast DCF'!$D$16:$M$16,1/(1+F284)^('Forecast DCF'!$D$6:$M$6-0.5))+(('Forecast DCF'!$M$7*H284*(1-Assumptions!$C$21)+'Forecast DCF'!$M$15)*(1+G284)/(F284-G284))/(1+F284)^('Forecast DCF'!$M$6-0.5)</f>
        <v>138032.2492566586</v>
      </c>
      <c r="K284" s="49">
        <f ca="1">(I284-Assumptions!$C$12)/Assumptions!$C$9</f>
        <v>205.57613610966254</v>
      </c>
    </row>
    <row r="285" spans="2:11" outlineLevel="1" x14ac:dyDescent="0.2">
      <c r="B285" s="69">
        <f t="shared" si="16"/>
        <v>256</v>
      </c>
      <c r="C285" s="72">
        <f t="shared" ca="1" si="17"/>
        <v>0.34953806280976374</v>
      </c>
      <c r="D285" s="72">
        <f t="shared" ca="1" si="17"/>
        <v>0.45965993748259215</v>
      </c>
      <c r="E285" s="72">
        <f t="shared" ca="1" si="17"/>
        <v>7.9825054518621208E-2</v>
      </c>
      <c r="F285" s="73">
        <f t="shared" ca="1" si="18"/>
        <v>0.1275264518942911</v>
      </c>
      <c r="G285" s="73">
        <f t="shared" ca="1" si="19"/>
        <v>3.3303552891527144E-2</v>
      </c>
      <c r="H285" s="73">
        <f t="shared" ca="1" si="20"/>
        <v>0.20397374381555938</v>
      </c>
      <c r="I285" s="57" cm="1">
        <f t="array" aca="1" ref="I285" ca="1">SUMPRODUCT('Forecast DCF'!$D$16:$M$16,1/(1+F285)^('Forecast DCF'!$D$6:$M$6-0.5))+(('Forecast DCF'!$M$7*H285*(1-Assumptions!$C$21)+'Forecast DCF'!$M$15)*(1+G285)/(F285-G285))/(1+F285)^('Forecast DCF'!$M$6-0.5)</f>
        <v>120428.43290323378</v>
      </c>
      <c r="K285" s="49">
        <f ca="1">(I285-Assumptions!$C$12)/Assumptions!$C$9</f>
        <v>173.30932466842393</v>
      </c>
    </row>
    <row r="286" spans="2:11" outlineLevel="1" x14ac:dyDescent="0.2">
      <c r="B286" s="69">
        <f t="shared" si="16"/>
        <v>257</v>
      </c>
      <c r="C286" s="72">
        <f t="shared" ca="1" si="17"/>
        <v>0.58825790870503281</v>
      </c>
      <c r="D286" s="72">
        <f t="shared" ca="1" si="17"/>
        <v>0.38994586877181803</v>
      </c>
      <c r="E286" s="72">
        <f t="shared" ca="1" si="17"/>
        <v>9.7453549648397808E-2</v>
      </c>
      <c r="F286" s="73">
        <f t="shared" ca="1" si="18"/>
        <v>0.13137165744884374</v>
      </c>
      <c r="G286" s="73">
        <f t="shared" ca="1" si="19"/>
        <v>3.2647998451606326E-2</v>
      </c>
      <c r="H286" s="73">
        <f t="shared" ca="1" si="20"/>
        <v>0.20648897048713794</v>
      </c>
      <c r="I286" s="57" cm="1">
        <f t="array" aca="1" ref="I286" ca="1">SUMPRODUCT('Forecast DCF'!$D$16:$M$16,1/(1+F286)^('Forecast DCF'!$D$6:$M$6-0.5))+(('Forecast DCF'!$M$7*H286*(1-Assumptions!$C$21)+'Forecast DCF'!$M$15)*(1+G286)/(F286-G286))/(1+F286)^('Forecast DCF'!$M$6-0.5)</f>
        <v>112270.22502296661</v>
      </c>
      <c r="K286" s="49">
        <f ca="1">(I286-Assumptions!$C$12)/Assumptions!$C$9</f>
        <v>158.35578561268417</v>
      </c>
    </row>
    <row r="287" spans="2:11" outlineLevel="1" x14ac:dyDescent="0.2">
      <c r="B287" s="69">
        <f t="shared" si="16"/>
        <v>258</v>
      </c>
      <c r="C287" s="72">
        <f t="shared" ca="1" si="17"/>
        <v>0.58874903749732399</v>
      </c>
      <c r="D287" s="72">
        <f t="shared" ca="1" si="17"/>
        <v>0.3966983862984228</v>
      </c>
      <c r="E287" s="72">
        <f t="shared" ca="1" si="17"/>
        <v>0.39375097697620898</v>
      </c>
      <c r="F287" s="73">
        <f t="shared" ca="1" si="18"/>
        <v>0.13137978786433432</v>
      </c>
      <c r="G287" s="73">
        <f t="shared" ca="1" si="19"/>
        <v>3.2713932715856646E-2</v>
      </c>
      <c r="H287" s="73">
        <f t="shared" ca="1" si="20"/>
        <v>0.23324478410350355</v>
      </c>
      <c r="I287" s="57" cm="1">
        <f t="array" aca="1" ref="I287" ca="1">SUMPRODUCT('Forecast DCF'!$D$16:$M$16,1/(1+F287)^('Forecast DCF'!$D$6:$M$6-0.5))+(('Forecast DCF'!$M$7*H287*(1-Assumptions!$C$21)+'Forecast DCF'!$M$15)*(1+G287)/(F287-G287))/(1+F287)^('Forecast DCF'!$M$6-0.5)</f>
        <v>125754.6691589297</v>
      </c>
      <c r="K287" s="49">
        <f ca="1">(I287-Assumptions!$C$12)/Assumptions!$C$9</f>
        <v>183.07201802443552</v>
      </c>
    </row>
    <row r="288" spans="2:11" outlineLevel="1" x14ac:dyDescent="0.2">
      <c r="B288" s="69">
        <f t="shared" ref="B288:B351" si="21">ROW()-29</f>
        <v>259</v>
      </c>
      <c r="C288" s="72">
        <f t="shared" ref="C288:E351" ca="1" si="22">RAND()</f>
        <v>0.14947792255554937</v>
      </c>
      <c r="D288" s="72">
        <f t="shared" ca="1" si="22"/>
        <v>0.1418475963571163</v>
      </c>
      <c r="E288" s="72">
        <f t="shared" ca="1" si="22"/>
        <v>0.28852464649759713</v>
      </c>
      <c r="F288" s="73">
        <f t="shared" ref="F288:F351" ca="1" si="23">IF(C288&lt;($D$7-$C$7)/($E$7-$C$7),$C$7+SQRT(C288*($E$7-$C$7)*($D$7-$C$7)),$E$7-SQRT((1-C288)*($E$7-$C$7)*($E$7-$D$7)))</f>
        <v>0.12319161182235303</v>
      </c>
      <c r="G288" s="73">
        <f t="shared" ref="G288:G351" ca="1" si="24">IF(D288&lt;($D$8-$C$8)/($E$8-$C$8),$C$8+SQRT(D288*($E$8-$C$8)*($D$8-$C$8)),$E$8-SQRT((1-D288)*($E$8-$C$8)*($E$8-$D$8)))</f>
        <v>2.9612714976406787E-2</v>
      </c>
      <c r="H288" s="73">
        <f t="shared" ref="H288:H351" ca="1" si="25">IF(E288&lt;($D$9-$C$9)/($E$9-$C$9),$C$9+SQRT(E288*($E$9-$C$9)*($D$9-$C$9)),$E$9-SQRT((1-E288)*($E$9-$C$9)*($E$9-$D$9)))</f>
        <v>0.22557825638155435</v>
      </c>
      <c r="I288" s="57" cm="1">
        <f t="array" aca="1" ref="I288" ca="1">SUMPRODUCT('Forecast DCF'!$D$16:$M$16,1/(1+F288)^('Forecast DCF'!$D$6:$M$6-0.5))+(('Forecast DCF'!$M$7*H288*(1-Assumptions!$C$21)+'Forecast DCF'!$M$15)*(1+G288)/(F288-G288))/(1+F288)^('Forecast DCF'!$M$6-0.5)</f>
        <v>138301.28547067341</v>
      </c>
      <c r="K288" s="49">
        <f ca="1">(I288-Assumptions!$C$12)/Assumptions!$C$9</f>
        <v>206.0692644526421</v>
      </c>
    </row>
    <row r="289" spans="2:11" outlineLevel="1" x14ac:dyDescent="0.2">
      <c r="B289" s="69">
        <f t="shared" si="21"/>
        <v>260</v>
      </c>
      <c r="C289" s="72">
        <f t="shared" ca="1" si="22"/>
        <v>0.48121437907184483</v>
      </c>
      <c r="D289" s="72">
        <f t="shared" ca="1" si="22"/>
        <v>0.54032838509059589</v>
      </c>
      <c r="E289" s="72">
        <f t="shared" ca="1" si="22"/>
        <v>0.67218212855500437</v>
      </c>
      <c r="F289" s="73">
        <f t="shared" ca="1" si="23"/>
        <v>0.12969772561177048</v>
      </c>
      <c r="G289" s="73">
        <f t="shared" ca="1" si="24"/>
        <v>3.4002736126511175E-2</v>
      </c>
      <c r="H289" s="73">
        <f t="shared" ca="1" si="25"/>
        <v>0.25141719775060345</v>
      </c>
      <c r="I289" s="57" cm="1">
        <f t="array" aca="1" ref="I289" ca="1">SUMPRODUCT('Forecast DCF'!$D$16:$M$16,1/(1+F289)^('Forecast DCF'!$D$6:$M$6-0.5))+(('Forecast DCF'!$M$7*H289*(1-Assumptions!$C$21)+'Forecast DCF'!$M$15)*(1+G289)/(F289-G289))/(1+F289)^('Forecast DCF'!$M$6-0.5)</f>
        <v>141202.54175592438</v>
      </c>
      <c r="K289" s="49">
        <f ca="1">(I289-Assumptions!$C$12)/Assumptions!$C$9</f>
        <v>211.38710506285096</v>
      </c>
    </row>
    <row r="290" spans="2:11" outlineLevel="1" x14ac:dyDescent="0.2">
      <c r="B290" s="69">
        <f t="shared" si="21"/>
        <v>261</v>
      </c>
      <c r="C290" s="72">
        <f t="shared" ca="1" si="22"/>
        <v>0.64360093287293862</v>
      </c>
      <c r="D290" s="72">
        <f t="shared" ca="1" si="22"/>
        <v>0.24677741740698467</v>
      </c>
      <c r="E290" s="72">
        <f t="shared" ca="1" si="22"/>
        <v>0.92957018060048391</v>
      </c>
      <c r="F290" s="73">
        <f t="shared" ca="1" si="23"/>
        <v>0.13232060045105365</v>
      </c>
      <c r="G290" s="73">
        <f t="shared" ca="1" si="24"/>
        <v>3.1084127925269794E-2</v>
      </c>
      <c r="H290" s="73">
        <f t="shared" ca="1" si="25"/>
        <v>0.27748123671964831</v>
      </c>
      <c r="I290" s="57" cm="1">
        <f t="array" aca="1" ref="I290" ca="1">SUMPRODUCT('Forecast DCF'!$D$16:$M$16,1/(1+F290)^('Forecast DCF'!$D$6:$M$6-0.5))+(('Forecast DCF'!$M$7*H290*(1-Assumptions!$C$21)+'Forecast DCF'!$M$15)*(1+G290)/(F290-G290))/(1+F290)^('Forecast DCF'!$M$6-0.5)</f>
        <v>142929.14060550896</v>
      </c>
      <c r="K290" s="49">
        <f ca="1">(I290-Assumptions!$C$12)/Assumptions!$C$9</f>
        <v>214.55186424891045</v>
      </c>
    </row>
    <row r="291" spans="2:11" outlineLevel="1" x14ac:dyDescent="0.2">
      <c r="B291" s="69">
        <f t="shared" si="21"/>
        <v>262</v>
      </c>
      <c r="C291" s="72">
        <f t="shared" ca="1" si="22"/>
        <v>0.38665467938809905</v>
      </c>
      <c r="D291" s="72">
        <f t="shared" ca="1" si="22"/>
        <v>0.94158027279859935</v>
      </c>
      <c r="E291" s="72">
        <f t="shared" ca="1" si="22"/>
        <v>0.97552226644033058</v>
      </c>
      <c r="F291" s="73">
        <f t="shared" ca="1" si="23"/>
        <v>0.12817475272218148</v>
      </c>
      <c r="G291" s="73">
        <f t="shared" ca="1" si="24"/>
        <v>3.7906801600395931E-2</v>
      </c>
      <c r="H291" s="73">
        <f t="shared" ca="1" si="25"/>
        <v>0.28672447057064693</v>
      </c>
      <c r="I291" s="57" cm="1">
        <f t="array" aca="1" ref="I291" ca="1">SUMPRODUCT('Forecast DCF'!$D$16:$M$16,1/(1+F291)^('Forecast DCF'!$D$6:$M$6-0.5))+(('Forecast DCF'!$M$7*H291*(1-Assumptions!$C$21)+'Forecast DCF'!$M$15)*(1+G291)/(F291-G291))/(1+F291)^('Forecast DCF'!$M$6-0.5)</f>
        <v>171804.18844500298</v>
      </c>
      <c r="K291" s="49">
        <f ca="1">(I291-Assumptions!$C$12)/Assumptions!$C$9</f>
        <v>267.47821301830299</v>
      </c>
    </row>
    <row r="292" spans="2:11" outlineLevel="1" x14ac:dyDescent="0.2">
      <c r="B292" s="69">
        <f t="shared" si="21"/>
        <v>263</v>
      </c>
      <c r="C292" s="72">
        <f t="shared" ca="1" si="22"/>
        <v>2.8367740299738431E-3</v>
      </c>
      <c r="D292" s="72">
        <f t="shared" ca="1" si="22"/>
        <v>0.8889161604466177</v>
      </c>
      <c r="E292" s="72">
        <f t="shared" ca="1" si="22"/>
        <v>0.23473089728503038</v>
      </c>
      <c r="F292" s="73">
        <f t="shared" ca="1" si="23"/>
        <v>0.11612847829055355</v>
      </c>
      <c r="G292" s="73">
        <f t="shared" ca="1" si="24"/>
        <v>3.7113602943719688E-2</v>
      </c>
      <c r="H292" s="73">
        <f t="shared" ca="1" si="25"/>
        <v>0.22111036925706479</v>
      </c>
      <c r="I292" s="57" cm="1">
        <f t="array" aca="1" ref="I292" ca="1">SUMPRODUCT('Forecast DCF'!$D$16:$M$16,1/(1+F292)^('Forecast DCF'!$D$6:$M$6-0.5))+(('Forecast DCF'!$M$7*H292*(1-Assumptions!$C$21)+'Forecast DCF'!$M$15)*(1+G292)/(F292-G292))/(1+F292)^('Forecast DCF'!$M$6-0.5)</f>
        <v>170836.96740732083</v>
      </c>
      <c r="K292" s="49">
        <f ca="1">(I292-Assumptions!$C$12)/Assumptions!$C$9</f>
        <v>265.70535091736332</v>
      </c>
    </row>
    <row r="293" spans="2:11" outlineLevel="1" x14ac:dyDescent="0.2">
      <c r="B293" s="69">
        <f t="shared" si="21"/>
        <v>264</v>
      </c>
      <c r="C293" s="72">
        <f t="shared" ca="1" si="22"/>
        <v>0.29486816528642112</v>
      </c>
      <c r="D293" s="72">
        <f t="shared" ca="1" si="22"/>
        <v>0.50468257233269986</v>
      </c>
      <c r="E293" s="72">
        <f t="shared" ca="1" si="22"/>
        <v>0.55253827085251817</v>
      </c>
      <c r="F293" s="73">
        <f t="shared" ca="1" si="23"/>
        <v>0.12650521612257024</v>
      </c>
      <c r="G293" s="73">
        <f t="shared" ca="1" si="24"/>
        <v>3.3700711801335853E-2</v>
      </c>
      <c r="H293" s="73">
        <f t="shared" ca="1" si="25"/>
        <v>0.24323976347951085</v>
      </c>
      <c r="I293" s="57" cm="1">
        <f t="array" aca="1" ref="I293" ca="1">SUMPRODUCT('Forecast DCF'!$D$16:$M$16,1/(1+F293)^('Forecast DCF'!$D$6:$M$6-0.5))+(('Forecast DCF'!$M$7*H293*(1-Assumptions!$C$21)+'Forecast DCF'!$M$15)*(1+G293)/(F293-G293))/(1+F293)^('Forecast DCF'!$M$6-0.5)</f>
        <v>145235.90777947553</v>
      </c>
      <c r="K293" s="49">
        <f ca="1">(I293-Assumptions!$C$12)/Assumptions!$C$9</f>
        <v>218.78003954606623</v>
      </c>
    </row>
    <row r="294" spans="2:11" outlineLevel="1" x14ac:dyDescent="0.2">
      <c r="B294" s="69">
        <f t="shared" si="21"/>
        <v>265</v>
      </c>
      <c r="C294" s="72">
        <f t="shared" ca="1" si="22"/>
        <v>3.6003084535110808E-2</v>
      </c>
      <c r="D294" s="72">
        <f t="shared" ca="1" si="22"/>
        <v>0.77483373860581228</v>
      </c>
      <c r="E294" s="72">
        <f t="shared" ca="1" si="22"/>
        <v>0.54715016406680228</v>
      </c>
      <c r="F294" s="73">
        <f t="shared" ca="1" si="23"/>
        <v>0.11902022807867396</v>
      </c>
      <c r="G294" s="73">
        <f t="shared" ca="1" si="24"/>
        <v>3.5890563347055454E-2</v>
      </c>
      <c r="H294" s="73">
        <f t="shared" ca="1" si="25"/>
        <v>0.24289904712950033</v>
      </c>
      <c r="I294" s="57" cm="1">
        <f t="array" aca="1" ref="I294" ca="1">SUMPRODUCT('Forecast DCF'!$D$16:$M$16,1/(1+F294)^('Forecast DCF'!$D$6:$M$6-0.5))+(('Forecast DCF'!$M$7*H294*(1-Assumptions!$C$21)+'Forecast DCF'!$M$15)*(1+G294)/(F294-G294))/(1+F294)^('Forecast DCF'!$M$6-0.5)</f>
        <v>172877.36764117895</v>
      </c>
      <c r="K294" s="49">
        <f ca="1">(I294-Assumptions!$C$12)/Assumptions!$C$9</f>
        <v>269.44529050141557</v>
      </c>
    </row>
    <row r="295" spans="2:11" outlineLevel="1" x14ac:dyDescent="0.2">
      <c r="B295" s="69">
        <f t="shared" si="21"/>
        <v>266</v>
      </c>
      <c r="C295" s="72">
        <f t="shared" ca="1" si="22"/>
        <v>0.20443150329865822</v>
      </c>
      <c r="D295" s="72">
        <f t="shared" ca="1" si="22"/>
        <v>0.72977050989479963</v>
      </c>
      <c r="E295" s="72">
        <f t="shared" ca="1" si="22"/>
        <v>0.91461265779687606</v>
      </c>
      <c r="F295" s="73">
        <f t="shared" ca="1" si="23"/>
        <v>0.12457976263889133</v>
      </c>
      <c r="G295" s="73">
        <f t="shared" ca="1" si="24"/>
        <v>3.5498087988655266E-2</v>
      </c>
      <c r="H295" s="73">
        <f t="shared" ca="1" si="25"/>
        <v>0.27520506374554488</v>
      </c>
      <c r="I295" s="57" cm="1">
        <f t="array" aca="1" ref="I295" ca="1">SUMPRODUCT('Forecast DCF'!$D$16:$M$16,1/(1+F295)^('Forecast DCF'!$D$6:$M$6-0.5))+(('Forecast DCF'!$M$7*H295*(1-Assumptions!$C$21)+'Forecast DCF'!$M$15)*(1+G295)/(F295-G295))/(1+F295)^('Forecast DCF'!$M$6-0.5)</f>
        <v>172777.19209155178</v>
      </c>
      <c r="K295" s="49">
        <f ca="1">(I295-Assumptions!$C$12)/Assumptions!$C$9</f>
        <v>269.26167431808642</v>
      </c>
    </row>
    <row r="296" spans="2:11" outlineLevel="1" x14ac:dyDescent="0.2">
      <c r="B296" s="69">
        <f t="shared" si="21"/>
        <v>267</v>
      </c>
      <c r="C296" s="72">
        <f t="shared" ca="1" si="22"/>
        <v>0.64719687528986403</v>
      </c>
      <c r="D296" s="72">
        <f t="shared" ca="1" si="22"/>
        <v>0.95977589482866599</v>
      </c>
      <c r="E296" s="72">
        <f t="shared" ca="1" si="22"/>
        <v>0.46611040304446472</v>
      </c>
      <c r="F296" s="73">
        <f t="shared" ca="1" si="23"/>
        <v>0.13238472797920106</v>
      </c>
      <c r="G296" s="73">
        <f t="shared" ca="1" si="24"/>
        <v>3.8263103950188712E-2</v>
      </c>
      <c r="H296" s="73">
        <f t="shared" ca="1" si="25"/>
        <v>0.2379309494305086</v>
      </c>
      <c r="I296" s="57" cm="1">
        <f t="array" aca="1" ref="I296" ca="1">SUMPRODUCT('Forecast DCF'!$D$16:$M$16,1/(1+F296)^('Forecast DCF'!$D$6:$M$6-0.5))+(('Forecast DCF'!$M$7*H296*(1-Assumptions!$C$21)+'Forecast DCF'!$M$15)*(1+G296)/(F296-G296))/(1+F296)^('Forecast DCF'!$M$6-0.5)</f>
        <v>133175.40079126004</v>
      </c>
      <c r="K296" s="49">
        <f ca="1">(I296-Assumptions!$C$12)/Assumptions!$C$9</f>
        <v>196.67380433765473</v>
      </c>
    </row>
    <row r="297" spans="2:11" outlineLevel="1" x14ac:dyDescent="0.2">
      <c r="B297" s="69">
        <f t="shared" si="21"/>
        <v>268</v>
      </c>
      <c r="C297" s="72">
        <f t="shared" ca="1" si="22"/>
        <v>0.93227772852906188</v>
      </c>
      <c r="D297" s="72">
        <f t="shared" ca="1" si="22"/>
        <v>0.86790269504013418</v>
      </c>
      <c r="E297" s="72">
        <f t="shared" ca="1" si="22"/>
        <v>0.30402968479950543</v>
      </c>
      <c r="F297" s="73">
        <f t="shared" ca="1" si="23"/>
        <v>0.13947291471109394</v>
      </c>
      <c r="G297" s="73">
        <f t="shared" ca="1" si="24"/>
        <v>3.6852413961145788E-2</v>
      </c>
      <c r="H297" s="73">
        <f t="shared" ca="1" si="25"/>
        <v>0.22678689699645016</v>
      </c>
      <c r="I297" s="57" cm="1">
        <f t="array" aca="1" ref="I297" ca="1">SUMPRODUCT('Forecast DCF'!$D$16:$M$16,1/(1+F297)^('Forecast DCF'!$D$6:$M$6-0.5))+(('Forecast DCF'!$M$7*H297*(1-Assumptions!$C$21)+'Forecast DCF'!$M$15)*(1+G297)/(F297-G297))/(1+F297)^('Forecast DCF'!$M$6-0.5)</f>
        <v>109426.43627126484</v>
      </c>
      <c r="K297" s="49">
        <f ca="1">(I297-Assumptions!$C$12)/Assumptions!$C$9</f>
        <v>153.14327977942352</v>
      </c>
    </row>
    <row r="298" spans="2:11" outlineLevel="1" x14ac:dyDescent="0.2">
      <c r="B298" s="69">
        <f t="shared" si="21"/>
        <v>269</v>
      </c>
      <c r="C298" s="72">
        <f t="shared" ca="1" si="22"/>
        <v>0.27104967237707644</v>
      </c>
      <c r="D298" s="72">
        <f t="shared" ca="1" si="22"/>
        <v>0.77546895722282749</v>
      </c>
      <c r="E298" s="72">
        <f t="shared" ca="1" si="22"/>
        <v>0.47320161769012803</v>
      </c>
      <c r="F298" s="73">
        <f t="shared" ca="1" si="23"/>
        <v>0.12603075606711803</v>
      </c>
      <c r="G298" s="73">
        <f t="shared" ca="1" si="24"/>
        <v>3.5896364025856102E-2</v>
      </c>
      <c r="H298" s="73">
        <f t="shared" ca="1" si="25"/>
        <v>0.23836995500571267</v>
      </c>
      <c r="I298" s="57" cm="1">
        <f t="array" aca="1" ref="I298" ca="1">SUMPRODUCT('Forecast DCF'!$D$16:$M$16,1/(1+F298)^('Forecast DCF'!$D$6:$M$6-0.5))+(('Forecast DCF'!$M$7*H298*(1-Assumptions!$C$21)+'Forecast DCF'!$M$15)*(1+G298)/(F298-G298))/(1+F298)^('Forecast DCF'!$M$6-0.5)</f>
        <v>147381.86502262691</v>
      </c>
      <c r="K298" s="49">
        <f ca="1">(I298-Assumptions!$C$12)/Assumptions!$C$9</f>
        <v>222.7134592282282</v>
      </c>
    </row>
    <row r="299" spans="2:11" outlineLevel="1" x14ac:dyDescent="0.2">
      <c r="B299" s="69">
        <f t="shared" si="21"/>
        <v>270</v>
      </c>
      <c r="C299" s="72">
        <f t="shared" ca="1" si="22"/>
        <v>0.74097150863109107</v>
      </c>
      <c r="D299" s="72">
        <f t="shared" ca="1" si="22"/>
        <v>0.90876663681909731</v>
      </c>
      <c r="E299" s="72">
        <f t="shared" ca="1" si="22"/>
        <v>0.24901397464377306</v>
      </c>
      <c r="F299" s="73">
        <f t="shared" ca="1" si="23"/>
        <v>0.13419053558474536</v>
      </c>
      <c r="G299" s="73">
        <f t="shared" ca="1" si="24"/>
        <v>3.7384182300203683E-2</v>
      </c>
      <c r="H299" s="73">
        <f t="shared" ca="1" si="25"/>
        <v>0.22234265718439461</v>
      </c>
      <c r="I299" s="57" cm="1">
        <f t="array" aca="1" ref="I299" ca="1">SUMPRODUCT('Forecast DCF'!$D$16:$M$16,1/(1+F299)^('Forecast DCF'!$D$6:$M$6-0.5))+(('Forecast DCF'!$M$7*H299*(1-Assumptions!$C$21)+'Forecast DCF'!$M$15)*(1+G299)/(F299-G299))/(1+F299)^('Forecast DCF'!$M$6-0.5)</f>
        <v>119550.29348336847</v>
      </c>
      <c r="K299" s="49">
        <f ca="1">(I299-Assumptions!$C$12)/Assumptions!$C$9</f>
        <v>171.69974419388095</v>
      </c>
    </row>
    <row r="300" spans="2:11" outlineLevel="1" x14ac:dyDescent="0.2">
      <c r="B300" s="69">
        <f t="shared" si="21"/>
        <v>271</v>
      </c>
      <c r="C300" s="72">
        <f t="shared" ca="1" si="22"/>
        <v>0.8557222077131772</v>
      </c>
      <c r="D300" s="72">
        <f t="shared" ca="1" si="22"/>
        <v>0.83387935853126882</v>
      </c>
      <c r="E300" s="72">
        <f t="shared" ca="1" si="22"/>
        <v>0.72151628776813825</v>
      </c>
      <c r="F300" s="73">
        <f t="shared" ca="1" si="23"/>
        <v>0.13693266387449229</v>
      </c>
      <c r="G300" s="73">
        <f t="shared" ca="1" si="24"/>
        <v>3.6470262317090003E-2</v>
      </c>
      <c r="H300" s="73">
        <f t="shared" ca="1" si="25"/>
        <v>0.25522184988111496</v>
      </c>
      <c r="I300" s="57" cm="1">
        <f t="array" aca="1" ref="I300" ca="1">SUMPRODUCT('Forecast DCF'!$D$16:$M$16,1/(1+F300)^('Forecast DCF'!$D$6:$M$6-0.5))+(('Forecast DCF'!$M$7*H300*(1-Assumptions!$C$21)+'Forecast DCF'!$M$15)*(1+G300)/(F300-G300))/(1+F300)^('Forecast DCF'!$M$6-0.5)</f>
        <v>127852.60832093981</v>
      </c>
      <c r="K300" s="49">
        <f ca="1">(I300-Assumptions!$C$12)/Assumptions!$C$9</f>
        <v>186.91742324775237</v>
      </c>
    </row>
    <row r="301" spans="2:11" outlineLevel="1" x14ac:dyDescent="0.2">
      <c r="B301" s="69">
        <f t="shared" si="21"/>
        <v>272</v>
      </c>
      <c r="C301" s="72">
        <f t="shared" ca="1" si="22"/>
        <v>0.84262419741046291</v>
      </c>
      <c r="D301" s="72">
        <f t="shared" ca="1" si="22"/>
        <v>0.74756550673289723</v>
      </c>
      <c r="E301" s="72">
        <f t="shared" ca="1" si="22"/>
        <v>0.3096609010363347</v>
      </c>
      <c r="F301" s="73">
        <f t="shared" ca="1" si="23"/>
        <v>0.13657442813779672</v>
      </c>
      <c r="G301" s="73">
        <f t="shared" ca="1" si="24"/>
        <v>3.5648840729755722E-2</v>
      </c>
      <c r="H301" s="73">
        <f t="shared" ca="1" si="25"/>
        <v>0.22721820080712107</v>
      </c>
      <c r="I301" s="57" cm="1">
        <f t="array" aca="1" ref="I301" ca="1">SUMPRODUCT('Forecast DCF'!$D$16:$M$16,1/(1+F301)^('Forecast DCF'!$D$6:$M$6-0.5))+(('Forecast DCF'!$M$7*H301*(1-Assumptions!$C$21)+'Forecast DCF'!$M$15)*(1+G301)/(F301-G301))/(1+F301)^('Forecast DCF'!$M$6-0.5)</f>
        <v>114465.16810468095</v>
      </c>
      <c r="K301" s="49">
        <f ca="1">(I301-Assumptions!$C$12)/Assumptions!$C$9</f>
        <v>162.37899359895411</v>
      </c>
    </row>
    <row r="302" spans="2:11" outlineLevel="1" x14ac:dyDescent="0.2">
      <c r="B302" s="69">
        <f t="shared" si="21"/>
        <v>273</v>
      </c>
      <c r="C302" s="72">
        <f t="shared" ca="1" si="22"/>
        <v>0.80332851396126548</v>
      </c>
      <c r="D302" s="72">
        <f t="shared" ca="1" si="22"/>
        <v>0.99894936534878631</v>
      </c>
      <c r="E302" s="72">
        <f t="shared" ca="1" si="22"/>
        <v>0.31080885994269614</v>
      </c>
      <c r="F302" s="73">
        <f t="shared" ca="1" si="23"/>
        <v>0.13558108001013411</v>
      </c>
      <c r="G302" s="73">
        <f t="shared" ca="1" si="24"/>
        <v>3.9719290899967556E-2</v>
      </c>
      <c r="H302" s="73">
        <f t="shared" ca="1" si="25"/>
        <v>0.22730564228067737</v>
      </c>
      <c r="I302" s="57" cm="1">
        <f t="array" aca="1" ref="I302" ca="1">SUMPRODUCT('Forecast DCF'!$D$16:$M$16,1/(1+F302)^('Forecast DCF'!$D$6:$M$6-0.5))+(('Forecast DCF'!$M$7*H302*(1-Assumptions!$C$21)+'Forecast DCF'!$M$15)*(1+G302)/(F302-G302))/(1+F302)^('Forecast DCF'!$M$6-0.5)</f>
        <v>121733.30003512412</v>
      </c>
      <c r="K302" s="49">
        <f ca="1">(I302-Assumptions!$C$12)/Assumptions!$C$9</f>
        <v>175.70107318790809</v>
      </c>
    </row>
    <row r="303" spans="2:11" outlineLevel="1" x14ac:dyDescent="0.2">
      <c r="B303" s="69">
        <f t="shared" si="21"/>
        <v>274</v>
      </c>
      <c r="C303" s="72">
        <f t="shared" ca="1" si="22"/>
        <v>0.19818075198902452</v>
      </c>
      <c r="D303" s="72">
        <f t="shared" ca="1" si="22"/>
        <v>0.13150758675243879</v>
      </c>
      <c r="E303" s="72">
        <f t="shared" ca="1" si="22"/>
        <v>0.50817776637723888</v>
      </c>
      <c r="F303" s="73">
        <f t="shared" ca="1" si="23"/>
        <v>0.12443216899622295</v>
      </c>
      <c r="G303" s="73">
        <f t="shared" ca="1" si="24"/>
        <v>2.9441411713956027E-2</v>
      </c>
      <c r="H303" s="73">
        <f t="shared" ca="1" si="25"/>
        <v>0.24049268883503572</v>
      </c>
      <c r="I303" s="57" cm="1">
        <f t="array" aca="1" ref="I303" ca="1">SUMPRODUCT('Forecast DCF'!$D$16:$M$16,1/(1+F303)^('Forecast DCF'!$D$6:$M$6-0.5))+(('Forecast DCF'!$M$7*H303*(1-Assumptions!$C$21)+'Forecast DCF'!$M$15)*(1+G303)/(F303-G303))/(1+F303)^('Forecast DCF'!$M$6-0.5)</f>
        <v>142973.47693222275</v>
      </c>
      <c r="K303" s="49">
        <f ca="1">(I303-Assumptions!$C$12)/Assumptions!$C$9</f>
        <v>214.63313025767522</v>
      </c>
    </row>
    <row r="304" spans="2:11" outlineLevel="1" x14ac:dyDescent="0.2">
      <c r="B304" s="69">
        <f t="shared" si="21"/>
        <v>275</v>
      </c>
      <c r="C304" s="72">
        <f t="shared" ca="1" si="22"/>
        <v>0.85239616712694233</v>
      </c>
      <c r="D304" s="72">
        <f t="shared" ca="1" si="22"/>
        <v>0.41226063224389509</v>
      </c>
      <c r="E304" s="72">
        <f t="shared" ca="1" si="22"/>
        <v>0.91270569417590264</v>
      </c>
      <c r="F304" s="73">
        <f t="shared" ca="1" si="23"/>
        <v>0.13684020542070277</v>
      </c>
      <c r="G304" s="73">
        <f t="shared" ca="1" si="24"/>
        <v>3.2863783748081091E-2</v>
      </c>
      <c r="H304" s="73">
        <f t="shared" ca="1" si="25"/>
        <v>0.27492971875041083</v>
      </c>
      <c r="I304" s="57" cm="1">
        <f t="array" aca="1" ref="I304" ca="1">SUMPRODUCT('Forecast DCF'!$D$16:$M$16,1/(1+F304)^('Forecast DCF'!$D$6:$M$6-0.5))+(('Forecast DCF'!$M$7*H304*(1-Assumptions!$C$21)+'Forecast DCF'!$M$15)*(1+G304)/(F304-G304))/(1+F304)^('Forecast DCF'!$M$6-0.5)</f>
        <v>132490.9852701179</v>
      </c>
      <c r="K304" s="49">
        <f ca="1">(I304-Assumptions!$C$12)/Assumptions!$C$9</f>
        <v>195.41930894161217</v>
      </c>
    </row>
    <row r="305" spans="2:11" outlineLevel="1" x14ac:dyDescent="0.2">
      <c r="B305" s="69">
        <f t="shared" si="21"/>
        <v>276</v>
      </c>
      <c r="C305" s="72">
        <f t="shared" ca="1" si="22"/>
        <v>0.46924465350588984</v>
      </c>
      <c r="D305" s="72">
        <f t="shared" ca="1" si="22"/>
        <v>0.49552849886493011</v>
      </c>
      <c r="E305" s="72">
        <f t="shared" ca="1" si="22"/>
        <v>0.39959380205984374</v>
      </c>
      <c r="F305" s="73">
        <f t="shared" ca="1" si="23"/>
        <v>0.12951377893671862</v>
      </c>
      <c r="G305" s="73">
        <f t="shared" ca="1" si="24"/>
        <v>3.3621442734817625E-2</v>
      </c>
      <c r="H305" s="73">
        <f t="shared" ca="1" si="25"/>
        <v>0.23363837595258524</v>
      </c>
      <c r="I305" s="57" cm="1">
        <f t="array" aca="1" ref="I305" ca="1">SUMPRODUCT('Forecast DCF'!$D$16:$M$16,1/(1+F305)^('Forecast DCF'!$D$6:$M$6-0.5))+(('Forecast DCF'!$M$7*H305*(1-Assumptions!$C$21)+'Forecast DCF'!$M$15)*(1+G305)/(F305-G305))/(1+F305)^('Forecast DCF'!$M$6-0.5)</f>
        <v>131802.82973833143</v>
      </c>
      <c r="K305" s="49">
        <f ca="1">(I305-Assumptions!$C$12)/Assumptions!$C$9</f>
        <v>194.1579583150999</v>
      </c>
    </row>
    <row r="306" spans="2:11" outlineLevel="1" x14ac:dyDescent="0.2">
      <c r="B306" s="69">
        <f t="shared" si="21"/>
        <v>277</v>
      </c>
      <c r="C306" s="72">
        <f t="shared" ca="1" si="22"/>
        <v>0.50963537725026253</v>
      </c>
      <c r="D306" s="72">
        <f t="shared" ca="1" si="22"/>
        <v>0.37354315509455538</v>
      </c>
      <c r="E306" s="72">
        <f t="shared" ca="1" si="22"/>
        <v>0.20262225512018983</v>
      </c>
      <c r="F306" s="73">
        <f t="shared" ca="1" si="23"/>
        <v>0.13012729467195255</v>
      </c>
      <c r="G306" s="73">
        <f t="shared" ca="1" si="24"/>
        <v>3.2485417374080311E-2</v>
      </c>
      <c r="H306" s="73">
        <f t="shared" ca="1" si="25"/>
        <v>0.21819529076817412</v>
      </c>
      <c r="I306" s="57" cm="1">
        <f t="array" aca="1" ref="I306" ca="1">SUMPRODUCT('Forecast DCF'!$D$16:$M$16,1/(1+F306)^('Forecast DCF'!$D$6:$M$6-0.5))+(('Forecast DCF'!$M$7*H306*(1-Assumptions!$C$21)+'Forecast DCF'!$M$15)*(1+G306)/(F306-G306))/(1+F306)^('Forecast DCF'!$M$6-0.5)</f>
        <v>120804.89286383503</v>
      </c>
      <c r="K306" s="49">
        <f ca="1">(I306-Assumptions!$C$12)/Assumptions!$C$9</f>
        <v>173.99935473463358</v>
      </c>
    </row>
    <row r="307" spans="2:11" outlineLevel="1" x14ac:dyDescent="0.2">
      <c r="B307" s="69">
        <f t="shared" si="21"/>
        <v>278</v>
      </c>
      <c r="C307" s="72">
        <f t="shared" ca="1" si="22"/>
        <v>0.42048359090417509</v>
      </c>
      <c r="D307" s="72">
        <f t="shared" ca="1" si="22"/>
        <v>0.18631688293659887</v>
      </c>
      <c r="E307" s="72">
        <f t="shared" ca="1" si="22"/>
        <v>0.48423134058840589</v>
      </c>
      <c r="F307" s="73">
        <f t="shared" ca="1" si="23"/>
        <v>0.12873900759527523</v>
      </c>
      <c r="G307" s="73">
        <f t="shared" ca="1" si="24"/>
        <v>3.0286542579086057E-2</v>
      </c>
      <c r="H307" s="73">
        <f t="shared" ca="1" si="25"/>
        <v>0.23904630091916446</v>
      </c>
      <c r="I307" s="57" cm="1">
        <f t="array" aca="1" ref="I307" ca="1">SUMPRODUCT('Forecast DCF'!$D$16:$M$16,1/(1+F307)^('Forecast DCF'!$D$6:$M$6-0.5))+(('Forecast DCF'!$M$7*H307*(1-Assumptions!$C$21)+'Forecast DCF'!$M$15)*(1+G307)/(F307-G307))/(1+F307)^('Forecast DCF'!$M$6-0.5)</f>
        <v>132014.38801182227</v>
      </c>
      <c r="K307" s="49">
        <f ca="1">(I307-Assumptions!$C$12)/Assumptions!$C$9</f>
        <v>194.54573280572816</v>
      </c>
    </row>
    <row r="308" spans="2:11" outlineLevel="1" x14ac:dyDescent="0.2">
      <c r="B308" s="69">
        <f t="shared" si="21"/>
        <v>279</v>
      </c>
      <c r="C308" s="72">
        <f t="shared" ca="1" si="22"/>
        <v>0.51984217832922586</v>
      </c>
      <c r="D308" s="72">
        <f t="shared" ca="1" si="22"/>
        <v>0.11625107917154243</v>
      </c>
      <c r="E308" s="72">
        <f t="shared" ca="1" si="22"/>
        <v>0.84471249823616623</v>
      </c>
      <c r="F308" s="73">
        <f t="shared" ca="1" si="23"/>
        <v>0.13028289419949585</v>
      </c>
      <c r="G308" s="73">
        <f t="shared" ca="1" si="24"/>
        <v>2.9175842654570617E-2</v>
      </c>
      <c r="H308" s="73">
        <f t="shared" ca="1" si="25"/>
        <v>0.26656244607182511</v>
      </c>
      <c r="I308" s="57" cm="1">
        <f t="array" aca="1" ref="I308" ca="1">SUMPRODUCT('Forecast DCF'!$D$16:$M$16,1/(1+F308)^('Forecast DCF'!$D$6:$M$6-0.5))+(('Forecast DCF'!$M$7*H308*(1-Assumptions!$C$21)+'Forecast DCF'!$M$15)*(1+G308)/(F308-G308))/(1+F308)^('Forecast DCF'!$M$6-0.5)</f>
        <v>140311.46572719485</v>
      </c>
      <c r="K308" s="49">
        <f ca="1">(I308-Assumptions!$C$12)/Assumptions!$C$9</f>
        <v>209.75381250732906</v>
      </c>
    </row>
    <row r="309" spans="2:11" outlineLevel="1" x14ac:dyDescent="0.2">
      <c r="B309" s="69">
        <f t="shared" si="21"/>
        <v>280</v>
      </c>
      <c r="C309" s="72">
        <f t="shared" ca="1" si="22"/>
        <v>4.9334026139028708E-2</v>
      </c>
      <c r="D309" s="72">
        <f t="shared" ca="1" si="22"/>
        <v>0.69582933954128057</v>
      </c>
      <c r="E309" s="72">
        <f t="shared" ca="1" si="22"/>
        <v>0.32003463024182299</v>
      </c>
      <c r="F309" s="73">
        <f t="shared" ca="1" si="23"/>
        <v>0.11970602377818236</v>
      </c>
      <c r="G309" s="73">
        <f t="shared" ca="1" si="24"/>
        <v>3.5223725349772694E-2</v>
      </c>
      <c r="H309" s="73">
        <f t="shared" ca="1" si="25"/>
        <v>0.22800259719787175</v>
      </c>
      <c r="I309" s="57" cm="1">
        <f t="array" aca="1" ref="I309" ca="1">SUMPRODUCT('Forecast DCF'!$D$16:$M$16,1/(1+F309)^('Forecast DCF'!$D$6:$M$6-0.5))+(('Forecast DCF'!$M$7*H309*(1-Assumptions!$C$21)+'Forecast DCF'!$M$15)*(1+G309)/(F309-G309))/(1+F309)^('Forecast DCF'!$M$6-0.5)</f>
        <v>159449.90352841598</v>
      </c>
      <c r="K309" s="49">
        <f ca="1">(I309-Assumptions!$C$12)/Assumptions!$C$9</f>
        <v>244.83349928739105</v>
      </c>
    </row>
    <row r="310" spans="2:11" outlineLevel="1" x14ac:dyDescent="0.2">
      <c r="B310" s="69">
        <f t="shared" si="21"/>
        <v>281</v>
      </c>
      <c r="C310" s="72">
        <f t="shared" ca="1" si="22"/>
        <v>0.33852848024814908</v>
      </c>
      <c r="D310" s="72">
        <f t="shared" ca="1" si="22"/>
        <v>0.76561324860039981</v>
      </c>
      <c r="E310" s="72">
        <f t="shared" ca="1" si="22"/>
        <v>0.85451080971609616</v>
      </c>
      <c r="F310" s="73">
        <f t="shared" ca="1" si="23"/>
        <v>0.12732759741790556</v>
      </c>
      <c r="G310" s="73">
        <f t="shared" ca="1" si="24"/>
        <v>3.5807267435792024E-2</v>
      </c>
      <c r="H310" s="73">
        <f t="shared" ca="1" si="25"/>
        <v>0.26763455283726012</v>
      </c>
      <c r="I310" s="57" cm="1">
        <f t="array" aca="1" ref="I310" ca="1">SUMPRODUCT('Forecast DCF'!$D$16:$M$16,1/(1+F310)^('Forecast DCF'!$D$6:$M$6-0.5))+(('Forecast DCF'!$M$7*H310*(1-Assumptions!$C$21)+'Forecast DCF'!$M$15)*(1+G310)/(F310-G310))/(1+F310)^('Forecast DCF'!$M$6-0.5)</f>
        <v>159925.25351657817</v>
      </c>
      <c r="K310" s="49">
        <f ca="1">(I310-Assumptions!$C$12)/Assumptions!$C$9</f>
        <v>245.70478924683445</v>
      </c>
    </row>
    <row r="311" spans="2:11" outlineLevel="1" x14ac:dyDescent="0.2">
      <c r="B311" s="69">
        <f t="shared" si="21"/>
        <v>282</v>
      </c>
      <c r="C311" s="72">
        <f t="shared" ca="1" si="22"/>
        <v>0.7699105414532319</v>
      </c>
      <c r="D311" s="72">
        <f t="shared" ca="1" si="22"/>
        <v>0.39072336852794165</v>
      </c>
      <c r="E311" s="72">
        <f t="shared" ca="1" si="22"/>
        <v>0.70165832473150369</v>
      </c>
      <c r="F311" s="73">
        <f t="shared" ca="1" si="23"/>
        <v>0.13481223850555452</v>
      </c>
      <c r="G311" s="73">
        <f t="shared" ca="1" si="24"/>
        <v>3.265561919632836E-2</v>
      </c>
      <c r="H311" s="73">
        <f t="shared" ca="1" si="25"/>
        <v>0.25365283113357218</v>
      </c>
      <c r="I311" s="57" cm="1">
        <f t="array" aca="1" ref="I311" ca="1">SUMPRODUCT('Forecast DCF'!$D$16:$M$16,1/(1+F311)^('Forecast DCF'!$D$6:$M$6-0.5))+(('Forecast DCF'!$M$7*H311*(1-Assumptions!$C$21)+'Forecast DCF'!$M$15)*(1+G311)/(F311-G311))/(1+F311)^('Forecast DCF'!$M$6-0.5)</f>
        <v>127329.79948263425</v>
      </c>
      <c r="K311" s="49">
        <f ca="1">(I311-Assumptions!$C$12)/Assumptions!$C$9</f>
        <v>185.95914386862577</v>
      </c>
    </row>
    <row r="312" spans="2:11" outlineLevel="1" x14ac:dyDescent="0.2">
      <c r="B312" s="69">
        <f t="shared" si="21"/>
        <v>283</v>
      </c>
      <c r="C312" s="72">
        <f t="shared" ca="1" si="22"/>
        <v>0.90454972293630365</v>
      </c>
      <c r="D312" s="72">
        <f t="shared" ca="1" si="22"/>
        <v>0.55573911667769982</v>
      </c>
      <c r="E312" s="72">
        <f t="shared" ca="1" si="22"/>
        <v>8.2635087156472942E-3</v>
      </c>
      <c r="F312" s="73">
        <f t="shared" ca="1" si="23"/>
        <v>0.13843826020077019</v>
      </c>
      <c r="G312" s="73">
        <f t="shared" ca="1" si="24"/>
        <v>3.4130217275708995E-2</v>
      </c>
      <c r="H312" s="73">
        <f t="shared" ca="1" si="25"/>
        <v>0.18771344687883831</v>
      </c>
      <c r="I312" s="57" cm="1">
        <f t="array" aca="1" ref="I312" ca="1">SUMPRODUCT('Forecast DCF'!$D$16:$M$16,1/(1+F312)^('Forecast DCF'!$D$6:$M$6-0.5))+(('Forecast DCF'!$M$7*H312*(1-Assumptions!$C$21)+'Forecast DCF'!$M$15)*(1+G312)/(F312-G312))/(1+F312)^('Forecast DCF'!$M$6-0.5)</f>
        <v>91129.930392578186</v>
      </c>
      <c r="K312" s="49">
        <f ca="1">(I312-Assumptions!$C$12)/Assumptions!$C$9</f>
        <v>119.60680715505191</v>
      </c>
    </row>
    <row r="313" spans="2:11" outlineLevel="1" x14ac:dyDescent="0.2">
      <c r="B313" s="69">
        <f t="shared" si="21"/>
        <v>284</v>
      </c>
      <c r="C313" s="72">
        <f t="shared" ca="1" si="22"/>
        <v>0.82156112033882045</v>
      </c>
      <c r="D313" s="72">
        <f t="shared" ca="1" si="22"/>
        <v>9.8563692942006287E-2</v>
      </c>
      <c r="E313" s="72">
        <f t="shared" ca="1" si="22"/>
        <v>0.13861540668564898</v>
      </c>
      <c r="F313" s="73">
        <f t="shared" ca="1" si="23"/>
        <v>0.13602829155068022</v>
      </c>
      <c r="G313" s="73">
        <f t="shared" ca="1" si="24"/>
        <v>2.8845068782388808E-2</v>
      </c>
      <c r="H313" s="73">
        <f t="shared" ca="1" si="25"/>
        <v>0.21159162750060009</v>
      </c>
      <c r="I313" s="57" cm="1">
        <f t="array" aca="1" ref="I313" ca="1">SUMPRODUCT('Forecast DCF'!$D$16:$M$16,1/(1+F313)^('Forecast DCF'!$D$6:$M$6-0.5))+(('Forecast DCF'!$M$7*H313*(1-Assumptions!$C$21)+'Forecast DCF'!$M$15)*(1+G313)/(F313-G313))/(1+F313)^('Forecast DCF'!$M$6-0.5)</f>
        <v>101293.79676417093</v>
      </c>
      <c r="K313" s="49">
        <f ca="1">(I313-Assumptions!$C$12)/Assumptions!$C$9</f>
        <v>138.23660612261077</v>
      </c>
    </row>
    <row r="314" spans="2:11" outlineLevel="1" x14ac:dyDescent="0.2">
      <c r="B314" s="69">
        <f t="shared" si="21"/>
        <v>285</v>
      </c>
      <c r="C314" s="72">
        <f t="shared" ca="1" si="22"/>
        <v>0.29087730675479606</v>
      </c>
      <c r="D314" s="72">
        <f t="shared" ca="1" si="22"/>
        <v>0.24246696088336117</v>
      </c>
      <c r="E314" s="72">
        <f t="shared" ca="1" si="22"/>
        <v>7.6612116648521078E-2</v>
      </c>
      <c r="F314" s="73">
        <f t="shared" ca="1" si="23"/>
        <v>0.12642709288682902</v>
      </c>
      <c r="G314" s="73">
        <f t="shared" ca="1" si="24"/>
        <v>3.1030758172278523E-2</v>
      </c>
      <c r="H314" s="73">
        <f t="shared" ca="1" si="25"/>
        <v>0.20348632027094393</v>
      </c>
      <c r="I314" s="57" cm="1">
        <f t="array" aca="1" ref="I314" ca="1">SUMPRODUCT('Forecast DCF'!$D$16:$M$16,1/(1+F314)^('Forecast DCF'!$D$6:$M$6-0.5))+(('Forecast DCF'!$M$7*H314*(1-Assumptions!$C$21)+'Forecast DCF'!$M$15)*(1+G314)/(F314-G314))/(1+F314)^('Forecast DCF'!$M$6-0.5)</f>
        <v>119884.94015722116</v>
      </c>
      <c r="K314" s="49">
        <f ca="1">(I314-Assumptions!$C$12)/Assumptions!$C$9</f>
        <v>172.3131328425612</v>
      </c>
    </row>
    <row r="315" spans="2:11" outlineLevel="1" x14ac:dyDescent="0.2">
      <c r="B315" s="69">
        <f t="shared" si="21"/>
        <v>286</v>
      </c>
      <c r="C315" s="72">
        <f t="shared" ca="1" si="22"/>
        <v>0.87503302672737227</v>
      </c>
      <c r="D315" s="72">
        <f t="shared" ca="1" si="22"/>
        <v>0.41116225427228137</v>
      </c>
      <c r="E315" s="72">
        <f t="shared" ca="1" si="22"/>
        <v>8.3908887970694179E-2</v>
      </c>
      <c r="F315" s="73">
        <f t="shared" ca="1" si="23"/>
        <v>0.13749193482867367</v>
      </c>
      <c r="G315" s="73">
        <f t="shared" ca="1" si="24"/>
        <v>3.2853301098317966E-2</v>
      </c>
      <c r="H315" s="73">
        <f t="shared" ca="1" si="25"/>
        <v>0.20457934078426429</v>
      </c>
      <c r="I315" s="57" cm="1">
        <f t="array" aca="1" ref="I315" ca="1">SUMPRODUCT('Forecast DCF'!$D$16:$M$16,1/(1+F315)^('Forecast DCF'!$D$6:$M$6-0.5))+(('Forecast DCF'!$M$7*H315*(1-Assumptions!$C$21)+'Forecast DCF'!$M$15)*(1+G315)/(F315-G315))/(1+F315)^('Forecast DCF'!$M$6-0.5)</f>
        <v>99239.612430681838</v>
      </c>
      <c r="K315" s="49">
        <f ca="1">(I315-Assumptions!$C$12)/Assumptions!$C$9</f>
        <v>134.47140105437316</v>
      </c>
    </row>
    <row r="316" spans="2:11" outlineLevel="1" x14ac:dyDescent="0.2">
      <c r="B316" s="69">
        <f t="shared" si="21"/>
        <v>287</v>
      </c>
      <c r="C316" s="72">
        <f t="shared" ca="1" si="22"/>
        <v>0.94637679714389455</v>
      </c>
      <c r="D316" s="72">
        <f t="shared" ca="1" si="22"/>
        <v>0.90866570769295896</v>
      </c>
      <c r="E316" s="72">
        <f t="shared" ca="1" si="22"/>
        <v>0.81647816533983208</v>
      </c>
      <c r="F316" s="73">
        <f t="shared" ca="1" si="23"/>
        <v>0.14008179323007605</v>
      </c>
      <c r="G316" s="73">
        <f t="shared" ca="1" si="24"/>
        <v>3.7382735794187362E-2</v>
      </c>
      <c r="H316" s="73">
        <f t="shared" ca="1" si="25"/>
        <v>0.26364952256774044</v>
      </c>
      <c r="I316" s="57" cm="1">
        <f t="array" aca="1" ref="I316" ca="1">SUMPRODUCT('Forecast DCF'!$D$16:$M$16,1/(1+F316)^('Forecast DCF'!$D$6:$M$6-0.5))+(('Forecast DCF'!$M$7*H316*(1-Assumptions!$C$21)+'Forecast DCF'!$M$15)*(1+G316)/(F316-G316))/(1+F316)^('Forecast DCF'!$M$6-0.5)</f>
        <v>125336.89899107783</v>
      </c>
      <c r="K316" s="49">
        <f ca="1">(I316-Assumptions!$C$12)/Assumptions!$C$9</f>
        <v>182.30626865729741</v>
      </c>
    </row>
    <row r="317" spans="2:11" outlineLevel="1" x14ac:dyDescent="0.2">
      <c r="B317" s="69">
        <f t="shared" si="21"/>
        <v>288</v>
      </c>
      <c r="C317" s="72">
        <f t="shared" ca="1" si="22"/>
        <v>0.65511523989891585</v>
      </c>
      <c r="D317" s="72">
        <f t="shared" ca="1" si="22"/>
        <v>0.25785765699825769</v>
      </c>
      <c r="E317" s="72">
        <f t="shared" ca="1" si="22"/>
        <v>0.19031223508190009</v>
      </c>
      <c r="F317" s="73">
        <f t="shared" ca="1" si="23"/>
        <v>0.13252710087152048</v>
      </c>
      <c r="G317" s="73">
        <f t="shared" ca="1" si="24"/>
        <v>3.1219216071961053E-2</v>
      </c>
      <c r="H317" s="73">
        <f t="shared" ca="1" si="25"/>
        <v>0.21701686227369466</v>
      </c>
      <c r="I317" s="57" cm="1">
        <f t="array" aca="1" ref="I317" ca="1">SUMPRODUCT('Forecast DCF'!$D$16:$M$16,1/(1+F317)^('Forecast DCF'!$D$6:$M$6-0.5))+(('Forecast DCF'!$M$7*H317*(1-Assumptions!$C$21)+'Forecast DCF'!$M$15)*(1+G317)/(F317-G317))/(1+F317)^('Forecast DCF'!$M$6-0.5)</f>
        <v>113341.80513015558</v>
      </c>
      <c r="K317" s="49">
        <f ca="1">(I317-Assumptions!$C$12)/Assumptions!$C$9</f>
        <v>160.31993205506183</v>
      </c>
    </row>
    <row r="318" spans="2:11" outlineLevel="1" x14ac:dyDescent="0.2">
      <c r="B318" s="69">
        <f t="shared" si="21"/>
        <v>289</v>
      </c>
      <c r="C318" s="72">
        <f t="shared" ca="1" si="22"/>
        <v>0.38558358909787571</v>
      </c>
      <c r="D318" s="72">
        <f t="shared" ca="1" si="22"/>
        <v>0.89777066394753824</v>
      </c>
      <c r="E318" s="72">
        <f t="shared" ca="1" si="22"/>
        <v>0.25099304011211221</v>
      </c>
      <c r="F318" s="73">
        <f t="shared" ca="1" si="23"/>
        <v>0.12815649206654084</v>
      </c>
      <c r="G318" s="73">
        <f t="shared" ca="1" si="24"/>
        <v>3.7231029035194728E-2</v>
      </c>
      <c r="H318" s="73">
        <f t="shared" ca="1" si="25"/>
        <v>0.22251058560884815</v>
      </c>
      <c r="I318" s="57" cm="1">
        <f t="array" aca="1" ref="I318" ca="1">SUMPRODUCT('Forecast DCF'!$D$16:$M$16,1/(1+F318)^('Forecast DCF'!$D$6:$M$6-0.5))+(('Forecast DCF'!$M$7*H318*(1-Assumptions!$C$21)+'Forecast DCF'!$M$15)*(1+G318)/(F318-G318))/(1+F318)^('Forecast DCF'!$M$6-0.5)</f>
        <v>134478.16505654601</v>
      </c>
      <c r="K318" s="49">
        <f ca="1">(I318-Assumptions!$C$12)/Assumptions!$C$9</f>
        <v>199.06169842018917</v>
      </c>
    </row>
    <row r="319" spans="2:11" outlineLevel="1" x14ac:dyDescent="0.2">
      <c r="B319" s="69">
        <f t="shared" si="21"/>
        <v>290</v>
      </c>
      <c r="C319" s="72">
        <f t="shared" ca="1" si="22"/>
        <v>0.59195221085385863</v>
      </c>
      <c r="D319" s="72">
        <f t="shared" ca="1" si="22"/>
        <v>0.23690403934343962</v>
      </c>
      <c r="E319" s="72">
        <f t="shared" ca="1" si="22"/>
        <v>0.56455478474532261</v>
      </c>
      <c r="F319" s="73">
        <f t="shared" ca="1" si="23"/>
        <v>0.13143293447054172</v>
      </c>
      <c r="G319" s="73">
        <f t="shared" ca="1" si="24"/>
        <v>3.0961174875938129E-2</v>
      </c>
      <c r="H319" s="73">
        <f t="shared" ca="1" si="25"/>
        <v>0.24400709375435423</v>
      </c>
      <c r="I319" s="57" cm="1">
        <f t="array" aca="1" ref="I319" ca="1">SUMPRODUCT('Forecast DCF'!$D$16:$M$16,1/(1+F319)^('Forecast DCF'!$D$6:$M$6-0.5))+(('Forecast DCF'!$M$7*H319*(1-Assumptions!$C$21)+'Forecast DCF'!$M$15)*(1+G319)/(F319-G319))/(1+F319)^('Forecast DCF'!$M$6-0.5)</f>
        <v>128704.54747270167</v>
      </c>
      <c r="K319" s="49">
        <f ca="1">(I319-Assumptions!$C$12)/Assumptions!$C$9</f>
        <v>188.47898009527998</v>
      </c>
    </row>
    <row r="320" spans="2:11" outlineLevel="1" x14ac:dyDescent="0.2">
      <c r="B320" s="69">
        <f t="shared" si="21"/>
        <v>291</v>
      </c>
      <c r="C320" s="72">
        <f t="shared" ca="1" si="22"/>
        <v>0.5267285141549245</v>
      </c>
      <c r="D320" s="72">
        <f t="shared" ca="1" si="22"/>
        <v>0.44769910765714671</v>
      </c>
      <c r="E320" s="72">
        <f t="shared" ca="1" si="22"/>
        <v>0.91977459864995204</v>
      </c>
      <c r="F320" s="73">
        <f t="shared" ca="1" si="23"/>
        <v>0.13038881035087171</v>
      </c>
      <c r="G320" s="73">
        <f t="shared" ca="1" si="24"/>
        <v>3.3194807267323136E-2</v>
      </c>
      <c r="H320" s="73">
        <f t="shared" ca="1" si="25"/>
        <v>0.27596621357920592</v>
      </c>
      <c r="I320" s="57" cm="1">
        <f t="array" aca="1" ref="I320" ca="1">SUMPRODUCT('Forecast DCF'!$D$16:$M$16,1/(1+F320)^('Forecast DCF'!$D$6:$M$6-0.5))+(('Forecast DCF'!$M$7*H320*(1-Assumptions!$C$21)+'Forecast DCF'!$M$15)*(1+G320)/(F320-G320))/(1+F320)^('Forecast DCF'!$M$6-0.5)</f>
        <v>150767.93548532692</v>
      </c>
      <c r="K320" s="49">
        <f ca="1">(I320-Assumptions!$C$12)/Assumptions!$C$9</f>
        <v>228.91993712785893</v>
      </c>
    </row>
    <row r="321" spans="2:11" outlineLevel="1" x14ac:dyDescent="0.2">
      <c r="B321" s="69">
        <f t="shared" si="21"/>
        <v>292</v>
      </c>
      <c r="C321" s="72">
        <f t="shared" ca="1" si="22"/>
        <v>0.50471038230802767</v>
      </c>
      <c r="D321" s="72">
        <f t="shared" ca="1" si="22"/>
        <v>0.19943892349671666</v>
      </c>
      <c r="E321" s="72">
        <f t="shared" ca="1" si="22"/>
        <v>0.81141736574787693</v>
      </c>
      <c r="F321" s="73">
        <f t="shared" ca="1" si="23"/>
        <v>0.13005279398845515</v>
      </c>
      <c r="G321" s="73">
        <f t="shared" ca="1" si="24"/>
        <v>3.0469537322709073E-2</v>
      </c>
      <c r="H321" s="73">
        <f t="shared" ca="1" si="25"/>
        <v>0.26315173048004442</v>
      </c>
      <c r="I321" s="57" cm="1">
        <f t="array" aca="1" ref="I321" ca="1">SUMPRODUCT('Forecast DCF'!$D$16:$M$16,1/(1+F321)^('Forecast DCF'!$D$6:$M$6-0.5))+(('Forecast DCF'!$M$7*H321*(1-Assumptions!$C$21)+'Forecast DCF'!$M$15)*(1+G321)/(F321-G321))/(1+F321)^('Forecast DCF'!$M$6-0.5)</f>
        <v>141076.97914349352</v>
      </c>
      <c r="K321" s="49">
        <f ca="1">(I321-Assumptions!$C$12)/Assumptions!$C$9</f>
        <v>211.15695581236827</v>
      </c>
    </row>
    <row r="322" spans="2:11" outlineLevel="1" x14ac:dyDescent="0.2">
      <c r="B322" s="69">
        <f t="shared" si="21"/>
        <v>293</v>
      </c>
      <c r="C322" s="72">
        <f t="shared" ca="1" si="22"/>
        <v>0.31844133283164278</v>
      </c>
      <c r="D322" s="72">
        <f t="shared" ca="1" si="22"/>
        <v>0.75987345388682848</v>
      </c>
      <c r="E322" s="72">
        <f t="shared" ca="1" si="22"/>
        <v>0.16288439316582037</v>
      </c>
      <c r="F322" s="73">
        <f t="shared" ca="1" si="23"/>
        <v>0.12695626559697157</v>
      </c>
      <c r="G322" s="73">
        <f t="shared" ca="1" si="24"/>
        <v>3.5756240940099465E-2</v>
      </c>
      <c r="H322" s="73">
        <f t="shared" ca="1" si="25"/>
        <v>0.21424569506951066</v>
      </c>
      <c r="I322" s="57" cm="1">
        <f t="array" aca="1" ref="I322" ca="1">SUMPRODUCT('Forecast DCF'!$D$16:$M$16,1/(1+F322)^('Forecast DCF'!$D$6:$M$6-0.5))+(('Forecast DCF'!$M$7*H322*(1-Assumptions!$C$21)+'Forecast DCF'!$M$15)*(1+G322)/(F322-G322))/(1+F322)^('Forecast DCF'!$M$6-0.5)</f>
        <v>130838.30543639431</v>
      </c>
      <c r="K322" s="49">
        <f ca="1">(I322-Assumptions!$C$12)/Assumptions!$C$9</f>
        <v>192.3900391800515</v>
      </c>
    </row>
    <row r="323" spans="2:11" outlineLevel="1" x14ac:dyDescent="0.2">
      <c r="B323" s="69">
        <f t="shared" si="21"/>
        <v>294</v>
      </c>
      <c r="C323" s="72">
        <f t="shared" ca="1" si="22"/>
        <v>0.7605847480879353</v>
      </c>
      <c r="D323" s="72">
        <f t="shared" ca="1" si="22"/>
        <v>0.77450477810482754</v>
      </c>
      <c r="E323" s="72">
        <f t="shared" ca="1" si="22"/>
        <v>0.5183671066938198</v>
      </c>
      <c r="F323" s="73">
        <f t="shared" ca="1" si="23"/>
        <v>0.13460782826783604</v>
      </c>
      <c r="G323" s="73">
        <f t="shared" ca="1" si="24"/>
        <v>3.5887562566781356E-2</v>
      </c>
      <c r="H323" s="73">
        <f t="shared" ca="1" si="25"/>
        <v>0.2411123371850733</v>
      </c>
      <c r="I323" s="57" cm="1">
        <f t="array" aca="1" ref="I323" ca="1">SUMPRODUCT('Forecast DCF'!$D$16:$M$16,1/(1+F323)^('Forecast DCF'!$D$6:$M$6-0.5))+(('Forecast DCF'!$M$7*H323*(1-Assumptions!$C$21)+'Forecast DCF'!$M$15)*(1+G323)/(F323-G323))/(1+F323)^('Forecast DCF'!$M$6-0.5)</f>
        <v>125958.26483467632</v>
      </c>
      <c r="K323" s="49">
        <f ca="1">(I323-Assumptions!$C$12)/Assumptions!$C$9</f>
        <v>183.44519751845414</v>
      </c>
    </row>
    <row r="324" spans="2:11" outlineLevel="1" x14ac:dyDescent="0.2">
      <c r="B324" s="69">
        <f t="shared" si="21"/>
        <v>295</v>
      </c>
      <c r="C324" s="72">
        <f t="shared" ca="1" si="22"/>
        <v>0.22018313676729051</v>
      </c>
      <c r="D324" s="72">
        <f t="shared" ca="1" si="22"/>
        <v>0.44997310682521574</v>
      </c>
      <c r="E324" s="72">
        <f t="shared" ca="1" si="22"/>
        <v>0.45586327621898437</v>
      </c>
      <c r="F324" s="73">
        <f t="shared" ca="1" si="23"/>
        <v>0.12494197953081713</v>
      </c>
      <c r="G324" s="73">
        <f t="shared" ca="1" si="24"/>
        <v>3.3215592858934918E-2</v>
      </c>
      <c r="H324" s="73">
        <f t="shared" ca="1" si="25"/>
        <v>0.23729062391680411</v>
      </c>
      <c r="I324" s="57" cm="1">
        <f t="array" aca="1" ref="I324" ca="1">SUMPRODUCT('Forecast DCF'!$D$16:$M$16,1/(1+F324)^('Forecast DCF'!$D$6:$M$6-0.5))+(('Forecast DCF'!$M$7*H324*(1-Assumptions!$C$21)+'Forecast DCF'!$M$15)*(1+G324)/(F324-G324))/(1+F324)^('Forecast DCF'!$M$6-0.5)</f>
        <v>145590.76015591415</v>
      </c>
      <c r="K324" s="49">
        <f ca="1">(I324-Assumptions!$C$12)/Assumptions!$C$9</f>
        <v>219.43046411822402</v>
      </c>
    </row>
    <row r="325" spans="2:11" outlineLevel="1" x14ac:dyDescent="0.2">
      <c r="B325" s="69">
        <f t="shared" si="21"/>
        <v>296</v>
      </c>
      <c r="C325" s="72">
        <f t="shared" ca="1" si="22"/>
        <v>0.39598013225240936</v>
      </c>
      <c r="D325" s="72">
        <f t="shared" ca="1" si="22"/>
        <v>0.55574303303082406</v>
      </c>
      <c r="E325" s="72">
        <f t="shared" ca="1" si="22"/>
        <v>0.99860239413429275</v>
      </c>
      <c r="F325" s="73">
        <f t="shared" ca="1" si="23"/>
        <v>0.12833268245407403</v>
      </c>
      <c r="G325" s="73">
        <f t="shared" ca="1" si="24"/>
        <v>3.4130249446462216E-2</v>
      </c>
      <c r="H325" s="73">
        <f t="shared" ca="1" si="25"/>
        <v>0.29682781428143112</v>
      </c>
      <c r="I325" s="57" cm="1">
        <f t="array" aca="1" ref="I325" ca="1">SUMPRODUCT('Forecast DCF'!$D$16:$M$16,1/(1+F325)^('Forecast DCF'!$D$6:$M$6-0.5))+(('Forecast DCF'!$M$7*H325*(1-Assumptions!$C$21)+'Forecast DCF'!$M$15)*(1+G325)/(F325-G325))/(1+F325)^('Forecast DCF'!$M$6-0.5)</f>
        <v>169719.27829922261</v>
      </c>
      <c r="K325" s="49">
        <f ca="1">(I325-Assumptions!$C$12)/Assumptions!$C$9</f>
        <v>263.65668925350116</v>
      </c>
    </row>
    <row r="326" spans="2:11" outlineLevel="1" x14ac:dyDescent="0.2">
      <c r="B326" s="69">
        <f t="shared" si="21"/>
        <v>297</v>
      </c>
      <c r="C326" s="72">
        <f t="shared" ca="1" si="22"/>
        <v>0.27762915256258625</v>
      </c>
      <c r="D326" s="72">
        <f t="shared" ca="1" si="22"/>
        <v>0.35199488665812095</v>
      </c>
      <c r="E326" s="72">
        <f t="shared" ca="1" si="22"/>
        <v>0.15652074783702341</v>
      </c>
      <c r="F326" s="73">
        <f t="shared" ca="1" si="23"/>
        <v>0.12616383402554382</v>
      </c>
      <c r="G326" s="73">
        <f t="shared" ca="1" si="24"/>
        <v>3.2266308072103615E-2</v>
      </c>
      <c r="H326" s="73">
        <f t="shared" ca="1" si="25"/>
        <v>0.21357006679210763</v>
      </c>
      <c r="I326" s="57" cm="1">
        <f t="array" aca="1" ref="I326" ca="1">SUMPRODUCT('Forecast DCF'!$D$16:$M$16,1/(1+F326)^('Forecast DCF'!$D$6:$M$6-0.5))+(('Forecast DCF'!$M$7*H326*(1-Assumptions!$C$21)+'Forecast DCF'!$M$15)*(1+G326)/(F326-G326))/(1+F326)^('Forecast DCF'!$M$6-0.5)</f>
        <v>127625.60466535517</v>
      </c>
      <c r="K326" s="49">
        <f ca="1">(I326-Assumptions!$C$12)/Assumptions!$C$9</f>
        <v>186.50133823503884</v>
      </c>
    </row>
    <row r="327" spans="2:11" outlineLevel="1" x14ac:dyDescent="0.2">
      <c r="B327" s="69">
        <f t="shared" si="21"/>
        <v>298</v>
      </c>
      <c r="C327" s="72">
        <f t="shared" ca="1" si="22"/>
        <v>0.81817806667548698</v>
      </c>
      <c r="D327" s="72">
        <f t="shared" ca="1" si="22"/>
        <v>0.99986314962305411</v>
      </c>
      <c r="E327" s="72">
        <f t="shared" ca="1" si="22"/>
        <v>0.70240433936310664</v>
      </c>
      <c r="F327" s="73">
        <f t="shared" ca="1" si="23"/>
        <v>0.13594364279625551</v>
      </c>
      <c r="G327" s="73">
        <f t="shared" ca="1" si="24"/>
        <v>3.9898689693165297E-2</v>
      </c>
      <c r="H327" s="73">
        <f t="shared" ca="1" si="25"/>
        <v>0.25371081382670857</v>
      </c>
      <c r="I327" s="57" cm="1">
        <f t="array" aca="1" ref="I327" ca="1">SUMPRODUCT('Forecast DCF'!$D$16:$M$16,1/(1+F327)^('Forecast DCF'!$D$6:$M$6-0.5))+(('Forecast DCF'!$M$7*H327*(1-Assumptions!$C$21)+'Forecast DCF'!$M$15)*(1+G327)/(F327-G327))/(1+F327)^('Forecast DCF'!$M$6-0.5)</f>
        <v>134296.85394477475</v>
      </c>
      <c r="K327" s="49">
        <f ca="1">(I327-Assumptions!$C$12)/Assumptions!$C$9</f>
        <v>198.72936528638058</v>
      </c>
    </row>
    <row r="328" spans="2:11" outlineLevel="1" x14ac:dyDescent="0.2">
      <c r="B328" s="69">
        <f t="shared" si="21"/>
        <v>299</v>
      </c>
      <c r="C328" s="72">
        <f t="shared" ca="1" si="22"/>
        <v>0.15039954100747377</v>
      </c>
      <c r="D328" s="72">
        <f t="shared" ca="1" si="22"/>
        <v>0.12332805494062016</v>
      </c>
      <c r="E328" s="72">
        <f t="shared" ca="1" si="22"/>
        <v>0.5907968961172424</v>
      </c>
      <c r="F328" s="73">
        <f t="shared" ca="1" si="23"/>
        <v>0.12321682604591581</v>
      </c>
      <c r="G328" s="73">
        <f t="shared" ca="1" si="24"/>
        <v>2.9301070592433125E-2</v>
      </c>
      <c r="H328" s="73">
        <f t="shared" ca="1" si="25"/>
        <v>0.24572051632563316</v>
      </c>
      <c r="I328" s="57" cm="1">
        <f t="array" aca="1" ref="I328" ca="1">SUMPRODUCT('Forecast DCF'!$D$16:$M$16,1/(1+F328)^('Forecast DCF'!$D$6:$M$6-0.5))+(('Forecast DCF'!$M$7*H328*(1-Assumptions!$C$21)+'Forecast DCF'!$M$15)*(1+G328)/(F328-G328))/(1+F328)^('Forecast DCF'!$M$6-0.5)</f>
        <v>149114.23248134018</v>
      </c>
      <c r="K328" s="49">
        <f ca="1">(I328-Assumptions!$C$12)/Assumptions!$C$9</f>
        <v>225.88879195239423</v>
      </c>
    </row>
    <row r="329" spans="2:11" outlineLevel="1" x14ac:dyDescent="0.2">
      <c r="B329" s="69">
        <f t="shared" si="21"/>
        <v>300</v>
      </c>
      <c r="C329" s="72">
        <f t="shared" ca="1" si="22"/>
        <v>0.60960665136861936</v>
      </c>
      <c r="D329" s="72">
        <f t="shared" ca="1" si="22"/>
        <v>0.67632538537289011</v>
      </c>
      <c r="E329" s="72">
        <f t="shared" ca="1" si="22"/>
        <v>0.54998042808871739</v>
      </c>
      <c r="F329" s="73">
        <f t="shared" ca="1" si="23"/>
        <v>0.13172967335697763</v>
      </c>
      <c r="G329" s="73">
        <f t="shared" ca="1" si="24"/>
        <v>3.5072972894631772E-2</v>
      </c>
      <c r="H329" s="73">
        <f t="shared" ca="1" si="25"/>
        <v>0.24307776429407191</v>
      </c>
      <c r="I329" s="57" cm="1">
        <f t="array" aca="1" ref="I329" ca="1">SUMPRODUCT('Forecast DCF'!$D$16:$M$16,1/(1+F329)^('Forecast DCF'!$D$6:$M$6-0.5))+(('Forecast DCF'!$M$7*H329*(1-Assumptions!$C$21)+'Forecast DCF'!$M$15)*(1+G329)/(F329-G329))/(1+F329)^('Forecast DCF'!$M$6-0.5)</f>
        <v>133029.77750078586</v>
      </c>
      <c r="K329" s="49">
        <f ca="1">(I329-Assumptions!$C$12)/Assumptions!$C$9</f>
        <v>196.4068849855752</v>
      </c>
    </row>
    <row r="330" spans="2:11" outlineLevel="1" x14ac:dyDescent="0.2">
      <c r="B330" s="69">
        <f t="shared" si="21"/>
        <v>301</v>
      </c>
      <c r="C330" s="72">
        <f t="shared" ca="1" si="22"/>
        <v>0.11746556226657767</v>
      </c>
      <c r="D330" s="72">
        <f t="shared" ca="1" si="22"/>
        <v>0.19134598849871376</v>
      </c>
      <c r="E330" s="72">
        <f t="shared" ca="1" si="22"/>
        <v>0.2476827773537168</v>
      </c>
      <c r="F330" s="73">
        <f t="shared" ca="1" si="23"/>
        <v>0.12226166346947839</v>
      </c>
      <c r="G330" s="73">
        <f t="shared" ca="1" si="24"/>
        <v>3.0357415260627747E-2</v>
      </c>
      <c r="H330" s="73">
        <f t="shared" ca="1" si="25"/>
        <v>0.22222932626678715</v>
      </c>
      <c r="I330" s="57" cm="1">
        <f t="array" aca="1" ref="I330" ca="1">SUMPRODUCT('Forecast DCF'!$D$16:$M$16,1/(1+F330)^('Forecast DCF'!$D$6:$M$6-0.5))+(('Forecast DCF'!$M$7*H330*(1-Assumptions!$C$21)+'Forecast DCF'!$M$15)*(1+G330)/(F330-G330))/(1+F330)^('Forecast DCF'!$M$6-0.5)</f>
        <v>140032.21063930227</v>
      </c>
      <c r="K330" s="49">
        <f ca="1">(I330-Assumptions!$C$12)/Assumptions!$C$9</f>
        <v>209.24195353969768</v>
      </c>
    </row>
    <row r="331" spans="2:11" outlineLevel="1" x14ac:dyDescent="0.2">
      <c r="B331" s="69">
        <f t="shared" si="21"/>
        <v>302</v>
      </c>
      <c r="C331" s="72">
        <f t="shared" ca="1" si="22"/>
        <v>0.4377461184632564</v>
      </c>
      <c r="D331" s="72">
        <f t="shared" ca="1" si="22"/>
        <v>0.58290702294769892</v>
      </c>
      <c r="E331" s="72">
        <f t="shared" ca="1" si="22"/>
        <v>0.52646820928655469</v>
      </c>
      <c r="F331" s="73">
        <f t="shared" ca="1" si="23"/>
        <v>0.12901819152683727</v>
      </c>
      <c r="G331" s="73">
        <f t="shared" ca="1" si="24"/>
        <v>3.4350724754913645E-2</v>
      </c>
      <c r="H331" s="73">
        <f t="shared" ca="1" si="25"/>
        <v>0.24160968493716781</v>
      </c>
      <c r="I331" s="57" cm="1">
        <f t="array" aca="1" ref="I331" ca="1">SUMPRODUCT('Forecast DCF'!$D$16:$M$16,1/(1+F331)^('Forecast DCF'!$D$6:$M$6-0.5))+(('Forecast DCF'!$M$7*H331*(1-Assumptions!$C$21)+'Forecast DCF'!$M$15)*(1+G331)/(F331-G331))/(1+F331)^('Forecast DCF'!$M$6-0.5)</f>
        <v>138369.09115430468</v>
      </c>
      <c r="K331" s="49">
        <f ca="1">(I331-Assumptions!$C$12)/Assumptions!$C$9</f>
        <v>206.19354848085788</v>
      </c>
    </row>
    <row r="332" spans="2:11" outlineLevel="1" x14ac:dyDescent="0.2">
      <c r="B332" s="69">
        <f t="shared" si="21"/>
        <v>303</v>
      </c>
      <c r="C332" s="72">
        <f t="shared" ca="1" si="22"/>
        <v>1.4339075194666484E-2</v>
      </c>
      <c r="D332" s="72">
        <f t="shared" ca="1" si="22"/>
        <v>0.95383882657018204</v>
      </c>
      <c r="E332" s="72">
        <f t="shared" ca="1" si="22"/>
        <v>0.28492307337582945</v>
      </c>
      <c r="F332" s="73">
        <f t="shared" ca="1" si="23"/>
        <v>0.11753712233487555</v>
      </c>
      <c r="G332" s="73">
        <f t="shared" ca="1" si="24"/>
        <v>3.8139331301054284E-2</v>
      </c>
      <c r="H332" s="73">
        <f t="shared" ca="1" si="25"/>
        <v>0.22529289269086233</v>
      </c>
      <c r="I332" s="57" cm="1">
        <f t="array" aca="1" ref="I332" ca="1">SUMPRODUCT('Forecast DCF'!$D$16:$M$16,1/(1+F332)^('Forecast DCF'!$D$6:$M$6-0.5))+(('Forecast DCF'!$M$7*H332*(1-Assumptions!$C$21)+'Forecast DCF'!$M$15)*(1+G332)/(F332-G332))/(1+F332)^('Forecast DCF'!$M$6-0.5)</f>
        <v>170900.7625225707</v>
      </c>
      <c r="K332" s="49">
        <f ca="1">(I332-Assumptions!$C$12)/Assumptions!$C$9</f>
        <v>265.82228379789973</v>
      </c>
    </row>
    <row r="333" spans="2:11" outlineLevel="1" x14ac:dyDescent="0.2">
      <c r="B333" s="69">
        <f t="shared" si="21"/>
        <v>304</v>
      </c>
      <c r="C333" s="72">
        <f t="shared" ca="1" si="22"/>
        <v>0.78532197414242055</v>
      </c>
      <c r="D333" s="72">
        <f t="shared" ca="1" si="22"/>
        <v>0.20219112076385937</v>
      </c>
      <c r="E333" s="72">
        <f t="shared" ca="1" si="22"/>
        <v>0.85160821150461252</v>
      </c>
      <c r="F333" s="73">
        <f t="shared" ca="1" si="23"/>
        <v>0.13515934050751396</v>
      </c>
      <c r="G333" s="73">
        <f t="shared" ca="1" si="24"/>
        <v>3.0507147003174959E-2</v>
      </c>
      <c r="H333" s="73">
        <f t="shared" ca="1" si="25"/>
        <v>0.26731329204146143</v>
      </c>
      <c r="I333" s="57" cm="1">
        <f t="array" aca="1" ref="I333" ca="1">SUMPRODUCT('Forecast DCF'!$D$16:$M$16,1/(1+F333)^('Forecast DCF'!$D$6:$M$6-0.5))+(('Forecast DCF'!$M$7*H333*(1-Assumptions!$C$21)+'Forecast DCF'!$M$15)*(1+G333)/(F333-G333))/(1+F333)^('Forecast DCF'!$M$6-0.5)</f>
        <v>130090.04983945235</v>
      </c>
      <c r="K333" s="49">
        <f ca="1">(I333-Assumptions!$C$12)/Assumptions!$C$9</f>
        <v>191.01852849329745</v>
      </c>
    </row>
    <row r="334" spans="2:11" outlineLevel="1" x14ac:dyDescent="0.2">
      <c r="B334" s="69">
        <f t="shared" si="21"/>
        <v>305</v>
      </c>
      <c r="C334" s="72">
        <f t="shared" ca="1" si="22"/>
        <v>0.89211945304448359</v>
      </c>
      <c r="D334" s="72">
        <f t="shared" ca="1" si="22"/>
        <v>0.4008886695072803</v>
      </c>
      <c r="E334" s="72">
        <f t="shared" ca="1" si="22"/>
        <v>2.6523192913303517E-2</v>
      </c>
      <c r="F334" s="73">
        <f t="shared" ca="1" si="23"/>
        <v>0.13802407218593307</v>
      </c>
      <c r="G334" s="73">
        <f t="shared" ca="1" si="24"/>
        <v>3.2754566424120182E-2</v>
      </c>
      <c r="H334" s="73">
        <f t="shared" ca="1" si="25"/>
        <v>0.19381908061253661</v>
      </c>
      <c r="I334" s="57" cm="1">
        <f t="array" aca="1" ref="I334" ca="1">SUMPRODUCT('Forecast DCF'!$D$16:$M$16,1/(1+F334)^('Forecast DCF'!$D$6:$M$6-0.5))+(('Forecast DCF'!$M$7*H334*(1-Assumptions!$C$21)+'Forecast DCF'!$M$15)*(1+G334)/(F334-G334))/(1+F334)^('Forecast DCF'!$M$6-0.5)</f>
        <v>93364.768092875704</v>
      </c>
      <c r="K334" s="49">
        <f ca="1">(I334-Assumptions!$C$12)/Assumptions!$C$9</f>
        <v>123.70313974734472</v>
      </c>
    </row>
    <row r="335" spans="2:11" outlineLevel="1" x14ac:dyDescent="0.2">
      <c r="B335" s="69">
        <f t="shared" si="21"/>
        <v>306</v>
      </c>
      <c r="C335" s="72">
        <f t="shared" ca="1" si="22"/>
        <v>0.73580930683180923</v>
      </c>
      <c r="D335" s="72">
        <f t="shared" ca="1" si="22"/>
        <v>0.49786241102410977</v>
      </c>
      <c r="E335" s="72">
        <f t="shared" ca="1" si="22"/>
        <v>0.1440901602036061</v>
      </c>
      <c r="F335" s="73">
        <f t="shared" ca="1" si="23"/>
        <v>0.13408335556248049</v>
      </c>
      <c r="G335" s="73">
        <f t="shared" ca="1" si="24"/>
        <v>3.3641722146286385E-2</v>
      </c>
      <c r="H335" s="73">
        <f t="shared" ca="1" si="25"/>
        <v>0.21220945751585957</v>
      </c>
      <c r="I335" s="57" cm="1">
        <f t="array" aca="1" ref="I335" ca="1">SUMPRODUCT('Forecast DCF'!$D$16:$M$16,1/(1+F335)^('Forecast DCF'!$D$6:$M$6-0.5))+(('Forecast DCF'!$M$7*H335*(1-Assumptions!$C$21)+'Forecast DCF'!$M$15)*(1+G335)/(F335-G335))/(1+F335)^('Forecast DCF'!$M$6-0.5)</f>
        <v>110401.82209581749</v>
      </c>
      <c r="K335" s="49">
        <f ca="1">(I335-Assumptions!$C$12)/Assumptions!$C$9</f>
        <v>154.93110747834032</v>
      </c>
    </row>
    <row r="336" spans="2:11" outlineLevel="1" x14ac:dyDescent="0.2">
      <c r="B336" s="69">
        <f t="shared" si="21"/>
        <v>307</v>
      </c>
      <c r="C336" s="72">
        <f t="shared" ca="1" si="22"/>
        <v>0.84845762100212696</v>
      </c>
      <c r="D336" s="72">
        <f t="shared" ca="1" si="22"/>
        <v>0.12134443225866154</v>
      </c>
      <c r="E336" s="72">
        <f t="shared" ca="1" si="22"/>
        <v>0.46354692331994063</v>
      </c>
      <c r="F336" s="73">
        <f t="shared" ca="1" si="23"/>
        <v>0.13673205729350577</v>
      </c>
      <c r="G336" s="73">
        <f t="shared" ca="1" si="24"/>
        <v>2.9266340919195187E-2</v>
      </c>
      <c r="H336" s="73">
        <f t="shared" ca="1" si="25"/>
        <v>0.23777142760832184</v>
      </c>
      <c r="I336" s="57" cm="1">
        <f t="array" aca="1" ref="I336" ca="1">SUMPRODUCT('Forecast DCF'!$D$16:$M$16,1/(1+F336)^('Forecast DCF'!$D$6:$M$6-0.5))+(('Forecast DCF'!$M$7*H336*(1-Assumptions!$C$21)+'Forecast DCF'!$M$15)*(1+G336)/(F336-G336))/(1+F336)^('Forecast DCF'!$M$6-0.5)</f>
        <v>111863.13218299337</v>
      </c>
      <c r="K336" s="49">
        <f ca="1">(I336-Assumptions!$C$12)/Assumptions!$C$9</f>
        <v>157.60960719075698</v>
      </c>
    </row>
    <row r="337" spans="2:11" outlineLevel="1" x14ac:dyDescent="0.2">
      <c r="B337" s="69">
        <f t="shared" si="21"/>
        <v>308</v>
      </c>
      <c r="C337" s="72">
        <f t="shared" ca="1" si="22"/>
        <v>0.80029421164373638</v>
      </c>
      <c r="D337" s="72">
        <f t="shared" ca="1" si="22"/>
        <v>0.43878679357859562</v>
      </c>
      <c r="E337" s="72">
        <f t="shared" ca="1" si="22"/>
        <v>0.76475334675155171</v>
      </c>
      <c r="F337" s="73">
        <f t="shared" ca="1" si="23"/>
        <v>0.13550869926214157</v>
      </c>
      <c r="G337" s="73">
        <f t="shared" ca="1" si="24"/>
        <v>3.3112830519417338E-2</v>
      </c>
      <c r="H337" s="73">
        <f t="shared" ca="1" si="25"/>
        <v>0.25884449121455516</v>
      </c>
      <c r="I337" s="57" cm="1">
        <f t="array" aca="1" ref="I337" ca="1">SUMPRODUCT('Forecast DCF'!$D$16:$M$16,1/(1+F337)^('Forecast DCF'!$D$6:$M$6-0.5))+(('Forecast DCF'!$M$7*H337*(1-Assumptions!$C$21)+'Forecast DCF'!$M$15)*(1+G337)/(F337-G337))/(1+F337)^('Forecast DCF'!$M$6-0.5)</f>
        <v>128667.36065389843</v>
      </c>
      <c r="K337" s="49">
        <f ca="1">(I337-Assumptions!$C$12)/Assumptions!$C$9</f>
        <v>188.41081873490597</v>
      </c>
    </row>
    <row r="338" spans="2:11" outlineLevel="1" x14ac:dyDescent="0.2">
      <c r="B338" s="69">
        <f t="shared" si="21"/>
        <v>309</v>
      </c>
      <c r="C338" s="72">
        <f t="shared" ca="1" si="22"/>
        <v>0.98961635228920486</v>
      </c>
      <c r="D338" s="72">
        <f t="shared" ca="1" si="22"/>
        <v>0.59837533199606163</v>
      </c>
      <c r="E338" s="72">
        <f t="shared" ca="1" si="22"/>
        <v>0.78868332577492595</v>
      </c>
      <c r="F338" s="73">
        <f t="shared" ca="1" si="23"/>
        <v>0.14283576019326277</v>
      </c>
      <c r="G338" s="73">
        <f t="shared" ca="1" si="24"/>
        <v>3.4473980145609831E-2</v>
      </c>
      <c r="H338" s="73">
        <f t="shared" ca="1" si="25"/>
        <v>0.26099384594169101</v>
      </c>
      <c r="I338" s="57" cm="1">
        <f t="array" aca="1" ref="I338" ca="1">SUMPRODUCT('Forecast DCF'!$D$16:$M$16,1/(1+F338)^('Forecast DCF'!$D$6:$M$6-0.5))+(('Forecast DCF'!$M$7*H338*(1-Assumptions!$C$21)+'Forecast DCF'!$M$15)*(1+G338)/(F338-G338))/(1+F338)^('Forecast DCF'!$M$6-0.5)</f>
        <v>114582.01589053405</v>
      </c>
      <c r="K338" s="49">
        <f ca="1">(I338-Assumptions!$C$12)/Assumptions!$C$9</f>
        <v>162.59316905941978</v>
      </c>
    </row>
    <row r="339" spans="2:11" outlineLevel="1" x14ac:dyDescent="0.2">
      <c r="B339" s="69">
        <f t="shared" si="21"/>
        <v>310</v>
      </c>
      <c r="C339" s="72">
        <f t="shared" ca="1" si="22"/>
        <v>0.60811769061514287</v>
      </c>
      <c r="D339" s="72">
        <f t="shared" ca="1" si="22"/>
        <v>0.73598994958441244</v>
      </c>
      <c r="E339" s="72">
        <f t="shared" ca="1" si="22"/>
        <v>0.11098578565705064</v>
      </c>
      <c r="F339" s="73">
        <f t="shared" ca="1" si="23"/>
        <v>0.13170439091907174</v>
      </c>
      <c r="G339" s="73">
        <f t="shared" ca="1" si="24"/>
        <v>3.5550196208688628E-2</v>
      </c>
      <c r="H339" s="73">
        <f t="shared" ca="1" si="25"/>
        <v>0.20826831542081636</v>
      </c>
      <c r="I339" s="57" cm="1">
        <f t="array" aca="1" ref="I339" ca="1">SUMPRODUCT('Forecast DCF'!$D$16:$M$16,1/(1+F339)^('Forecast DCF'!$D$6:$M$6-0.5))+(('Forecast DCF'!$M$7*H339*(1-Assumptions!$C$21)+'Forecast DCF'!$M$15)*(1+G339)/(F339-G339))/(1+F339)^('Forecast DCF'!$M$6-0.5)</f>
        <v>115839.297978805</v>
      </c>
      <c r="K339" s="49">
        <f ca="1">(I339-Assumptions!$C$12)/Assumptions!$C$9</f>
        <v>164.8976968536326</v>
      </c>
    </row>
    <row r="340" spans="2:11" outlineLevel="1" x14ac:dyDescent="0.2">
      <c r="B340" s="69">
        <f t="shared" si="21"/>
        <v>311</v>
      </c>
      <c r="C340" s="72">
        <f t="shared" ca="1" si="22"/>
        <v>0.90911943202308731</v>
      </c>
      <c r="D340" s="72">
        <f t="shared" ca="1" si="22"/>
        <v>9.9314833244639411E-2</v>
      </c>
      <c r="E340" s="72">
        <f t="shared" ca="1" si="22"/>
        <v>0.74233330252487051</v>
      </c>
      <c r="F340" s="73">
        <f t="shared" ca="1" si="23"/>
        <v>0.13859725914680379</v>
      </c>
      <c r="G340" s="73">
        <f t="shared" ca="1" si="24"/>
        <v>2.8859692343528941E-2</v>
      </c>
      <c r="H340" s="73">
        <f t="shared" ca="1" si="25"/>
        <v>0.25692796473556268</v>
      </c>
      <c r="I340" s="57" cm="1">
        <f t="array" aca="1" ref="I340" ca="1">SUMPRODUCT('Forecast DCF'!$D$16:$M$16,1/(1+F340)^('Forecast DCF'!$D$6:$M$6-0.5))+(('Forecast DCF'!$M$7*H340*(1-Assumptions!$C$21)+'Forecast DCF'!$M$15)*(1+G340)/(F340-G340))/(1+F340)^('Forecast DCF'!$M$6-0.5)</f>
        <v>115758.93769515552</v>
      </c>
      <c r="K340" s="49">
        <f ca="1">(I340-Assumptions!$C$12)/Assumptions!$C$9</f>
        <v>164.7504009453009</v>
      </c>
    </row>
    <row r="341" spans="2:11" outlineLevel="1" x14ac:dyDescent="0.2">
      <c r="B341" s="69">
        <f t="shared" si="21"/>
        <v>312</v>
      </c>
      <c r="C341" s="72">
        <f t="shared" ca="1" si="22"/>
        <v>8.3069191924552421E-2</v>
      </c>
      <c r="D341" s="72">
        <f t="shared" ca="1" si="22"/>
        <v>0.84160608848023888</v>
      </c>
      <c r="E341" s="72">
        <f t="shared" ca="1" si="22"/>
        <v>0.9985164058859024</v>
      </c>
      <c r="F341" s="73">
        <f t="shared" ca="1" si="23"/>
        <v>0.12110661907975677</v>
      </c>
      <c r="G341" s="73">
        <f t="shared" ca="1" si="24"/>
        <v>3.6553328654486759E-2</v>
      </c>
      <c r="H341" s="73">
        <f t="shared" ca="1" si="25"/>
        <v>0.29673168581352666</v>
      </c>
      <c r="I341" s="57" cm="1">
        <f t="array" aca="1" ref="I341" ca="1">SUMPRODUCT('Forecast DCF'!$D$16:$M$16,1/(1+F341)^('Forecast DCF'!$D$6:$M$6-0.5))+(('Forecast DCF'!$M$7*H341*(1-Assumptions!$C$21)+'Forecast DCF'!$M$15)*(1+G341)/(F341-G341))/(1+F341)^('Forecast DCF'!$M$6-0.5)</f>
        <v>201433.01503826556</v>
      </c>
      <c r="K341" s="49">
        <f ca="1">(I341-Assumptions!$C$12)/Assumptions!$C$9</f>
        <v>321.78619611220557</v>
      </c>
    </row>
    <row r="342" spans="2:11" outlineLevel="1" x14ac:dyDescent="0.2">
      <c r="B342" s="69">
        <f t="shared" si="21"/>
        <v>313</v>
      </c>
      <c r="C342" s="72">
        <f t="shared" ca="1" si="22"/>
        <v>0.66163183796401959</v>
      </c>
      <c r="D342" s="72">
        <f t="shared" ca="1" si="22"/>
        <v>0.21417491433894054</v>
      </c>
      <c r="E342" s="72">
        <f t="shared" ca="1" si="22"/>
        <v>0.96477488144259294</v>
      </c>
      <c r="F342" s="73">
        <f t="shared" ca="1" si="23"/>
        <v>0.13264550055324278</v>
      </c>
      <c r="G342" s="73">
        <f t="shared" ca="1" si="24"/>
        <v>3.066800116009525E-2</v>
      </c>
      <c r="H342" s="73">
        <f t="shared" ca="1" si="25"/>
        <v>0.2840745218717512</v>
      </c>
      <c r="I342" s="57" cm="1">
        <f t="array" aca="1" ref="I342" ca="1">SUMPRODUCT('Forecast DCF'!$D$16:$M$16,1/(1+F342)^('Forecast DCF'!$D$6:$M$6-0.5))+(('Forecast DCF'!$M$7*H342*(1-Assumptions!$C$21)+'Forecast DCF'!$M$15)*(1+G342)/(F342-G342))/(1+F342)^('Forecast DCF'!$M$6-0.5)</f>
        <v>144622.69532079573</v>
      </c>
      <c r="K342" s="49">
        <f ca="1">(I342-Assumptions!$C$12)/Assumptions!$C$9</f>
        <v>217.65605538374624</v>
      </c>
    </row>
    <row r="343" spans="2:11" outlineLevel="1" x14ac:dyDescent="0.2">
      <c r="B343" s="69">
        <f t="shared" si="21"/>
        <v>314</v>
      </c>
      <c r="C343" s="72">
        <f t="shared" ca="1" si="22"/>
        <v>0.19146931134174039</v>
      </c>
      <c r="D343" s="72">
        <f t="shared" ca="1" si="22"/>
        <v>0.25696245962863817</v>
      </c>
      <c r="E343" s="72">
        <f t="shared" ca="1" si="22"/>
        <v>0.26353272856210186</v>
      </c>
      <c r="F343" s="73">
        <f t="shared" ca="1" si="23"/>
        <v>0.1242710820586443</v>
      </c>
      <c r="G343" s="73">
        <f t="shared" ca="1" si="24"/>
        <v>3.1208411144914273E-2</v>
      </c>
      <c r="H343" s="73">
        <f t="shared" ca="1" si="25"/>
        <v>0.22355956434179677</v>
      </c>
      <c r="I343" s="57" cm="1">
        <f t="array" aca="1" ref="I343" ca="1">SUMPRODUCT('Forecast DCF'!$D$16:$M$16,1/(1+F343)^('Forecast DCF'!$D$6:$M$6-0.5))+(('Forecast DCF'!$M$7*H343*(1-Assumptions!$C$21)+'Forecast DCF'!$M$15)*(1+G343)/(F343-G343))/(1+F343)^('Forecast DCF'!$M$6-0.5)</f>
        <v>136600.75360770515</v>
      </c>
      <c r="K343" s="49">
        <f ca="1">(I343-Assumptions!$C$12)/Assumptions!$C$9</f>
        <v>202.95228459608163</v>
      </c>
    </row>
    <row r="344" spans="2:11" outlineLevel="1" x14ac:dyDescent="0.2">
      <c r="B344" s="69">
        <f t="shared" si="21"/>
        <v>315</v>
      </c>
      <c r="C344" s="72">
        <f t="shared" ca="1" si="22"/>
        <v>0.4127399516221224</v>
      </c>
      <c r="D344" s="72">
        <f t="shared" ca="1" si="22"/>
        <v>0.69022283771539839</v>
      </c>
      <c r="E344" s="72">
        <f t="shared" ca="1" si="22"/>
        <v>0.73947105333410201</v>
      </c>
      <c r="F344" s="73">
        <f t="shared" ca="1" si="23"/>
        <v>0.12861191071905367</v>
      </c>
      <c r="G344" s="73">
        <f t="shared" ca="1" si="24"/>
        <v>3.5179907970656045E-2</v>
      </c>
      <c r="H344" s="73">
        <f t="shared" ca="1" si="25"/>
        <v>0.25668939603290591</v>
      </c>
      <c r="I344" s="57" cm="1">
        <f t="array" aca="1" ref="I344" ca="1">SUMPRODUCT('Forecast DCF'!$D$16:$M$16,1/(1+F344)^('Forecast DCF'!$D$6:$M$6-0.5))+(('Forecast DCF'!$M$7*H344*(1-Assumptions!$C$21)+'Forecast DCF'!$M$15)*(1+G344)/(F344-G344))/(1+F344)^('Forecast DCF'!$M$6-0.5)</f>
        <v>148917.90954532134</v>
      </c>
      <c r="K344" s="49">
        <f ca="1">(I344-Assumptions!$C$12)/Assumptions!$C$9</f>
        <v>225.52894298379954</v>
      </c>
    </row>
    <row r="345" spans="2:11" outlineLevel="1" x14ac:dyDescent="0.2">
      <c r="B345" s="69">
        <f t="shared" si="21"/>
        <v>316</v>
      </c>
      <c r="C345" s="72">
        <f t="shared" ca="1" si="22"/>
        <v>3.6632095201541426E-2</v>
      </c>
      <c r="D345" s="72">
        <f t="shared" ca="1" si="22"/>
        <v>0.16752881680976228</v>
      </c>
      <c r="E345" s="72">
        <f t="shared" ca="1" si="22"/>
        <v>0.49070902012491502</v>
      </c>
      <c r="F345" s="73">
        <f t="shared" ca="1" si="23"/>
        <v>0.11905519475980457</v>
      </c>
      <c r="G345" s="73">
        <f t="shared" ca="1" si="24"/>
        <v>3.0012915570949143E-2</v>
      </c>
      <c r="H345" s="73">
        <f t="shared" ca="1" si="25"/>
        <v>0.23943992719460033</v>
      </c>
      <c r="I345" s="57" cm="1">
        <f t="array" aca="1" ref="I345" ca="1">SUMPRODUCT('Forecast DCF'!$D$16:$M$16,1/(1+F345)^('Forecast DCF'!$D$6:$M$6-0.5))+(('Forecast DCF'!$M$7*H345*(1-Assumptions!$C$21)+'Forecast DCF'!$M$15)*(1+G345)/(F345-G345))/(1+F345)^('Forecast DCF'!$M$6-0.5)</f>
        <v>159246.40217522637</v>
      </c>
      <c r="K345" s="49">
        <f ca="1">(I345-Assumptions!$C$12)/Assumptions!$C$9</f>
        <v>244.46049268134743</v>
      </c>
    </row>
    <row r="346" spans="2:11" outlineLevel="1" x14ac:dyDescent="0.2">
      <c r="B346" s="69">
        <f t="shared" si="21"/>
        <v>317</v>
      </c>
      <c r="C346" s="72">
        <f t="shared" ca="1" si="22"/>
        <v>0.35356947547523143</v>
      </c>
      <c r="D346" s="72">
        <f t="shared" ca="1" si="22"/>
        <v>0.24371611757954481</v>
      </c>
      <c r="E346" s="72">
        <f t="shared" ca="1" si="22"/>
        <v>0.78466617095359459</v>
      </c>
      <c r="F346" s="73">
        <f t="shared" ca="1" si="23"/>
        <v>0.12759848199186855</v>
      </c>
      <c r="G346" s="73">
        <f t="shared" ca="1" si="24"/>
        <v>3.1046273036915529E-2</v>
      </c>
      <c r="H346" s="73">
        <f t="shared" ca="1" si="25"/>
        <v>0.26062483563038602</v>
      </c>
      <c r="I346" s="57" cm="1">
        <f t="array" aca="1" ref="I346" ca="1">SUMPRODUCT('Forecast DCF'!$D$16:$M$16,1/(1+F346)^('Forecast DCF'!$D$6:$M$6-0.5))+(('Forecast DCF'!$M$7*H346*(1-Assumptions!$C$21)+'Forecast DCF'!$M$15)*(1+G346)/(F346-G346))/(1+F346)^('Forecast DCF'!$M$6-0.5)</f>
        <v>147408.05560465174</v>
      </c>
      <c r="K346" s="49">
        <f ca="1">(I346-Assumptions!$C$12)/Assumptions!$C$9</f>
        <v>222.76146510120287</v>
      </c>
    </row>
    <row r="347" spans="2:11" outlineLevel="1" x14ac:dyDescent="0.2">
      <c r="B347" s="69">
        <f t="shared" si="21"/>
        <v>318</v>
      </c>
      <c r="C347" s="72">
        <f t="shared" ca="1" si="22"/>
        <v>0.48043512879925065</v>
      </c>
      <c r="D347" s="72">
        <f t="shared" ca="1" si="22"/>
        <v>0.73632136330288978</v>
      </c>
      <c r="E347" s="72">
        <f t="shared" ca="1" si="22"/>
        <v>0.53793263974237637</v>
      </c>
      <c r="F347" s="73">
        <f t="shared" ca="1" si="23"/>
        <v>0.1296858204738443</v>
      </c>
      <c r="G347" s="73">
        <f t="shared" ca="1" si="24"/>
        <v>3.5552990021117198E-2</v>
      </c>
      <c r="H347" s="73">
        <f t="shared" ca="1" si="25"/>
        <v>0.24232084437290285</v>
      </c>
      <c r="I347" s="57" cm="1">
        <f t="array" aca="1" ref="I347" ca="1">SUMPRODUCT('Forecast DCF'!$D$16:$M$16,1/(1+F347)^('Forecast DCF'!$D$6:$M$6-0.5))+(('Forecast DCF'!$M$7*H347*(1-Assumptions!$C$21)+'Forecast DCF'!$M$15)*(1+G347)/(F347-G347))/(1+F347)^('Forecast DCF'!$M$6-0.5)</f>
        <v>138725.70082736763</v>
      </c>
      <c r="K347" s="49">
        <f ca="1">(I347-Assumptions!$C$12)/Assumptions!$C$9</f>
        <v>206.84719407950703</v>
      </c>
    </row>
    <row r="348" spans="2:11" outlineLevel="1" x14ac:dyDescent="0.2">
      <c r="B348" s="69">
        <f t="shared" si="21"/>
        <v>319</v>
      </c>
      <c r="C348" s="72">
        <f t="shared" ca="1" si="22"/>
        <v>0.63748517340566491</v>
      </c>
      <c r="D348" s="72">
        <f t="shared" ca="1" si="22"/>
        <v>0.33379859233256259</v>
      </c>
      <c r="E348" s="72">
        <f t="shared" ca="1" si="22"/>
        <v>0.25118294774580296</v>
      </c>
      <c r="F348" s="73">
        <f t="shared" ca="1" si="23"/>
        <v>0.13221227480275299</v>
      </c>
      <c r="G348" s="73">
        <f t="shared" ca="1" si="24"/>
        <v>3.2076000907990641E-2</v>
      </c>
      <c r="H348" s="73">
        <f t="shared" ca="1" si="25"/>
        <v>0.22252666485594397</v>
      </c>
      <c r="I348" s="57" cm="1">
        <f t="array" aca="1" ref="I348" ca="1">SUMPRODUCT('Forecast DCF'!$D$16:$M$16,1/(1+F348)^('Forecast DCF'!$D$6:$M$6-0.5))+(('Forecast DCF'!$M$7*H348*(1-Assumptions!$C$21)+'Forecast DCF'!$M$15)*(1+G348)/(F348-G348))/(1+F348)^('Forecast DCF'!$M$6-0.5)</f>
        <v>117708.24879182933</v>
      </c>
      <c r="K348" s="49">
        <f ca="1">(I348-Assumptions!$C$12)/Assumptions!$C$9</f>
        <v>168.32337923216261</v>
      </c>
    </row>
    <row r="349" spans="2:11" outlineLevel="1" x14ac:dyDescent="0.2">
      <c r="B349" s="69">
        <f t="shared" si="21"/>
        <v>320</v>
      </c>
      <c r="C349" s="72">
        <f t="shared" ca="1" si="22"/>
        <v>0.58051890341159162</v>
      </c>
      <c r="D349" s="72">
        <f t="shared" ca="1" si="22"/>
        <v>3.0946432502069299E-2</v>
      </c>
      <c r="E349" s="72">
        <f t="shared" ca="1" si="22"/>
        <v>0.85318801540028144</v>
      </c>
      <c r="F349" s="73">
        <f t="shared" ca="1" si="23"/>
        <v>0.13124417616311149</v>
      </c>
      <c r="G349" s="73">
        <f t="shared" ca="1" si="24"/>
        <v>2.7154521959811596E-2</v>
      </c>
      <c r="H349" s="73">
        <f t="shared" ca="1" si="25"/>
        <v>0.26748775170619582</v>
      </c>
      <c r="I349" s="57" cm="1">
        <f t="array" aca="1" ref="I349" ca="1">SUMPRODUCT('Forecast DCF'!$D$16:$M$16,1/(1+F349)^('Forecast DCF'!$D$6:$M$6-0.5))+(('Forecast DCF'!$M$7*H349*(1-Assumptions!$C$21)+'Forecast DCF'!$M$15)*(1+G349)/(F349-G349))/(1+F349)^('Forecast DCF'!$M$6-0.5)</f>
        <v>135499.59911250422</v>
      </c>
      <c r="K349" s="49">
        <f ca="1">(I349-Assumptions!$C$12)/Assumptions!$C$9</f>
        <v>200.93392995348685</v>
      </c>
    </row>
    <row r="350" spans="2:11" outlineLevel="1" x14ac:dyDescent="0.2">
      <c r="B350" s="69">
        <f t="shared" si="21"/>
        <v>321</v>
      </c>
      <c r="C350" s="72">
        <f t="shared" ca="1" si="22"/>
        <v>0.85458890635949603</v>
      </c>
      <c r="D350" s="72">
        <f t="shared" ca="1" si="22"/>
        <v>0.1372901911464085</v>
      </c>
      <c r="E350" s="72">
        <f t="shared" ca="1" si="22"/>
        <v>0.47423221750420075</v>
      </c>
      <c r="F350" s="73">
        <f t="shared" ca="1" si="23"/>
        <v>0.13690104140867124</v>
      </c>
      <c r="G350" s="73">
        <f t="shared" ca="1" si="24"/>
        <v>2.9538009329206066E-2</v>
      </c>
      <c r="H350" s="73">
        <f t="shared" ca="1" si="25"/>
        <v>0.23843348326114269</v>
      </c>
      <c r="I350" s="57" cm="1">
        <f t="array" aca="1" ref="I350" ca="1">SUMPRODUCT('Forecast DCF'!$D$16:$M$16,1/(1+F350)^('Forecast DCF'!$D$6:$M$6-0.5))+(('Forecast DCF'!$M$7*H350*(1-Assumptions!$C$21)+'Forecast DCF'!$M$15)*(1+G350)/(F350-G350))/(1+F350)^('Forecast DCF'!$M$6-0.5)</f>
        <v>112091.56072998919</v>
      </c>
      <c r="K350" s="49">
        <f ca="1">(I350-Assumptions!$C$12)/Assumptions!$C$9</f>
        <v>158.02830394978537</v>
      </c>
    </row>
    <row r="351" spans="2:11" outlineLevel="1" x14ac:dyDescent="0.2">
      <c r="B351" s="69">
        <f t="shared" si="21"/>
        <v>322</v>
      </c>
      <c r="C351" s="72">
        <f t="shared" ca="1" si="22"/>
        <v>0.70375122812931934</v>
      </c>
      <c r="D351" s="72">
        <f t="shared" ca="1" si="22"/>
        <v>0.54286806442252356</v>
      </c>
      <c r="E351" s="72">
        <f t="shared" ca="1" si="22"/>
        <v>0.91571237050115151</v>
      </c>
      <c r="F351" s="73">
        <f t="shared" ca="1" si="23"/>
        <v>0.13343997728647902</v>
      </c>
      <c r="G351" s="73">
        <f t="shared" ca="1" si="24"/>
        <v>3.4023868885537878E-2</v>
      </c>
      <c r="H351" s="73">
        <f t="shared" ca="1" si="25"/>
        <v>0.27536524949605312</v>
      </c>
      <c r="I351" s="57" cm="1">
        <f t="array" aca="1" ref="I351" ca="1">SUMPRODUCT('Forecast DCF'!$D$16:$M$16,1/(1+F351)^('Forecast DCF'!$D$6:$M$6-0.5))+(('Forecast DCF'!$M$7*H351*(1-Assumptions!$C$21)+'Forecast DCF'!$M$15)*(1+G351)/(F351-G351))/(1+F351)^('Forecast DCF'!$M$6-0.5)</f>
        <v>143158.83679345806</v>
      </c>
      <c r="K351" s="49">
        <f ca="1">(I351-Assumptions!$C$12)/Assumptions!$C$9</f>
        <v>214.97288452295362</v>
      </c>
    </row>
    <row r="352" spans="2:11" outlineLevel="1" x14ac:dyDescent="0.2">
      <c r="B352" s="69">
        <f t="shared" ref="B352:B415" si="26">ROW()-29</f>
        <v>323</v>
      </c>
      <c r="C352" s="72">
        <f t="shared" ref="C352:E383" ca="1" si="27">RAND()</f>
        <v>0.18159876716463308</v>
      </c>
      <c r="D352" s="72">
        <f t="shared" ca="1" si="27"/>
        <v>0.67091380535370138</v>
      </c>
      <c r="E352" s="72">
        <f t="shared" ca="1" si="27"/>
        <v>0.16738974300242293</v>
      </c>
      <c r="F352" s="73">
        <f t="shared" ref="F352:F415" ca="1" si="28">IF(C352&lt;($D$7-$C$7)/($E$7-$C$7),$C$7+SQRT(C352*($E$7-$C$7)*($D$7-$C$7)),$E$7-SQRT((1-C352)*($E$7-$C$7)*($E$7-$D$7)))</f>
        <v>0.124028950776085</v>
      </c>
      <c r="G352" s="73">
        <f t="shared" ref="G352:G415" ca="1" si="29">IF(D352&lt;($D$8-$C$8)/($E$8-$C$8),$C$8+SQRT(D352*($E$8-$C$8)*($D$8-$C$8)),$E$8-SQRT((1-D352)*($E$8-$C$8)*($E$8-$D$8)))</f>
        <v>3.5031955656551324E-2</v>
      </c>
      <c r="H352" s="73">
        <f t="shared" ref="H352:H415" ca="1" si="30">IF(E352&lt;($D$9-$C$9)/($E$9-$C$9),$C$9+SQRT(E352*($E$9-$C$9)*($D$9-$C$9)),$E$9-SQRT((1-E352)*($E$9-$C$9)*($E$9-$D$9)))</f>
        <v>0.21471607912217974</v>
      </c>
      <c r="I352" s="57" cm="1">
        <f t="array" aca="1" ref="I352" ca="1">SUMPRODUCT('Forecast DCF'!$D$16:$M$16,1/(1+F352)^('Forecast DCF'!$D$6:$M$6-0.5))+(('Forecast DCF'!$M$7*H352*(1-Assumptions!$C$21)+'Forecast DCF'!$M$15)*(1+G352)/(F352-G352))/(1+F352)^('Forecast DCF'!$M$6-0.5)</f>
        <v>137880.73724044629</v>
      </c>
      <c r="K352" s="49">
        <f ca="1">(I352-Assumptions!$C$12)/Assumptions!$C$9</f>
        <v>205.29842305244509</v>
      </c>
    </row>
    <row r="353" spans="2:11" outlineLevel="1" x14ac:dyDescent="0.2">
      <c r="B353" s="69">
        <f t="shared" si="26"/>
        <v>324</v>
      </c>
      <c r="C353" s="72">
        <f t="shared" ca="1" si="27"/>
        <v>0.50751439695335065</v>
      </c>
      <c r="D353" s="72">
        <f t="shared" ca="1" si="27"/>
        <v>9.0374073256218712E-2</v>
      </c>
      <c r="E353" s="72">
        <f t="shared" ca="1" si="27"/>
        <v>0.44136536736296683</v>
      </c>
      <c r="F353" s="73">
        <f t="shared" ca="1" si="28"/>
        <v>0.1300951648272595</v>
      </c>
      <c r="G353" s="73">
        <f t="shared" ca="1" si="29"/>
        <v>2.8681862434751307E-2</v>
      </c>
      <c r="H353" s="73">
        <f t="shared" ca="1" si="30"/>
        <v>0.23637225066478507</v>
      </c>
      <c r="I353" s="57" cm="1">
        <f t="array" aca="1" ref="I353" ca="1">SUMPRODUCT('Forecast DCF'!$D$16:$M$16,1/(1+F353)^('Forecast DCF'!$D$6:$M$6-0.5))+(('Forecast DCF'!$M$7*H353*(1-Assumptions!$C$21)+'Forecast DCF'!$M$15)*(1+G353)/(F353-G353))/(1+F353)^('Forecast DCF'!$M$6-0.5)</f>
        <v>125268.858599782</v>
      </c>
      <c r="K353" s="49">
        <f ca="1">(I353-Assumptions!$C$12)/Assumptions!$C$9</f>
        <v>182.18155442305107</v>
      </c>
    </row>
    <row r="354" spans="2:11" outlineLevel="1" x14ac:dyDescent="0.2">
      <c r="B354" s="69">
        <f t="shared" si="26"/>
        <v>325</v>
      </c>
      <c r="C354" s="72">
        <f t="shared" ca="1" si="27"/>
        <v>0.43865676639748441</v>
      </c>
      <c r="D354" s="72">
        <f t="shared" ca="1" si="27"/>
        <v>0.16545674498252116</v>
      </c>
      <c r="E354" s="72">
        <f t="shared" ca="1" si="27"/>
        <v>0.1363230239959945</v>
      </c>
      <c r="F354" s="73">
        <f t="shared" ca="1" si="28"/>
        <v>0.1290327650483275</v>
      </c>
      <c r="G354" s="73">
        <f t="shared" ca="1" si="29"/>
        <v>2.9981818116649604E-2</v>
      </c>
      <c r="H354" s="73">
        <f t="shared" ca="1" si="30"/>
        <v>0.21132931171875885</v>
      </c>
      <c r="I354" s="57" cm="1">
        <f t="array" aca="1" ref="I354" ca="1">SUMPRODUCT('Forecast DCF'!$D$16:$M$16,1/(1+F354)^('Forecast DCF'!$D$6:$M$6-0.5))+(('Forecast DCF'!$M$7*H354*(1-Assumptions!$C$21)+'Forecast DCF'!$M$15)*(1+G354)/(F354-G354))/(1+F354)^('Forecast DCF'!$M$6-0.5)</f>
        <v>116773.28420391947</v>
      </c>
      <c r="K354" s="49">
        <f ca="1">(I354-Assumptions!$C$12)/Assumptions!$C$9</f>
        <v>166.60964140073756</v>
      </c>
    </row>
    <row r="355" spans="2:11" outlineLevel="1" x14ac:dyDescent="0.2">
      <c r="B355" s="69">
        <f t="shared" si="26"/>
        <v>326</v>
      </c>
      <c r="C355" s="72">
        <f t="shared" ca="1" si="27"/>
        <v>0.53417482352344225</v>
      </c>
      <c r="D355" s="72">
        <f t="shared" ca="1" si="27"/>
        <v>0.6080243364859973</v>
      </c>
      <c r="E355" s="72">
        <f t="shared" ca="1" si="27"/>
        <v>0.35806763885937798</v>
      </c>
      <c r="F355" s="73">
        <f t="shared" ca="1" si="28"/>
        <v>0.13050421006970842</v>
      </c>
      <c r="G355" s="73">
        <f t="shared" ca="1" si="29"/>
        <v>3.455006023399327E-2</v>
      </c>
      <c r="H355" s="73">
        <f t="shared" ca="1" si="30"/>
        <v>0.23077486582737095</v>
      </c>
      <c r="I355" s="57" cm="1">
        <f t="array" aca="1" ref="I355" ca="1">SUMPRODUCT('Forecast DCF'!$D$16:$M$16,1/(1+F355)^('Forecast DCF'!$D$6:$M$6-0.5))+(('Forecast DCF'!$M$7*H355*(1-Assumptions!$C$21)+'Forecast DCF'!$M$15)*(1+G355)/(F355-G355))/(1+F355)^('Forecast DCF'!$M$6-0.5)</f>
        <v>129070.96624649153</v>
      </c>
      <c r="K355" s="49">
        <f ca="1">(I355-Assumptions!$C$12)/Assumptions!$C$9</f>
        <v>189.15060522729897</v>
      </c>
    </row>
    <row r="356" spans="2:11" outlineLevel="1" x14ac:dyDescent="0.2">
      <c r="B356" s="69">
        <f t="shared" si="26"/>
        <v>327</v>
      </c>
      <c r="C356" s="72">
        <f t="shared" ca="1" si="27"/>
        <v>0.42663179349892244</v>
      </c>
      <c r="D356" s="72">
        <f t="shared" ca="1" si="27"/>
        <v>0.90801293593693888</v>
      </c>
      <c r="E356" s="72">
        <f t="shared" ca="1" si="27"/>
        <v>0.61926295785180074</v>
      </c>
      <c r="F356" s="73">
        <f t="shared" ca="1" si="28"/>
        <v>0.12883908720074266</v>
      </c>
      <c r="G356" s="73">
        <f t="shared" ca="1" si="29"/>
        <v>3.737339957269295E-2</v>
      </c>
      <c r="H356" s="73">
        <f t="shared" ca="1" si="30"/>
        <v>0.24764251053128086</v>
      </c>
      <c r="I356" s="57" cm="1">
        <f t="array" aca="1" ref="I356" ca="1">SUMPRODUCT('Forecast DCF'!$D$16:$M$16,1/(1+F356)^('Forecast DCF'!$D$6:$M$6-0.5))+(('Forecast DCF'!$M$7*H356*(1-Assumptions!$C$21)+'Forecast DCF'!$M$15)*(1+G356)/(F356-G356))/(1+F356)^('Forecast DCF'!$M$6-0.5)</f>
        <v>146835.33834474295</v>
      </c>
      <c r="K356" s="49">
        <f ca="1">(I356-Assumptions!$C$12)/Assumptions!$C$9</f>
        <v>221.71170637482166</v>
      </c>
    </row>
    <row r="357" spans="2:11" outlineLevel="1" x14ac:dyDescent="0.2">
      <c r="B357" s="69">
        <f t="shared" si="26"/>
        <v>328</v>
      </c>
      <c r="C357" s="72">
        <f t="shared" ca="1" si="27"/>
        <v>0.33933538688458009</v>
      </c>
      <c r="D357" s="72">
        <f t="shared" ca="1" si="27"/>
        <v>0.85860456050435141</v>
      </c>
      <c r="E357" s="72">
        <f t="shared" ca="1" si="27"/>
        <v>0.14865720475134558</v>
      </c>
      <c r="F357" s="73">
        <f t="shared" ca="1" si="28"/>
        <v>0.12734228052483071</v>
      </c>
      <c r="G357" s="73">
        <f t="shared" ca="1" si="29"/>
        <v>3.6743520618494008E-2</v>
      </c>
      <c r="H357" s="73">
        <f t="shared" ca="1" si="30"/>
        <v>0.21271592691961649</v>
      </c>
      <c r="I357" s="57" cm="1">
        <f t="array" aca="1" ref="I357" ca="1">SUMPRODUCT('Forecast DCF'!$D$16:$M$16,1/(1+F357)^('Forecast DCF'!$D$6:$M$6-0.5))+(('Forecast DCF'!$M$7*H357*(1-Assumptions!$C$21)+'Forecast DCF'!$M$15)*(1+G357)/(F357-G357))/(1+F357)^('Forecast DCF'!$M$6-0.5)</f>
        <v>130382.87451270279</v>
      </c>
      <c r="K357" s="49">
        <f ca="1">(I357-Assumptions!$C$12)/Assumptions!$C$9</f>
        <v>191.55525975244151</v>
      </c>
    </row>
    <row r="358" spans="2:11" outlineLevel="1" x14ac:dyDescent="0.2">
      <c r="B358" s="69">
        <f t="shared" si="26"/>
        <v>329</v>
      </c>
      <c r="C358" s="72">
        <f t="shared" ca="1" si="27"/>
        <v>2.7948756928983798E-3</v>
      </c>
      <c r="D358" s="72">
        <f t="shared" ca="1" si="27"/>
        <v>0.30345809083835551</v>
      </c>
      <c r="E358" s="72">
        <f t="shared" ca="1" si="27"/>
        <v>5.3380190907678537E-2</v>
      </c>
      <c r="F358" s="73">
        <f t="shared" ca="1" si="28"/>
        <v>0.11612011363978592</v>
      </c>
      <c r="G358" s="73">
        <f t="shared" ca="1" si="29"/>
        <v>3.1746755785246224E-2</v>
      </c>
      <c r="H358" s="73">
        <f t="shared" ca="1" si="30"/>
        <v>0.19960452433840936</v>
      </c>
      <c r="I358" s="57" cm="1">
        <f t="array" aca="1" ref="I358" ca="1">SUMPRODUCT('Forecast DCF'!$D$16:$M$16,1/(1+F358)^('Forecast DCF'!$D$6:$M$6-0.5))+(('Forecast DCF'!$M$7*H358*(1-Assumptions!$C$21)+'Forecast DCF'!$M$15)*(1+G358)/(F358-G358))/(1+F358)^('Forecast DCF'!$M$6-0.5)</f>
        <v>145789.36390904943</v>
      </c>
      <c r="K358" s="49">
        <f ca="1">(I358-Assumptions!$C$12)/Assumptions!$C$9</f>
        <v>219.79449369711085</v>
      </c>
    </row>
    <row r="359" spans="2:11" outlineLevel="1" x14ac:dyDescent="0.2">
      <c r="B359" s="69">
        <f t="shared" si="26"/>
        <v>330</v>
      </c>
      <c r="C359" s="72">
        <f t="shared" ca="1" si="27"/>
        <v>0.42458598980257389</v>
      </c>
      <c r="D359" s="72">
        <f t="shared" ca="1" si="27"/>
        <v>0.78073177969487939</v>
      </c>
      <c r="E359" s="72">
        <f t="shared" ca="1" si="27"/>
        <v>0.36591931311985426</v>
      </c>
      <c r="F359" s="73">
        <f t="shared" ca="1" si="28"/>
        <v>0.12880586642511183</v>
      </c>
      <c r="G359" s="73">
        <f t="shared" ca="1" si="29"/>
        <v>3.5944742113886707E-2</v>
      </c>
      <c r="H359" s="73">
        <f t="shared" ca="1" si="30"/>
        <v>0.23132854035001338</v>
      </c>
      <c r="I359" s="57" cm="1">
        <f t="array" aca="1" ref="I359" ca="1">SUMPRODUCT('Forecast DCF'!$D$16:$M$16,1/(1+F359)^('Forecast DCF'!$D$6:$M$6-0.5))+(('Forecast DCF'!$M$7*H359*(1-Assumptions!$C$21)+'Forecast DCF'!$M$15)*(1+G359)/(F359-G359))/(1+F359)^('Forecast DCF'!$M$6-0.5)</f>
        <v>135730.60717898532</v>
      </c>
      <c r="K359" s="49">
        <f ca="1">(I359-Assumptions!$C$12)/Assumptions!$C$9</f>
        <v>201.35735482755402</v>
      </c>
    </row>
    <row r="360" spans="2:11" outlineLevel="1" x14ac:dyDescent="0.2">
      <c r="B360" s="69">
        <f t="shared" si="26"/>
        <v>331</v>
      </c>
      <c r="C360" s="72">
        <f t="shared" ca="1" si="27"/>
        <v>0.26737579635584674</v>
      </c>
      <c r="D360" s="72">
        <f t="shared" ca="1" si="27"/>
        <v>0.43015473010388516</v>
      </c>
      <c r="E360" s="72">
        <f t="shared" ca="1" si="27"/>
        <v>0.21321207305040957</v>
      </c>
      <c r="F360" s="73">
        <f t="shared" ca="1" si="28"/>
        <v>0.12595574418434746</v>
      </c>
      <c r="G360" s="73">
        <f t="shared" ca="1" si="29"/>
        <v>3.3032634033465166E-2</v>
      </c>
      <c r="H360" s="73">
        <f t="shared" ca="1" si="30"/>
        <v>0.21918069583306232</v>
      </c>
      <c r="I360" s="57" cm="1">
        <f t="array" aca="1" ref="I360" ca="1">SUMPRODUCT('Forecast DCF'!$D$16:$M$16,1/(1+F360)^('Forecast DCF'!$D$6:$M$6-0.5))+(('Forecast DCF'!$M$7*H360*(1-Assumptions!$C$21)+'Forecast DCF'!$M$15)*(1+G360)/(F360-G360))/(1+F360)^('Forecast DCF'!$M$6-0.5)</f>
        <v>132328.50720525897</v>
      </c>
      <c r="K360" s="49">
        <f ca="1">(I360-Assumptions!$C$12)/Assumptions!$C$9</f>
        <v>195.12149573015358</v>
      </c>
    </row>
    <row r="361" spans="2:11" outlineLevel="1" x14ac:dyDescent="0.2">
      <c r="B361" s="69">
        <f t="shared" si="26"/>
        <v>332</v>
      </c>
      <c r="C361" s="72">
        <f t="shared" ca="1" si="27"/>
        <v>0.54415257058176003</v>
      </c>
      <c r="D361" s="72">
        <f t="shared" ca="1" si="27"/>
        <v>0.74506163407921555</v>
      </c>
      <c r="E361" s="72">
        <f t="shared" ca="1" si="27"/>
        <v>0.13996854736513253</v>
      </c>
      <c r="F361" s="73">
        <f t="shared" ca="1" si="28"/>
        <v>0.13066029677843391</v>
      </c>
      <c r="G361" s="73">
        <f t="shared" ca="1" si="29"/>
        <v>3.5627314618674376E-2</v>
      </c>
      <c r="H361" s="73">
        <f t="shared" ca="1" si="30"/>
        <v>0.21174544913887586</v>
      </c>
      <c r="I361" s="57" cm="1">
        <f t="array" aca="1" ref="I361" ca="1">SUMPRODUCT('Forecast DCF'!$D$16:$M$16,1/(1+F361)^('Forecast DCF'!$D$6:$M$6-0.5))+(('Forecast DCF'!$M$7*H361*(1-Assumptions!$C$21)+'Forecast DCF'!$M$15)*(1+G361)/(F361-G361))/(1+F361)^('Forecast DCF'!$M$6-0.5)</f>
        <v>120148.25832172674</v>
      </c>
      <c r="K361" s="49">
        <f ca="1">(I361-Assumptions!$C$12)/Assumptions!$C$9</f>
        <v>172.79578032039072</v>
      </c>
    </row>
    <row r="362" spans="2:11" outlineLevel="1" x14ac:dyDescent="0.2">
      <c r="B362" s="69">
        <f t="shared" si="26"/>
        <v>333</v>
      </c>
      <c r="C362" s="72">
        <f t="shared" ca="1" si="27"/>
        <v>0.62660730175677992</v>
      </c>
      <c r="D362" s="72">
        <f t="shared" ca="1" si="27"/>
        <v>0.86242283832461741</v>
      </c>
      <c r="E362" s="72">
        <f t="shared" ca="1" si="27"/>
        <v>0.98709502569727336</v>
      </c>
      <c r="F362" s="73">
        <f t="shared" ca="1" si="28"/>
        <v>0.13202183418528837</v>
      </c>
      <c r="G362" s="73">
        <f t="shared" ca="1" si="29"/>
        <v>3.6787790927468499E-2</v>
      </c>
      <c r="H362" s="73">
        <f t="shared" ca="1" si="30"/>
        <v>0.29036071501720007</v>
      </c>
      <c r="I362" s="57" cm="1">
        <f t="array" aca="1" ref="I362" ca="1">SUMPRODUCT('Forecast DCF'!$D$16:$M$16,1/(1+F362)^('Forecast DCF'!$D$6:$M$6-0.5))+(('Forecast DCF'!$M$7*H362*(1-Assumptions!$C$21)+'Forecast DCF'!$M$15)*(1+G362)/(F362-G362))/(1+F362)^('Forecast DCF'!$M$6-0.5)</f>
        <v>159243.77452640887</v>
      </c>
      <c r="K362" s="49">
        <f ca="1">(I362-Assumptions!$C$12)/Assumptions!$C$9</f>
        <v>244.45567634793284</v>
      </c>
    </row>
    <row r="363" spans="2:11" outlineLevel="1" x14ac:dyDescent="0.2">
      <c r="B363" s="69">
        <f t="shared" si="26"/>
        <v>334</v>
      </c>
      <c r="C363" s="72">
        <f t="shared" ca="1" si="27"/>
        <v>0.20098635513557683</v>
      </c>
      <c r="D363" s="72">
        <f t="shared" ca="1" si="27"/>
        <v>0.77313077266454411</v>
      </c>
      <c r="E363" s="72">
        <f t="shared" ca="1" si="27"/>
        <v>0.84416736780013868</v>
      </c>
      <c r="F363" s="73">
        <f t="shared" ca="1" si="28"/>
        <v>0.12449869897549762</v>
      </c>
      <c r="G363" s="73">
        <f t="shared" ca="1" si="29"/>
        <v>3.5875052479102408E-2</v>
      </c>
      <c r="H363" s="73">
        <f t="shared" ca="1" si="30"/>
        <v>0.26650380690527653</v>
      </c>
      <c r="I363" s="57" cm="1">
        <f t="array" aca="1" ref="I363" ca="1">SUMPRODUCT('Forecast DCF'!$D$16:$M$16,1/(1+F363)^('Forecast DCF'!$D$6:$M$6-0.5))+(('Forecast DCF'!$M$7*H363*(1-Assumptions!$C$21)+'Forecast DCF'!$M$15)*(1+G363)/(F363-G363))/(1+F363)^('Forecast DCF'!$M$6-0.5)</f>
        <v>168635.49713212746</v>
      </c>
      <c r="K363" s="49">
        <f ca="1">(I363-Assumptions!$C$12)/Assumptions!$C$9</f>
        <v>261.67017895027243</v>
      </c>
    </row>
    <row r="364" spans="2:11" outlineLevel="1" x14ac:dyDescent="0.2">
      <c r="B364" s="69">
        <f t="shared" si="26"/>
        <v>335</v>
      </c>
      <c r="C364" s="72">
        <f t="shared" ca="1" si="27"/>
        <v>0.99538595793133711</v>
      </c>
      <c r="D364" s="72">
        <f t="shared" ca="1" si="27"/>
        <v>0.82257011712164829</v>
      </c>
      <c r="E364" s="72">
        <f t="shared" ca="1" si="27"/>
        <v>0.18553499261626838</v>
      </c>
      <c r="F364" s="73">
        <f t="shared" ca="1" si="28"/>
        <v>0.14355731610716072</v>
      </c>
      <c r="G364" s="73">
        <f t="shared" ca="1" si="29"/>
        <v>3.6352090843253304E-2</v>
      </c>
      <c r="H364" s="73">
        <f t="shared" ca="1" si="30"/>
        <v>0.21654930843172182</v>
      </c>
      <c r="I364" s="57" cm="1">
        <f t="array" aca="1" ref="I364" ca="1">SUMPRODUCT('Forecast DCF'!$D$16:$M$16,1/(1+F364)^('Forecast DCF'!$D$6:$M$6-0.5))+(('Forecast DCF'!$M$7*H364*(1-Assumptions!$C$21)+'Forecast DCF'!$M$15)*(1+G364)/(F364-G364))/(1+F364)^('Forecast DCF'!$M$6-0.5)</f>
        <v>96511.196293528861</v>
      </c>
      <c r="K364" s="49">
        <f ca="1">(I364-Assumptions!$C$12)/Assumptions!$C$9</f>
        <v>129.47036677502953</v>
      </c>
    </row>
    <row r="365" spans="2:11" outlineLevel="1" x14ac:dyDescent="0.2">
      <c r="B365" s="69">
        <f t="shared" si="26"/>
        <v>336</v>
      </c>
      <c r="C365" s="72">
        <f t="shared" ca="1" si="27"/>
        <v>0.70061304021343862</v>
      </c>
      <c r="D365" s="72">
        <f t="shared" ca="1" si="27"/>
        <v>0.52370419207965546</v>
      </c>
      <c r="E365" s="72">
        <f t="shared" ca="1" si="27"/>
        <v>0.21360774844345509</v>
      </c>
      <c r="F365" s="73">
        <f t="shared" ca="1" si="28"/>
        <v>0.13337891044026043</v>
      </c>
      <c r="G365" s="73">
        <f t="shared" ca="1" si="29"/>
        <v>3.3863161332839897E-2</v>
      </c>
      <c r="H365" s="73">
        <f t="shared" ca="1" si="30"/>
        <v>0.21921703442119095</v>
      </c>
      <c r="I365" s="57" cm="1">
        <f t="array" aca="1" ref="I365" ca="1">SUMPRODUCT('Forecast DCF'!$D$16:$M$16,1/(1+F365)^('Forecast DCF'!$D$6:$M$6-0.5))+(('Forecast DCF'!$M$7*H365*(1-Assumptions!$C$21)+'Forecast DCF'!$M$15)*(1+G365)/(F365-G365))/(1+F365)^('Forecast DCF'!$M$6-0.5)</f>
        <v>115585.79158337902</v>
      </c>
      <c r="K365" s="49">
        <f ca="1">(I365-Assumptions!$C$12)/Assumptions!$C$9</f>
        <v>164.43303380011426</v>
      </c>
    </row>
    <row r="366" spans="2:11" outlineLevel="1" x14ac:dyDescent="0.2">
      <c r="B366" s="69">
        <f t="shared" si="26"/>
        <v>337</v>
      </c>
      <c r="C366" s="72">
        <f t="shared" ca="1" si="27"/>
        <v>0.69695591621075692</v>
      </c>
      <c r="D366" s="72">
        <f t="shared" ca="1" si="27"/>
        <v>0.54236757560523774</v>
      </c>
      <c r="E366" s="72">
        <f t="shared" ca="1" si="27"/>
        <v>0.21795177217720019</v>
      </c>
      <c r="F366" s="73">
        <f t="shared" ca="1" si="28"/>
        <v>0.13330814789827461</v>
      </c>
      <c r="G366" s="73">
        <f t="shared" ca="1" si="29"/>
        <v>3.4019708218162366E-2</v>
      </c>
      <c r="H366" s="73">
        <f t="shared" ca="1" si="30"/>
        <v>0.21961379506782758</v>
      </c>
      <c r="I366" s="57" cm="1">
        <f t="array" aca="1" ref="I366" ca="1">SUMPRODUCT('Forecast DCF'!$D$16:$M$16,1/(1+F366)^('Forecast DCF'!$D$6:$M$6-0.5))+(('Forecast DCF'!$M$7*H366*(1-Assumptions!$C$21)+'Forecast DCF'!$M$15)*(1+G366)/(F366-G366))/(1+F366)^('Forecast DCF'!$M$6-0.5)</f>
        <v>116121.80272025298</v>
      </c>
      <c r="K366" s="49">
        <f ca="1">(I366-Assumptions!$C$12)/Assumptions!$C$9</f>
        <v>165.4155122545973</v>
      </c>
    </row>
    <row r="367" spans="2:11" outlineLevel="1" x14ac:dyDescent="0.2">
      <c r="B367" s="69">
        <f t="shared" si="26"/>
        <v>338</v>
      </c>
      <c r="C367" s="72">
        <f t="shared" ca="1" si="27"/>
        <v>0.30383071098938375</v>
      </c>
      <c r="D367" s="72">
        <f t="shared" ca="1" si="27"/>
        <v>0.78482065574998316</v>
      </c>
      <c r="E367" s="72">
        <f t="shared" ca="1" si="27"/>
        <v>0.77390522493428882</v>
      </c>
      <c r="F367" s="73">
        <f t="shared" ca="1" si="28"/>
        <v>0.12667875835033054</v>
      </c>
      <c r="G367" s="73">
        <f t="shared" ca="1" si="29"/>
        <v>3.5982730925273834E-2</v>
      </c>
      <c r="H367" s="73">
        <f t="shared" ca="1" si="30"/>
        <v>0.25965297556853639</v>
      </c>
      <c r="I367" s="57" cm="1">
        <f t="array" aca="1" ref="I367" ca="1">SUMPRODUCT('Forecast DCF'!$D$16:$M$16,1/(1+F367)^('Forecast DCF'!$D$6:$M$6-0.5))+(('Forecast DCF'!$M$7*H367*(1-Assumptions!$C$21)+'Forecast DCF'!$M$15)*(1+G367)/(F367-G367))/(1+F367)^('Forecast DCF'!$M$6-0.5)</f>
        <v>157760.35657054529</v>
      </c>
      <c r="K367" s="49">
        <f ca="1">(I367-Assumptions!$C$12)/Assumptions!$C$9</f>
        <v>241.73665414789235</v>
      </c>
    </row>
    <row r="368" spans="2:11" outlineLevel="1" x14ac:dyDescent="0.2">
      <c r="B368" s="69">
        <f t="shared" si="26"/>
        <v>339</v>
      </c>
      <c r="C368" s="72">
        <f t="shared" ca="1" si="27"/>
        <v>3.9524517530561853E-2</v>
      </c>
      <c r="D368" s="72">
        <f t="shared" ca="1" si="27"/>
        <v>0.3781249737388751</v>
      </c>
      <c r="E368" s="72">
        <f t="shared" ca="1" si="27"/>
        <v>1.8864752172902399E-2</v>
      </c>
      <c r="F368" s="73">
        <f t="shared" ca="1" si="28"/>
        <v>0.1192122498748151</v>
      </c>
      <c r="G368" s="73">
        <f t="shared" ca="1" si="29"/>
        <v>3.2531184904172207E-2</v>
      </c>
      <c r="H368" s="73">
        <f t="shared" ca="1" si="30"/>
        <v>0.19165445046516125</v>
      </c>
      <c r="I368" s="57" cm="1">
        <f t="array" aca="1" ref="I368" ca="1">SUMPRODUCT('Forecast DCF'!$D$16:$M$16,1/(1+F368)^('Forecast DCF'!$D$6:$M$6-0.5))+(('Forecast DCF'!$M$7*H368*(1-Assumptions!$C$21)+'Forecast DCF'!$M$15)*(1+G368)/(F368-G368))/(1+F368)^('Forecast DCF'!$M$6-0.5)</f>
        <v>133101.39090059433</v>
      </c>
      <c r="K368" s="49">
        <f ca="1">(I368-Assumptions!$C$12)/Assumptions!$C$9</f>
        <v>196.53814834471814</v>
      </c>
    </row>
    <row r="369" spans="2:11" outlineLevel="1" x14ac:dyDescent="0.2">
      <c r="B369" s="69">
        <f t="shared" si="26"/>
        <v>340</v>
      </c>
      <c r="C369" s="72">
        <f t="shared" ca="1" si="27"/>
        <v>0.36959663445197544</v>
      </c>
      <c r="D369" s="72">
        <f t="shared" ca="1" si="27"/>
        <v>9.4725165169789238E-2</v>
      </c>
      <c r="E369" s="72">
        <f t="shared" ca="1" si="27"/>
        <v>0.72501616525172863</v>
      </c>
      <c r="F369" s="73">
        <f t="shared" ca="1" si="28"/>
        <v>0.12788085944768582</v>
      </c>
      <c r="G369" s="73">
        <f t="shared" ca="1" si="29"/>
        <v>2.876945284828825E-2</v>
      </c>
      <c r="H369" s="73">
        <f t="shared" ca="1" si="30"/>
        <v>0.25550411692990516</v>
      </c>
      <c r="I369" s="57" cm="1">
        <f t="array" aca="1" ref="I369" ca="1">SUMPRODUCT('Forecast DCF'!$D$16:$M$16,1/(1+F369)^('Forecast DCF'!$D$6:$M$6-0.5))+(('Forecast DCF'!$M$7*H369*(1-Assumptions!$C$21)+'Forecast DCF'!$M$15)*(1+G369)/(F369-G369))/(1+F369)^('Forecast DCF'!$M$6-0.5)</f>
        <v>140569.74532712554</v>
      </c>
      <c r="K369" s="49">
        <f ca="1">(I369-Assumptions!$C$12)/Assumptions!$C$9</f>
        <v>210.22722457791457</v>
      </c>
    </row>
    <row r="370" spans="2:11" outlineLevel="1" x14ac:dyDescent="0.2">
      <c r="B370" s="69">
        <f t="shared" si="26"/>
        <v>341</v>
      </c>
      <c r="C370" s="72">
        <f t="shared" ca="1" si="27"/>
        <v>0.866227862076418</v>
      </c>
      <c r="D370" s="72">
        <f t="shared" ca="1" si="27"/>
        <v>0.51383395387003172</v>
      </c>
      <c r="E370" s="72">
        <f t="shared" ca="1" si="27"/>
        <v>0.41223192905000905</v>
      </c>
      <c r="F370" s="73">
        <f t="shared" ca="1" si="28"/>
        <v>0.13723192800354989</v>
      </c>
      <c r="G370" s="73">
        <f t="shared" ca="1" si="29"/>
        <v>3.3779242170056865E-2</v>
      </c>
      <c r="H370" s="73">
        <f t="shared" ca="1" si="30"/>
        <v>0.23447999531167441</v>
      </c>
      <c r="I370" s="57" cm="1">
        <f t="array" aca="1" ref="I370" ca="1">SUMPRODUCT('Forecast DCF'!$D$16:$M$16,1/(1+F370)^('Forecast DCF'!$D$6:$M$6-0.5))+(('Forecast DCF'!$M$7*H370*(1-Assumptions!$C$21)+'Forecast DCF'!$M$15)*(1+G370)/(F370-G370))/(1+F370)^('Forecast DCF'!$M$6-0.5)</f>
        <v>114271.19608476649</v>
      </c>
      <c r="K370" s="49">
        <f ca="1">(I370-Assumptions!$C$12)/Assumptions!$C$9</f>
        <v>162.0234537281784</v>
      </c>
    </row>
    <row r="371" spans="2:11" outlineLevel="1" x14ac:dyDescent="0.2">
      <c r="B371" s="69">
        <f t="shared" si="26"/>
        <v>342</v>
      </c>
      <c r="C371" s="72">
        <f t="shared" ca="1" si="27"/>
        <v>0.84963210722298221</v>
      </c>
      <c r="D371" s="72">
        <f t="shared" ca="1" si="27"/>
        <v>0.38618115152136179</v>
      </c>
      <c r="E371" s="72">
        <f t="shared" ca="1" si="27"/>
        <v>0.37902676041912509</v>
      </c>
      <c r="F371" s="73">
        <f t="shared" ca="1" si="28"/>
        <v>0.13676415878516621</v>
      </c>
      <c r="G371" s="73">
        <f t="shared" ca="1" si="29"/>
        <v>3.2610990259368637E-2</v>
      </c>
      <c r="H371" s="73">
        <f t="shared" ca="1" si="30"/>
        <v>0.23223976143722042</v>
      </c>
      <c r="I371" s="57" cm="1">
        <f t="array" aca="1" ref="I371" ca="1">SUMPRODUCT('Forecast DCF'!$D$16:$M$16,1/(1+F371)^('Forecast DCF'!$D$6:$M$6-0.5))+(('Forecast DCF'!$M$7*H371*(1-Assumptions!$C$21)+'Forecast DCF'!$M$15)*(1+G371)/(F371-G371))/(1+F371)^('Forecast DCF'!$M$6-0.5)</f>
        <v>112950.19785347697</v>
      </c>
      <c r="K371" s="49">
        <f ca="1">(I371-Assumptions!$C$12)/Assumptions!$C$9</f>
        <v>159.60213780511515</v>
      </c>
    </row>
    <row r="372" spans="2:11" outlineLevel="1" x14ac:dyDescent="0.2">
      <c r="B372" s="69">
        <f t="shared" si="26"/>
        <v>343</v>
      </c>
      <c r="C372" s="72">
        <f t="shared" ca="1" si="27"/>
        <v>0.81825965550280455</v>
      </c>
      <c r="D372" s="72">
        <f t="shared" ca="1" si="27"/>
        <v>8.5405725160876855E-2</v>
      </c>
      <c r="E372" s="72">
        <f t="shared" ca="1" si="27"/>
        <v>0.65868019730592975</v>
      </c>
      <c r="F372" s="73">
        <f t="shared" ca="1" si="28"/>
        <v>0.13594567495062865</v>
      </c>
      <c r="G372" s="73">
        <f t="shared" ca="1" si="29"/>
        <v>2.8579226002103185E-2</v>
      </c>
      <c r="H372" s="73">
        <f t="shared" ca="1" si="30"/>
        <v>0.25042679575216764</v>
      </c>
      <c r="I372" s="57" cm="1">
        <f t="array" aca="1" ref="I372" ca="1">SUMPRODUCT('Forecast DCF'!$D$16:$M$16,1/(1+F372)^('Forecast DCF'!$D$6:$M$6-0.5))+(('Forecast DCF'!$M$7*H372*(1-Assumptions!$C$21)+'Forecast DCF'!$M$15)*(1+G372)/(F372-G372))/(1+F372)^('Forecast DCF'!$M$6-0.5)</f>
        <v>118364.65876108046</v>
      </c>
      <c r="K372" s="49">
        <f ca="1">(I372-Assumptions!$C$12)/Assumptions!$C$9</f>
        <v>169.52654201691038</v>
      </c>
    </row>
    <row r="373" spans="2:11" outlineLevel="1" x14ac:dyDescent="0.2">
      <c r="B373" s="69">
        <f t="shared" si="26"/>
        <v>344</v>
      </c>
      <c r="C373" s="72">
        <f t="shared" ca="1" si="27"/>
        <v>0.35109969230576255</v>
      </c>
      <c r="D373" s="72">
        <f t="shared" ca="1" si="27"/>
        <v>0.64911154873042987</v>
      </c>
      <c r="E373" s="72">
        <f t="shared" ca="1" si="27"/>
        <v>0.18559531625296433</v>
      </c>
      <c r="F373" s="73">
        <f t="shared" ca="1" si="28"/>
        <v>0.12755440289391987</v>
      </c>
      <c r="G373" s="73">
        <f t="shared" ca="1" si="29"/>
        <v>3.4867458249699591E-2</v>
      </c>
      <c r="H373" s="73">
        <f t="shared" ca="1" si="30"/>
        <v>0.21655524965064993</v>
      </c>
      <c r="I373" s="57" cm="1">
        <f t="array" aca="1" ref="I373" ca="1">SUMPRODUCT('Forecast DCF'!$D$16:$M$16,1/(1+F373)^('Forecast DCF'!$D$6:$M$6-0.5))+(('Forecast DCF'!$M$7*H373*(1-Assumptions!$C$21)+'Forecast DCF'!$M$15)*(1+G373)/(F373-G373))/(1+F373)^('Forecast DCF'!$M$6-0.5)</f>
        <v>129335.12322006212</v>
      </c>
      <c r="K373" s="49">
        <f ca="1">(I373-Assumptions!$C$12)/Assumptions!$C$9</f>
        <v>189.63479019526088</v>
      </c>
    </row>
    <row r="374" spans="2:11" outlineLevel="1" x14ac:dyDescent="0.2">
      <c r="B374" s="69">
        <f t="shared" si="26"/>
        <v>345</v>
      </c>
      <c r="C374" s="72">
        <f t="shared" ca="1" si="27"/>
        <v>0.87539077389992259</v>
      </c>
      <c r="D374" s="72">
        <f t="shared" ca="1" si="27"/>
        <v>8.9957610745439176E-3</v>
      </c>
      <c r="E374" s="72">
        <f t="shared" ca="1" si="27"/>
        <v>0.80985164337383853</v>
      </c>
      <c r="F374" s="73">
        <f t="shared" ca="1" si="28"/>
        <v>0.13750268932680365</v>
      </c>
      <c r="G374" s="73">
        <f t="shared" ca="1" si="29"/>
        <v>2.6161621350174656E-2</v>
      </c>
      <c r="H374" s="73">
        <f t="shared" ca="1" si="30"/>
        <v>0.26299907882621887</v>
      </c>
      <c r="I374" s="57" cm="1">
        <f t="array" aca="1" ref="I374" ca="1">SUMPRODUCT('Forecast DCF'!$D$16:$M$16,1/(1+F374)^('Forecast DCF'!$D$6:$M$6-0.5))+(('Forecast DCF'!$M$7*H374*(1-Assumptions!$C$21)+'Forecast DCF'!$M$15)*(1+G374)/(F374-G374))/(1+F374)^('Forecast DCF'!$M$6-0.5)</f>
        <v>117720.07414111872</v>
      </c>
      <c r="K374" s="49">
        <f ca="1">(I374-Assumptions!$C$12)/Assumptions!$C$9</f>
        <v>168.34505443645278</v>
      </c>
    </row>
    <row r="375" spans="2:11" outlineLevel="1" x14ac:dyDescent="0.2">
      <c r="B375" s="69">
        <f t="shared" si="26"/>
        <v>346</v>
      </c>
      <c r="C375" s="72">
        <f t="shared" ca="1" si="27"/>
        <v>1.2289155283654707E-2</v>
      </c>
      <c r="D375" s="72">
        <f t="shared" ca="1" si="27"/>
        <v>0.28832414852605825</v>
      </c>
      <c r="E375" s="72">
        <f t="shared" ca="1" si="27"/>
        <v>0.17453947683111271</v>
      </c>
      <c r="F375" s="73">
        <f t="shared" ca="1" si="28"/>
        <v>0.11734877736711681</v>
      </c>
      <c r="G375" s="73">
        <f t="shared" ca="1" si="29"/>
        <v>3.1576368471953858E-2</v>
      </c>
      <c r="H375" s="73">
        <f t="shared" ca="1" si="30"/>
        <v>0.2154497423570893</v>
      </c>
      <c r="I375" s="57" cm="1">
        <f t="array" aca="1" ref="I375" ca="1">SUMPRODUCT('Forecast DCF'!$D$16:$M$16,1/(1+F375)^('Forecast DCF'!$D$6:$M$6-0.5))+(('Forecast DCF'!$M$7*H375*(1-Assumptions!$C$21)+'Forecast DCF'!$M$15)*(1+G375)/(F375-G375))/(1+F375)^('Forecast DCF'!$M$6-0.5)</f>
        <v>152191.33409254649</v>
      </c>
      <c r="K375" s="49">
        <f ca="1">(I375-Assumptions!$C$12)/Assumptions!$C$9</f>
        <v>231.52894721651165</v>
      </c>
    </row>
    <row r="376" spans="2:11" outlineLevel="1" x14ac:dyDescent="0.2">
      <c r="B376" s="69">
        <f t="shared" si="26"/>
        <v>347</v>
      </c>
      <c r="C376" s="72">
        <f t="shared" ca="1" si="27"/>
        <v>0.34979270736549661</v>
      </c>
      <c r="D376" s="72">
        <f t="shared" ca="1" si="27"/>
        <v>0.87741342272060829</v>
      </c>
      <c r="E376" s="72">
        <f t="shared" ca="1" si="27"/>
        <v>0.63504483819672453</v>
      </c>
      <c r="F376" s="73">
        <f t="shared" ca="1" si="28"/>
        <v>0.12753101393255462</v>
      </c>
      <c r="G376" s="73">
        <f t="shared" ca="1" si="29"/>
        <v>3.6967840159893552E-2</v>
      </c>
      <c r="H376" s="73">
        <f t="shared" ca="1" si="30"/>
        <v>0.24873912637319195</v>
      </c>
      <c r="I376" s="57" cm="1">
        <f t="array" aca="1" ref="I376" ca="1">SUMPRODUCT('Forecast DCF'!$D$16:$M$16,1/(1+F376)^('Forecast DCF'!$D$6:$M$6-0.5))+(('Forecast DCF'!$M$7*H376*(1-Assumptions!$C$21)+'Forecast DCF'!$M$15)*(1+G376)/(F376-G376))/(1+F376)^('Forecast DCF'!$M$6-0.5)</f>
        <v>150641.18588132912</v>
      </c>
      <c r="K376" s="49">
        <f ca="1">(I376-Assumptions!$C$12)/Assumptions!$C$9</f>
        <v>228.68761218817883</v>
      </c>
    </row>
    <row r="377" spans="2:11" outlineLevel="1" x14ac:dyDescent="0.2">
      <c r="B377" s="69">
        <f t="shared" si="26"/>
        <v>348</v>
      </c>
      <c r="C377" s="72">
        <f t="shared" ca="1" si="27"/>
        <v>1.9946386343227651E-2</v>
      </c>
      <c r="D377" s="72">
        <f t="shared" ca="1" si="27"/>
        <v>0.77658178940352229</v>
      </c>
      <c r="E377" s="72">
        <f t="shared" ca="1" si="27"/>
        <v>0.47535620644930232</v>
      </c>
      <c r="F377" s="73">
        <f t="shared" ca="1" si="28"/>
        <v>0.11799235386790485</v>
      </c>
      <c r="G377" s="73">
        <f t="shared" ca="1" si="29"/>
        <v>3.5906545982335232E-2</v>
      </c>
      <c r="H377" s="73">
        <f t="shared" ca="1" si="30"/>
        <v>0.23850268956582232</v>
      </c>
      <c r="I377" s="57" cm="1">
        <f t="array" aca="1" ref="I377" ca="1">SUMPRODUCT('Forecast DCF'!$D$16:$M$16,1/(1+F377)^('Forecast DCF'!$D$6:$M$6-0.5))+(('Forecast DCF'!$M$7*H377*(1-Assumptions!$C$21)+'Forecast DCF'!$M$15)*(1+G377)/(F377-G377))/(1+F377)^('Forecast DCF'!$M$6-0.5)</f>
        <v>173652.71075664385</v>
      </c>
      <c r="K377" s="49">
        <f ca="1">(I377-Assumptions!$C$12)/Assumptions!$C$9</f>
        <v>270.86645109561255</v>
      </c>
    </row>
    <row r="378" spans="2:11" outlineLevel="1" x14ac:dyDescent="0.2">
      <c r="B378" s="69">
        <f t="shared" si="26"/>
        <v>349</v>
      </c>
      <c r="C378" s="72">
        <f t="shared" ca="1" si="27"/>
        <v>0.84134358368393214</v>
      </c>
      <c r="D378" s="72">
        <f t="shared" ca="1" si="27"/>
        <v>0.27778220574559198</v>
      </c>
      <c r="E378" s="72">
        <f t="shared" ca="1" si="27"/>
        <v>0.49884691605776521</v>
      </c>
      <c r="F378" s="73">
        <f t="shared" ca="1" si="28"/>
        <v>0.13654021690107343</v>
      </c>
      <c r="G378" s="73">
        <f t="shared" ca="1" si="29"/>
        <v>3.1455023691810809E-2</v>
      </c>
      <c r="H378" s="73">
        <f t="shared" ca="1" si="30"/>
        <v>0.23993077502932786</v>
      </c>
      <c r="I378" s="57" cm="1">
        <f t="array" aca="1" ref="I378" ca="1">SUMPRODUCT('Forecast DCF'!$D$16:$M$16,1/(1+F378)^('Forecast DCF'!$D$6:$M$6-0.5))+(('Forecast DCF'!$M$7*H378*(1-Assumptions!$C$21)+'Forecast DCF'!$M$15)*(1+G378)/(F378-G378))/(1+F378)^('Forecast DCF'!$M$6-0.5)</f>
        <v>115623.24278703998</v>
      </c>
      <c r="K378" s="49">
        <f ca="1">(I378-Assumptions!$C$12)/Assumptions!$C$9</f>
        <v>164.50167976315515</v>
      </c>
    </row>
    <row r="379" spans="2:11" outlineLevel="1" x14ac:dyDescent="0.2">
      <c r="B379" s="69">
        <f t="shared" si="26"/>
        <v>350</v>
      </c>
      <c r="C379" s="72">
        <f t="shared" ca="1" si="27"/>
        <v>7.420931126893815E-2</v>
      </c>
      <c r="D379" s="72">
        <f t="shared" ca="1" si="27"/>
        <v>0.17429502782282447</v>
      </c>
      <c r="E379" s="72">
        <f t="shared" ca="1" si="27"/>
        <v>0.73471207192914656</v>
      </c>
      <c r="F379" s="73">
        <f t="shared" ca="1" si="28"/>
        <v>0.12077178357420283</v>
      </c>
      <c r="G379" s="73">
        <f t="shared" ca="1" si="29"/>
        <v>3.0113145232968031E-2</v>
      </c>
      <c r="H379" s="73">
        <f t="shared" ca="1" si="30"/>
        <v>0.25629561712928389</v>
      </c>
      <c r="I379" s="57" cm="1">
        <f t="array" aca="1" ref="I379" ca="1">SUMPRODUCT('Forecast DCF'!$D$16:$M$16,1/(1+F379)^('Forecast DCF'!$D$6:$M$6-0.5))+(('Forecast DCF'!$M$7*H379*(1-Assumptions!$C$21)+'Forecast DCF'!$M$15)*(1+G379)/(F379-G379))/(1+F379)^('Forecast DCF'!$M$6-0.5)</f>
        <v>164125.20153260732</v>
      </c>
      <c r="K379" s="49">
        <f ca="1">(I379-Assumptions!$C$12)/Assumptions!$C$9</f>
        <v>253.40305921145219</v>
      </c>
    </row>
    <row r="380" spans="2:11" outlineLevel="1" x14ac:dyDescent="0.2">
      <c r="B380" s="69">
        <f t="shared" si="26"/>
        <v>351</v>
      </c>
      <c r="C380" s="72">
        <f t="shared" ca="1" si="27"/>
        <v>0.16043077589737198</v>
      </c>
      <c r="D380" s="72">
        <f t="shared" ca="1" si="27"/>
        <v>7.5649450898605419E-2</v>
      </c>
      <c r="E380" s="72">
        <f t="shared" ca="1" si="27"/>
        <v>0.9670730380586029</v>
      </c>
      <c r="F380" s="73">
        <f t="shared" ca="1" si="28"/>
        <v>0.12348642308370616</v>
      </c>
      <c r="G380" s="73">
        <f t="shared" ca="1" si="29"/>
        <v>2.8368592827100185E-2</v>
      </c>
      <c r="H380" s="73">
        <f t="shared" ca="1" si="30"/>
        <v>0.28460278837003078</v>
      </c>
      <c r="I380" s="57" cm="1">
        <f t="array" aca="1" ref="I380" ca="1">SUMPRODUCT('Forecast DCF'!$D$16:$M$16,1/(1+F380)^('Forecast DCF'!$D$6:$M$6-0.5))+(('Forecast DCF'!$M$7*H380*(1-Assumptions!$C$21)+'Forecast DCF'!$M$15)*(1+G380)/(F380-G380))/(1+F380)^('Forecast DCF'!$M$6-0.5)</f>
        <v>168415.94940761285</v>
      </c>
      <c r="K380" s="49">
        <f ca="1">(I380-Assumptions!$C$12)/Assumptions!$C$9</f>
        <v>261.26776024247403</v>
      </c>
    </row>
    <row r="381" spans="2:11" outlineLevel="1" x14ac:dyDescent="0.2">
      <c r="B381" s="69">
        <f t="shared" si="26"/>
        <v>352</v>
      </c>
      <c r="C381" s="72">
        <f t="shared" ca="1" si="27"/>
        <v>0.11160822983363394</v>
      </c>
      <c r="D381" s="72">
        <f t="shared" ca="1" si="27"/>
        <v>0.40405748718833845</v>
      </c>
      <c r="E381" s="72">
        <f t="shared" ca="1" si="27"/>
        <v>0.91285851228392134</v>
      </c>
      <c r="F381" s="73">
        <f t="shared" ca="1" si="28"/>
        <v>0.12207829970696456</v>
      </c>
      <c r="G381" s="73">
        <f t="shared" ca="1" si="29"/>
        <v>3.2785154017631941E-2</v>
      </c>
      <c r="H381" s="73">
        <f t="shared" ca="1" si="30"/>
        <v>0.27495167247986868</v>
      </c>
      <c r="I381" s="57" cm="1">
        <f t="array" aca="1" ref="I381" ca="1">SUMPRODUCT('Forecast DCF'!$D$16:$M$16,1/(1+F381)^('Forecast DCF'!$D$6:$M$6-0.5))+(('Forecast DCF'!$M$7*H381*(1-Assumptions!$C$21)+'Forecast DCF'!$M$15)*(1+G381)/(F381-G381))/(1+F381)^('Forecast DCF'!$M$6-0.5)</f>
        <v>175957.30807631725</v>
      </c>
      <c r="K381" s="49">
        <f ca="1">(I381-Assumptions!$C$12)/Assumptions!$C$9</f>
        <v>275.0906491711292</v>
      </c>
    </row>
    <row r="382" spans="2:11" outlineLevel="1" x14ac:dyDescent="0.2">
      <c r="B382" s="69">
        <f t="shared" si="26"/>
        <v>353</v>
      </c>
      <c r="C382" s="72">
        <f t="shared" ca="1" si="27"/>
        <v>0.5070073759909538</v>
      </c>
      <c r="D382" s="72">
        <f t="shared" ca="1" si="27"/>
        <v>0.13648566532694428</v>
      </c>
      <c r="E382" s="72">
        <f t="shared" ca="1" si="27"/>
        <v>0.82605978165050653</v>
      </c>
      <c r="F382" s="73">
        <f t="shared" ca="1" si="28"/>
        <v>0.130087494430601</v>
      </c>
      <c r="G382" s="73">
        <f t="shared" ca="1" si="29"/>
        <v>2.952469333756904E-2</v>
      </c>
      <c r="H382" s="73">
        <f t="shared" ca="1" si="30"/>
        <v>0.26461116599665435</v>
      </c>
      <c r="I382" s="57" cm="1">
        <f t="array" aca="1" ref="I382" ca="1">SUMPRODUCT('Forecast DCF'!$D$16:$M$16,1/(1+F382)^('Forecast DCF'!$D$6:$M$6-0.5))+(('Forecast DCF'!$M$7*H382*(1-Assumptions!$C$21)+'Forecast DCF'!$M$15)*(1+G382)/(F382-G382))/(1+F382)^('Forecast DCF'!$M$6-0.5)</f>
        <v>140359.7361117221</v>
      </c>
      <c r="K382" s="49">
        <f ca="1">(I382-Assumptions!$C$12)/Assumptions!$C$9</f>
        <v>209.84228942417863</v>
      </c>
    </row>
    <row r="383" spans="2:11" outlineLevel="1" x14ac:dyDescent="0.2">
      <c r="B383" s="69">
        <f t="shared" si="26"/>
        <v>354</v>
      </c>
      <c r="C383" s="72">
        <f t="shared" ca="1" si="27"/>
        <v>0.57086266725420176</v>
      </c>
      <c r="D383" s="72">
        <f t="shared" ca="1" si="27"/>
        <v>0.96225666208778693</v>
      </c>
      <c r="E383" s="72">
        <f t="shared" ca="1" si="27"/>
        <v>0.3337615556410285</v>
      </c>
      <c r="F383" s="73">
        <f t="shared" ca="1" si="28"/>
        <v>0.13108675102301182</v>
      </c>
      <c r="G383" s="73">
        <f t="shared" ca="1" si="29"/>
        <v>3.8317516614222898E-2</v>
      </c>
      <c r="H383" s="73">
        <f t="shared" ca="1" si="30"/>
        <v>0.22902125254025446</v>
      </c>
      <c r="I383" s="57" cm="1">
        <f t="array" aca="1" ref="I383" ca="1">SUMPRODUCT('Forecast DCF'!$D$16:$M$16,1/(1+F383)^('Forecast DCF'!$D$6:$M$6-0.5))+(('Forecast DCF'!$M$7*H383*(1-Assumptions!$C$21)+'Forecast DCF'!$M$15)*(1+G383)/(F383-G383))/(1+F383)^('Forecast DCF'!$M$6-0.5)</f>
        <v>131906.31461020192</v>
      </c>
      <c r="K383" s="49">
        <f ca="1">(I383-Assumptions!$C$12)/Assumptions!$C$9</f>
        <v>194.3476403011322</v>
      </c>
    </row>
    <row r="384" spans="2:11" outlineLevel="1" x14ac:dyDescent="0.2">
      <c r="B384" s="69">
        <f t="shared" si="26"/>
        <v>355</v>
      </c>
      <c r="C384" s="72">
        <f t="shared" ref="C384:E415" ca="1" si="31">RAND()</f>
        <v>0.49677062106031311</v>
      </c>
      <c r="D384" s="72">
        <f t="shared" ca="1" si="31"/>
        <v>0.59551652637684171</v>
      </c>
      <c r="E384" s="72">
        <f t="shared" ca="1" si="31"/>
        <v>0.89495333211153694</v>
      </c>
      <c r="F384" s="73">
        <f t="shared" ca="1" si="28"/>
        <v>0.12993340313724669</v>
      </c>
      <c r="G384" s="73">
        <f t="shared" ca="1" si="29"/>
        <v>3.4451321545504961E-2</v>
      </c>
      <c r="H384" s="73">
        <f t="shared" ca="1" si="30"/>
        <v>0.27249843624815245</v>
      </c>
      <c r="I384" s="57" cm="1">
        <f t="array" aca="1" ref="I384" ca="1">SUMPRODUCT('Forecast DCF'!$D$16:$M$16,1/(1+F384)^('Forecast DCF'!$D$6:$M$6-0.5))+(('Forecast DCF'!$M$7*H384*(1-Assumptions!$C$21)+'Forecast DCF'!$M$15)*(1+G384)/(F384-G384))/(1+F384)^('Forecast DCF'!$M$6-0.5)</f>
        <v>152313.07410363795</v>
      </c>
      <c r="K384" s="49">
        <f ca="1">(I384-Assumptions!$C$12)/Assumptions!$C$9</f>
        <v>231.75208985239689</v>
      </c>
    </row>
    <row r="385" spans="2:11" outlineLevel="1" x14ac:dyDescent="0.2">
      <c r="B385" s="69">
        <f t="shared" si="26"/>
        <v>356</v>
      </c>
      <c r="C385" s="72">
        <f t="shared" ca="1" si="31"/>
        <v>0.88437721233132049</v>
      </c>
      <c r="D385" s="72">
        <f t="shared" ca="1" si="31"/>
        <v>9.8617699545817228E-2</v>
      </c>
      <c r="E385" s="72">
        <f t="shared" ca="1" si="31"/>
        <v>3.801486441413926E-2</v>
      </c>
      <c r="F385" s="73">
        <f t="shared" ca="1" si="28"/>
        <v>0.13777808909883268</v>
      </c>
      <c r="G385" s="73">
        <f t="shared" ca="1" si="29"/>
        <v>2.8846122064089048E-2</v>
      </c>
      <c r="H385" s="73">
        <f t="shared" ca="1" si="30"/>
        <v>0.19654409332002823</v>
      </c>
      <c r="I385" s="57" cm="1">
        <f t="array" aca="1" ref="I385" ca="1">SUMPRODUCT('Forecast DCF'!$D$16:$M$16,1/(1+F385)^('Forecast DCF'!$D$6:$M$6-0.5))+(('Forecast DCF'!$M$7*H385*(1-Assumptions!$C$21)+'Forecast DCF'!$M$15)*(1+G385)/(F385-G385))/(1+F385)^('Forecast DCF'!$M$6-0.5)</f>
        <v>91584.962543786489</v>
      </c>
      <c r="K385" s="49">
        <f ca="1">(I385-Assumptions!$C$12)/Assumptions!$C$9</f>
        <v>120.44085565498885</v>
      </c>
    </row>
    <row r="386" spans="2:11" outlineLevel="1" x14ac:dyDescent="0.2">
      <c r="B386" s="69">
        <f t="shared" si="26"/>
        <v>357</v>
      </c>
      <c r="C386" s="72">
        <f t="shared" ca="1" si="31"/>
        <v>0.11304654749262077</v>
      </c>
      <c r="D386" s="72">
        <f t="shared" ca="1" si="31"/>
        <v>9.0205086597096473E-2</v>
      </c>
      <c r="E386" s="72">
        <f t="shared" ca="1" si="31"/>
        <v>0.52387312915711115</v>
      </c>
      <c r="F386" s="73">
        <f t="shared" ca="1" si="28"/>
        <v>0.1221237634353252</v>
      </c>
      <c r="G386" s="73">
        <f t="shared" ca="1" si="29"/>
        <v>2.867841854464177E-2</v>
      </c>
      <c r="H386" s="73">
        <f t="shared" ca="1" si="30"/>
        <v>0.24144990631887253</v>
      </c>
      <c r="I386" s="57" cm="1">
        <f t="array" aca="1" ref="I386" ca="1">SUMPRODUCT('Forecast DCF'!$D$16:$M$16,1/(1+F386)^('Forecast DCF'!$D$6:$M$6-0.5))+(('Forecast DCF'!$M$7*H386*(1-Assumptions!$C$21)+'Forecast DCF'!$M$15)*(1+G386)/(F386-G386))/(1+F386)^('Forecast DCF'!$M$6-0.5)</f>
        <v>148874.41070243498</v>
      </c>
      <c r="K386" s="49">
        <f ca="1">(I386-Assumptions!$C$12)/Assumptions!$C$9</f>
        <v>225.44921203608075</v>
      </c>
    </row>
    <row r="387" spans="2:11" outlineLevel="1" x14ac:dyDescent="0.2">
      <c r="B387" s="69">
        <f t="shared" si="26"/>
        <v>358</v>
      </c>
      <c r="C387" s="72">
        <f t="shared" ca="1" si="31"/>
        <v>0.84832509091168951</v>
      </c>
      <c r="D387" s="72">
        <f t="shared" ca="1" si="31"/>
        <v>0.3675527508369234</v>
      </c>
      <c r="E387" s="72">
        <f t="shared" ca="1" si="31"/>
        <v>0.44731951765473765</v>
      </c>
      <c r="F387" s="73">
        <f t="shared" ca="1" si="28"/>
        <v>0.13672844275433654</v>
      </c>
      <c r="G387" s="73">
        <f t="shared" ca="1" si="29"/>
        <v>3.2425154047259798E-2</v>
      </c>
      <c r="H387" s="73">
        <f t="shared" ca="1" si="30"/>
        <v>0.23675121608489205</v>
      </c>
      <c r="I387" s="57" cm="1">
        <f t="array" aca="1" ref="I387" ca="1">SUMPRODUCT('Forecast DCF'!$D$16:$M$16,1/(1+F387)^('Forecast DCF'!$D$6:$M$6-0.5))+(('Forecast DCF'!$M$7*H387*(1-Assumptions!$C$21)+'Forecast DCF'!$M$15)*(1+G387)/(F387-G387))/(1+F387)^('Forecast DCF'!$M$6-0.5)</f>
        <v>114868.2642023919</v>
      </c>
      <c r="K387" s="49">
        <f ca="1">(I387-Assumptions!$C$12)/Assumptions!$C$9</f>
        <v>163.11784621570547</v>
      </c>
    </row>
    <row r="388" spans="2:11" outlineLevel="1" x14ac:dyDescent="0.2">
      <c r="B388" s="69">
        <f t="shared" si="26"/>
        <v>359</v>
      </c>
      <c r="C388" s="72">
        <f t="shared" ca="1" si="31"/>
        <v>0.30290599988800515</v>
      </c>
      <c r="D388" s="72">
        <f t="shared" ca="1" si="31"/>
        <v>0.77689471735988525</v>
      </c>
      <c r="E388" s="72">
        <f t="shared" ca="1" si="31"/>
        <v>0.56426868500169947</v>
      </c>
      <c r="F388" s="73">
        <f t="shared" ca="1" si="28"/>
        <v>0.1266609726119122</v>
      </c>
      <c r="G388" s="73">
        <f t="shared" ca="1" si="29"/>
        <v>3.5909413709746658E-2</v>
      </c>
      <c r="H388" s="73">
        <f t="shared" ca="1" si="30"/>
        <v>0.24398870231830222</v>
      </c>
      <c r="I388" s="57" cm="1">
        <f t="array" aca="1" ref="I388" ca="1">SUMPRODUCT('Forecast DCF'!$D$16:$M$16,1/(1+F388)^('Forecast DCF'!$D$6:$M$6-0.5))+(('Forecast DCF'!$M$7*H388*(1-Assumptions!$C$21)+'Forecast DCF'!$M$15)*(1+G388)/(F388-G388))/(1+F388)^('Forecast DCF'!$M$6-0.5)</f>
        <v>148766.97335295612</v>
      </c>
      <c r="K388" s="49">
        <f ca="1">(I388-Assumptions!$C$12)/Assumptions!$C$9</f>
        <v>225.25228537950912</v>
      </c>
    </row>
    <row r="389" spans="2:11" outlineLevel="1" x14ac:dyDescent="0.2">
      <c r="B389" s="69">
        <f t="shared" si="26"/>
        <v>360</v>
      </c>
      <c r="C389" s="72">
        <f t="shared" ca="1" si="31"/>
        <v>0.49535245249345294</v>
      </c>
      <c r="D389" s="72">
        <f t="shared" ca="1" si="31"/>
        <v>0.29417385996429024</v>
      </c>
      <c r="E389" s="72">
        <f t="shared" ca="1" si="31"/>
        <v>0.99752831411076004</v>
      </c>
      <c r="F389" s="73">
        <f t="shared" ca="1" si="28"/>
        <v>0.12991207214633477</v>
      </c>
      <c r="G389" s="73">
        <f t="shared" ca="1" si="29"/>
        <v>3.1642746344294925E-2</v>
      </c>
      <c r="H389" s="73">
        <f t="shared" ca="1" si="30"/>
        <v>0.29578145304606812</v>
      </c>
      <c r="I389" s="57" cm="1">
        <f t="array" aca="1" ref="I389" ca="1">SUMPRODUCT('Forecast DCF'!$D$16:$M$16,1/(1+F389)^('Forecast DCF'!$D$6:$M$6-0.5))+(('Forecast DCF'!$M$7*H389*(1-Assumptions!$C$21)+'Forecast DCF'!$M$15)*(1+G389)/(F389-G389))/(1+F389)^('Forecast DCF'!$M$6-0.5)</f>
        <v>159801.17484700822</v>
      </c>
      <c r="K389" s="49">
        <f ca="1">(I389-Assumptions!$C$12)/Assumptions!$C$9</f>
        <v>245.47735998067341</v>
      </c>
    </row>
    <row r="390" spans="2:11" outlineLevel="1" x14ac:dyDescent="0.2">
      <c r="B390" s="69">
        <f t="shared" si="26"/>
        <v>361</v>
      </c>
      <c r="C390" s="72">
        <f t="shared" ca="1" si="31"/>
        <v>0.75058694558854111</v>
      </c>
      <c r="D390" s="72">
        <f t="shared" ca="1" si="31"/>
        <v>0.26984221163733435</v>
      </c>
      <c r="E390" s="72">
        <f t="shared" ca="1" si="31"/>
        <v>0.51744940160843578</v>
      </c>
      <c r="F390" s="73">
        <f t="shared" ca="1" si="28"/>
        <v>0.13439306277521143</v>
      </c>
      <c r="G390" s="73">
        <f t="shared" ca="1" si="29"/>
        <v>3.1362101205230877E-2</v>
      </c>
      <c r="H390" s="73">
        <f t="shared" ca="1" si="30"/>
        <v>0.2410562614994666</v>
      </c>
      <c r="I390" s="57" cm="1">
        <f t="array" aca="1" ref="I390" ca="1">SUMPRODUCT('Forecast DCF'!$D$16:$M$16,1/(1+F390)^('Forecast DCF'!$D$6:$M$6-0.5))+(('Forecast DCF'!$M$7*H390*(1-Assumptions!$C$21)+'Forecast DCF'!$M$15)*(1+G390)/(F390-G390))/(1+F390)^('Forecast DCF'!$M$6-0.5)</f>
        <v>120802.21928510483</v>
      </c>
      <c r="K390" s="49">
        <f ca="1">(I390-Assumptions!$C$12)/Assumptions!$C$9</f>
        <v>173.99445421425614</v>
      </c>
    </row>
    <row r="391" spans="2:11" outlineLevel="1" x14ac:dyDescent="0.2">
      <c r="B391" s="69">
        <f t="shared" si="26"/>
        <v>362</v>
      </c>
      <c r="C391" s="72">
        <f t="shared" ca="1" si="31"/>
        <v>0.24105165984870325</v>
      </c>
      <c r="D391" s="72">
        <f t="shared" ca="1" si="31"/>
        <v>4.8490829043920214E-2</v>
      </c>
      <c r="E391" s="72">
        <f t="shared" ca="1" si="31"/>
        <v>0.60503882805282139</v>
      </c>
      <c r="F391" s="73">
        <f t="shared" ca="1" si="28"/>
        <v>0.125402456313191</v>
      </c>
      <c r="G391" s="73">
        <f t="shared" ca="1" si="29"/>
        <v>2.7696965768523589E-2</v>
      </c>
      <c r="H391" s="73">
        <f t="shared" ca="1" si="30"/>
        <v>0.24667345465886914</v>
      </c>
      <c r="I391" s="57" cm="1">
        <f t="array" aca="1" ref="I391" ca="1">SUMPRODUCT('Forecast DCF'!$D$16:$M$16,1/(1+F391)^('Forecast DCF'!$D$6:$M$6-0.5))+(('Forecast DCF'!$M$7*H391*(1-Assumptions!$C$21)+'Forecast DCF'!$M$15)*(1+G391)/(F391-G391))/(1+F391)^('Forecast DCF'!$M$6-0.5)</f>
        <v>141076.30584416221</v>
      </c>
      <c r="K391" s="49">
        <f ca="1">(I391-Assumptions!$C$12)/Assumptions!$C$9</f>
        <v>211.15572169232686</v>
      </c>
    </row>
    <row r="392" spans="2:11" outlineLevel="1" x14ac:dyDescent="0.2">
      <c r="B392" s="69">
        <f t="shared" si="26"/>
        <v>363</v>
      </c>
      <c r="C392" s="72">
        <f t="shared" ca="1" si="31"/>
        <v>0.27729566253703919</v>
      </c>
      <c r="D392" s="72">
        <f t="shared" ca="1" si="31"/>
        <v>0.17092134090140176</v>
      </c>
      <c r="E392" s="72">
        <f t="shared" ca="1" si="31"/>
        <v>0.19073943149482064</v>
      </c>
      <c r="F392" s="73">
        <f t="shared" ca="1" si="28"/>
        <v>0.12615712697413473</v>
      </c>
      <c r="G392" s="73">
        <f t="shared" ca="1" si="29"/>
        <v>3.006341793013477E-2</v>
      </c>
      <c r="H392" s="73">
        <f t="shared" ca="1" si="30"/>
        <v>0.21705838510732367</v>
      </c>
      <c r="I392" s="57" cm="1">
        <f t="array" aca="1" ref="I392" ca="1">SUMPRODUCT('Forecast DCF'!$D$16:$M$16,1/(1+F392)^('Forecast DCF'!$D$6:$M$6-0.5))+(('Forecast DCF'!$M$7*H392*(1-Assumptions!$C$21)+'Forecast DCF'!$M$15)*(1+G392)/(F392-G392))/(1+F392)^('Forecast DCF'!$M$6-0.5)</f>
        <v>126603.14906678753</v>
      </c>
      <c r="K392" s="49">
        <f ca="1">(I392-Assumptions!$C$12)/Assumptions!$C$9</f>
        <v>184.62723427123544</v>
      </c>
    </row>
    <row r="393" spans="2:11" outlineLevel="1" x14ac:dyDescent="0.2">
      <c r="B393" s="69">
        <f t="shared" si="26"/>
        <v>364</v>
      </c>
      <c r="C393" s="72">
        <f t="shared" ca="1" si="31"/>
        <v>0.51115704236309512</v>
      </c>
      <c r="D393" s="72">
        <f t="shared" ca="1" si="31"/>
        <v>0.43919351794037509</v>
      </c>
      <c r="E393" s="72">
        <f t="shared" ca="1" si="31"/>
        <v>0.31460177555448909</v>
      </c>
      <c r="F393" s="73">
        <f t="shared" ca="1" si="28"/>
        <v>0.1301503885698623</v>
      </c>
      <c r="G393" s="73">
        <f t="shared" ca="1" si="29"/>
        <v>3.3116589658905779E-2</v>
      </c>
      <c r="H393" s="73">
        <f t="shared" ca="1" si="30"/>
        <v>0.22759341114053835</v>
      </c>
      <c r="I393" s="57" cm="1">
        <f t="array" aca="1" ref="I393" ca="1">SUMPRODUCT('Forecast DCF'!$D$16:$M$16,1/(1+F393)^('Forecast DCF'!$D$6:$M$6-0.5))+(('Forecast DCF'!$M$7*H393*(1-Assumptions!$C$21)+'Forecast DCF'!$M$15)*(1+G393)/(F393-G393))/(1+F393)^('Forecast DCF'!$M$6-0.5)</f>
        <v>126386.21006130462</v>
      </c>
      <c r="K393" s="49">
        <f ca="1">(I393-Assumptions!$C$12)/Assumptions!$C$9</f>
        <v>184.22959719961233</v>
      </c>
    </row>
    <row r="394" spans="2:11" outlineLevel="1" x14ac:dyDescent="0.2">
      <c r="B394" s="69">
        <f t="shared" si="26"/>
        <v>365</v>
      </c>
      <c r="C394" s="72">
        <f t="shared" ca="1" si="31"/>
        <v>1.1370446239128418E-2</v>
      </c>
      <c r="D394" s="72">
        <f t="shared" ca="1" si="31"/>
        <v>9.4803435777124467E-2</v>
      </c>
      <c r="E394" s="72">
        <f t="shared" ca="1" si="31"/>
        <v>2.4239728356251433E-2</v>
      </c>
      <c r="F394" s="73">
        <f t="shared" ca="1" si="28"/>
        <v>0.11725927757675565</v>
      </c>
      <c r="G394" s="73">
        <f t="shared" ca="1" si="29"/>
        <v>2.877100986031178E-2</v>
      </c>
      <c r="H394" s="73">
        <f t="shared" ca="1" si="30"/>
        <v>0.19321083056302707</v>
      </c>
      <c r="I394" s="57" cm="1">
        <f t="array" aca="1" ref="I394" ca="1">SUMPRODUCT('Forecast DCF'!$D$16:$M$16,1/(1+F394)^('Forecast DCF'!$D$6:$M$6-0.5))+(('Forecast DCF'!$M$7*H394*(1-Assumptions!$C$21)+'Forecast DCF'!$M$15)*(1+G394)/(F394-G394))/(1+F394)^('Forecast DCF'!$M$6-0.5)</f>
        <v>133737.32528195551</v>
      </c>
      <c r="K394" s="49">
        <f ca="1">(I394-Assumptions!$C$12)/Assumptions!$C$9</f>
        <v>197.7037805213109</v>
      </c>
    </row>
    <row r="395" spans="2:11" outlineLevel="1" x14ac:dyDescent="0.2">
      <c r="B395" s="69">
        <f t="shared" si="26"/>
        <v>366</v>
      </c>
      <c r="C395" s="72">
        <f t="shared" ca="1" si="31"/>
        <v>0.33967426816215052</v>
      </c>
      <c r="D395" s="72">
        <f t="shared" ca="1" si="31"/>
        <v>0.31022101926768797</v>
      </c>
      <c r="E395" s="72">
        <f t="shared" ca="1" si="31"/>
        <v>0.18249724511482213</v>
      </c>
      <c r="F395" s="73">
        <f t="shared" ca="1" si="28"/>
        <v>0.12734844186878785</v>
      </c>
      <c r="G395" s="73">
        <f t="shared" ca="1" si="29"/>
        <v>3.1821521303210393E-2</v>
      </c>
      <c r="H395" s="73">
        <f t="shared" ca="1" si="30"/>
        <v>0.21624886432464774</v>
      </c>
      <c r="I395" s="57" cm="1">
        <f t="array" aca="1" ref="I395" ca="1">SUMPRODUCT('Forecast DCF'!$D$16:$M$16,1/(1+F395)^('Forecast DCF'!$D$6:$M$6-0.5))+(('Forecast DCF'!$M$7*H395*(1-Assumptions!$C$21)+'Forecast DCF'!$M$15)*(1+G395)/(F395-G395))/(1+F395)^('Forecast DCF'!$M$6-0.5)</f>
        <v>125563.75680158808</v>
      </c>
      <c r="K395" s="49">
        <f ca="1">(I395-Assumptions!$C$12)/Assumptions!$C$9</f>
        <v>182.72208634414133</v>
      </c>
    </row>
    <row r="396" spans="2:11" outlineLevel="1" x14ac:dyDescent="0.2">
      <c r="B396" s="69">
        <f t="shared" si="26"/>
        <v>367</v>
      </c>
      <c r="C396" s="72">
        <f t="shared" ca="1" si="31"/>
        <v>0.95605805706023872</v>
      </c>
      <c r="D396" s="72">
        <f t="shared" ca="1" si="31"/>
        <v>0.61509717911035278</v>
      </c>
      <c r="E396" s="72">
        <f t="shared" ca="1" si="31"/>
        <v>0.41154313625254968</v>
      </c>
      <c r="F396" s="73">
        <f t="shared" ca="1" si="28"/>
        <v>0.14054784745745472</v>
      </c>
      <c r="G396" s="73">
        <f t="shared" ca="1" si="29"/>
        <v>3.4605445167536636E-2</v>
      </c>
      <c r="H396" s="73">
        <f t="shared" ca="1" si="30"/>
        <v>0.23443446133671533</v>
      </c>
      <c r="I396" s="57" cm="1">
        <f t="array" aca="1" ref="I396" ca="1">SUMPRODUCT('Forecast DCF'!$D$16:$M$16,1/(1+F396)^('Forecast DCF'!$D$6:$M$6-0.5))+(('Forecast DCF'!$M$7*H396*(1-Assumptions!$C$21)+'Forecast DCF'!$M$15)*(1+G396)/(F396-G396))/(1+F396)^('Forecast DCF'!$M$6-0.5)</f>
        <v>108202.3356658151</v>
      </c>
      <c r="K396" s="49">
        <f ca="1">(I396-Assumptions!$C$12)/Assumptions!$C$9</f>
        <v>150.89957178860092</v>
      </c>
    </row>
    <row r="397" spans="2:11" outlineLevel="1" x14ac:dyDescent="0.2">
      <c r="B397" s="69">
        <f t="shared" si="26"/>
        <v>368</v>
      </c>
      <c r="C397" s="72">
        <f t="shared" ca="1" si="31"/>
        <v>0.63209363557119036</v>
      </c>
      <c r="D397" s="72">
        <f t="shared" ca="1" si="31"/>
        <v>0.29050267898224547</v>
      </c>
      <c r="E397" s="72">
        <f t="shared" ca="1" si="31"/>
        <v>0.74560840907643744</v>
      </c>
      <c r="F397" s="73">
        <f t="shared" ca="1" si="28"/>
        <v>0.13211753241124716</v>
      </c>
      <c r="G397" s="73">
        <f t="shared" ca="1" si="29"/>
        <v>3.1601166703495442E-2</v>
      </c>
      <c r="H397" s="73">
        <f t="shared" ca="1" si="30"/>
        <v>0.25720257654192658</v>
      </c>
      <c r="I397" s="57" cm="1">
        <f t="array" aca="1" ref="I397" ca="1">SUMPRODUCT('Forecast DCF'!$D$16:$M$16,1/(1+F397)^('Forecast DCF'!$D$6:$M$6-0.5))+(('Forecast DCF'!$M$7*H397*(1-Assumptions!$C$21)+'Forecast DCF'!$M$15)*(1+G397)/(F397-G397))/(1+F397)^('Forecast DCF'!$M$6-0.5)</f>
        <v>134317.56713900791</v>
      </c>
      <c r="K397" s="49">
        <f ca="1">(I397-Assumptions!$C$12)/Assumptions!$C$9</f>
        <v>198.76733141368211</v>
      </c>
    </row>
    <row r="398" spans="2:11" outlineLevel="1" x14ac:dyDescent="0.2">
      <c r="B398" s="69">
        <f t="shared" si="26"/>
        <v>369</v>
      </c>
      <c r="C398" s="72">
        <f t="shared" ca="1" si="31"/>
        <v>0.27046440096826785</v>
      </c>
      <c r="D398" s="72">
        <f t="shared" ca="1" si="31"/>
        <v>0.78699184753664109</v>
      </c>
      <c r="E398" s="72">
        <f t="shared" ca="1" si="31"/>
        <v>0.36161351753850091</v>
      </c>
      <c r="F398" s="73">
        <f t="shared" ca="1" si="28"/>
        <v>0.12601884040066327</v>
      </c>
      <c r="G398" s="73">
        <f t="shared" ca="1" si="29"/>
        <v>3.6003049733265138E-2</v>
      </c>
      <c r="H398" s="73">
        <f t="shared" ca="1" si="30"/>
        <v>0.23102565360950514</v>
      </c>
      <c r="I398" s="57" cm="1">
        <f t="array" aca="1" ref="I398" ca="1">SUMPRODUCT('Forecast DCF'!$D$16:$M$16,1/(1+F398)^('Forecast DCF'!$D$6:$M$6-0.5))+(('Forecast DCF'!$M$7*H398*(1-Assumptions!$C$21)+'Forecast DCF'!$M$15)*(1+G398)/(F398-G398))/(1+F398)^('Forecast DCF'!$M$6-0.5)</f>
        <v>143352.59198207021</v>
      </c>
      <c r="K398" s="49">
        <f ca="1">(I398-Assumptions!$C$12)/Assumptions!$C$9</f>
        <v>215.32802695407162</v>
      </c>
    </row>
    <row r="399" spans="2:11" outlineLevel="1" x14ac:dyDescent="0.2">
      <c r="B399" s="69">
        <f t="shared" si="26"/>
        <v>370</v>
      </c>
      <c r="C399" s="72">
        <f t="shared" ca="1" si="31"/>
        <v>0.91049692983302832</v>
      </c>
      <c r="D399" s="72">
        <f t="shared" ca="1" si="31"/>
        <v>0.29415133290494189</v>
      </c>
      <c r="E399" s="72">
        <f t="shared" ca="1" si="31"/>
        <v>0.1230364803211923</v>
      </c>
      <c r="F399" s="73">
        <f t="shared" ca="1" si="28"/>
        <v>0.13864596833843995</v>
      </c>
      <c r="G399" s="73">
        <f t="shared" ca="1" si="29"/>
        <v>3.1642491997416429E-2</v>
      </c>
      <c r="H399" s="73">
        <f t="shared" ca="1" si="30"/>
        <v>0.20976344500074856</v>
      </c>
      <c r="I399" s="57" cm="1">
        <f t="array" aca="1" ref="I399" ca="1">SUMPRODUCT('Forecast DCF'!$D$16:$M$16,1/(1+F399)^('Forecast DCF'!$D$6:$M$6-0.5))+(('Forecast DCF'!$M$7*H399*(1-Assumptions!$C$21)+'Forecast DCF'!$M$15)*(1+G399)/(F399-G399))/(1+F399)^('Forecast DCF'!$M$6-0.5)</f>
        <v>98240.391081657246</v>
      </c>
      <c r="K399" s="49">
        <f ca="1">(I399-Assumptions!$C$12)/Assumptions!$C$9</f>
        <v>132.63988417134433</v>
      </c>
    </row>
    <row r="400" spans="2:11" outlineLevel="1" x14ac:dyDescent="0.2">
      <c r="B400" s="69">
        <f t="shared" si="26"/>
        <v>371</v>
      </c>
      <c r="C400" s="72">
        <f t="shared" ca="1" si="31"/>
        <v>5.0231648091879633E-2</v>
      </c>
      <c r="D400" s="72">
        <f t="shared" ca="1" si="31"/>
        <v>0.42027196147777057</v>
      </c>
      <c r="E400" s="72">
        <f t="shared" ca="1" si="31"/>
        <v>0.48004943492480112</v>
      </c>
      <c r="F400" s="73">
        <f t="shared" ca="1" si="28"/>
        <v>0.11974864333191511</v>
      </c>
      <c r="G400" s="73">
        <f t="shared" ca="1" si="29"/>
        <v>3.2939823311740987E-2</v>
      </c>
      <c r="H400" s="73">
        <f t="shared" ca="1" si="30"/>
        <v>0.23879078100738726</v>
      </c>
      <c r="I400" s="57" cm="1">
        <f t="array" aca="1" ref="I400" ca="1">SUMPRODUCT('Forecast DCF'!$D$16:$M$16,1/(1+F400)^('Forecast DCF'!$D$6:$M$6-0.5))+(('Forecast DCF'!$M$7*H400*(1-Assumptions!$C$21)+'Forecast DCF'!$M$15)*(1+G400)/(F400-G400))/(1+F400)^('Forecast DCF'!$M$6-0.5)</f>
        <v>161936.61789651506</v>
      </c>
      <c r="K400" s="49">
        <f ca="1">(I400-Assumptions!$C$12)/Assumptions!$C$9</f>
        <v>249.39150773355743</v>
      </c>
    </row>
    <row r="401" spans="2:11" outlineLevel="1" x14ac:dyDescent="0.2">
      <c r="B401" s="69">
        <f t="shared" si="26"/>
        <v>372</v>
      </c>
      <c r="C401" s="72">
        <f t="shared" ca="1" si="31"/>
        <v>0.83412278604038059</v>
      </c>
      <c r="D401" s="72">
        <f t="shared" ca="1" si="31"/>
        <v>0.34505780087333104</v>
      </c>
      <c r="E401" s="72">
        <f t="shared" ca="1" si="31"/>
        <v>2.6683855439800785E-2</v>
      </c>
      <c r="F401" s="73">
        <f t="shared" ca="1" si="28"/>
        <v>0.13634984729529151</v>
      </c>
      <c r="G401" s="73">
        <f t="shared" ca="1" si="29"/>
        <v>3.2194349875492551E-2</v>
      </c>
      <c r="H401" s="73">
        <f t="shared" ca="1" si="30"/>
        <v>0.19386087151540499</v>
      </c>
      <c r="I401" s="57" cm="1">
        <f t="array" aca="1" ref="I401" ca="1">SUMPRODUCT('Forecast DCF'!$D$16:$M$16,1/(1+F401)^('Forecast DCF'!$D$6:$M$6-0.5))+(('Forecast DCF'!$M$7*H401*(1-Assumptions!$C$21)+'Forecast DCF'!$M$15)*(1+G401)/(F401-G401))/(1+F401)^('Forecast DCF'!$M$6-0.5)</f>
        <v>95880.409079160978</v>
      </c>
      <c r="K401" s="49">
        <f ca="1">(I401-Assumptions!$C$12)/Assumptions!$C$9</f>
        <v>128.31416906784355</v>
      </c>
    </row>
    <row r="402" spans="2:11" outlineLevel="1" x14ac:dyDescent="0.2">
      <c r="B402" s="69">
        <f t="shared" si="26"/>
        <v>373</v>
      </c>
      <c r="C402" s="72">
        <f t="shared" ca="1" si="31"/>
        <v>0.68234881301286154</v>
      </c>
      <c r="D402" s="72">
        <f t="shared" ca="1" si="31"/>
        <v>2.3585395090290562E-2</v>
      </c>
      <c r="E402" s="72">
        <f t="shared" ca="1" si="31"/>
        <v>0.97485673286731622</v>
      </c>
      <c r="F402" s="73">
        <f t="shared" ca="1" si="28"/>
        <v>0.13302968306225074</v>
      </c>
      <c r="G402" s="73">
        <f t="shared" ca="1" si="29"/>
        <v>2.6880906500478849E-2</v>
      </c>
      <c r="H402" s="73">
        <f t="shared" ca="1" si="30"/>
        <v>0.28654520444765796</v>
      </c>
      <c r="I402" s="57" cm="1">
        <f t="array" aca="1" ref="I402" ca="1">SUMPRODUCT('Forecast DCF'!$D$16:$M$16,1/(1+F402)^('Forecast DCF'!$D$6:$M$6-0.5))+(('Forecast DCF'!$M$7*H402*(1-Assumptions!$C$21)+'Forecast DCF'!$M$15)*(1+G402)/(F402-G402))/(1+F402)^('Forecast DCF'!$M$6-0.5)</f>
        <v>139447.96732179221</v>
      </c>
      <c r="K402" s="49">
        <f ca="1">(I402-Assumptions!$C$12)/Assumptions!$C$9</f>
        <v>208.17106819396221</v>
      </c>
    </row>
    <row r="403" spans="2:11" outlineLevel="1" x14ac:dyDescent="0.2">
      <c r="B403" s="69">
        <f t="shared" si="26"/>
        <v>374</v>
      </c>
      <c r="C403" s="72">
        <f t="shared" ca="1" si="31"/>
        <v>0.77713441563274088</v>
      </c>
      <c r="D403" s="72">
        <f t="shared" ca="1" si="31"/>
        <v>0.851125704744645</v>
      </c>
      <c r="E403" s="72">
        <f t="shared" ca="1" si="31"/>
        <v>2.8031731842797503E-2</v>
      </c>
      <c r="F403" s="73">
        <f t="shared" ca="1" si="28"/>
        <v>0.13497344103159886</v>
      </c>
      <c r="G403" s="73">
        <f t="shared" ca="1" si="29"/>
        <v>3.6658507497516771E-2</v>
      </c>
      <c r="H403" s="73">
        <f t="shared" ca="1" si="30"/>
        <v>0.19420663469186639</v>
      </c>
      <c r="I403" s="57" cm="1">
        <f t="array" aca="1" ref="I403" ca="1">SUMPRODUCT('Forecast DCF'!$D$16:$M$16,1/(1+F403)^('Forecast DCF'!$D$6:$M$6-0.5))+(('Forecast DCF'!$M$7*H403*(1-Assumptions!$C$21)+'Forecast DCF'!$M$15)*(1+G403)/(F403-G403))/(1+F403)^('Forecast DCF'!$M$6-0.5)</f>
        <v>103066.18744773329</v>
      </c>
      <c r="K403" s="49">
        <f ca="1">(I403-Assumptions!$C$12)/Assumptions!$C$9</f>
        <v>141.48529918089687</v>
      </c>
    </row>
    <row r="404" spans="2:11" outlineLevel="1" x14ac:dyDescent="0.2">
      <c r="B404" s="69">
        <f t="shared" si="26"/>
        <v>375</v>
      </c>
      <c r="C404" s="72">
        <f t="shared" ca="1" si="31"/>
        <v>0.69975478915147027</v>
      </c>
      <c r="D404" s="72">
        <f t="shared" ca="1" si="31"/>
        <v>0.53305574160276004</v>
      </c>
      <c r="E404" s="72">
        <f t="shared" ca="1" si="31"/>
        <v>0.31336328268736224</v>
      </c>
      <c r="F404" s="73">
        <f t="shared" ca="1" si="28"/>
        <v>0.13336226530194023</v>
      </c>
      <c r="G404" s="73">
        <f t="shared" ca="1" si="29"/>
        <v>3.3941943929616983E-2</v>
      </c>
      <c r="H404" s="73">
        <f t="shared" ca="1" si="30"/>
        <v>0.22749963826545427</v>
      </c>
      <c r="I404" s="57" cm="1">
        <f t="array" aca="1" ref="I404" ca="1">SUMPRODUCT('Forecast DCF'!$D$16:$M$16,1/(1+F404)^('Forecast DCF'!$D$6:$M$6-0.5))+(('Forecast DCF'!$M$7*H404*(1-Assumptions!$C$21)+'Forecast DCF'!$M$15)*(1+G404)/(F404-G404))/(1+F404)^('Forecast DCF'!$M$6-0.5)</f>
        <v>119776.84903378991</v>
      </c>
      <c r="K404" s="49">
        <f ca="1">(I404-Assumptions!$C$12)/Assumptions!$C$9</f>
        <v>172.11500785487641</v>
      </c>
    </row>
    <row r="405" spans="2:11" outlineLevel="1" x14ac:dyDescent="0.2">
      <c r="B405" s="69">
        <f t="shared" si="26"/>
        <v>376</v>
      </c>
      <c r="C405" s="72">
        <f t="shared" ca="1" si="31"/>
        <v>0.3131840744505674</v>
      </c>
      <c r="D405" s="72">
        <f t="shared" ca="1" si="31"/>
        <v>0.92267501334877022</v>
      </c>
      <c r="E405" s="72">
        <f t="shared" ca="1" si="31"/>
        <v>0.91982188660304431</v>
      </c>
      <c r="F405" s="73">
        <f t="shared" ca="1" si="28"/>
        <v>0.12685715978432843</v>
      </c>
      <c r="G405" s="73">
        <f t="shared" ca="1" si="29"/>
        <v>3.7591811054164932E-2</v>
      </c>
      <c r="H405" s="73">
        <f t="shared" ca="1" si="30"/>
        <v>0.27597329784472946</v>
      </c>
      <c r="I405" s="57" cm="1">
        <f t="array" aca="1" ref="I405" ca="1">SUMPRODUCT('Forecast DCF'!$D$16:$M$16,1/(1+F405)^('Forecast DCF'!$D$6:$M$6-0.5))+(('Forecast DCF'!$M$7*H405*(1-Assumptions!$C$21)+'Forecast DCF'!$M$15)*(1+G405)/(F405-G405))/(1+F405)^('Forecast DCF'!$M$6-0.5)</f>
        <v>169518.26477649788</v>
      </c>
      <c r="K405" s="49">
        <f ca="1">(I405-Assumptions!$C$12)/Assumptions!$C$9</f>
        <v>263.28824270164671</v>
      </c>
    </row>
    <row r="406" spans="2:11" outlineLevel="1" x14ac:dyDescent="0.2">
      <c r="B406" s="69">
        <f t="shared" si="26"/>
        <v>377</v>
      </c>
      <c r="C406" s="72">
        <f t="shared" ca="1" si="31"/>
        <v>0.90228211712431583</v>
      </c>
      <c r="D406" s="72">
        <f t="shared" ca="1" si="31"/>
        <v>0.29596200408057538</v>
      </c>
      <c r="E406" s="72">
        <f t="shared" ca="1" si="31"/>
        <v>0.40242801382328941</v>
      </c>
      <c r="F406" s="73">
        <f t="shared" ca="1" si="28"/>
        <v>0.13836077430078997</v>
      </c>
      <c r="G406" s="73">
        <f t="shared" ca="1" si="29"/>
        <v>3.1662904817876834E-2</v>
      </c>
      <c r="H406" s="73">
        <f t="shared" ca="1" si="30"/>
        <v>0.23382826116017202</v>
      </c>
      <c r="I406" s="57" cm="1">
        <f t="array" aca="1" ref="I406" ca="1">SUMPRODUCT('Forecast DCF'!$D$16:$M$16,1/(1+F406)^('Forecast DCF'!$D$6:$M$6-0.5))+(('Forecast DCF'!$M$7*H406*(1-Assumptions!$C$21)+'Forecast DCF'!$M$15)*(1+G406)/(F406-G406))/(1+F406)^('Forecast DCF'!$M$6-0.5)</f>
        <v>109309.82970104061</v>
      </c>
      <c r="K406" s="49">
        <f ca="1">(I406-Assumptions!$C$12)/Assumptions!$C$9</f>
        <v>152.92954645372322</v>
      </c>
    </row>
    <row r="407" spans="2:11" outlineLevel="1" x14ac:dyDescent="0.2">
      <c r="B407" s="69">
        <f t="shared" si="26"/>
        <v>378</v>
      </c>
      <c r="C407" s="72">
        <f t="shared" ca="1" si="31"/>
        <v>0.57808852414313194</v>
      </c>
      <c r="D407" s="72">
        <f t="shared" ca="1" si="31"/>
        <v>0.36139267486942461</v>
      </c>
      <c r="E407" s="72">
        <f t="shared" ca="1" si="31"/>
        <v>0.167514751426728</v>
      </c>
      <c r="F407" s="73">
        <f t="shared" ca="1" si="28"/>
        <v>0.13120438463861442</v>
      </c>
      <c r="G407" s="73">
        <f t="shared" ca="1" si="29"/>
        <v>3.2362669436448555E-2</v>
      </c>
      <c r="H407" s="73">
        <f t="shared" ca="1" si="30"/>
        <v>0.2147290398697177</v>
      </c>
      <c r="I407" s="57" cm="1">
        <f t="array" aca="1" ref="I407" ca="1">SUMPRODUCT('Forecast DCF'!$D$16:$M$16,1/(1+F407)^('Forecast DCF'!$D$6:$M$6-0.5))+(('Forecast DCF'!$M$7*H407*(1-Assumptions!$C$21)+'Forecast DCF'!$M$15)*(1+G407)/(F407-G407))/(1+F407)^('Forecast DCF'!$M$6-0.5)</f>
        <v>116439.8554077103</v>
      </c>
      <c r="K407" s="49">
        <f ca="1">(I407-Assumptions!$C$12)/Assumptions!$C$9</f>
        <v>165.99848505370676</v>
      </c>
    </row>
    <row r="408" spans="2:11" outlineLevel="1" x14ac:dyDescent="0.2">
      <c r="B408" s="69">
        <f t="shared" si="26"/>
        <v>379</v>
      </c>
      <c r="C408" s="72">
        <f t="shared" ca="1" si="31"/>
        <v>0.53048825960383716</v>
      </c>
      <c r="D408" s="72">
        <f t="shared" ca="1" si="31"/>
        <v>8.6150426066751606E-2</v>
      </c>
      <c r="E408" s="72">
        <f t="shared" ca="1" si="31"/>
        <v>0.38213387788468556</v>
      </c>
      <c r="F408" s="73">
        <f t="shared" ca="1" si="28"/>
        <v>0.13044696290475691</v>
      </c>
      <c r="G408" s="73">
        <f t="shared" ca="1" si="29"/>
        <v>2.8594796782853343E-2</v>
      </c>
      <c r="H408" s="73">
        <f t="shared" ca="1" si="30"/>
        <v>0.23245344527073256</v>
      </c>
      <c r="I408" s="57" cm="1">
        <f t="array" aca="1" ref="I408" ca="1">SUMPRODUCT('Forecast DCF'!$D$16:$M$16,1/(1+F408)^('Forecast DCF'!$D$6:$M$6-0.5))+(('Forecast DCF'!$M$7*H408*(1-Assumptions!$C$21)+'Forecast DCF'!$M$15)*(1+G408)/(F408-G408))/(1+F408)^('Forecast DCF'!$M$6-0.5)</f>
        <v>122418.71269447656</v>
      </c>
      <c r="K408" s="49">
        <f ca="1">(I408-Assumptions!$C$12)/Assumptions!$C$9</f>
        <v>176.95739628255686</v>
      </c>
    </row>
    <row r="409" spans="2:11" outlineLevel="1" x14ac:dyDescent="0.2">
      <c r="B409" s="69">
        <f t="shared" si="26"/>
        <v>380</v>
      </c>
      <c r="C409" s="72">
        <f t="shared" ca="1" si="31"/>
        <v>0.5982782112732693</v>
      </c>
      <c r="D409" s="72">
        <f t="shared" ca="1" si="31"/>
        <v>0.29295423055522329</v>
      </c>
      <c r="E409" s="72">
        <f t="shared" ca="1" si="31"/>
        <v>0.19632073679446238</v>
      </c>
      <c r="F409" s="73">
        <f t="shared" ca="1" si="28"/>
        <v>0.13153851095860924</v>
      </c>
      <c r="G409" s="73">
        <f t="shared" ca="1" si="29"/>
        <v>3.1628961802822785E-2</v>
      </c>
      <c r="H409" s="73">
        <f t="shared" ca="1" si="30"/>
        <v>0.21759666614103076</v>
      </c>
      <c r="I409" s="57" cm="1">
        <f t="array" aca="1" ref="I409" ca="1">SUMPRODUCT('Forecast DCF'!$D$16:$M$16,1/(1+F409)^('Forecast DCF'!$D$6:$M$6-0.5))+(('Forecast DCF'!$M$7*H409*(1-Assumptions!$C$21)+'Forecast DCF'!$M$15)*(1+G409)/(F409-G409))/(1+F409)^('Forecast DCF'!$M$6-0.5)</f>
        <v>116260.03536613694</v>
      </c>
      <c r="K409" s="49">
        <f ca="1">(I409-Assumptions!$C$12)/Assumptions!$C$9</f>
        <v>165.66888496823015</v>
      </c>
    </row>
    <row r="410" spans="2:11" outlineLevel="1" x14ac:dyDescent="0.2">
      <c r="B410" s="69">
        <f t="shared" si="26"/>
        <v>381</v>
      </c>
      <c r="C410" s="72">
        <f t="shared" ca="1" si="31"/>
        <v>0.7852754391987129</v>
      </c>
      <c r="D410" s="72">
        <f t="shared" ca="1" si="31"/>
        <v>0.30747657450173893</v>
      </c>
      <c r="E410" s="72">
        <f t="shared" ca="1" si="31"/>
        <v>0.54552277807093419</v>
      </c>
      <c r="F410" s="73">
        <f t="shared" ca="1" si="28"/>
        <v>0.13515827400403693</v>
      </c>
      <c r="G410" s="73">
        <f t="shared" ca="1" si="29"/>
        <v>3.1791280157323867E-2</v>
      </c>
      <c r="H410" s="73">
        <f t="shared" ca="1" si="30"/>
        <v>0.24279653858472133</v>
      </c>
      <c r="I410" s="57" cm="1">
        <f t="array" aca="1" ref="I410" ca="1">SUMPRODUCT('Forecast DCF'!$D$16:$M$16,1/(1+F410)^('Forecast DCF'!$D$6:$M$6-0.5))+(('Forecast DCF'!$M$7*H410*(1-Assumptions!$C$21)+'Forecast DCF'!$M$15)*(1+G410)/(F410-G410))/(1+F410)^('Forecast DCF'!$M$6-0.5)</f>
        <v>120384.97896650292</v>
      </c>
      <c r="K410" s="49">
        <f ca="1">(I410-Assumptions!$C$12)/Assumptions!$C$9</f>
        <v>173.2296760311782</v>
      </c>
    </row>
    <row r="411" spans="2:11" outlineLevel="1" x14ac:dyDescent="0.2">
      <c r="B411" s="69">
        <f t="shared" si="26"/>
        <v>382</v>
      </c>
      <c r="C411" s="72">
        <f t="shared" ca="1" si="31"/>
        <v>0.97107315426552476</v>
      </c>
      <c r="D411" s="72">
        <f t="shared" ca="1" si="31"/>
        <v>0.68414478591225336</v>
      </c>
      <c r="E411" s="72">
        <f t="shared" ca="1" si="31"/>
        <v>0.39455738372629379</v>
      </c>
      <c r="F411" s="73">
        <f t="shared" ca="1" si="28"/>
        <v>0.14138772381541168</v>
      </c>
      <c r="G411" s="73">
        <f t="shared" ca="1" si="29"/>
        <v>3.5132850828608085E-2</v>
      </c>
      <c r="H411" s="73">
        <f t="shared" ca="1" si="30"/>
        <v>0.23329927919615157</v>
      </c>
      <c r="I411" s="57" cm="1">
        <f t="array" aca="1" ref="I411" ca="1">SUMPRODUCT('Forecast DCF'!$D$16:$M$16,1/(1+F411)^('Forecast DCF'!$D$6:$M$6-0.5))+(('Forecast DCF'!$M$7*H411*(1-Assumptions!$C$21)+'Forecast DCF'!$M$15)*(1+G411)/(F411-G411))/(1+F411)^('Forecast DCF'!$M$6-0.5)</f>
        <v>106566.64920944159</v>
      </c>
      <c r="K411" s="49">
        <f ca="1">(I411-Assumptions!$C$12)/Assumptions!$C$9</f>
        <v>147.90144993790778</v>
      </c>
    </row>
    <row r="412" spans="2:11" outlineLevel="1" x14ac:dyDescent="0.2">
      <c r="B412" s="69">
        <f t="shared" si="26"/>
        <v>383</v>
      </c>
      <c r="C412" s="72">
        <f t="shared" ca="1" si="31"/>
        <v>0.44003014034553511</v>
      </c>
      <c r="D412" s="72">
        <f t="shared" ca="1" si="31"/>
        <v>0.70902778292197588</v>
      </c>
      <c r="E412" s="72">
        <f t="shared" ca="1" si="31"/>
        <v>0.28719284972019643</v>
      </c>
      <c r="F412" s="73">
        <f t="shared" ca="1" si="28"/>
        <v>0.12905471520879663</v>
      </c>
      <c r="G412" s="73">
        <f t="shared" ca="1" si="29"/>
        <v>3.5328499568569878E-2</v>
      </c>
      <c r="H412" s="73">
        <f t="shared" ca="1" si="30"/>
        <v>0.22547294270206639</v>
      </c>
      <c r="I412" s="57" cm="1">
        <f t="array" aca="1" ref="I412" ca="1">SUMPRODUCT('Forecast DCF'!$D$16:$M$16,1/(1+F412)^('Forecast DCF'!$D$6:$M$6-0.5))+(('Forecast DCF'!$M$7*H412*(1-Assumptions!$C$21)+'Forecast DCF'!$M$15)*(1+G412)/(F412-G412))/(1+F412)^('Forecast DCF'!$M$6-0.5)</f>
        <v>131011.78455964936</v>
      </c>
      <c r="K412" s="49">
        <f ca="1">(I412-Assumptions!$C$12)/Assumptions!$C$9</f>
        <v>192.70801671666521</v>
      </c>
    </row>
    <row r="413" spans="2:11" outlineLevel="1" x14ac:dyDescent="0.2">
      <c r="B413" s="69">
        <f t="shared" si="26"/>
        <v>384</v>
      </c>
      <c r="C413" s="72">
        <f t="shared" ca="1" si="31"/>
        <v>0.75134377729009971</v>
      </c>
      <c r="D413" s="72">
        <f t="shared" ca="1" si="31"/>
        <v>0.85192567889863247</v>
      </c>
      <c r="E413" s="72">
        <f t="shared" ca="1" si="31"/>
        <v>0.62482554403023205</v>
      </c>
      <c r="F413" s="73">
        <f t="shared" ca="1" si="28"/>
        <v>0.13440916811804229</v>
      </c>
      <c r="G413" s="73">
        <f t="shared" ca="1" si="29"/>
        <v>3.66674973244418E-2</v>
      </c>
      <c r="H413" s="73">
        <f t="shared" ca="1" si="30"/>
        <v>0.24802639051420106</v>
      </c>
      <c r="I413" s="57" cm="1">
        <f t="array" aca="1" ref="I413" ca="1">SUMPRODUCT('Forecast DCF'!$D$16:$M$16,1/(1+F413)^('Forecast DCF'!$D$6:$M$6-0.5))+(('Forecast DCF'!$M$7*H413*(1-Assumptions!$C$21)+'Forecast DCF'!$M$15)*(1+G413)/(F413-G413))/(1+F413)^('Forecast DCF'!$M$6-0.5)</f>
        <v>130894.25571603498</v>
      </c>
      <c r="K413" s="49">
        <f ca="1">(I413-Assumptions!$C$12)/Assumptions!$C$9</f>
        <v>192.49259291538962</v>
      </c>
    </row>
    <row r="414" spans="2:11" outlineLevel="1" x14ac:dyDescent="0.2">
      <c r="B414" s="69">
        <f t="shared" si="26"/>
        <v>385</v>
      </c>
      <c r="C414" s="72">
        <f t="shared" ca="1" si="31"/>
        <v>0.23061827536708412</v>
      </c>
      <c r="D414" s="72">
        <f t="shared" ca="1" si="31"/>
        <v>0.43498375342649365</v>
      </c>
      <c r="E414" s="72">
        <f t="shared" ca="1" si="31"/>
        <v>0.65907971216459282</v>
      </c>
      <c r="F414" s="73">
        <f t="shared" ca="1" si="28"/>
        <v>0.12517484254877112</v>
      </c>
      <c r="G414" s="73">
        <f t="shared" ca="1" si="29"/>
        <v>3.3077596363645198E-2</v>
      </c>
      <c r="H414" s="73">
        <f t="shared" ca="1" si="30"/>
        <v>0.25045581696692404</v>
      </c>
      <c r="I414" s="57" cm="1">
        <f t="array" aca="1" ref="I414" ca="1">SUMPRODUCT('Forecast DCF'!$D$16:$M$16,1/(1+F414)^('Forecast DCF'!$D$6:$M$6-0.5))+(('Forecast DCF'!$M$7*H414*(1-Assumptions!$C$21)+'Forecast DCF'!$M$15)*(1+G414)/(F414-G414))/(1+F414)^('Forecast DCF'!$M$6-0.5)</f>
        <v>152166.21890789029</v>
      </c>
      <c r="K414" s="49">
        <f ca="1">(I414-Assumptions!$C$12)/Assumptions!$C$9</f>
        <v>231.48291248680627</v>
      </c>
    </row>
    <row r="415" spans="2:11" outlineLevel="1" x14ac:dyDescent="0.2">
      <c r="B415" s="69">
        <f t="shared" si="26"/>
        <v>386</v>
      </c>
      <c r="C415" s="72">
        <f t="shared" ca="1" si="31"/>
        <v>0.37314533212710665</v>
      </c>
      <c r="D415" s="72">
        <f t="shared" ca="1" si="31"/>
        <v>0.32576993290927614</v>
      </c>
      <c r="E415" s="72">
        <f t="shared" ca="1" si="31"/>
        <v>0.12912631004758124</v>
      </c>
      <c r="F415" s="73">
        <f t="shared" ca="1" si="28"/>
        <v>0.12794254977850991</v>
      </c>
      <c r="G415" s="73">
        <f t="shared" ca="1" si="29"/>
        <v>3.1990385535604703E-2</v>
      </c>
      <c r="H415" s="73">
        <f t="shared" ca="1" si="30"/>
        <v>0.21049113694735871</v>
      </c>
      <c r="I415" s="57" cm="1">
        <f t="array" aca="1" ref="I415" ca="1">SUMPRODUCT('Forecast DCF'!$D$16:$M$16,1/(1+F415)^('Forecast DCF'!$D$6:$M$6-0.5))+(('Forecast DCF'!$M$7*H415*(1-Assumptions!$C$21)+'Forecast DCF'!$M$15)*(1+G415)/(F415-G415))/(1+F415)^('Forecast DCF'!$M$6-0.5)</f>
        <v>121286.25135702056</v>
      </c>
      <c r="K415" s="49">
        <f ca="1">(I415-Assumptions!$C$12)/Assumptions!$C$9</f>
        <v>174.88165794794986</v>
      </c>
    </row>
    <row r="416" spans="2:11" outlineLevel="1" x14ac:dyDescent="0.2">
      <c r="B416" s="69">
        <f t="shared" ref="B416:B479" si="32">ROW()-29</f>
        <v>387</v>
      </c>
      <c r="C416" s="72">
        <f t="shared" ref="C416:E447" ca="1" si="33">RAND()</f>
        <v>4.9641340684101865E-2</v>
      </c>
      <c r="D416" s="72">
        <f t="shared" ca="1" si="33"/>
        <v>0.85690967659175366</v>
      </c>
      <c r="E416" s="72">
        <f t="shared" ca="1" si="33"/>
        <v>0.30137965416372359</v>
      </c>
      <c r="F416" s="73">
        <f t="shared" ref="F416:F479" ca="1" si="34">IF(C416&lt;($D$7-$C$7)/($E$7-$C$7),$C$7+SQRT(C416*($E$7-$C$7)*($D$7-$C$7)),$E$7-SQRT((1-C416)*($E$7-$C$7)*($E$7-$D$7)))</f>
        <v>0.11972065854876265</v>
      </c>
      <c r="G416" s="73">
        <f t="shared" ref="G416:G479" ca="1" si="35">IF(D416&lt;($D$8-$C$8)/($E$8-$C$8),$C$8+SQRT(D416*($E$8-$C$8)*($D$8-$C$8)),$E$8-SQRT((1-D416)*($E$8-$C$8)*($E$8-$D$8)))</f>
        <v>3.6724061316871379E-2</v>
      </c>
      <c r="H416" s="73">
        <f t="shared" ref="H416:H479" ca="1" si="36">IF(E416&lt;($D$9-$C$9)/($E$9-$C$9),$C$9+SQRT(E416*($E$9-$C$9)*($D$9-$C$9)),$E$9-SQRT((1-E416)*($E$9-$C$9)*($E$9-$D$9)))</f>
        <v>0.22658254512130921</v>
      </c>
      <c r="I416" s="57" cm="1">
        <f t="array" aca="1" ref="I416" ca="1">SUMPRODUCT('Forecast DCF'!$D$16:$M$16,1/(1+F416)^('Forecast DCF'!$D$6:$M$6-0.5))+(('Forecast DCF'!$M$7*H416*(1-Assumptions!$C$21)+'Forecast DCF'!$M$15)*(1+G416)/(F416-G416))/(1+F416)^('Forecast DCF'!$M$6-0.5)</f>
        <v>161326.05459540139</v>
      </c>
      <c r="K416" s="49">
        <f ca="1">(I416-Assumptions!$C$12)/Assumptions!$C$9</f>
        <v>248.27237932898612</v>
      </c>
    </row>
    <row r="417" spans="2:11" outlineLevel="1" x14ac:dyDescent="0.2">
      <c r="B417" s="69">
        <f t="shared" si="32"/>
        <v>388</v>
      </c>
      <c r="C417" s="72">
        <f t="shared" ca="1" si="33"/>
        <v>0.51416353889153477</v>
      </c>
      <c r="D417" s="72">
        <f t="shared" ca="1" si="33"/>
        <v>0.5928893683887223</v>
      </c>
      <c r="E417" s="72">
        <f t="shared" ca="1" si="33"/>
        <v>0.86496285492654479</v>
      </c>
      <c r="F417" s="73">
        <f t="shared" ca="1" si="34"/>
        <v>0.13019612325944088</v>
      </c>
      <c r="G417" s="73">
        <f t="shared" ca="1" si="35"/>
        <v>3.4430450957314201E-2</v>
      </c>
      <c r="H417" s="73">
        <f t="shared" ca="1" si="36"/>
        <v>0.26881879661512598</v>
      </c>
      <c r="I417" s="57" cm="1">
        <f t="array" aca="1" ref="I417" ca="1">SUMPRODUCT('Forecast DCF'!$D$16:$M$16,1/(1+F417)^('Forecast DCF'!$D$6:$M$6-0.5))+(('Forecast DCF'!$M$7*H417*(1-Assumptions!$C$21)+'Forecast DCF'!$M$15)*(1+G417)/(F417-G417))/(1+F417)^('Forecast DCF'!$M$6-0.5)</f>
        <v>149582.01870671482</v>
      </c>
      <c r="K417" s="49">
        <f ca="1">(I417-Assumptions!$C$12)/Assumptions!$C$9</f>
        <v>226.74621795741137</v>
      </c>
    </row>
    <row r="418" spans="2:11" outlineLevel="1" x14ac:dyDescent="0.2">
      <c r="B418" s="69">
        <f t="shared" si="32"/>
        <v>389</v>
      </c>
      <c r="C418" s="72">
        <f t="shared" ca="1" si="33"/>
        <v>0.68848445335683151</v>
      </c>
      <c r="D418" s="72">
        <f t="shared" ca="1" si="33"/>
        <v>0.39759652822135572</v>
      </c>
      <c r="E418" s="72">
        <f t="shared" ca="1" si="33"/>
        <v>0.66416878652804401</v>
      </c>
      <c r="F418" s="73">
        <f t="shared" ca="1" si="34"/>
        <v>0.13314585402585963</v>
      </c>
      <c r="G418" s="73">
        <f t="shared" ca="1" si="35"/>
        <v>3.272266011379521E-2</v>
      </c>
      <c r="H418" s="73">
        <f t="shared" ca="1" si="36"/>
        <v>0.25082699178412932</v>
      </c>
      <c r="I418" s="57" cm="1">
        <f t="array" aca="1" ref="I418" ca="1">SUMPRODUCT('Forecast DCF'!$D$16:$M$16,1/(1+F418)^('Forecast DCF'!$D$6:$M$6-0.5))+(('Forecast DCF'!$M$7*H418*(1-Assumptions!$C$21)+'Forecast DCF'!$M$15)*(1+G418)/(F418-G418))/(1+F418)^('Forecast DCF'!$M$6-0.5)</f>
        <v>130131.0854668572</v>
      </c>
      <c r="K418" s="49">
        <f ca="1">(I418-Assumptions!$C$12)/Assumptions!$C$9</f>
        <v>191.09374450471577</v>
      </c>
    </row>
    <row r="419" spans="2:11" outlineLevel="1" x14ac:dyDescent="0.2">
      <c r="B419" s="69">
        <f t="shared" si="32"/>
        <v>390</v>
      </c>
      <c r="C419" s="72">
        <f t="shared" ca="1" si="33"/>
        <v>0.5217427545329959</v>
      </c>
      <c r="D419" s="72">
        <f t="shared" ca="1" si="33"/>
        <v>0.5804999985801178</v>
      </c>
      <c r="E419" s="72">
        <f t="shared" ca="1" si="33"/>
        <v>0.97909678296856506</v>
      </c>
      <c r="F419" s="73">
        <f t="shared" ca="1" si="34"/>
        <v>0.13031204994124895</v>
      </c>
      <c r="G419" s="73">
        <f t="shared" ca="1" si="35"/>
        <v>3.4331398597585341E-2</v>
      </c>
      <c r="H419" s="73">
        <f t="shared" ca="1" si="36"/>
        <v>0.28773202695526551</v>
      </c>
      <c r="I419" s="57" cm="1">
        <f t="array" aca="1" ref="I419" ca="1">SUMPRODUCT('Forecast DCF'!$D$16:$M$16,1/(1+F419)^('Forecast DCF'!$D$6:$M$6-0.5))+(('Forecast DCF'!$M$7*H419*(1-Assumptions!$C$21)+'Forecast DCF'!$M$15)*(1+G419)/(F419-G419))/(1+F419)^('Forecast DCF'!$M$6-0.5)</f>
        <v>158950.12095941228</v>
      </c>
      <c r="K419" s="49">
        <f ca="1">(I419-Assumptions!$C$12)/Assumptions!$C$9</f>
        <v>243.91742577288164</v>
      </c>
    </row>
    <row r="420" spans="2:11" outlineLevel="1" x14ac:dyDescent="0.2">
      <c r="B420" s="69">
        <f t="shared" si="32"/>
        <v>391</v>
      </c>
      <c r="C420" s="72">
        <f t="shared" ca="1" si="33"/>
        <v>0.63677164570882849</v>
      </c>
      <c r="D420" s="72">
        <f t="shared" ca="1" si="33"/>
        <v>0.14200104650641399</v>
      </c>
      <c r="E420" s="72">
        <f t="shared" ca="1" si="33"/>
        <v>0.28515205966579904</v>
      </c>
      <c r="F420" s="73">
        <f t="shared" ca="1" si="34"/>
        <v>0.13219969613006283</v>
      </c>
      <c r="G420" s="73">
        <f t="shared" ca="1" si="35"/>
        <v>2.9615209310092244E-2</v>
      </c>
      <c r="H420" s="73">
        <f t="shared" ca="1" si="36"/>
        <v>0.22531108947701162</v>
      </c>
      <c r="I420" s="57" cm="1">
        <f t="array" aca="1" ref="I420" ca="1">SUMPRODUCT('Forecast DCF'!$D$16:$M$16,1/(1+F420)^('Forecast DCF'!$D$6:$M$6-0.5))+(('Forecast DCF'!$M$7*H420*(1-Assumptions!$C$21)+'Forecast DCF'!$M$15)*(1+G420)/(F420-G420))/(1+F420)^('Forecast DCF'!$M$6-0.5)</f>
        <v>116220.68086755893</v>
      </c>
      <c r="K420" s="49">
        <f ca="1">(I420-Assumptions!$C$12)/Assumptions!$C$9</f>
        <v>165.59675037198767</v>
      </c>
    </row>
    <row r="421" spans="2:11" outlineLevel="1" x14ac:dyDescent="0.2">
      <c r="B421" s="69">
        <f t="shared" si="32"/>
        <v>392</v>
      </c>
      <c r="C421" s="72">
        <f t="shared" ca="1" si="33"/>
        <v>0.32770555707370552</v>
      </c>
      <c r="D421" s="72">
        <f t="shared" ca="1" si="33"/>
        <v>0.47440609030370318</v>
      </c>
      <c r="E421" s="72">
        <f t="shared" ca="1" si="33"/>
        <v>6.064367878541177E-2</v>
      </c>
      <c r="F421" s="73">
        <f t="shared" ca="1" si="34"/>
        <v>0.12712893700467959</v>
      </c>
      <c r="G421" s="73">
        <f t="shared" ca="1" si="35"/>
        <v>3.343569283138946E-2</v>
      </c>
      <c r="H421" s="73">
        <f t="shared" ca="1" si="36"/>
        <v>0.20089580070863436</v>
      </c>
      <c r="I421" s="57" cm="1">
        <f t="array" aca="1" ref="I421" ca="1">SUMPRODUCT('Forecast DCF'!$D$16:$M$16,1/(1+F421)^('Forecast DCF'!$D$6:$M$6-0.5))+(('Forecast DCF'!$M$7*H421*(1-Assumptions!$C$21)+'Forecast DCF'!$M$15)*(1+G421)/(F421-G421))/(1+F421)^('Forecast DCF'!$M$6-0.5)</f>
        <v>119853.51092730323</v>
      </c>
      <c r="K421" s="49">
        <f ca="1">(I421-Assumptions!$C$12)/Assumptions!$C$9</f>
        <v>172.25552482080357</v>
      </c>
    </row>
    <row r="422" spans="2:11" outlineLevel="1" x14ac:dyDescent="0.2">
      <c r="B422" s="69">
        <f t="shared" si="32"/>
        <v>393</v>
      </c>
      <c r="C422" s="72">
        <f t="shared" ca="1" si="33"/>
        <v>0.30885434593608152</v>
      </c>
      <c r="D422" s="72">
        <f t="shared" ca="1" si="33"/>
        <v>6.4548922407172582E-2</v>
      </c>
      <c r="E422" s="72">
        <f t="shared" ca="1" si="33"/>
        <v>0.16402656325748499</v>
      </c>
      <c r="F422" s="73">
        <f t="shared" ca="1" si="34"/>
        <v>0.12677491269629557</v>
      </c>
      <c r="G422" s="73">
        <f t="shared" ca="1" si="35"/>
        <v>2.811164560338672E-2</v>
      </c>
      <c r="H422" s="73">
        <f t="shared" ca="1" si="36"/>
        <v>0.21436555332675281</v>
      </c>
      <c r="I422" s="57" cm="1">
        <f t="array" aca="1" ref="I422" ca="1">SUMPRODUCT('Forecast DCF'!$D$16:$M$16,1/(1+F422)^('Forecast DCF'!$D$6:$M$6-0.5))+(('Forecast DCF'!$M$7*H422*(1-Assumptions!$C$21)+'Forecast DCF'!$M$15)*(1+G422)/(F422-G422))/(1+F422)^('Forecast DCF'!$M$6-0.5)</f>
        <v>121232.95586859675</v>
      </c>
      <c r="K422" s="49">
        <f ca="1">(I422-Assumptions!$C$12)/Assumptions!$C$9</f>
        <v>174.78397029652731</v>
      </c>
    </row>
    <row r="423" spans="2:11" outlineLevel="1" x14ac:dyDescent="0.2">
      <c r="B423" s="69">
        <f t="shared" si="32"/>
        <v>394</v>
      </c>
      <c r="C423" s="72">
        <f t="shared" ca="1" si="33"/>
        <v>0.16073056937895647</v>
      </c>
      <c r="D423" s="72">
        <f t="shared" ca="1" si="33"/>
        <v>0.32747297416337973</v>
      </c>
      <c r="E423" s="72">
        <f t="shared" ca="1" si="33"/>
        <v>0.54121311035331998</v>
      </c>
      <c r="F423" s="73">
        <f t="shared" ca="1" si="34"/>
        <v>0.12349434857947447</v>
      </c>
      <c r="G423" s="73">
        <f t="shared" ca="1" si="35"/>
        <v>3.2008633684571262E-2</v>
      </c>
      <c r="H423" s="73">
        <f t="shared" ca="1" si="36"/>
        <v>0.24252595711578923</v>
      </c>
      <c r="I423" s="57" cm="1">
        <f t="array" aca="1" ref="I423" ca="1">SUMPRODUCT('Forecast DCF'!$D$16:$M$16,1/(1+F423)^('Forecast DCF'!$D$6:$M$6-0.5))+(('Forecast DCF'!$M$7*H423*(1-Assumptions!$C$21)+'Forecast DCF'!$M$15)*(1+G423)/(F423-G423))/(1+F423)^('Forecast DCF'!$M$6-0.5)</f>
        <v>150870.71857292033</v>
      </c>
      <c r="K423" s="49">
        <f ca="1">(I423-Assumptions!$C$12)/Assumptions!$C$9</f>
        <v>229.10833278253637</v>
      </c>
    </row>
    <row r="424" spans="2:11" outlineLevel="1" x14ac:dyDescent="0.2">
      <c r="B424" s="69">
        <f t="shared" si="32"/>
        <v>395</v>
      </c>
      <c r="C424" s="72">
        <f t="shared" ca="1" si="33"/>
        <v>0.82836490121536865</v>
      </c>
      <c r="D424" s="72">
        <f t="shared" ca="1" si="33"/>
        <v>0.13535064750885417</v>
      </c>
      <c r="E424" s="72">
        <f t="shared" ca="1" si="33"/>
        <v>0.88417742203997507</v>
      </c>
      <c r="F424" s="73">
        <f t="shared" ca="1" si="34"/>
        <v>0.13620099711178568</v>
      </c>
      <c r="G424" s="73">
        <f t="shared" ca="1" si="35"/>
        <v>2.9505840335201431E-2</v>
      </c>
      <c r="H424" s="73">
        <f t="shared" ca="1" si="36"/>
        <v>0.27112228261596527</v>
      </c>
      <c r="I424" s="57" cm="1">
        <f t="array" aca="1" ref="I424" ca="1">SUMPRODUCT('Forecast DCF'!$D$16:$M$16,1/(1+F424)^('Forecast DCF'!$D$6:$M$6-0.5))+(('Forecast DCF'!$M$7*H424*(1-Assumptions!$C$21)+'Forecast DCF'!$M$15)*(1+G424)/(F424-G424))/(1+F424)^('Forecast DCF'!$M$6-0.5)</f>
        <v>128049.85045880366</v>
      </c>
      <c r="K424" s="49">
        <f ca="1">(I424-Assumptions!$C$12)/Assumptions!$C$9</f>
        <v>187.27895706195179</v>
      </c>
    </row>
    <row r="425" spans="2:11" outlineLevel="1" x14ac:dyDescent="0.2">
      <c r="B425" s="69">
        <f t="shared" si="32"/>
        <v>396</v>
      </c>
      <c r="C425" s="72">
        <f t="shared" ca="1" si="33"/>
        <v>0.71202066233575245</v>
      </c>
      <c r="D425" s="72">
        <f t="shared" ca="1" si="33"/>
        <v>0.381025923794998</v>
      </c>
      <c r="E425" s="72">
        <f t="shared" ca="1" si="33"/>
        <v>0.14768329807397695</v>
      </c>
      <c r="F425" s="73">
        <f t="shared" ca="1" si="34"/>
        <v>0.13360246138273765</v>
      </c>
      <c r="G425" s="73">
        <f t="shared" ca="1" si="35"/>
        <v>3.2560019085243752E-2</v>
      </c>
      <c r="H425" s="73">
        <f t="shared" ca="1" si="36"/>
        <v>0.21260858393326262</v>
      </c>
      <c r="I425" s="57" cm="1">
        <f t="array" aca="1" ref="I425" ca="1">SUMPRODUCT('Forecast DCF'!$D$16:$M$16,1/(1+F425)^('Forecast DCF'!$D$6:$M$6-0.5))+(('Forecast DCF'!$M$7*H425*(1-Assumptions!$C$21)+'Forecast DCF'!$M$15)*(1+G425)/(F425-G425))/(1+F425)^('Forecast DCF'!$M$6-0.5)</f>
        <v>110415.74536712265</v>
      </c>
      <c r="K425" s="49">
        <f ca="1">(I425-Assumptions!$C$12)/Assumptions!$C$9</f>
        <v>154.95662805642573</v>
      </c>
    </row>
    <row r="426" spans="2:11" outlineLevel="1" x14ac:dyDescent="0.2">
      <c r="B426" s="69">
        <f t="shared" si="32"/>
        <v>397</v>
      </c>
      <c r="C426" s="72">
        <f t="shared" ca="1" si="33"/>
        <v>0.40995143838646331</v>
      </c>
      <c r="D426" s="72">
        <f t="shared" ca="1" si="33"/>
        <v>0.97109593266121008</v>
      </c>
      <c r="E426" s="72">
        <f t="shared" ca="1" si="33"/>
        <v>0.46252612869082899</v>
      </c>
      <c r="F426" s="73">
        <f t="shared" ca="1" si="34"/>
        <v>0.12856585106227705</v>
      </c>
      <c r="G426" s="73">
        <f t="shared" ca="1" si="35"/>
        <v>3.8527653216660816E-2</v>
      </c>
      <c r="H426" s="73">
        <f t="shared" ca="1" si="36"/>
        <v>0.23770778220113789</v>
      </c>
      <c r="I426" s="57" cm="1">
        <f t="array" aca="1" ref="I426" ca="1">SUMPRODUCT('Forecast DCF'!$D$16:$M$16,1/(1+F426)^('Forecast DCF'!$D$6:$M$6-0.5))+(('Forecast DCF'!$M$7*H426*(1-Assumptions!$C$21)+'Forecast DCF'!$M$15)*(1+G426)/(F426-G426))/(1+F426)^('Forecast DCF'!$M$6-0.5)</f>
        <v>143919.01272772517</v>
      </c>
      <c r="K426" s="49">
        <f ca="1">(I426-Assumptions!$C$12)/Assumptions!$C$9</f>
        <v>216.36624452175823</v>
      </c>
    </row>
    <row r="427" spans="2:11" outlineLevel="1" x14ac:dyDescent="0.2">
      <c r="B427" s="69">
        <f t="shared" si="32"/>
        <v>398</v>
      </c>
      <c r="C427" s="72">
        <f t="shared" ca="1" si="33"/>
        <v>0.14047829167054138</v>
      </c>
      <c r="D427" s="72">
        <f t="shared" ca="1" si="33"/>
        <v>0.80014792116789002</v>
      </c>
      <c r="E427" s="72">
        <f t="shared" ca="1" si="33"/>
        <v>0.47593895397857466</v>
      </c>
      <c r="F427" s="73">
        <f t="shared" ca="1" si="34"/>
        <v>0.12294118742184518</v>
      </c>
      <c r="G427" s="73">
        <f t="shared" ca="1" si="35"/>
        <v>3.6128449159263408E-2</v>
      </c>
      <c r="H427" s="73">
        <f t="shared" ca="1" si="36"/>
        <v>0.238538538320031</v>
      </c>
      <c r="I427" s="57" cm="1">
        <f t="array" aca="1" ref="I427" ca="1">SUMPRODUCT('Forecast DCF'!$D$16:$M$16,1/(1+F427)^('Forecast DCF'!$D$6:$M$6-0.5))+(('Forecast DCF'!$M$7*H427*(1-Assumptions!$C$21)+'Forecast DCF'!$M$15)*(1+G427)/(F427-G427))/(1+F427)^('Forecast DCF'!$M$6-0.5)</f>
        <v>157330.25488126237</v>
      </c>
      <c r="K427" s="49">
        <f ca="1">(I427-Assumptions!$C$12)/Assumptions!$C$9</f>
        <v>240.94830179121996</v>
      </c>
    </row>
    <row r="428" spans="2:11" outlineLevel="1" x14ac:dyDescent="0.2">
      <c r="B428" s="69">
        <f t="shared" si="32"/>
        <v>399</v>
      </c>
      <c r="C428" s="72">
        <f t="shared" ca="1" si="33"/>
        <v>0.48579113048310829</v>
      </c>
      <c r="D428" s="72">
        <f t="shared" ca="1" si="33"/>
        <v>0.65870237684251698</v>
      </c>
      <c r="E428" s="72">
        <f t="shared" ca="1" si="33"/>
        <v>0.97056818407757406</v>
      </c>
      <c r="F428" s="73">
        <f t="shared" ca="1" si="34"/>
        <v>0.12976745404478057</v>
      </c>
      <c r="G428" s="73">
        <f t="shared" ca="1" si="35"/>
        <v>3.4940088356064929E-2</v>
      </c>
      <c r="H428" s="73">
        <f t="shared" ca="1" si="36"/>
        <v>0.28544290294593505</v>
      </c>
      <c r="I428" s="57" cm="1">
        <f t="array" aca="1" ref="I428" ca="1">SUMPRODUCT('Forecast DCF'!$D$16:$M$16,1/(1+F428)^('Forecast DCF'!$D$6:$M$6-0.5))+(('Forecast DCF'!$M$7*H428*(1-Assumptions!$C$21)+'Forecast DCF'!$M$15)*(1+G428)/(F428-G428))/(1+F428)^('Forecast DCF'!$M$6-0.5)</f>
        <v>160472.22432914446</v>
      </c>
      <c r="K428" s="49">
        <f ca="1">(I428-Assumptions!$C$12)/Assumptions!$C$9</f>
        <v>246.7073561742896</v>
      </c>
    </row>
    <row r="429" spans="2:11" outlineLevel="1" x14ac:dyDescent="0.2">
      <c r="B429" s="69">
        <f t="shared" si="32"/>
        <v>400</v>
      </c>
      <c r="C429" s="72">
        <f t="shared" ca="1" si="33"/>
        <v>0.14288167004073515</v>
      </c>
      <c r="D429" s="72">
        <f t="shared" ca="1" si="33"/>
        <v>0.83369536679938727</v>
      </c>
      <c r="E429" s="72">
        <f t="shared" ca="1" si="33"/>
        <v>0.50382846030439721</v>
      </c>
      <c r="F429" s="73">
        <f t="shared" ca="1" si="34"/>
        <v>0.12300883038917773</v>
      </c>
      <c r="G429" s="73">
        <f t="shared" ca="1" si="35"/>
        <v>3.6468308126400895E-2</v>
      </c>
      <c r="H429" s="73">
        <f t="shared" ca="1" si="36"/>
        <v>0.24023014902303719</v>
      </c>
      <c r="I429" s="57" cm="1">
        <f t="array" aca="1" ref="I429" ca="1">SUMPRODUCT('Forecast DCF'!$D$16:$M$16,1/(1+F429)^('Forecast DCF'!$D$6:$M$6-0.5))+(('Forecast DCF'!$M$7*H429*(1-Assumptions!$C$21)+'Forecast DCF'!$M$15)*(1+G429)/(F429-G429))/(1+F429)^('Forecast DCF'!$M$6-0.5)</f>
        <v>158774.75626499407</v>
      </c>
      <c r="K429" s="49">
        <f ca="1">(I429-Assumptions!$C$12)/Assumptions!$C$9</f>
        <v>243.59599208971656</v>
      </c>
    </row>
    <row r="430" spans="2:11" outlineLevel="1" x14ac:dyDescent="0.2">
      <c r="B430" s="69">
        <f t="shared" si="32"/>
        <v>401</v>
      </c>
      <c r="C430" s="72">
        <f t="shared" ca="1" si="33"/>
        <v>0.66144452767026762</v>
      </c>
      <c r="D430" s="72">
        <f t="shared" ca="1" si="33"/>
        <v>0.90174093740253081</v>
      </c>
      <c r="E430" s="72">
        <f t="shared" ca="1" si="33"/>
        <v>0.95741724897796443</v>
      </c>
      <c r="F430" s="73">
        <f t="shared" ca="1" si="34"/>
        <v>0.1326420814893185</v>
      </c>
      <c r="G430" s="73">
        <f t="shared" ca="1" si="35"/>
        <v>3.728533064724078E-2</v>
      </c>
      <c r="H430" s="73">
        <f t="shared" ca="1" si="36"/>
        <v>0.28249012257728068</v>
      </c>
      <c r="I430" s="57" cm="1">
        <f t="array" aca="1" ref="I430" ca="1">SUMPRODUCT('Forecast DCF'!$D$16:$M$16,1/(1+F430)^('Forecast DCF'!$D$6:$M$6-0.5))+(('Forecast DCF'!$M$7*H430*(1-Assumptions!$C$21)+'Forecast DCF'!$M$15)*(1+G430)/(F430-G430))/(1+F430)^('Forecast DCF'!$M$6-0.5)</f>
        <v>154123.6507063359</v>
      </c>
      <c r="K430" s="49">
        <f ca="1">(I430-Assumptions!$C$12)/Assumptions!$C$9</f>
        <v>235.07077556612325</v>
      </c>
    </row>
    <row r="431" spans="2:11" outlineLevel="1" x14ac:dyDescent="0.2">
      <c r="B431" s="69">
        <f t="shared" si="32"/>
        <v>402</v>
      </c>
      <c r="C431" s="72">
        <f t="shared" ca="1" si="33"/>
        <v>0.93590303074026115</v>
      </c>
      <c r="D431" s="72">
        <f t="shared" ca="1" si="33"/>
        <v>0.29599945335763944</v>
      </c>
      <c r="E431" s="72">
        <f t="shared" ca="1" si="33"/>
        <v>0.97442399418757508</v>
      </c>
      <c r="F431" s="73">
        <f t="shared" ca="1" si="34"/>
        <v>0.13962288709521042</v>
      </c>
      <c r="G431" s="73">
        <f t="shared" ca="1" si="35"/>
        <v>3.1663326346776509E-2</v>
      </c>
      <c r="H431" s="73">
        <f t="shared" ca="1" si="36"/>
        <v>0.28642991371252713</v>
      </c>
      <c r="I431" s="57" cm="1">
        <f t="array" aca="1" ref="I431" ca="1">SUMPRODUCT('Forecast DCF'!$D$16:$M$16,1/(1+F431)^('Forecast DCF'!$D$6:$M$6-0.5))+(('Forecast DCF'!$M$7*H431*(1-Assumptions!$C$21)+'Forecast DCF'!$M$15)*(1+G431)/(F431-G431))/(1+F431)^('Forecast DCF'!$M$6-0.5)</f>
        <v>129261.72485284985</v>
      </c>
      <c r="K431" s="49">
        <f ca="1">(I431-Assumptions!$C$12)/Assumptions!$C$9</f>
        <v>189.50025509063443</v>
      </c>
    </row>
    <row r="432" spans="2:11" outlineLevel="1" x14ac:dyDescent="0.2">
      <c r="B432" s="69">
        <f t="shared" si="32"/>
        <v>403</v>
      </c>
      <c r="C432" s="72">
        <f t="shared" ca="1" si="33"/>
        <v>0.40042062288508129</v>
      </c>
      <c r="D432" s="72">
        <f t="shared" ca="1" si="33"/>
        <v>0.48014356464070729</v>
      </c>
      <c r="E432" s="72">
        <f t="shared" ca="1" si="33"/>
        <v>7.1470483296867449E-2</v>
      </c>
      <c r="F432" s="73">
        <f t="shared" ca="1" si="34"/>
        <v>0.12840722988031283</v>
      </c>
      <c r="G432" s="73">
        <f t="shared" ca="1" si="35"/>
        <v>3.3486550223506967E-2</v>
      </c>
      <c r="H432" s="73">
        <f t="shared" ca="1" si="36"/>
        <v>0.20268452070768622</v>
      </c>
      <c r="I432" s="57" cm="1">
        <f t="array" aca="1" ref="I432" ca="1">SUMPRODUCT('Forecast DCF'!$D$16:$M$16,1/(1+F432)^('Forecast DCF'!$D$6:$M$6-0.5))+(('Forecast DCF'!$M$7*H432*(1-Assumptions!$C$21)+'Forecast DCF'!$M$15)*(1+G432)/(F432-G432))/(1+F432)^('Forecast DCF'!$M$6-0.5)</f>
        <v>117908.8073086988</v>
      </c>
      <c r="K432" s="49">
        <f ca="1">(I432-Assumptions!$C$12)/Assumptions!$C$9</f>
        <v>168.6909917837161</v>
      </c>
    </row>
    <row r="433" spans="2:11" outlineLevel="1" x14ac:dyDescent="0.2">
      <c r="B433" s="69">
        <f t="shared" si="32"/>
        <v>404</v>
      </c>
      <c r="C433" s="72">
        <f t="shared" ca="1" si="33"/>
        <v>7.3602388379052974E-2</v>
      </c>
      <c r="D433" s="72">
        <f t="shared" ca="1" si="33"/>
        <v>4.3271973232570593E-2</v>
      </c>
      <c r="E433" s="72">
        <f t="shared" ca="1" si="33"/>
        <v>0.69312547356629217</v>
      </c>
      <c r="F433" s="73">
        <f t="shared" ca="1" si="34"/>
        <v>0.12074813277251815</v>
      </c>
      <c r="G433" s="73">
        <f t="shared" ca="1" si="35"/>
        <v>2.7547704061480768E-2</v>
      </c>
      <c r="H433" s="73">
        <f t="shared" ca="1" si="36"/>
        <v>0.25299471742109514</v>
      </c>
      <c r="I433" s="57" cm="1">
        <f t="array" aca="1" ref="I433" ca="1">SUMPRODUCT('Forecast DCF'!$D$16:$M$16,1/(1+F433)^('Forecast DCF'!$D$6:$M$6-0.5))+(('Forecast DCF'!$M$7*H433*(1-Assumptions!$C$21)+'Forecast DCF'!$M$15)*(1+G433)/(F433-G433))/(1+F433)^('Forecast DCF'!$M$6-0.5)</f>
        <v>157756.43321289663</v>
      </c>
      <c r="K433" s="49">
        <f ca="1">(I433-Assumptions!$C$12)/Assumptions!$C$9</f>
        <v>241.72946285261159</v>
      </c>
    </row>
    <row r="434" spans="2:11" outlineLevel="1" x14ac:dyDescent="0.2">
      <c r="B434" s="69">
        <f t="shared" si="32"/>
        <v>405</v>
      </c>
      <c r="C434" s="72">
        <f t="shared" ca="1" si="33"/>
        <v>0.40354063268809603</v>
      </c>
      <c r="D434" s="72">
        <f t="shared" ca="1" si="33"/>
        <v>6.6799977031080759E-2</v>
      </c>
      <c r="E434" s="72">
        <f t="shared" ca="1" si="33"/>
        <v>0.40653155223951176</v>
      </c>
      <c r="F434" s="73">
        <f t="shared" ca="1" si="34"/>
        <v>0.1284593619606515</v>
      </c>
      <c r="G434" s="73">
        <f t="shared" ca="1" si="35"/>
        <v>2.8165437814057025E-2</v>
      </c>
      <c r="H434" s="73">
        <f t="shared" ca="1" si="36"/>
        <v>0.23410200713582152</v>
      </c>
      <c r="I434" s="57" cm="1">
        <f t="array" aca="1" ref="I434" ca="1">SUMPRODUCT('Forecast DCF'!$D$16:$M$16,1/(1+F434)^('Forecast DCF'!$D$6:$M$6-0.5))+(('Forecast DCF'!$M$7*H434*(1-Assumptions!$C$21)+'Forecast DCF'!$M$15)*(1+G434)/(F434-G434))/(1+F434)^('Forecast DCF'!$M$6-0.5)</f>
        <v>127402.67467015014</v>
      </c>
      <c r="K434" s="49">
        <f ca="1">(I434-Assumptions!$C$12)/Assumptions!$C$9</f>
        <v>186.09272001411099</v>
      </c>
    </row>
    <row r="435" spans="2:11" outlineLevel="1" x14ac:dyDescent="0.2">
      <c r="B435" s="69">
        <f t="shared" si="32"/>
        <v>406</v>
      </c>
      <c r="C435" s="72">
        <f t="shared" ca="1" si="33"/>
        <v>1.2620786947737939E-3</v>
      </c>
      <c r="D435" s="72">
        <f t="shared" ca="1" si="33"/>
        <v>0.53158771225694035</v>
      </c>
      <c r="E435" s="72">
        <f t="shared" ca="1" si="33"/>
        <v>6.2026108546107683E-2</v>
      </c>
      <c r="F435" s="73">
        <f t="shared" ca="1" si="34"/>
        <v>0.11575270370741485</v>
      </c>
      <c r="G435" s="73">
        <f t="shared" ca="1" si="35"/>
        <v>3.3929622435385554E-2</v>
      </c>
      <c r="H435" s="73">
        <f t="shared" ca="1" si="36"/>
        <v>0.20113262836307816</v>
      </c>
      <c r="I435" s="57" cm="1">
        <f t="array" aca="1" ref="I435" ca="1">SUMPRODUCT('Forecast DCF'!$D$16:$M$16,1/(1+F435)^('Forecast DCF'!$D$6:$M$6-0.5))+(('Forecast DCF'!$M$7*H435*(1-Assumptions!$C$21)+'Forecast DCF'!$M$15)*(1+G435)/(F435-G435))/(1+F435)^('Forecast DCF'!$M$6-0.5)</f>
        <v>151775.826475768</v>
      </c>
      <c r="K435" s="49">
        <f ca="1">(I435-Assumptions!$C$12)/Assumptions!$C$9</f>
        <v>230.7673449790297</v>
      </c>
    </row>
    <row r="436" spans="2:11" outlineLevel="1" x14ac:dyDescent="0.2">
      <c r="B436" s="69">
        <f t="shared" si="32"/>
        <v>407</v>
      </c>
      <c r="C436" s="72">
        <f t="shared" ca="1" si="33"/>
        <v>0.18587274994086533</v>
      </c>
      <c r="D436" s="72">
        <f t="shared" ca="1" si="33"/>
        <v>0.28497735284502457</v>
      </c>
      <c r="E436" s="72">
        <f t="shared" ca="1" si="33"/>
        <v>6.6518677018532091E-2</v>
      </c>
      <c r="F436" s="73">
        <f t="shared" ca="1" si="34"/>
        <v>0.1241345824373816</v>
      </c>
      <c r="G436" s="73">
        <f t="shared" ca="1" si="35"/>
        <v>3.1538088629466082E-2</v>
      </c>
      <c r="H436" s="73">
        <f t="shared" ca="1" si="36"/>
        <v>0.20188457160954792</v>
      </c>
      <c r="I436" s="57" cm="1">
        <f t="array" aca="1" ref="I436" ca="1">SUMPRODUCT('Forecast DCF'!$D$16:$M$16,1/(1+F436)^('Forecast DCF'!$D$6:$M$6-0.5))+(('Forecast DCF'!$M$7*H436*(1-Assumptions!$C$21)+'Forecast DCF'!$M$15)*(1+G436)/(F436-G436))/(1+F436)^('Forecast DCF'!$M$6-0.5)</f>
        <v>125147.22251926317</v>
      </c>
      <c r="K436" s="49">
        <f ca="1">(I436-Assumptions!$C$12)/Assumptions!$C$9</f>
        <v>181.95860228609646</v>
      </c>
    </row>
    <row r="437" spans="2:11" outlineLevel="1" x14ac:dyDescent="0.2">
      <c r="B437" s="69">
        <f t="shared" si="32"/>
        <v>408</v>
      </c>
      <c r="C437" s="72">
        <f t="shared" ca="1" si="33"/>
        <v>0.16947567383228312</v>
      </c>
      <c r="D437" s="72">
        <f t="shared" ca="1" si="33"/>
        <v>0.13610402575011316</v>
      </c>
      <c r="E437" s="72">
        <f t="shared" ca="1" si="33"/>
        <v>0.95357116748797444</v>
      </c>
      <c r="F437" s="73">
        <f t="shared" ca="1" si="34"/>
        <v>0.12372237033600005</v>
      </c>
      <c r="G437" s="73">
        <f t="shared" ca="1" si="35"/>
        <v>2.9518362962679845E-2</v>
      </c>
      <c r="H437" s="73">
        <f t="shared" ca="1" si="36"/>
        <v>0.28171646658639027</v>
      </c>
      <c r="I437" s="57" cm="1">
        <f t="array" aca="1" ref="I437" ca="1">SUMPRODUCT('Forecast DCF'!$D$16:$M$16,1/(1+F437)^('Forecast DCF'!$D$6:$M$6-0.5))+(('Forecast DCF'!$M$7*H437*(1-Assumptions!$C$21)+'Forecast DCF'!$M$15)*(1+G437)/(F437-G437))/(1+F437)^('Forecast DCF'!$M$6-0.5)</f>
        <v>168115.72972887589</v>
      </c>
      <c r="K437" s="49">
        <f ca="1">(I437-Assumptions!$C$12)/Assumptions!$C$9</f>
        <v>260.7174743516041</v>
      </c>
    </row>
    <row r="438" spans="2:11" outlineLevel="1" x14ac:dyDescent="0.2">
      <c r="B438" s="69">
        <f t="shared" si="32"/>
        <v>409</v>
      </c>
      <c r="C438" s="72">
        <f t="shared" ca="1" si="33"/>
        <v>0.78049478926765226</v>
      </c>
      <c r="D438" s="72">
        <f t="shared" ca="1" si="33"/>
        <v>0.26919029034716668</v>
      </c>
      <c r="E438" s="72">
        <f t="shared" ca="1" si="33"/>
        <v>0.40684740159384936</v>
      </c>
      <c r="F438" s="73">
        <f t="shared" ca="1" si="34"/>
        <v>0.13504931850964552</v>
      </c>
      <c r="G438" s="73">
        <f t="shared" ca="1" si="35"/>
        <v>3.135441134583488E-2</v>
      </c>
      <c r="H438" s="73">
        <f t="shared" ca="1" si="36"/>
        <v>0.23412301997741547</v>
      </c>
      <c r="I438" s="57" cm="1">
        <f t="array" aca="1" ref="I438" ca="1">SUMPRODUCT('Forecast DCF'!$D$16:$M$16,1/(1+F438)^('Forecast DCF'!$D$6:$M$6-0.5))+(('Forecast DCF'!$M$7*H438*(1-Assumptions!$C$21)+'Forecast DCF'!$M$15)*(1+G438)/(F438-G438))/(1+F438)^('Forecast DCF'!$M$6-0.5)</f>
        <v>116103.33894732197</v>
      </c>
      <c r="K438" s="49">
        <f ca="1">(I438-Assumptions!$C$12)/Assumptions!$C$9</f>
        <v>165.38166919081513</v>
      </c>
    </row>
    <row r="439" spans="2:11" outlineLevel="1" x14ac:dyDescent="0.2">
      <c r="B439" s="69">
        <f t="shared" si="32"/>
        <v>410</v>
      </c>
      <c r="C439" s="72">
        <f t="shared" ca="1" si="33"/>
        <v>0.53707236783372614</v>
      </c>
      <c r="D439" s="72">
        <f t="shared" ca="1" si="33"/>
        <v>7.3922061623795221E-2</v>
      </c>
      <c r="E439" s="72">
        <f t="shared" ca="1" si="33"/>
        <v>1.5939955115758631E-2</v>
      </c>
      <c r="F439" s="73">
        <f t="shared" ca="1" si="34"/>
        <v>0.13054936404122264</v>
      </c>
      <c r="G439" s="73">
        <f t="shared" ca="1" si="35"/>
        <v>2.8329911296651803E-2</v>
      </c>
      <c r="H439" s="73">
        <f t="shared" ca="1" si="36"/>
        <v>0.19071296769496959</v>
      </c>
      <c r="I439" s="57" cm="1">
        <f t="array" aca="1" ref="I439" ca="1">SUMPRODUCT('Forecast DCF'!$D$16:$M$16,1/(1+F439)^('Forecast DCF'!$D$6:$M$6-0.5))+(('Forecast DCF'!$M$7*H439*(1-Assumptions!$C$21)+'Forecast DCF'!$M$15)*(1+G439)/(F439-G439))/(1+F439)^('Forecast DCF'!$M$6-0.5)</f>
        <v>101588.89175430947</v>
      </c>
      <c r="K439" s="49">
        <f ca="1">(I439-Assumptions!$C$12)/Assumptions!$C$9</f>
        <v>138.77749874571529</v>
      </c>
    </row>
    <row r="440" spans="2:11" outlineLevel="1" x14ac:dyDescent="0.2">
      <c r="B440" s="69">
        <f t="shared" si="32"/>
        <v>411</v>
      </c>
      <c r="C440" s="72">
        <f t="shared" ca="1" si="33"/>
        <v>0.81959566051409805</v>
      </c>
      <c r="D440" s="72">
        <f t="shared" ca="1" si="33"/>
        <v>0.59735375521359035</v>
      </c>
      <c r="E440" s="72">
        <f t="shared" ca="1" si="33"/>
        <v>0.7033916636852765</v>
      </c>
      <c r="F440" s="73">
        <f t="shared" ca="1" si="34"/>
        <v>0.13597901630051246</v>
      </c>
      <c r="G440" s="73">
        <f t="shared" ca="1" si="35"/>
        <v>3.4465889460691929E-2</v>
      </c>
      <c r="H440" s="73">
        <f t="shared" ca="1" si="36"/>
        <v>0.25378766375234846</v>
      </c>
      <c r="I440" s="57" cm="1">
        <f t="array" aca="1" ref="I440" ca="1">SUMPRODUCT('Forecast DCF'!$D$16:$M$16,1/(1+F440)^('Forecast DCF'!$D$6:$M$6-0.5))+(('Forecast DCF'!$M$7*H440*(1-Assumptions!$C$21)+'Forecast DCF'!$M$15)*(1+G440)/(F440-G440))/(1+F440)^('Forecast DCF'!$M$6-0.5)</f>
        <v>126897.05822100912</v>
      </c>
      <c r="K440" s="49">
        <f ca="1">(I440-Assumptions!$C$12)/Assumptions!$C$9</f>
        <v>185.16595332338443</v>
      </c>
    </row>
    <row r="441" spans="2:11" outlineLevel="1" x14ac:dyDescent="0.2">
      <c r="B441" s="69">
        <f t="shared" si="32"/>
        <v>412</v>
      </c>
      <c r="C441" s="72">
        <f t="shared" ca="1" si="33"/>
        <v>0.40409407848325074</v>
      </c>
      <c r="D441" s="72">
        <f t="shared" ca="1" si="33"/>
        <v>0.94582712598564389</v>
      </c>
      <c r="E441" s="72">
        <f t="shared" ca="1" si="33"/>
        <v>0.79013927669752315</v>
      </c>
      <c r="F441" s="73">
        <f t="shared" ca="1" si="34"/>
        <v>0.12846858838593689</v>
      </c>
      <c r="G441" s="73">
        <f t="shared" ca="1" si="35"/>
        <v>3.7984320077225381E-2</v>
      </c>
      <c r="H441" s="73">
        <f t="shared" ca="1" si="36"/>
        <v>0.26112845246484473</v>
      </c>
      <c r="I441" s="57" cm="1">
        <f t="array" aca="1" ref="I441" ca="1">SUMPRODUCT('Forecast DCF'!$D$16:$M$16,1/(1+F441)^('Forecast DCF'!$D$6:$M$6-0.5))+(('Forecast DCF'!$M$7*H441*(1-Assumptions!$C$21)+'Forecast DCF'!$M$15)*(1+G441)/(F441-G441))/(1+F441)^('Forecast DCF'!$M$6-0.5)</f>
        <v>156527.48763454391</v>
      </c>
      <c r="K441" s="49">
        <f ca="1">(I441-Assumptions!$C$12)/Assumptions!$C$9</f>
        <v>239.47687429725912</v>
      </c>
    </row>
    <row r="442" spans="2:11" outlineLevel="1" x14ac:dyDescent="0.2">
      <c r="B442" s="69">
        <f t="shared" si="32"/>
        <v>413</v>
      </c>
      <c r="C442" s="72">
        <f t="shared" ca="1" si="33"/>
        <v>0.4480518251722756</v>
      </c>
      <c r="D442" s="72">
        <f t="shared" ca="1" si="33"/>
        <v>0.91458145542187508</v>
      </c>
      <c r="E442" s="72">
        <f t="shared" ca="1" si="33"/>
        <v>0.48108496164708636</v>
      </c>
      <c r="F442" s="73">
        <f t="shared" ca="1" si="34"/>
        <v>0.12918224432146377</v>
      </c>
      <c r="G442" s="73">
        <f t="shared" ca="1" si="35"/>
        <v>3.746891508570744E-2</v>
      </c>
      <c r="H442" s="73">
        <f t="shared" ca="1" si="36"/>
        <v>0.23885415638558605</v>
      </c>
      <c r="I442" s="57" cm="1">
        <f t="array" aca="1" ref="I442" ca="1">SUMPRODUCT('Forecast DCF'!$D$16:$M$16,1/(1+F442)^('Forecast DCF'!$D$6:$M$6-0.5))+(('Forecast DCF'!$M$7*H442*(1-Assumptions!$C$21)+'Forecast DCF'!$M$15)*(1+G442)/(F442-G442))/(1+F442)^('Forecast DCF'!$M$6-0.5)</f>
        <v>141139.94462836583</v>
      </c>
      <c r="K442" s="49">
        <f ca="1">(I442-Assumptions!$C$12)/Assumptions!$C$9</f>
        <v>211.27236802679334</v>
      </c>
    </row>
    <row r="443" spans="2:11" outlineLevel="1" x14ac:dyDescent="0.2">
      <c r="B443" s="69">
        <f t="shared" si="32"/>
        <v>414</v>
      </c>
      <c r="C443" s="72">
        <f t="shared" ca="1" si="33"/>
        <v>9.7243156366074168E-2</v>
      </c>
      <c r="D443" s="72">
        <f t="shared" ca="1" si="33"/>
        <v>0.23083905929505</v>
      </c>
      <c r="E443" s="72">
        <f t="shared" ca="1" si="33"/>
        <v>0.46532352878815297</v>
      </c>
      <c r="F443" s="73">
        <f t="shared" ca="1" si="34"/>
        <v>0.12160709210246434</v>
      </c>
      <c r="G443" s="73">
        <f t="shared" ca="1" si="35"/>
        <v>3.0884374129357982E-2</v>
      </c>
      <c r="H443" s="73">
        <f t="shared" ca="1" si="36"/>
        <v>0.23788203008943881</v>
      </c>
      <c r="I443" s="57" cm="1">
        <f t="array" aca="1" ref="I443" ca="1">SUMPRODUCT('Forecast DCF'!$D$16:$M$16,1/(1+F443)^('Forecast DCF'!$D$6:$M$6-0.5))+(('Forecast DCF'!$M$7*H443*(1-Assumptions!$C$21)+'Forecast DCF'!$M$15)*(1+G443)/(F443-G443))/(1+F443)^('Forecast DCF'!$M$6-0.5)</f>
        <v>151929.41541217576</v>
      </c>
      <c r="K443" s="49">
        <f ca="1">(I443-Assumptions!$C$12)/Assumptions!$C$9</f>
        <v>231.0488649148796</v>
      </c>
    </row>
    <row r="444" spans="2:11" outlineLevel="1" x14ac:dyDescent="0.2">
      <c r="B444" s="69">
        <f t="shared" si="32"/>
        <v>415</v>
      </c>
      <c r="C444" s="72">
        <f t="shared" ca="1" si="33"/>
        <v>0.89639537797593782</v>
      </c>
      <c r="D444" s="72">
        <f t="shared" ca="1" si="33"/>
        <v>0.65366739752221159</v>
      </c>
      <c r="E444" s="72">
        <f t="shared" ca="1" si="33"/>
        <v>8.2641041258987302E-2</v>
      </c>
      <c r="F444" s="73">
        <f t="shared" ca="1" si="34"/>
        <v>0.13816371793481086</v>
      </c>
      <c r="G444" s="73">
        <f t="shared" ca="1" si="35"/>
        <v>3.4902025531593613E-2</v>
      </c>
      <c r="H444" s="73">
        <f t="shared" ca="1" si="36"/>
        <v>0.20439293949208887</v>
      </c>
      <c r="I444" s="57" cm="1">
        <f t="array" aca="1" ref="I444" ca="1">SUMPRODUCT('Forecast DCF'!$D$16:$M$16,1/(1+F444)^('Forecast DCF'!$D$6:$M$6-0.5))+(('Forecast DCF'!$M$7*H444*(1-Assumptions!$C$21)+'Forecast DCF'!$M$15)*(1+G444)/(F444-G444))/(1+F444)^('Forecast DCF'!$M$6-0.5)</f>
        <v>99868.079894450537</v>
      </c>
      <c r="K444" s="49">
        <f ca="1">(I444-Assumptions!$C$12)/Assumptions!$C$9</f>
        <v>135.62334678836925</v>
      </c>
    </row>
    <row r="445" spans="2:11" outlineLevel="1" x14ac:dyDescent="0.2">
      <c r="B445" s="69">
        <f t="shared" si="32"/>
        <v>416</v>
      </c>
      <c r="C445" s="72">
        <f t="shared" ca="1" si="33"/>
        <v>0.20974107675378195</v>
      </c>
      <c r="D445" s="72">
        <f t="shared" ca="1" si="33"/>
        <v>0.10528475692249417</v>
      </c>
      <c r="E445" s="72">
        <f t="shared" ca="1" si="33"/>
        <v>0.29809336852845825</v>
      </c>
      <c r="F445" s="73">
        <f t="shared" ca="1" si="34"/>
        <v>0.12470336982605147</v>
      </c>
      <c r="G445" s="73">
        <f t="shared" ca="1" si="35"/>
        <v>2.8974004722993437E-2</v>
      </c>
      <c r="H445" s="73">
        <f t="shared" ca="1" si="36"/>
        <v>0.22632787771315344</v>
      </c>
      <c r="I445" s="57" cm="1">
        <f t="array" aca="1" ref="I445" ca="1">SUMPRODUCT('Forecast DCF'!$D$16:$M$16,1/(1+F445)^('Forecast DCF'!$D$6:$M$6-0.5))+(('Forecast DCF'!$M$7*H445*(1-Assumptions!$C$21)+'Forecast DCF'!$M$15)*(1+G445)/(F445-G445))/(1+F445)^('Forecast DCF'!$M$6-0.5)</f>
        <v>133805.26132808774</v>
      </c>
      <c r="K445" s="49">
        <f ca="1">(I445-Assumptions!$C$12)/Assumptions!$C$9</f>
        <v>197.82830349670456</v>
      </c>
    </row>
    <row r="446" spans="2:11" outlineLevel="1" x14ac:dyDescent="0.2">
      <c r="B446" s="69">
        <f t="shared" si="32"/>
        <v>417</v>
      </c>
      <c r="C446" s="72">
        <f t="shared" ca="1" si="33"/>
        <v>0.27207444130465341</v>
      </c>
      <c r="D446" s="72">
        <f t="shared" ca="1" si="33"/>
        <v>0.93819032353016141</v>
      </c>
      <c r="E446" s="72">
        <f t="shared" ca="1" si="33"/>
        <v>0.58584765712437059</v>
      </c>
      <c r="F446" s="73">
        <f t="shared" ca="1" si="34"/>
        <v>0.12605158861740531</v>
      </c>
      <c r="G446" s="73">
        <f t="shared" ca="1" si="35"/>
        <v>3.7846926444536119E-2</v>
      </c>
      <c r="H446" s="73">
        <f t="shared" ca="1" si="36"/>
        <v>0.24539325253501604</v>
      </c>
      <c r="I446" s="57" cm="1">
        <f t="array" aca="1" ref="I446" ca="1">SUMPRODUCT('Forecast DCF'!$D$16:$M$16,1/(1+F446)^('Forecast DCF'!$D$6:$M$6-0.5))+(('Forecast DCF'!$M$7*H446*(1-Assumptions!$C$21)+'Forecast DCF'!$M$15)*(1+G446)/(F446-G446))/(1+F446)^('Forecast DCF'!$M$6-0.5)</f>
        <v>154736.45948420581</v>
      </c>
      <c r="K446" s="49">
        <f ca="1">(I446-Assumptions!$C$12)/Assumptions!$C$9</f>
        <v>236.19401980408176</v>
      </c>
    </row>
    <row r="447" spans="2:11" outlineLevel="1" x14ac:dyDescent="0.2">
      <c r="B447" s="69">
        <f t="shared" si="32"/>
        <v>418</v>
      </c>
      <c r="C447" s="72">
        <f t="shared" ca="1" si="33"/>
        <v>0.1328678499454734</v>
      </c>
      <c r="D447" s="72">
        <f t="shared" ca="1" si="33"/>
        <v>0.21900020956978372</v>
      </c>
      <c r="E447" s="72">
        <f t="shared" ca="1" si="33"/>
        <v>0.97451430274017636</v>
      </c>
      <c r="F447" s="73">
        <f t="shared" ca="1" si="34"/>
        <v>0.12272308458029349</v>
      </c>
      <c r="G447" s="73">
        <f t="shared" ca="1" si="35"/>
        <v>3.0731494694708143E-2</v>
      </c>
      <c r="H447" s="73">
        <f t="shared" ca="1" si="36"/>
        <v>0.28645389280011668</v>
      </c>
      <c r="I447" s="57" cm="1">
        <f t="array" aca="1" ref="I447" ca="1">SUMPRODUCT('Forecast DCF'!$D$16:$M$16,1/(1+F447)^('Forecast DCF'!$D$6:$M$6-0.5))+(('Forecast DCF'!$M$7*H447*(1-Assumptions!$C$21)+'Forecast DCF'!$M$15)*(1+G447)/(F447-G447))/(1+F447)^('Forecast DCF'!$M$6-0.5)</f>
        <v>176442.11709094408</v>
      </c>
      <c r="K447" s="49">
        <f ca="1">(I447-Assumptions!$C$12)/Assumptions!$C$9</f>
        <v>275.97927699738653</v>
      </c>
    </row>
    <row r="448" spans="2:11" outlineLevel="1" x14ac:dyDescent="0.2">
      <c r="B448" s="69">
        <f t="shared" si="32"/>
        <v>419</v>
      </c>
      <c r="C448" s="72">
        <f t="shared" ref="C448:E479" ca="1" si="37">RAND()</f>
        <v>0.9210489067534251</v>
      </c>
      <c r="D448" s="72">
        <f t="shared" ca="1" si="37"/>
        <v>0.46133409182448348</v>
      </c>
      <c r="E448" s="72">
        <f t="shared" ca="1" si="37"/>
        <v>0.36959128528172203</v>
      </c>
      <c r="F448" s="73">
        <f t="shared" ca="1" si="34"/>
        <v>0.13903226565532759</v>
      </c>
      <c r="G448" s="73">
        <f t="shared" ca="1" si="35"/>
        <v>3.3318660575698024E-2</v>
      </c>
      <c r="H448" s="73">
        <f t="shared" ca="1" si="36"/>
        <v>0.23158543645282453</v>
      </c>
      <c r="I448" s="57" cm="1">
        <f t="array" aca="1" ref="I448" ca="1">SUMPRODUCT('Forecast DCF'!$D$16:$M$16,1/(1+F448)^('Forecast DCF'!$D$6:$M$6-0.5))+(('Forecast DCF'!$M$7*H448*(1-Assumptions!$C$21)+'Forecast DCF'!$M$15)*(1+G448)/(F448-G448))/(1+F448)^('Forecast DCF'!$M$6-0.5)</f>
        <v>108693.79787644766</v>
      </c>
      <c r="K448" s="49">
        <f ca="1">(I448-Assumptions!$C$12)/Assumptions!$C$9</f>
        <v>151.80039455126791</v>
      </c>
    </row>
    <row r="449" spans="2:11" outlineLevel="1" x14ac:dyDescent="0.2">
      <c r="B449" s="69">
        <f t="shared" si="32"/>
        <v>420</v>
      </c>
      <c r="C449" s="72">
        <f t="shared" ca="1" si="37"/>
        <v>0.57094050162022758</v>
      </c>
      <c r="D449" s="72">
        <f t="shared" ca="1" si="37"/>
        <v>0.31061664137048228</v>
      </c>
      <c r="E449" s="72">
        <f t="shared" ca="1" si="37"/>
        <v>0.74450446201447129</v>
      </c>
      <c r="F449" s="73">
        <f t="shared" ca="1" si="34"/>
        <v>0.13108801283122459</v>
      </c>
      <c r="G449" s="73">
        <f t="shared" ca="1" si="35"/>
        <v>3.1825869629986528E-2</v>
      </c>
      <c r="H449" s="73">
        <f t="shared" ca="1" si="36"/>
        <v>0.25710981611725348</v>
      </c>
      <c r="I449" s="57" cm="1">
        <f t="array" aca="1" ref="I449" ca="1">SUMPRODUCT('Forecast DCF'!$D$16:$M$16,1/(1+F449)^('Forecast DCF'!$D$6:$M$6-0.5))+(('Forecast DCF'!$M$7*H449*(1-Assumptions!$C$21)+'Forecast DCF'!$M$15)*(1+G449)/(F449-G449))/(1+F449)^('Forecast DCF'!$M$6-0.5)</f>
        <v>137241.50258757983</v>
      </c>
      <c r="K449" s="49">
        <f ca="1">(I449-Assumptions!$C$12)/Assumptions!$C$9</f>
        <v>204.12674166264605</v>
      </c>
    </row>
    <row r="450" spans="2:11" outlineLevel="1" x14ac:dyDescent="0.2">
      <c r="B450" s="69">
        <f t="shared" si="32"/>
        <v>421</v>
      </c>
      <c r="C450" s="72">
        <f t="shared" ca="1" si="37"/>
        <v>0.38119597147791562</v>
      </c>
      <c r="D450" s="72">
        <f t="shared" ca="1" si="37"/>
        <v>0.56227546115810112</v>
      </c>
      <c r="E450" s="72">
        <f t="shared" ca="1" si="37"/>
        <v>0.73952577134940634</v>
      </c>
      <c r="F450" s="73">
        <f t="shared" ca="1" si="34"/>
        <v>0.12808142298106731</v>
      </c>
      <c r="G450" s="73">
        <f t="shared" ca="1" si="35"/>
        <v>3.4183753000474E-2</v>
      </c>
      <c r="H450" s="73">
        <f t="shared" ca="1" si="36"/>
        <v>0.25669394446172367</v>
      </c>
      <c r="I450" s="57" cm="1">
        <f t="array" aca="1" ref="I450" ca="1">SUMPRODUCT('Forecast DCF'!$D$16:$M$16,1/(1+F450)^('Forecast DCF'!$D$6:$M$6-0.5))+(('Forecast DCF'!$M$7*H450*(1-Assumptions!$C$21)+'Forecast DCF'!$M$15)*(1+G450)/(F450-G450))/(1+F450)^('Forecast DCF'!$M$6-0.5)</f>
        <v>148860.61409449938</v>
      </c>
      <c r="K450" s="49">
        <f ca="1">(I450-Assumptions!$C$12)/Assumptions!$C$9</f>
        <v>225.42392362487212</v>
      </c>
    </row>
    <row r="451" spans="2:11" outlineLevel="1" x14ac:dyDescent="0.2">
      <c r="B451" s="69">
        <f t="shared" si="32"/>
        <v>422</v>
      </c>
      <c r="C451" s="72">
        <f t="shared" ca="1" si="37"/>
        <v>0.10371197629923046</v>
      </c>
      <c r="D451" s="72">
        <f t="shared" ca="1" si="37"/>
        <v>0.77511112415116434</v>
      </c>
      <c r="E451" s="72">
        <f t="shared" ca="1" si="37"/>
        <v>0.59988660946760197</v>
      </c>
      <c r="F451" s="73">
        <f t="shared" ca="1" si="34"/>
        <v>0.12182331297979593</v>
      </c>
      <c r="G451" s="73">
        <f t="shared" ca="1" si="35"/>
        <v>3.5893095364065208E-2</v>
      </c>
      <c r="H451" s="73">
        <f t="shared" ca="1" si="36"/>
        <v>0.24632676261083866</v>
      </c>
      <c r="I451" s="57" cm="1">
        <f t="array" aca="1" ref="I451" ca="1">SUMPRODUCT('Forecast DCF'!$D$16:$M$16,1/(1+F451)^('Forecast DCF'!$D$6:$M$6-0.5))+(('Forecast DCF'!$M$7*H451*(1-Assumptions!$C$21)+'Forecast DCF'!$M$15)*(1+G451)/(F451-G451))/(1+F451)^('Forecast DCF'!$M$6-0.5)</f>
        <v>165381.0440055324</v>
      </c>
      <c r="K451" s="49">
        <f ca="1">(I451-Assumptions!$C$12)/Assumptions!$C$9</f>
        <v>255.70494827120081</v>
      </c>
    </row>
    <row r="452" spans="2:11" outlineLevel="1" x14ac:dyDescent="0.2">
      <c r="B452" s="69">
        <f t="shared" si="32"/>
        <v>423</v>
      </c>
      <c r="C452" s="72">
        <f t="shared" ca="1" si="37"/>
        <v>0.68630403020433262</v>
      </c>
      <c r="D452" s="72">
        <f t="shared" ca="1" si="37"/>
        <v>0.13386929170963624</v>
      </c>
      <c r="E452" s="72">
        <f t="shared" ca="1" si="37"/>
        <v>0.10303731708088071</v>
      </c>
      <c r="F452" s="73">
        <f t="shared" ca="1" si="34"/>
        <v>0.13310444038901761</v>
      </c>
      <c r="G452" s="73">
        <f t="shared" ca="1" si="35"/>
        <v>2.9481115235791805E-2</v>
      </c>
      <c r="H452" s="73">
        <f t="shared" ca="1" si="36"/>
        <v>0.20723726643740778</v>
      </c>
      <c r="I452" s="57" cm="1">
        <f t="array" aca="1" ref="I452" ca="1">SUMPRODUCT('Forecast DCF'!$D$16:$M$16,1/(1+F452)^('Forecast DCF'!$D$6:$M$6-0.5))+(('Forecast DCF'!$M$7*H452*(1-Assumptions!$C$21)+'Forecast DCF'!$M$15)*(1+G452)/(F452-G452))/(1+F452)^('Forecast DCF'!$M$6-0.5)</f>
        <v>105619.0202509817</v>
      </c>
      <c r="K452" s="49">
        <f ca="1">(I452-Assumptions!$C$12)/Assumptions!$C$9</f>
        <v>146.16449902311743</v>
      </c>
    </row>
    <row r="453" spans="2:11" outlineLevel="1" x14ac:dyDescent="0.2">
      <c r="B453" s="69">
        <f t="shared" si="32"/>
        <v>424</v>
      </c>
      <c r="C453" s="72">
        <f t="shared" ca="1" si="37"/>
        <v>0.81143521580965849</v>
      </c>
      <c r="D453" s="72">
        <f t="shared" ca="1" si="37"/>
        <v>3.4364267144741723E-2</v>
      </c>
      <c r="E453" s="72">
        <f t="shared" ca="1" si="37"/>
        <v>0.10635212075890155</v>
      </c>
      <c r="F453" s="73">
        <f t="shared" ca="1" si="34"/>
        <v>0.13577724435394148</v>
      </c>
      <c r="G453" s="73">
        <f t="shared" ca="1" si="35"/>
        <v>2.7270383243355904E-2</v>
      </c>
      <c r="H453" s="73">
        <f t="shared" ca="1" si="36"/>
        <v>0.2076719220413778</v>
      </c>
      <c r="I453" s="57" cm="1">
        <f t="array" aca="1" ref="I453" ca="1">SUMPRODUCT('Forecast DCF'!$D$16:$M$16,1/(1+F453)^('Forecast DCF'!$D$6:$M$6-0.5))+(('Forecast DCF'!$M$7*H453*(1-Assumptions!$C$21)+'Forecast DCF'!$M$15)*(1+G453)/(F453-G453))/(1+F453)^('Forecast DCF'!$M$6-0.5)</f>
        <v>98563.393580717326</v>
      </c>
      <c r="K453" s="49">
        <f ca="1">(I453-Assumptions!$C$12)/Assumptions!$C$9</f>
        <v>133.23192969846056</v>
      </c>
    </row>
    <row r="454" spans="2:11" outlineLevel="1" x14ac:dyDescent="0.2">
      <c r="B454" s="69">
        <f t="shared" si="32"/>
        <v>425</v>
      </c>
      <c r="C454" s="72">
        <f t="shared" ca="1" si="37"/>
        <v>0.39718501014567742</v>
      </c>
      <c r="D454" s="72">
        <f t="shared" ca="1" si="37"/>
        <v>0.67921070715372511</v>
      </c>
      <c r="E454" s="72">
        <f t="shared" ca="1" si="37"/>
        <v>0.15655698489251135</v>
      </c>
      <c r="F454" s="73">
        <f t="shared" ca="1" si="34"/>
        <v>0.1283529512145789</v>
      </c>
      <c r="G454" s="73">
        <f t="shared" ca="1" si="35"/>
        <v>3.5094982470625556E-2</v>
      </c>
      <c r="H454" s="73">
        <f t="shared" ca="1" si="36"/>
        <v>0.21357395257079631</v>
      </c>
      <c r="I454" s="57" cm="1">
        <f t="array" aca="1" ref="I454" ca="1">SUMPRODUCT('Forecast DCF'!$D$16:$M$16,1/(1+F454)^('Forecast DCF'!$D$6:$M$6-0.5))+(('Forecast DCF'!$M$7*H454*(1-Assumptions!$C$21)+'Forecast DCF'!$M$15)*(1+G454)/(F454-G454))/(1+F454)^('Forecast DCF'!$M$6-0.5)</f>
        <v>126001.54883841012</v>
      </c>
      <c r="K454" s="49">
        <f ca="1">(I454-Assumptions!$C$12)/Assumptions!$C$9</f>
        <v>183.52453467801436</v>
      </c>
    </row>
    <row r="455" spans="2:11" outlineLevel="1" x14ac:dyDescent="0.2">
      <c r="B455" s="69">
        <f t="shared" si="32"/>
        <v>426</v>
      </c>
      <c r="C455" s="72">
        <f t="shared" ca="1" si="37"/>
        <v>0.53201949248829172</v>
      </c>
      <c r="D455" s="72">
        <f t="shared" ca="1" si="37"/>
        <v>0.42680063724288264</v>
      </c>
      <c r="E455" s="72">
        <f t="shared" ca="1" si="37"/>
        <v>0.24850406575188355</v>
      </c>
      <c r="F455" s="73">
        <f t="shared" ca="1" si="34"/>
        <v>0.13047071341585378</v>
      </c>
      <c r="G455" s="73">
        <f t="shared" ca="1" si="35"/>
        <v>3.3001255875575564E-2</v>
      </c>
      <c r="H455" s="73">
        <f t="shared" ca="1" si="36"/>
        <v>0.22229928218555914</v>
      </c>
      <c r="I455" s="57" cm="1">
        <f t="array" aca="1" ref="I455" ca="1">SUMPRODUCT('Forecast DCF'!$D$16:$M$16,1/(1+F455)^('Forecast DCF'!$D$6:$M$6-0.5))+(('Forecast DCF'!$M$7*H455*(1-Assumptions!$C$21)+'Forecast DCF'!$M$15)*(1+G455)/(F455-G455))/(1+F455)^('Forecast DCF'!$M$6-0.5)</f>
        <v>122746.56808035616</v>
      </c>
      <c r="K455" s="49">
        <f ca="1">(I455-Assumptions!$C$12)/Assumptions!$C$9</f>
        <v>177.5583368799696</v>
      </c>
    </row>
    <row r="456" spans="2:11" outlineLevel="1" x14ac:dyDescent="0.2">
      <c r="B456" s="69">
        <f t="shared" si="32"/>
        <v>427</v>
      </c>
      <c r="C456" s="72">
        <f t="shared" ca="1" si="37"/>
        <v>0.21236196056948997</v>
      </c>
      <c r="D456" s="72">
        <f t="shared" ca="1" si="37"/>
        <v>0.55552252635623667</v>
      </c>
      <c r="E456" s="72">
        <f t="shared" ca="1" si="37"/>
        <v>0.4004074347320955</v>
      </c>
      <c r="F456" s="73">
        <f t="shared" ca="1" si="34"/>
        <v>0.12476380732208767</v>
      </c>
      <c r="G456" s="73">
        <f t="shared" ca="1" si="35"/>
        <v>3.4128437925156505E-2</v>
      </c>
      <c r="H456" s="73">
        <f t="shared" ca="1" si="36"/>
        <v>0.2336929560563682</v>
      </c>
      <c r="I456" s="57" cm="1">
        <f t="array" aca="1" ref="I456" ca="1">SUMPRODUCT('Forecast DCF'!$D$16:$M$16,1/(1+F456)^('Forecast DCF'!$D$6:$M$6-0.5))+(('Forecast DCF'!$M$7*H456*(1-Assumptions!$C$21)+'Forecast DCF'!$M$15)*(1+G456)/(F456-G456))/(1+F456)^('Forecast DCF'!$M$6-0.5)</f>
        <v>145497.79660477964</v>
      </c>
      <c r="K456" s="49">
        <f ca="1">(I456-Assumptions!$C$12)/Assumptions!$C$9</f>
        <v>219.26006712502988</v>
      </c>
    </row>
    <row r="457" spans="2:11" outlineLevel="1" x14ac:dyDescent="0.2">
      <c r="B457" s="69">
        <f t="shared" si="32"/>
        <v>428</v>
      </c>
      <c r="C457" s="72">
        <f t="shared" ca="1" si="37"/>
        <v>0.85075318709776271</v>
      </c>
      <c r="D457" s="72">
        <f t="shared" ca="1" si="37"/>
        <v>0.38209909690127652</v>
      </c>
      <c r="E457" s="72">
        <f t="shared" ca="1" si="37"/>
        <v>0.18031413631480819</v>
      </c>
      <c r="F457" s="73">
        <f t="shared" ca="1" si="34"/>
        <v>0.13679491771092564</v>
      </c>
      <c r="G457" s="73">
        <f t="shared" ca="1" si="35"/>
        <v>3.2570658130915142E-2</v>
      </c>
      <c r="H457" s="73">
        <f t="shared" ca="1" si="36"/>
        <v>0.21603139993764631</v>
      </c>
      <c r="I457" s="57" cm="1">
        <f t="array" aca="1" ref="I457" ca="1">SUMPRODUCT('Forecast DCF'!$D$16:$M$16,1/(1+F457)^('Forecast DCF'!$D$6:$M$6-0.5))+(('Forecast DCF'!$M$7*H457*(1-Assumptions!$C$21)+'Forecast DCF'!$M$15)*(1+G457)/(F457-G457))/(1+F457)^('Forecast DCF'!$M$6-0.5)</f>
        <v>105482.626122963</v>
      </c>
      <c r="K457" s="49">
        <f ca="1">(I457-Assumptions!$C$12)/Assumptions!$C$9</f>
        <v>145.91449620997088</v>
      </c>
    </row>
    <row r="458" spans="2:11" outlineLevel="1" x14ac:dyDescent="0.2">
      <c r="B458" s="69">
        <f t="shared" si="32"/>
        <v>429</v>
      </c>
      <c r="C458" s="72">
        <f t="shared" ca="1" si="37"/>
        <v>0.36028645829244754</v>
      </c>
      <c r="D458" s="72">
        <f t="shared" ca="1" si="37"/>
        <v>0.29389718123735264</v>
      </c>
      <c r="E458" s="72">
        <f t="shared" ca="1" si="37"/>
        <v>0.89519092833267411</v>
      </c>
      <c r="F458" s="73">
        <f t="shared" ca="1" si="34"/>
        <v>0.12771758962554827</v>
      </c>
      <c r="G458" s="73">
        <f t="shared" ca="1" si="35"/>
        <v>3.1639621765251612E-2</v>
      </c>
      <c r="H458" s="73">
        <f t="shared" ca="1" si="36"/>
        <v>0.2725295555914225</v>
      </c>
      <c r="I458" s="57" cm="1">
        <f t="array" aca="1" ref="I458" ca="1">SUMPRODUCT('Forecast DCF'!$D$16:$M$16,1/(1+F458)^('Forecast DCF'!$D$6:$M$6-0.5))+(('Forecast DCF'!$M$7*H458*(1-Assumptions!$C$21)+'Forecast DCF'!$M$15)*(1+G458)/(F458-G458))/(1+F458)^('Forecast DCF'!$M$6-0.5)</f>
        <v>154311.71751133382</v>
      </c>
      <c r="K458" s="49">
        <f ca="1">(I458-Assumptions!$C$12)/Assumptions!$C$9</f>
        <v>235.41549150801859</v>
      </c>
    </row>
    <row r="459" spans="2:11" outlineLevel="1" x14ac:dyDescent="0.2">
      <c r="B459" s="69">
        <f t="shared" si="32"/>
        <v>430</v>
      </c>
      <c r="C459" s="72">
        <f t="shared" ca="1" si="37"/>
        <v>0.5576736332832305</v>
      </c>
      <c r="D459" s="72">
        <f t="shared" ca="1" si="37"/>
        <v>0.16564013051497439</v>
      </c>
      <c r="E459" s="72">
        <f t="shared" ca="1" si="37"/>
        <v>0.58425966677748387</v>
      </c>
      <c r="F459" s="73">
        <f t="shared" ca="1" si="34"/>
        <v>0.1308745652888105</v>
      </c>
      <c r="G459" s="73">
        <f t="shared" ca="1" si="35"/>
        <v>2.9984578174454303E-2</v>
      </c>
      <c r="H459" s="73">
        <f t="shared" ca="1" si="36"/>
        <v>0.24528866297372987</v>
      </c>
      <c r="I459" s="57" cm="1">
        <f t="array" aca="1" ref="I459" ca="1">SUMPRODUCT('Forecast DCF'!$D$16:$M$16,1/(1+F459)^('Forecast DCF'!$D$6:$M$6-0.5))+(('Forecast DCF'!$M$7*H459*(1-Assumptions!$C$21)+'Forecast DCF'!$M$15)*(1+G459)/(F459-G459))/(1+F459)^('Forecast DCF'!$M$6-0.5)</f>
        <v>129432.54681342705</v>
      </c>
      <c r="K459" s="49">
        <f ca="1">(I459-Assumptions!$C$12)/Assumptions!$C$9</f>
        <v>189.81336219657712</v>
      </c>
    </row>
    <row r="460" spans="2:11" outlineLevel="1" x14ac:dyDescent="0.2">
      <c r="B460" s="69">
        <f t="shared" si="32"/>
        <v>431</v>
      </c>
      <c r="C460" s="72">
        <f t="shared" ca="1" si="37"/>
        <v>0.87891796011096124</v>
      </c>
      <c r="D460" s="72">
        <f t="shared" ca="1" si="37"/>
        <v>0.55892716404173814</v>
      </c>
      <c r="E460" s="72">
        <f t="shared" ca="1" si="37"/>
        <v>0.13643790042352844</v>
      </c>
      <c r="F460" s="73">
        <f t="shared" ca="1" si="34"/>
        <v>0.13760956038966141</v>
      </c>
      <c r="G460" s="73">
        <f t="shared" ca="1" si="35"/>
        <v>3.4156367981151736E-2</v>
      </c>
      <c r="H460" s="73">
        <f t="shared" ca="1" si="36"/>
        <v>0.21134250920155251</v>
      </c>
      <c r="I460" s="57" cm="1">
        <f t="array" aca="1" ref="I460" ca="1">SUMPRODUCT('Forecast DCF'!$D$16:$M$16,1/(1+F460)^('Forecast DCF'!$D$6:$M$6-0.5))+(('Forecast DCF'!$M$7*H460*(1-Assumptions!$C$21)+'Forecast DCF'!$M$15)*(1+G460)/(F460-G460))/(1+F460)^('Forecast DCF'!$M$6-0.5)</f>
        <v>103355.71441078931</v>
      </c>
      <c r="K460" s="49">
        <f ca="1">(I460-Assumptions!$C$12)/Assumptions!$C$9</f>
        <v>142.0159859215743</v>
      </c>
    </row>
    <row r="461" spans="2:11" outlineLevel="1" x14ac:dyDescent="0.2">
      <c r="B461" s="69">
        <f t="shared" si="32"/>
        <v>432</v>
      </c>
      <c r="C461" s="72">
        <f t="shared" ca="1" si="37"/>
        <v>0.30116392559928673</v>
      </c>
      <c r="D461" s="72">
        <f t="shared" ca="1" si="37"/>
        <v>0.85836431779469258</v>
      </c>
      <c r="E461" s="72">
        <f t="shared" ca="1" si="37"/>
        <v>5.5425181387530165E-2</v>
      </c>
      <c r="F461" s="73">
        <f t="shared" ca="1" si="34"/>
        <v>0.12662739194206077</v>
      </c>
      <c r="G461" s="73">
        <f t="shared" ca="1" si="35"/>
        <v>3.6740755276847406E-2</v>
      </c>
      <c r="H461" s="73">
        <f t="shared" ca="1" si="36"/>
        <v>0.19997651886566367</v>
      </c>
      <c r="I461" s="57" cm="1">
        <f t="array" aca="1" ref="I461" ca="1">SUMPRODUCT('Forecast DCF'!$D$16:$M$16,1/(1+F461)^('Forecast DCF'!$D$6:$M$6-0.5))+(('Forecast DCF'!$M$7*H461*(1-Assumptions!$C$21)+'Forecast DCF'!$M$15)*(1+G461)/(F461-G461))/(1+F461)^('Forecast DCF'!$M$6-0.5)</f>
        <v>124920.80232550153</v>
      </c>
      <c r="K461" s="49">
        <f ca="1">(I461-Assumptions!$C$12)/Assumptions!$C$9</f>
        <v>181.54358672629289</v>
      </c>
    </row>
    <row r="462" spans="2:11" outlineLevel="1" x14ac:dyDescent="0.2">
      <c r="B462" s="69">
        <f t="shared" si="32"/>
        <v>433</v>
      </c>
      <c r="C462" s="72">
        <f t="shared" ca="1" si="37"/>
        <v>6.8822743077449844E-2</v>
      </c>
      <c r="D462" s="72">
        <f t="shared" ca="1" si="37"/>
        <v>0.26971290619838229</v>
      </c>
      <c r="E462" s="72">
        <f t="shared" ca="1" si="37"/>
        <v>0.10130192194281296</v>
      </c>
      <c r="F462" s="73">
        <f t="shared" ca="1" si="34"/>
        <v>0.12055836198588282</v>
      </c>
      <c r="G462" s="73">
        <f t="shared" ca="1" si="35"/>
        <v>3.1360576697891267E-2</v>
      </c>
      <c r="H462" s="73">
        <f t="shared" ca="1" si="36"/>
        <v>0.20700692203840068</v>
      </c>
      <c r="I462" s="57" cm="1">
        <f t="array" aca="1" ref="I462" ca="1">SUMPRODUCT('Forecast DCF'!$D$16:$M$16,1/(1+F462)^('Forecast DCF'!$D$6:$M$6-0.5))+(('Forecast DCF'!$M$7*H462*(1-Assumptions!$C$21)+'Forecast DCF'!$M$15)*(1+G462)/(F462-G462))/(1+F462)^('Forecast DCF'!$M$6-0.5)</f>
        <v>137195.60961820444</v>
      </c>
      <c r="K462" s="49">
        <f ca="1">(I462-Assumptions!$C$12)/Assumptions!$C$9</f>
        <v>204.04262241488837</v>
      </c>
    </row>
    <row r="463" spans="2:11" outlineLevel="1" x14ac:dyDescent="0.2">
      <c r="B463" s="69">
        <f t="shared" si="32"/>
        <v>434</v>
      </c>
      <c r="C463" s="72">
        <f t="shared" ca="1" si="37"/>
        <v>0.40262075155062627</v>
      </c>
      <c r="D463" s="72">
        <f t="shared" ca="1" si="37"/>
        <v>0.80487940495718535</v>
      </c>
      <c r="E463" s="72">
        <f t="shared" ca="1" si="37"/>
        <v>0.724607915117083</v>
      </c>
      <c r="F463" s="73">
        <f t="shared" ca="1" si="34"/>
        <v>0.12844401272943604</v>
      </c>
      <c r="G463" s="73">
        <f t="shared" ca="1" si="35"/>
        <v>3.6174553015893299E-2</v>
      </c>
      <c r="H463" s="73">
        <f t="shared" ca="1" si="36"/>
        <v>0.25547109914721672</v>
      </c>
      <c r="I463" s="57" cm="1">
        <f t="array" aca="1" ref="I463" ca="1">SUMPRODUCT('Forecast DCF'!$D$16:$M$16,1/(1+F463)^('Forecast DCF'!$D$6:$M$6-0.5))+(('Forecast DCF'!$M$7*H463*(1-Assumptions!$C$21)+'Forecast DCF'!$M$15)*(1+G463)/(F463-G463))/(1+F463)^('Forecast DCF'!$M$6-0.5)</f>
        <v>150367.69605943997</v>
      </c>
      <c r="K463" s="49">
        <f ca="1">(I463-Assumptions!$C$12)/Assumptions!$C$9</f>
        <v>228.18632063089228</v>
      </c>
    </row>
    <row r="464" spans="2:11" outlineLevel="1" x14ac:dyDescent="0.2">
      <c r="B464" s="69">
        <f t="shared" si="32"/>
        <v>435</v>
      </c>
      <c r="C464" s="72">
        <f t="shared" ca="1" si="37"/>
        <v>0.90050192691052844</v>
      </c>
      <c r="D464" s="72">
        <f t="shared" ca="1" si="37"/>
        <v>0.63975989641638964</v>
      </c>
      <c r="E464" s="72">
        <f t="shared" ca="1" si="37"/>
        <v>0.14131937687594121</v>
      </c>
      <c r="F464" s="73">
        <f t="shared" ca="1" si="34"/>
        <v>0.1383005717048606</v>
      </c>
      <c r="G464" s="73">
        <f t="shared" ca="1" si="35"/>
        <v>3.4796120888517988E-2</v>
      </c>
      <c r="H464" s="73">
        <f t="shared" ca="1" si="36"/>
        <v>0.21189826818977445</v>
      </c>
      <c r="I464" s="57" cm="1">
        <f t="array" aca="1" ref="I464" ca="1">SUMPRODUCT('Forecast DCF'!$D$16:$M$16,1/(1+F464)^('Forecast DCF'!$D$6:$M$6-0.5))+(('Forecast DCF'!$M$7*H464*(1-Assumptions!$C$21)+'Forecast DCF'!$M$15)*(1+G464)/(F464-G464))/(1+F464)^('Forecast DCF'!$M$6-0.5)</f>
        <v>102900.04491199261</v>
      </c>
      <c r="K464" s="49">
        <f ca="1">(I464-Assumptions!$C$12)/Assumptions!$C$9</f>
        <v>141.18076919913125</v>
      </c>
    </row>
    <row r="465" spans="2:11" outlineLevel="1" x14ac:dyDescent="0.2">
      <c r="B465" s="69">
        <f t="shared" si="32"/>
        <v>436</v>
      </c>
      <c r="C465" s="72">
        <f t="shared" ca="1" si="37"/>
        <v>0.27369305241509467</v>
      </c>
      <c r="D465" s="72">
        <f t="shared" ca="1" si="37"/>
        <v>0.11818573837146229</v>
      </c>
      <c r="E465" s="72">
        <f t="shared" ca="1" si="37"/>
        <v>0.51241281025454011</v>
      </c>
      <c r="F465" s="73">
        <f t="shared" ca="1" si="34"/>
        <v>0.12608441363757392</v>
      </c>
      <c r="G465" s="73">
        <f t="shared" ca="1" si="35"/>
        <v>2.9210446621882213E-2</v>
      </c>
      <c r="H465" s="73">
        <f t="shared" ca="1" si="36"/>
        <v>0.24074944923321545</v>
      </c>
      <c r="I465" s="57" cm="1">
        <f t="array" aca="1" ref="I465" ca="1">SUMPRODUCT('Forecast DCF'!$D$16:$M$16,1/(1+F465)^('Forecast DCF'!$D$6:$M$6-0.5))+(('Forecast DCF'!$M$7*H465*(1-Assumptions!$C$21)+'Forecast DCF'!$M$15)*(1+G465)/(F465-G465))/(1+F465)^('Forecast DCF'!$M$6-0.5)</f>
        <v>138286.77700443644</v>
      </c>
      <c r="K465" s="49">
        <f ca="1">(I465-Assumptions!$C$12)/Assumptions!$C$9</f>
        <v>206.04267124495513</v>
      </c>
    </row>
    <row r="466" spans="2:11" outlineLevel="1" x14ac:dyDescent="0.2">
      <c r="B466" s="69">
        <f t="shared" si="32"/>
        <v>437</v>
      </c>
      <c r="C466" s="72">
        <f t="shared" ca="1" si="37"/>
        <v>0.95979139008544012</v>
      </c>
      <c r="D466" s="72">
        <f t="shared" ca="1" si="37"/>
        <v>0.76607140265822371</v>
      </c>
      <c r="E466" s="72">
        <f t="shared" ca="1" si="37"/>
        <v>0.27486401849356068</v>
      </c>
      <c r="F466" s="73">
        <f t="shared" ca="1" si="34"/>
        <v>0.1407411735994939</v>
      </c>
      <c r="G466" s="73">
        <f t="shared" ca="1" si="35"/>
        <v>3.5811367191954727E-2</v>
      </c>
      <c r="H466" s="73">
        <f t="shared" ca="1" si="36"/>
        <v>0.22448618811669119</v>
      </c>
      <c r="I466" s="57" cm="1">
        <f t="array" aca="1" ref="I466" ca="1">SUMPRODUCT('Forecast DCF'!$D$16:$M$16,1/(1+F466)^('Forecast DCF'!$D$6:$M$6-0.5))+(('Forecast DCF'!$M$7*H466*(1-Assumptions!$C$21)+'Forecast DCF'!$M$15)*(1+G466)/(F466-G466))/(1+F466)^('Forecast DCF'!$M$6-0.5)</f>
        <v>104728.50804785715</v>
      </c>
      <c r="K466" s="49">
        <f ca="1">(I466-Assumptions!$C$12)/Assumptions!$C$9</f>
        <v>144.53223992841541</v>
      </c>
    </row>
    <row r="467" spans="2:11" outlineLevel="1" x14ac:dyDescent="0.2">
      <c r="B467" s="69">
        <f t="shared" si="32"/>
        <v>438</v>
      </c>
      <c r="C467" s="72">
        <f t="shared" ca="1" si="37"/>
        <v>0.76772207451861008</v>
      </c>
      <c r="D467" s="72">
        <f t="shared" ca="1" si="37"/>
        <v>0.73082864803380332</v>
      </c>
      <c r="E467" s="72">
        <f t="shared" ca="1" si="37"/>
        <v>0.76204723279139697</v>
      </c>
      <c r="F467" s="73">
        <f t="shared" ca="1" si="34"/>
        <v>0.13476390336115965</v>
      </c>
      <c r="G467" s="73">
        <f t="shared" ca="1" si="35"/>
        <v>3.5506910706711393E-2</v>
      </c>
      <c r="H467" s="73">
        <f t="shared" ca="1" si="36"/>
        <v>0.25860845588889025</v>
      </c>
      <c r="I467" s="57" cm="1">
        <f t="array" aca="1" ref="I467" ca="1">SUMPRODUCT('Forecast DCF'!$D$16:$M$16,1/(1+F467)^('Forecast DCF'!$D$6:$M$6-0.5))+(('Forecast DCF'!$M$7*H467*(1-Assumptions!$C$21)+'Forecast DCF'!$M$15)*(1+G467)/(F467-G467))/(1+F467)^('Forecast DCF'!$M$6-0.5)</f>
        <v>133597.63360281612</v>
      </c>
      <c r="K467" s="49">
        <f ca="1">(I467-Assumptions!$C$12)/Assumptions!$C$9</f>
        <v>197.447733481271</v>
      </c>
    </row>
    <row r="468" spans="2:11" outlineLevel="1" x14ac:dyDescent="0.2">
      <c r="B468" s="69">
        <f t="shared" si="32"/>
        <v>439</v>
      </c>
      <c r="C468" s="72">
        <f t="shared" ca="1" si="37"/>
        <v>1.7888011571262963E-2</v>
      </c>
      <c r="D468" s="72">
        <f t="shared" ca="1" si="37"/>
        <v>0.4340903489596587</v>
      </c>
      <c r="E468" s="72">
        <f t="shared" ca="1" si="37"/>
        <v>0.96080642648634074</v>
      </c>
      <c r="F468" s="73">
        <f t="shared" ca="1" si="34"/>
        <v>0.11783375220447387</v>
      </c>
      <c r="G468" s="73">
        <f t="shared" ca="1" si="35"/>
        <v>3.3069296892787425E-2</v>
      </c>
      <c r="H468" s="73">
        <f t="shared" ca="1" si="36"/>
        <v>0.28320137716066146</v>
      </c>
      <c r="I468" s="57" cm="1">
        <f t="array" aca="1" ref="I468" ca="1">SUMPRODUCT('Forecast DCF'!$D$16:$M$16,1/(1+F468)^('Forecast DCF'!$D$6:$M$6-0.5))+(('Forecast DCF'!$M$7*H468*(1-Assumptions!$C$21)+'Forecast DCF'!$M$15)*(1+G468)/(F468-G468))/(1+F468)^('Forecast DCF'!$M$6-0.5)</f>
        <v>197708.71257511291</v>
      </c>
      <c r="K468" s="49">
        <f ca="1">(I468-Assumptions!$C$12)/Assumptions!$C$9</f>
        <v>314.95975786063246</v>
      </c>
    </row>
    <row r="469" spans="2:11" outlineLevel="1" x14ac:dyDescent="0.2">
      <c r="B469" s="69">
        <f t="shared" si="32"/>
        <v>440</v>
      </c>
      <c r="C469" s="72">
        <f t="shared" ca="1" si="37"/>
        <v>0.91194048469734035</v>
      </c>
      <c r="D469" s="72">
        <f t="shared" ca="1" si="37"/>
        <v>0.88871523764489124</v>
      </c>
      <c r="E469" s="72">
        <f t="shared" ca="1" si="37"/>
        <v>0.24794311216223708</v>
      </c>
      <c r="F469" s="73">
        <f t="shared" ca="1" si="34"/>
        <v>0.13869741729400592</v>
      </c>
      <c r="G469" s="73">
        <f t="shared" ca="1" si="35"/>
        <v>3.7110993738907243E-2</v>
      </c>
      <c r="H469" s="73">
        <f t="shared" ca="1" si="36"/>
        <v>0.22225151367191603</v>
      </c>
      <c r="I469" s="57" cm="1">
        <f t="array" aca="1" ref="I469" ca="1">SUMPRODUCT('Forecast DCF'!$D$16:$M$16,1/(1+F469)^('Forecast DCF'!$D$6:$M$6-0.5))+(('Forecast DCF'!$M$7*H469*(1-Assumptions!$C$21)+'Forecast DCF'!$M$15)*(1+G469)/(F469-G469))/(1+F469)^('Forecast DCF'!$M$6-0.5)</f>
        <v>109256.2715332025</v>
      </c>
      <c r="K469" s="49">
        <f ca="1">(I469-Assumptions!$C$12)/Assumptions!$C$9</f>
        <v>152.83137732561624</v>
      </c>
    </row>
    <row r="470" spans="2:11" outlineLevel="1" x14ac:dyDescent="0.2">
      <c r="B470" s="69">
        <f t="shared" si="32"/>
        <v>441</v>
      </c>
      <c r="C470" s="72">
        <f t="shared" ca="1" si="37"/>
        <v>0.43733208413599656</v>
      </c>
      <c r="D470" s="72">
        <f t="shared" ca="1" si="37"/>
        <v>0.21347752951582111</v>
      </c>
      <c r="E470" s="72">
        <f t="shared" ca="1" si="37"/>
        <v>0.49041669902862461</v>
      </c>
      <c r="F470" s="73">
        <f t="shared" ca="1" si="34"/>
        <v>0.12901156053080087</v>
      </c>
      <c r="G470" s="73">
        <f t="shared" ca="1" si="35"/>
        <v>3.0658765715893634E-2</v>
      </c>
      <c r="H470" s="73">
        <f t="shared" ca="1" si="36"/>
        <v>0.23942222002757971</v>
      </c>
      <c r="I470" s="57" cm="1">
        <f t="array" aca="1" ref="I470" ca="1">SUMPRODUCT('Forecast DCF'!$D$16:$M$16,1/(1+F470)^('Forecast DCF'!$D$6:$M$6-0.5))+(('Forecast DCF'!$M$7*H470*(1-Assumptions!$C$21)+'Forecast DCF'!$M$15)*(1+G470)/(F470-G470))/(1+F470)^('Forecast DCF'!$M$6-0.5)</f>
        <v>132022.09345848105</v>
      </c>
      <c r="K470" s="49">
        <f ca="1">(I470-Assumptions!$C$12)/Assumptions!$C$9</f>
        <v>194.55985645877121</v>
      </c>
    </row>
    <row r="471" spans="2:11" outlineLevel="1" x14ac:dyDescent="0.2">
      <c r="B471" s="69">
        <f t="shared" si="32"/>
        <v>442</v>
      </c>
      <c r="C471" s="72">
        <f t="shared" ca="1" si="37"/>
        <v>0.47147059249449463</v>
      </c>
      <c r="D471" s="72">
        <f t="shared" ca="1" si="37"/>
        <v>0.70210605921366198</v>
      </c>
      <c r="E471" s="72">
        <f t="shared" ca="1" si="37"/>
        <v>0.64224685523954228</v>
      </c>
      <c r="F471" s="73">
        <f t="shared" ca="1" si="34"/>
        <v>0.12954816245460712</v>
      </c>
      <c r="G471" s="73">
        <f t="shared" ca="1" si="35"/>
        <v>3.5273262694101214E-2</v>
      </c>
      <c r="H471" s="73">
        <f t="shared" ca="1" si="36"/>
        <v>0.2492474370866328</v>
      </c>
      <c r="I471" s="57" cm="1">
        <f t="array" aca="1" ref="I471" ca="1">SUMPRODUCT('Forecast DCF'!$D$16:$M$16,1/(1+F471)^('Forecast DCF'!$D$6:$M$6-0.5))+(('Forecast DCF'!$M$7*H471*(1-Assumptions!$C$21)+'Forecast DCF'!$M$15)*(1+G471)/(F471-G471))/(1+F471)^('Forecast DCF'!$M$6-0.5)</f>
        <v>142386.22574403961</v>
      </c>
      <c r="K471" s="49">
        <f ca="1">(I471-Assumptions!$C$12)/Assumptions!$C$9</f>
        <v>213.55673165311569</v>
      </c>
    </row>
    <row r="472" spans="2:11" outlineLevel="1" x14ac:dyDescent="0.2">
      <c r="B472" s="69">
        <f t="shared" si="32"/>
        <v>443</v>
      </c>
      <c r="C472" s="72">
        <f t="shared" ca="1" si="37"/>
        <v>0.53921573067272388</v>
      </c>
      <c r="D472" s="72">
        <f t="shared" ca="1" si="37"/>
        <v>0.81937181068420384</v>
      </c>
      <c r="E472" s="72">
        <f t="shared" ca="1" si="37"/>
        <v>0.96481032809214107</v>
      </c>
      <c r="F472" s="73">
        <f t="shared" ca="1" si="34"/>
        <v>0.1305828561990949</v>
      </c>
      <c r="G472" s="73">
        <f t="shared" ca="1" si="35"/>
        <v>3.6319359539606633E-2</v>
      </c>
      <c r="H472" s="73">
        <f t="shared" ca="1" si="36"/>
        <v>0.28408253670534828</v>
      </c>
      <c r="I472" s="57" cm="1">
        <f t="array" aca="1" ref="I472" ca="1">SUMPRODUCT('Forecast DCF'!$D$16:$M$16,1/(1+F472)^('Forecast DCF'!$D$6:$M$6-0.5))+(('Forecast DCF'!$M$7*H472*(1-Assumptions!$C$21)+'Forecast DCF'!$M$15)*(1+G472)/(F472-G472))/(1+F472)^('Forecast DCF'!$M$6-0.5)</f>
        <v>159600.10654320521</v>
      </c>
      <c r="K472" s="49">
        <f ca="1">(I472-Assumptions!$C$12)/Assumptions!$C$9</f>
        <v>245.1088130181644</v>
      </c>
    </row>
    <row r="473" spans="2:11" outlineLevel="1" x14ac:dyDescent="0.2">
      <c r="B473" s="69">
        <f t="shared" si="32"/>
        <v>444</v>
      </c>
      <c r="C473" s="72">
        <f t="shared" ca="1" si="37"/>
        <v>0.46385099737211199</v>
      </c>
      <c r="D473" s="72">
        <f t="shared" ca="1" si="37"/>
        <v>0.13607949797889796</v>
      </c>
      <c r="E473" s="72">
        <f t="shared" ca="1" si="37"/>
        <v>5.8209663004628931E-2</v>
      </c>
      <c r="F473" s="73">
        <f t="shared" ca="1" si="34"/>
        <v>0.12943012472215287</v>
      </c>
      <c r="G473" s="73">
        <f t="shared" ca="1" si="35"/>
        <v>2.9517955809526552E-2</v>
      </c>
      <c r="H473" s="73">
        <f t="shared" ca="1" si="36"/>
        <v>0.2004721658266371</v>
      </c>
      <c r="I473" s="57" cm="1">
        <f t="array" aca="1" ref="I473" ca="1">SUMPRODUCT('Forecast DCF'!$D$16:$M$16,1/(1+F473)^('Forecast DCF'!$D$6:$M$6-0.5))+(('Forecast DCF'!$M$7*H473*(1-Assumptions!$C$21)+'Forecast DCF'!$M$15)*(1+G473)/(F473-G473))/(1+F473)^('Forecast DCF'!$M$6-0.5)</f>
        <v>109898.16249237194</v>
      </c>
      <c r="K473" s="49">
        <f ca="1">(I473-Assumptions!$C$12)/Assumptions!$C$9</f>
        <v>154.00792757639906</v>
      </c>
    </row>
    <row r="474" spans="2:11" outlineLevel="1" x14ac:dyDescent="0.2">
      <c r="B474" s="69">
        <f t="shared" si="32"/>
        <v>445</v>
      </c>
      <c r="C474" s="72">
        <f t="shared" ca="1" si="37"/>
        <v>0.90565917473237723</v>
      </c>
      <c r="D474" s="72">
        <f t="shared" ca="1" si="37"/>
        <v>0.95374111970937447</v>
      </c>
      <c r="E474" s="72">
        <f t="shared" ca="1" si="37"/>
        <v>0.94783539752685075</v>
      </c>
      <c r="F474" s="73">
        <f t="shared" ca="1" si="34"/>
        <v>0.13847650635559736</v>
      </c>
      <c r="G474" s="73">
        <f t="shared" ca="1" si="35"/>
        <v>3.8137363153538266E-2</v>
      </c>
      <c r="H474" s="73">
        <f t="shared" ca="1" si="36"/>
        <v>0.28061998096474944</v>
      </c>
      <c r="I474" s="57" cm="1">
        <f t="array" aca="1" ref="I474" ca="1">SUMPRODUCT('Forecast DCF'!$D$16:$M$16,1/(1+F474)^('Forecast DCF'!$D$6:$M$6-0.5))+(('Forecast DCF'!$M$7*H474*(1-Assumptions!$C$21)+'Forecast DCF'!$M$15)*(1+G474)/(F474-G474))/(1+F474)^('Forecast DCF'!$M$6-0.5)</f>
        <v>138145.66024384048</v>
      </c>
      <c r="K474" s="49">
        <f ca="1">(I474-Assumptions!$C$12)/Assumptions!$C$9</f>
        <v>205.78401211025775</v>
      </c>
    </row>
    <row r="475" spans="2:11" outlineLevel="1" x14ac:dyDescent="0.2">
      <c r="B475" s="69">
        <f t="shared" si="32"/>
        <v>446</v>
      </c>
      <c r="C475" s="72">
        <f t="shared" ca="1" si="37"/>
        <v>0.20848912419183818</v>
      </c>
      <c r="D475" s="72">
        <f t="shared" ca="1" si="37"/>
        <v>0.91161137326332309</v>
      </c>
      <c r="E475" s="72">
        <f t="shared" ca="1" si="37"/>
        <v>0.48428491172739119</v>
      </c>
      <c r="F475" s="73">
        <f t="shared" ca="1" si="34"/>
        <v>0.12467436658687928</v>
      </c>
      <c r="G475" s="73">
        <f t="shared" ca="1" si="35"/>
        <v>3.7425287005266261E-2</v>
      </c>
      <c r="H475" s="73">
        <f t="shared" ca="1" si="36"/>
        <v>0.23904956701312224</v>
      </c>
      <c r="I475" s="57" cm="1">
        <f t="array" aca="1" ref="I475" ca="1">SUMPRODUCT('Forecast DCF'!$D$16:$M$16,1/(1+F475)^('Forecast DCF'!$D$6:$M$6-0.5))+(('Forecast DCF'!$M$7*H475*(1-Assumptions!$C$21)+'Forecast DCF'!$M$15)*(1+G475)/(F475-G475))/(1+F475)^('Forecast DCF'!$M$6-0.5)</f>
        <v>154500.90911475805</v>
      </c>
      <c r="K475" s="49">
        <f ca="1">(I475-Assumptions!$C$12)/Assumptions!$C$9</f>
        <v>235.76226914256077</v>
      </c>
    </row>
    <row r="476" spans="2:11" outlineLevel="1" x14ac:dyDescent="0.2">
      <c r="B476" s="69">
        <f t="shared" si="32"/>
        <v>447</v>
      </c>
      <c r="C476" s="72">
        <f t="shared" ca="1" si="37"/>
        <v>0.21620856473145156</v>
      </c>
      <c r="D476" s="72">
        <f t="shared" ca="1" si="37"/>
        <v>0.83035070640465591</v>
      </c>
      <c r="E476" s="72">
        <f t="shared" ca="1" si="37"/>
        <v>0.74604585920558186</v>
      </c>
      <c r="F476" s="73">
        <f t="shared" ca="1" si="34"/>
        <v>0.12485183850961312</v>
      </c>
      <c r="G476" s="73">
        <f t="shared" ca="1" si="35"/>
        <v>3.6432970841211026E-2</v>
      </c>
      <c r="H476" s="73">
        <f t="shared" ca="1" si="36"/>
        <v>0.2572393894603946</v>
      </c>
      <c r="I476" s="57" cm="1">
        <f t="array" aca="1" ref="I476" ca="1">SUMPRODUCT('Forecast DCF'!$D$16:$M$16,1/(1+F476)^('Forecast DCF'!$D$6:$M$6-0.5))+(('Forecast DCF'!$M$7*H476*(1-Assumptions!$C$21)+'Forecast DCF'!$M$15)*(1+G476)/(F476-G476))/(1+F476)^('Forecast DCF'!$M$6-0.5)</f>
        <v>163015.42539734504</v>
      </c>
      <c r="K476" s="49">
        <f ca="1">(I476-Assumptions!$C$12)/Assumptions!$C$9</f>
        <v>251.36890158451649</v>
      </c>
    </row>
    <row r="477" spans="2:11" outlineLevel="1" x14ac:dyDescent="0.2">
      <c r="B477" s="69">
        <f t="shared" si="32"/>
        <v>448</v>
      </c>
      <c r="C477" s="72">
        <f t="shared" ca="1" si="37"/>
        <v>0.49528525242631127</v>
      </c>
      <c r="D477" s="72">
        <f t="shared" ca="1" si="37"/>
        <v>0.5733890841333722</v>
      </c>
      <c r="E477" s="72">
        <f t="shared" ca="1" si="37"/>
        <v>9.5523510347645946E-2</v>
      </c>
      <c r="F477" s="73">
        <f t="shared" ca="1" si="34"/>
        <v>0.12991106061784335</v>
      </c>
      <c r="G477" s="73">
        <f t="shared" ca="1" si="35"/>
        <v>3.4274069366788555E-2</v>
      </c>
      <c r="H477" s="73">
        <f t="shared" ca="1" si="36"/>
        <v>0.20622535556485461</v>
      </c>
      <c r="I477" s="57" cm="1">
        <f t="array" aca="1" ref="I477" ca="1">SUMPRODUCT('Forecast DCF'!$D$16:$M$16,1/(1+F477)^('Forecast DCF'!$D$6:$M$6-0.5))+(('Forecast DCF'!$M$7*H477*(1-Assumptions!$C$21)+'Forecast DCF'!$M$15)*(1+G477)/(F477-G477))/(1+F477)^('Forecast DCF'!$M$6-0.5)</f>
        <v>117301.16474138528</v>
      </c>
      <c r="K477" s="49">
        <f ca="1">(I477-Assumptions!$C$12)/Assumptions!$C$9</f>
        <v>167.57721692095112</v>
      </c>
    </row>
    <row r="478" spans="2:11" outlineLevel="1" x14ac:dyDescent="0.2">
      <c r="B478" s="69">
        <f t="shared" si="32"/>
        <v>449</v>
      </c>
      <c r="C478" s="72">
        <f t="shared" ca="1" si="37"/>
        <v>0.49236727346909714</v>
      </c>
      <c r="D478" s="72">
        <f t="shared" ca="1" si="37"/>
        <v>0.72847428965192196</v>
      </c>
      <c r="E478" s="72">
        <f t="shared" ca="1" si="37"/>
        <v>0.64517278464595185</v>
      </c>
      <c r="F478" s="73">
        <f t="shared" ca="1" si="34"/>
        <v>0.12986707138584588</v>
      </c>
      <c r="G478" s="73">
        <f t="shared" ca="1" si="35"/>
        <v>3.5487303657888575E-2</v>
      </c>
      <c r="H478" s="73">
        <f t="shared" ca="1" si="36"/>
        <v>0.2494554063173009</v>
      </c>
      <c r="I478" s="57" cm="1">
        <f t="array" aca="1" ref="I478" ca="1">SUMPRODUCT('Forecast DCF'!$D$16:$M$16,1/(1+F478)^('Forecast DCF'!$D$6:$M$6-0.5))+(('Forecast DCF'!$M$7*H478*(1-Assumptions!$C$21)+'Forecast DCF'!$M$15)*(1+G478)/(F478-G478))/(1+F478)^('Forecast DCF'!$M$6-0.5)</f>
        <v>141938.89166651611</v>
      </c>
      <c r="K478" s="49">
        <f ca="1">(I478-Assumptions!$C$12)/Assumptions!$C$9</f>
        <v>212.73679329197259</v>
      </c>
    </row>
    <row r="479" spans="2:11" outlineLevel="1" x14ac:dyDescent="0.2">
      <c r="B479" s="69">
        <f t="shared" si="32"/>
        <v>450</v>
      </c>
      <c r="C479" s="72">
        <f t="shared" ca="1" si="37"/>
        <v>4.2758324140049098E-2</v>
      </c>
      <c r="D479" s="72">
        <f t="shared" ca="1" si="37"/>
        <v>0.50978190651142885</v>
      </c>
      <c r="E479" s="72">
        <f t="shared" ca="1" si="37"/>
        <v>0.67014546406695041</v>
      </c>
      <c r="F479" s="73">
        <f t="shared" ca="1" si="34"/>
        <v>0.11938118079269242</v>
      </c>
      <c r="G479" s="73">
        <f t="shared" ca="1" si="35"/>
        <v>3.3744557506055657E-2</v>
      </c>
      <c r="H479" s="73">
        <f t="shared" ca="1" si="36"/>
        <v>0.25126651398968097</v>
      </c>
      <c r="I479" s="57" cm="1">
        <f t="array" aca="1" ref="I479" ca="1">SUMPRODUCT('Forecast DCF'!$D$16:$M$16,1/(1+F479)^('Forecast DCF'!$D$6:$M$6-0.5))+(('Forecast DCF'!$M$7*H479*(1-Assumptions!$C$21)+'Forecast DCF'!$M$15)*(1+G479)/(F479-G479))/(1+F479)^('Forecast DCF'!$M$6-0.5)</f>
        <v>172662.26703249326</v>
      </c>
      <c r="K479" s="49">
        <f ca="1">(I479-Assumptions!$C$12)/Assumptions!$C$9</f>
        <v>269.05102310836776</v>
      </c>
    </row>
    <row r="480" spans="2:11" outlineLevel="1" x14ac:dyDescent="0.2">
      <c r="B480" s="69">
        <f t="shared" ref="B480:B530" si="38">ROW()-29</f>
        <v>451</v>
      </c>
      <c r="C480" s="72">
        <f t="shared" ref="C480:E511" ca="1" si="39">RAND()</f>
        <v>0.32263114812290228</v>
      </c>
      <c r="D480" s="72">
        <f t="shared" ca="1" si="39"/>
        <v>5.7898609721170557E-2</v>
      </c>
      <c r="E480" s="72">
        <f t="shared" ca="1" si="39"/>
        <v>0.68606118408713568</v>
      </c>
      <c r="F480" s="73">
        <f t="shared" ref="F480:F530" ca="1" si="40">IF(C480&lt;($D$7-$C$7)/($E$7-$C$7),$C$7+SQRT(C480*($E$7-$C$7)*($D$7-$C$7)),$E$7-SQRT((1-C480)*($E$7-$C$7)*($E$7-$D$7)))</f>
        <v>0.1270346644066066</v>
      </c>
      <c r="G480" s="73">
        <f t="shared" ref="G480:G530" ca="1" si="41">IF(D480&lt;($D$8-$C$8)/($E$8-$C$8),$C$8+SQRT(D480*($E$8-$C$8)*($D$8-$C$8)),$E$8-SQRT((1-D480)*($E$8-$C$8)*($E$8-$D$8)))</f>
        <v>2.7946997023781259E-2</v>
      </c>
      <c r="H480" s="73">
        <f t="shared" ref="H480:H530" ca="1" si="42">IF(E480&lt;($D$9-$C$9)/($E$9-$C$9),$C$9+SQRT(E480*($E$9-$C$9)*($D$9-$C$9)),$E$9-SQRT((1-E480)*($E$9-$C$9)*($E$9-$D$9)))</f>
        <v>0.25245676205207912</v>
      </c>
      <c r="I480" s="57" cm="1">
        <f t="array" aca="1" ref="I480" ca="1">SUMPRODUCT('Forecast DCF'!$D$16:$M$16,1/(1+F480)^('Forecast DCF'!$D$6:$M$6-0.5))+(('Forecast DCF'!$M$7*H480*(1-Assumptions!$C$21)+'Forecast DCF'!$M$15)*(1+G480)/(F480-G480))/(1+F480)^('Forecast DCF'!$M$6-0.5)</f>
        <v>140083.88119465887</v>
      </c>
      <c r="K480" s="49">
        <f ca="1">(I480-Assumptions!$C$12)/Assumptions!$C$9</f>
        <v>209.33666277963081</v>
      </c>
    </row>
    <row r="481" spans="2:11" outlineLevel="1" x14ac:dyDescent="0.2">
      <c r="B481" s="69">
        <f t="shared" si="38"/>
        <v>452</v>
      </c>
      <c r="C481" s="72">
        <f t="shared" ca="1" si="39"/>
        <v>0.45535477304488114</v>
      </c>
      <c r="D481" s="72">
        <f t="shared" ca="1" si="39"/>
        <v>0.2787586882232671</v>
      </c>
      <c r="E481" s="72">
        <f t="shared" ca="1" si="39"/>
        <v>2.489889395507805E-2</v>
      </c>
      <c r="F481" s="73">
        <f t="shared" ca="1" si="40"/>
        <v>0.12929735774196352</v>
      </c>
      <c r="G481" s="73">
        <f t="shared" ca="1" si="41"/>
        <v>3.1466359349238956E-2</v>
      </c>
      <c r="H481" s="73">
        <f t="shared" ca="1" si="42"/>
        <v>0.19338925078100197</v>
      </c>
      <c r="I481" s="57" cm="1">
        <f t="array" aca="1" ref="I481" ca="1">SUMPRODUCT('Forecast DCF'!$D$16:$M$16,1/(1+F481)^('Forecast DCF'!$D$6:$M$6-0.5))+(('Forecast DCF'!$M$7*H481*(1-Assumptions!$C$21)+'Forecast DCF'!$M$15)*(1+G481)/(F481-G481))/(1+F481)^('Forecast DCF'!$M$6-0.5)</f>
        <v>108715.28007888608</v>
      </c>
      <c r="K481" s="49">
        <f ca="1">(I481-Assumptions!$C$12)/Assumptions!$C$9</f>
        <v>151.83977022762733</v>
      </c>
    </row>
    <row r="482" spans="2:11" outlineLevel="1" x14ac:dyDescent="0.2">
      <c r="B482" s="69">
        <f t="shared" si="38"/>
        <v>453</v>
      </c>
      <c r="C482" s="72">
        <f t="shared" ca="1" si="39"/>
        <v>0.76185245391354284</v>
      </c>
      <c r="D482" s="72">
        <f t="shared" ca="1" si="39"/>
        <v>0.66800776640896853</v>
      </c>
      <c r="E482" s="72">
        <f t="shared" ca="1" si="39"/>
        <v>0.56920927391273046</v>
      </c>
      <c r="F482" s="73">
        <f t="shared" ca="1" si="40"/>
        <v>0.13463537810491238</v>
      </c>
      <c r="G482" s="73">
        <f t="shared" ca="1" si="41"/>
        <v>3.5010068385305529E-2</v>
      </c>
      <c r="H482" s="73">
        <f t="shared" ca="1" si="42"/>
        <v>0.24430715281269649</v>
      </c>
      <c r="I482" s="57" cm="1">
        <f t="array" aca="1" ref="I482" ca="1">SUMPRODUCT('Forecast DCF'!$D$16:$M$16,1/(1+F482)^('Forecast DCF'!$D$6:$M$6-0.5))+(('Forecast DCF'!$M$7*H482*(1-Assumptions!$C$21)+'Forecast DCF'!$M$15)*(1+G482)/(F482-G482))/(1+F482)^('Forecast DCF'!$M$6-0.5)</f>
        <v>126311.76097132338</v>
      </c>
      <c r="K482" s="49">
        <f ca="1">(I482-Assumptions!$C$12)/Assumptions!$C$9</f>
        <v>184.09313617887867</v>
      </c>
    </row>
    <row r="483" spans="2:11" outlineLevel="1" x14ac:dyDescent="0.2">
      <c r="B483" s="69">
        <f t="shared" si="38"/>
        <v>454</v>
      </c>
      <c r="C483" s="72">
        <f t="shared" ca="1" si="39"/>
        <v>0.89368346949853128</v>
      </c>
      <c r="D483" s="72">
        <f t="shared" ca="1" si="39"/>
        <v>0.91469879551872546</v>
      </c>
      <c r="E483" s="72">
        <f t="shared" ca="1" si="39"/>
        <v>0.83981893095051141</v>
      </c>
      <c r="F483" s="73">
        <f t="shared" ca="1" si="40"/>
        <v>0.13807482414977421</v>
      </c>
      <c r="G483" s="73">
        <f t="shared" ca="1" si="41"/>
        <v>3.7470654168347953E-2</v>
      </c>
      <c r="H483" s="73">
        <f t="shared" ca="1" si="42"/>
        <v>0.26603967466062317</v>
      </c>
      <c r="I483" s="57" cm="1">
        <f t="array" aca="1" ref="I483" ca="1">SUMPRODUCT('Forecast DCF'!$D$16:$M$16,1/(1+F483)^('Forecast DCF'!$D$6:$M$6-0.5))+(('Forecast DCF'!$M$7*H483*(1-Assumptions!$C$21)+'Forecast DCF'!$M$15)*(1+G483)/(F483-G483))/(1+F483)^('Forecast DCF'!$M$6-0.5)</f>
        <v>131438.31525829772</v>
      </c>
      <c r="K483" s="49">
        <f ca="1">(I483-Assumptions!$C$12)/Assumptions!$C$9</f>
        <v>193.48982364709872</v>
      </c>
    </row>
    <row r="484" spans="2:11" outlineLevel="1" x14ac:dyDescent="0.2">
      <c r="B484" s="69">
        <f t="shared" si="38"/>
        <v>455</v>
      </c>
      <c r="C484" s="72">
        <f t="shared" ca="1" si="39"/>
        <v>0.412001641782064</v>
      </c>
      <c r="D484" s="72">
        <f t="shared" ca="1" si="39"/>
        <v>0.39898821384399219</v>
      </c>
      <c r="E484" s="72">
        <f t="shared" ca="1" si="39"/>
        <v>0.62304220324972159</v>
      </c>
      <c r="F484" s="73">
        <f t="shared" ca="1" si="40"/>
        <v>0.12859973076665476</v>
      </c>
      <c r="G484" s="73">
        <f t="shared" ca="1" si="41"/>
        <v>3.2736163912211194E-2</v>
      </c>
      <c r="H484" s="73">
        <f t="shared" ca="1" si="42"/>
        <v>0.24790301221181779</v>
      </c>
      <c r="I484" s="57" cm="1">
        <f t="array" aca="1" ref="I484" ca="1">SUMPRODUCT('Forecast DCF'!$D$16:$M$16,1/(1+F484)^('Forecast DCF'!$D$6:$M$6-0.5))+(('Forecast DCF'!$M$7*H484*(1-Assumptions!$C$21)+'Forecast DCF'!$M$15)*(1+G484)/(F484-G484))/(1+F484)^('Forecast DCF'!$M$6-0.5)</f>
        <v>140460.36082906142</v>
      </c>
      <c r="K484" s="49">
        <f ca="1">(I484-Assumptions!$C$12)/Assumptions!$C$9</f>
        <v>210.02672890681865</v>
      </c>
    </row>
    <row r="485" spans="2:11" outlineLevel="1" x14ac:dyDescent="0.2">
      <c r="B485" s="69">
        <f t="shared" si="38"/>
        <v>456</v>
      </c>
      <c r="C485" s="72">
        <f t="shared" ca="1" si="39"/>
        <v>0.4475323544254981</v>
      </c>
      <c r="D485" s="72">
        <f t="shared" ca="1" si="39"/>
        <v>0.96080095578946167</v>
      </c>
      <c r="E485" s="72">
        <f t="shared" ca="1" si="39"/>
        <v>0.40886411659587096</v>
      </c>
      <c r="F485" s="73">
        <f t="shared" ca="1" si="40"/>
        <v>0.12917402049860244</v>
      </c>
      <c r="G485" s="73">
        <f t="shared" ca="1" si="41"/>
        <v>3.8285378083719221E-2</v>
      </c>
      <c r="H485" s="73">
        <f t="shared" ca="1" si="42"/>
        <v>0.23425699622620358</v>
      </c>
      <c r="I485" s="57" cm="1">
        <f t="array" aca="1" ref="I485" ca="1">SUMPRODUCT('Forecast DCF'!$D$16:$M$16,1/(1+F485)^('Forecast DCF'!$D$6:$M$6-0.5))+(('Forecast DCF'!$M$7*H485*(1-Assumptions!$C$21)+'Forecast DCF'!$M$15)*(1+G485)/(F485-G485))/(1+F485)^('Forecast DCF'!$M$6-0.5)</f>
        <v>139876.71912616404</v>
      </c>
      <c r="K485" s="49">
        <f ca="1">(I485-Assumptions!$C$12)/Assumptions!$C$9</f>
        <v>208.95694628704203</v>
      </c>
    </row>
    <row r="486" spans="2:11" outlineLevel="1" x14ac:dyDescent="0.2">
      <c r="B486" s="69">
        <f t="shared" si="38"/>
        <v>457</v>
      </c>
      <c r="C486" s="72">
        <f t="shared" ca="1" si="39"/>
        <v>0.3380537185028426</v>
      </c>
      <c r="D486" s="72">
        <f t="shared" ca="1" si="39"/>
        <v>0.244438556776162</v>
      </c>
      <c r="E486" s="72">
        <f t="shared" ca="1" si="39"/>
        <v>0.32332782199611465</v>
      </c>
      <c r="F486" s="73">
        <f t="shared" ca="1" si="40"/>
        <v>0.12731895010248803</v>
      </c>
      <c r="G486" s="73">
        <f t="shared" ca="1" si="41"/>
        <v>3.1055227784024669E-2</v>
      </c>
      <c r="H486" s="73">
        <f t="shared" ca="1" si="42"/>
        <v>0.22824894111140703</v>
      </c>
      <c r="I486" s="57" cm="1">
        <f t="array" aca="1" ref="I486" ca="1">SUMPRODUCT('Forecast DCF'!$D$16:$M$16,1/(1+F486)^('Forecast DCF'!$D$6:$M$6-0.5))+(('Forecast DCF'!$M$7*H486*(1-Assumptions!$C$21)+'Forecast DCF'!$M$15)*(1+G486)/(F486-G486))/(1+F486)^('Forecast DCF'!$M$6-0.5)</f>
        <v>131014.12072688861</v>
      </c>
      <c r="K486" s="49">
        <f ca="1">(I486-Assumptions!$C$12)/Assumptions!$C$9</f>
        <v>192.71229878063875</v>
      </c>
    </row>
    <row r="487" spans="2:11" outlineLevel="1" x14ac:dyDescent="0.2">
      <c r="B487" s="69">
        <f t="shared" si="38"/>
        <v>458</v>
      </c>
      <c r="C487" s="72">
        <f t="shared" ca="1" si="39"/>
        <v>6.6949132298495084E-2</v>
      </c>
      <c r="D487" s="72">
        <f t="shared" ca="1" si="39"/>
        <v>0.4775952885183572</v>
      </c>
      <c r="E487" s="72">
        <f t="shared" ca="1" si="39"/>
        <v>0.83952243192895892</v>
      </c>
      <c r="F487" s="73">
        <f t="shared" ca="1" si="40"/>
        <v>0.12048218028827851</v>
      </c>
      <c r="G487" s="73">
        <f t="shared" ca="1" si="41"/>
        <v>3.346399983918677E-2</v>
      </c>
      <c r="H487" s="73">
        <f t="shared" ca="1" si="42"/>
        <v>0.26600825850134335</v>
      </c>
      <c r="I487" s="57" cm="1">
        <f t="array" aca="1" ref="I487" ca="1">SUMPRODUCT('Forecast DCF'!$D$16:$M$16,1/(1+F487)^('Forecast DCF'!$D$6:$M$6-0.5))+(('Forecast DCF'!$M$7*H487*(1-Assumptions!$C$21)+'Forecast DCF'!$M$15)*(1+G487)/(F487-G487))/(1+F487)^('Forecast DCF'!$M$6-0.5)</f>
        <v>177509.26570726919</v>
      </c>
      <c r="K487" s="49">
        <f ca="1">(I487-Assumptions!$C$12)/Assumptions!$C$9</f>
        <v>277.93530076470114</v>
      </c>
    </row>
    <row r="488" spans="2:11" outlineLevel="1" x14ac:dyDescent="0.2">
      <c r="B488" s="69">
        <f t="shared" si="38"/>
        <v>459</v>
      </c>
      <c r="C488" s="72">
        <f t="shared" ca="1" si="39"/>
        <v>0.9083338576627652</v>
      </c>
      <c r="D488" s="72">
        <f t="shared" ca="1" si="39"/>
        <v>0.24013919738998379</v>
      </c>
      <c r="E488" s="72">
        <f t="shared" ca="1" si="39"/>
        <v>0.79818593789627279</v>
      </c>
      <c r="F488" s="73">
        <f t="shared" ca="1" si="40"/>
        <v>0.13856964594857402</v>
      </c>
      <c r="G488" s="73">
        <f t="shared" ca="1" si="41"/>
        <v>3.1001739715157399E-2</v>
      </c>
      <c r="H488" s="73">
        <f t="shared" ca="1" si="42"/>
        <v>0.26188095951959395</v>
      </c>
      <c r="I488" s="57" cm="1">
        <f t="array" aca="1" ref="I488" ca="1">SUMPRODUCT('Forecast DCF'!$D$16:$M$16,1/(1+F488)^('Forecast DCF'!$D$6:$M$6-0.5))+(('Forecast DCF'!$M$7*H488*(1-Assumptions!$C$21)+'Forecast DCF'!$M$15)*(1+G488)/(F488-G488))/(1+F488)^('Forecast DCF'!$M$6-0.5)</f>
        <v>120338.00728955965</v>
      </c>
      <c r="K488" s="49">
        <f ca="1">(I488-Assumptions!$C$12)/Assumptions!$C$9</f>
        <v>173.14357957274109</v>
      </c>
    </row>
    <row r="489" spans="2:11" outlineLevel="1" x14ac:dyDescent="0.2">
      <c r="B489" s="69">
        <f t="shared" si="38"/>
        <v>460</v>
      </c>
      <c r="C489" s="72">
        <f t="shared" ca="1" si="39"/>
        <v>0.29320087496647107</v>
      </c>
      <c r="D489" s="72">
        <f t="shared" ca="1" si="39"/>
        <v>0.15231478233291351</v>
      </c>
      <c r="E489" s="72">
        <f t="shared" ca="1" si="39"/>
        <v>0.3631841175531112</v>
      </c>
      <c r="F489" s="73">
        <f t="shared" ca="1" si="40"/>
        <v>0.12647264270349826</v>
      </c>
      <c r="G489" s="73">
        <f t="shared" ca="1" si="41"/>
        <v>2.977987629023357E-2</v>
      </c>
      <c r="H489" s="73">
        <f t="shared" ca="1" si="42"/>
        <v>0.23113634369391695</v>
      </c>
      <c r="I489" s="57" cm="1">
        <f t="array" aca="1" ref="I489" ca="1">SUMPRODUCT('Forecast DCF'!$D$16:$M$16,1/(1+F489)^('Forecast DCF'!$D$6:$M$6-0.5))+(('Forecast DCF'!$M$7*H489*(1-Assumptions!$C$21)+'Forecast DCF'!$M$15)*(1+G489)/(F489-G489))/(1+F489)^('Forecast DCF'!$M$6-0.5)</f>
        <v>132956.5019274239</v>
      </c>
      <c r="K489" s="49">
        <f ca="1">(I489-Assumptions!$C$12)/Assumptions!$C$9</f>
        <v>196.272574955213</v>
      </c>
    </row>
    <row r="490" spans="2:11" outlineLevel="1" x14ac:dyDescent="0.2">
      <c r="B490" s="69">
        <f t="shared" si="38"/>
        <v>461</v>
      </c>
      <c r="C490" s="72">
        <f t="shared" ca="1" si="39"/>
        <v>0.21997388644914717</v>
      </c>
      <c r="D490" s="72">
        <f t="shared" ca="1" si="39"/>
        <v>0.57254137960113805</v>
      </c>
      <c r="E490" s="72">
        <f t="shared" ca="1" si="39"/>
        <v>0.90390389769569157</v>
      </c>
      <c r="F490" s="73">
        <f t="shared" ca="1" si="40"/>
        <v>0.12493725424414956</v>
      </c>
      <c r="G490" s="73">
        <f t="shared" ca="1" si="41"/>
        <v>3.4267211389634469E-2</v>
      </c>
      <c r="H490" s="73">
        <f t="shared" ca="1" si="42"/>
        <v>0.2736961611814735</v>
      </c>
      <c r="I490" s="57" cm="1">
        <f t="array" aca="1" ref="I490" ca="1">SUMPRODUCT('Forecast DCF'!$D$16:$M$16,1/(1+F490)^('Forecast DCF'!$D$6:$M$6-0.5))+(('Forecast DCF'!$M$7*H490*(1-Assumptions!$C$21)+'Forecast DCF'!$M$15)*(1+G490)/(F490-G490))/(1+F490)^('Forecast DCF'!$M$6-0.5)</f>
        <v>168318.10804706544</v>
      </c>
      <c r="K490" s="49">
        <f ca="1">(I490-Assumptions!$C$12)/Assumptions!$C$9</f>
        <v>261.08842249726268</v>
      </c>
    </row>
    <row r="491" spans="2:11" outlineLevel="1" x14ac:dyDescent="0.2">
      <c r="B491" s="69">
        <f t="shared" si="38"/>
        <v>462</v>
      </c>
      <c r="C491" s="72">
        <f t="shared" ca="1" si="39"/>
        <v>0.76302760529332547</v>
      </c>
      <c r="D491" s="72">
        <f t="shared" ca="1" si="39"/>
        <v>0.55201496014954821</v>
      </c>
      <c r="E491" s="72">
        <f t="shared" ca="1" si="39"/>
        <v>0.41399981704757638</v>
      </c>
      <c r="F491" s="73">
        <f t="shared" ca="1" si="40"/>
        <v>0.13466098211137445</v>
      </c>
      <c r="G491" s="73">
        <f t="shared" ca="1" si="41"/>
        <v>3.4099573837407568E-2</v>
      </c>
      <c r="H491" s="73">
        <f t="shared" ca="1" si="42"/>
        <v>0.23459669113364426</v>
      </c>
      <c r="I491" s="57" cm="1">
        <f t="array" aca="1" ref="I491" ca="1">SUMPRODUCT('Forecast DCF'!$D$16:$M$16,1/(1+F491)^('Forecast DCF'!$D$6:$M$6-0.5))+(('Forecast DCF'!$M$7*H491*(1-Assumptions!$C$21)+'Forecast DCF'!$M$15)*(1+G491)/(F491-G491))/(1+F491)^('Forecast DCF'!$M$6-0.5)</f>
        <v>120427.71434574104</v>
      </c>
      <c r="K491" s="49">
        <f ca="1">(I491-Assumptions!$C$12)/Assumptions!$C$9</f>
        <v>173.30800759270224</v>
      </c>
    </row>
    <row r="492" spans="2:11" outlineLevel="1" x14ac:dyDescent="0.2">
      <c r="B492" s="69">
        <f t="shared" si="38"/>
        <v>463</v>
      </c>
      <c r="C492" s="72">
        <f t="shared" ca="1" si="39"/>
        <v>0.53778282150874146</v>
      </c>
      <c r="D492" s="72">
        <f t="shared" ca="1" si="39"/>
        <v>0.9529022602754903</v>
      </c>
      <c r="E492" s="72">
        <f t="shared" ca="1" si="39"/>
        <v>0.73960077214679454</v>
      </c>
      <c r="F492" s="73">
        <f t="shared" ca="1" si="40"/>
        <v>0.13056045697317328</v>
      </c>
      <c r="G492" s="73">
        <f t="shared" ca="1" si="41"/>
        <v>3.8120550485025412E-2</v>
      </c>
      <c r="H492" s="73">
        <f t="shared" ca="1" si="42"/>
        <v>0.25670017967077602</v>
      </c>
      <c r="I492" s="57" cm="1">
        <f t="array" aca="1" ref="I492" ca="1">SUMPRODUCT('Forecast DCF'!$D$16:$M$16,1/(1+F492)^('Forecast DCF'!$D$6:$M$6-0.5))+(('Forecast DCF'!$M$7*H492*(1-Assumptions!$C$21)+'Forecast DCF'!$M$15)*(1+G492)/(F492-G492))/(1+F492)^('Forecast DCF'!$M$6-0.5)</f>
        <v>148005.87840973123</v>
      </c>
      <c r="K492" s="49">
        <f ca="1">(I492-Assumptions!$C$12)/Assumptions!$C$9</f>
        <v>223.85724088865132</v>
      </c>
    </row>
    <row r="493" spans="2:11" outlineLevel="1" x14ac:dyDescent="0.2">
      <c r="B493" s="69">
        <f t="shared" si="38"/>
        <v>464</v>
      </c>
      <c r="C493" s="72">
        <f t="shared" ca="1" si="39"/>
        <v>0.22599293903860851</v>
      </c>
      <c r="D493" s="72">
        <f t="shared" ca="1" si="39"/>
        <v>5.9614430274548158E-2</v>
      </c>
      <c r="E493" s="72">
        <f t="shared" ca="1" si="39"/>
        <v>0.60559503728723807</v>
      </c>
      <c r="F493" s="73">
        <f t="shared" ca="1" si="40"/>
        <v>0.1250722911847808</v>
      </c>
      <c r="G493" s="73">
        <f t="shared" ca="1" si="41"/>
        <v>2.7990345221071012E-2</v>
      </c>
      <c r="H493" s="73">
        <f t="shared" ca="1" si="42"/>
        <v>0.24671101679022306</v>
      </c>
      <c r="I493" s="57" cm="1">
        <f t="array" aca="1" ref="I493" ca="1">SUMPRODUCT('Forecast DCF'!$D$16:$M$16,1/(1+F493)^('Forecast DCF'!$D$6:$M$6-0.5))+(('Forecast DCF'!$M$7*H493*(1-Assumptions!$C$21)+'Forecast DCF'!$M$15)*(1+G493)/(F493-G493))/(1+F493)^('Forecast DCF'!$M$6-0.5)</f>
        <v>142422.72231156839</v>
      </c>
      <c r="K493" s="49">
        <f ca="1">(I493-Assumptions!$C$12)/Assumptions!$C$9</f>
        <v>213.62362782148401</v>
      </c>
    </row>
    <row r="494" spans="2:11" outlineLevel="1" x14ac:dyDescent="0.2">
      <c r="B494" s="69">
        <f t="shared" si="38"/>
        <v>465</v>
      </c>
      <c r="C494" s="72">
        <f t="shared" ca="1" si="39"/>
        <v>0.14683888928962041</v>
      </c>
      <c r="D494" s="72">
        <f t="shared" ca="1" si="39"/>
        <v>0.55655484994397808</v>
      </c>
      <c r="E494" s="72">
        <f t="shared" ca="1" si="39"/>
        <v>0.6127319339488877</v>
      </c>
      <c r="F494" s="73">
        <f t="shared" ca="1" si="40"/>
        <v>0.1231189783403923</v>
      </c>
      <c r="G494" s="73">
        <f t="shared" ca="1" si="41"/>
        <v>3.4136915644329698E-2</v>
      </c>
      <c r="H494" s="73">
        <f t="shared" ca="1" si="42"/>
        <v>0.24719535933681577</v>
      </c>
      <c r="I494" s="57" cm="1">
        <f t="array" aca="1" ref="I494" ca="1">SUMPRODUCT('Forecast DCF'!$D$16:$M$16,1/(1+F494)^('Forecast DCF'!$D$6:$M$6-0.5))+(('Forecast DCF'!$M$7*H494*(1-Assumptions!$C$21)+'Forecast DCF'!$M$15)*(1+G494)/(F494-G494))/(1+F494)^('Forecast DCF'!$M$6-0.5)</f>
        <v>158425.42166845902</v>
      </c>
      <c r="K494" s="49">
        <f ca="1">(I494-Assumptions!$C$12)/Assumptions!$C$9</f>
        <v>242.95568129971537</v>
      </c>
    </row>
    <row r="495" spans="2:11" outlineLevel="1" x14ac:dyDescent="0.2">
      <c r="B495" s="69">
        <f t="shared" si="38"/>
        <v>466</v>
      </c>
      <c r="C495" s="72">
        <f t="shared" ca="1" si="39"/>
        <v>0.35690168647151055</v>
      </c>
      <c r="D495" s="72">
        <f t="shared" ca="1" si="39"/>
        <v>0.86025542046992487</v>
      </c>
      <c r="E495" s="72">
        <f t="shared" ca="1" si="39"/>
        <v>7.2904489240652626E-2</v>
      </c>
      <c r="F495" s="73">
        <f t="shared" ca="1" si="40"/>
        <v>0.12765770988712763</v>
      </c>
      <c r="G495" s="73">
        <f t="shared" ca="1" si="41"/>
        <v>3.676258691780681E-2</v>
      </c>
      <c r="H495" s="73">
        <f t="shared" ca="1" si="42"/>
        <v>0.20291096511569731</v>
      </c>
      <c r="I495" s="57" cm="1">
        <f t="array" aca="1" ref="I495" ca="1">SUMPRODUCT('Forecast DCF'!$D$16:$M$16,1/(1+F495)^('Forecast DCF'!$D$6:$M$6-0.5))+(('Forecast DCF'!$M$7*H495*(1-Assumptions!$C$21)+'Forecast DCF'!$M$15)*(1+G495)/(F495-G495))/(1+F495)^('Forecast DCF'!$M$6-0.5)</f>
        <v>124060.73586513888</v>
      </c>
      <c r="K495" s="49">
        <f ca="1">(I495-Assumptions!$C$12)/Assumptions!$C$9</f>
        <v>179.9671329763618</v>
      </c>
    </row>
    <row r="496" spans="2:11" outlineLevel="1" x14ac:dyDescent="0.2">
      <c r="B496" s="69">
        <f t="shared" si="38"/>
        <v>467</v>
      </c>
      <c r="C496" s="72">
        <f t="shared" ca="1" si="39"/>
        <v>5.1457950223353421E-2</v>
      </c>
      <c r="D496" s="72">
        <f t="shared" ca="1" si="39"/>
        <v>0.42848361540796798</v>
      </c>
      <c r="E496" s="72">
        <f t="shared" ca="1" si="39"/>
        <v>0.77131774250866025</v>
      </c>
      <c r="F496" s="73">
        <f t="shared" ca="1" si="40"/>
        <v>0.11980625798509628</v>
      </c>
      <c r="G496" s="73">
        <f t="shared" ca="1" si="41"/>
        <v>3.3017015798362581E-2</v>
      </c>
      <c r="H496" s="73">
        <f t="shared" ca="1" si="42"/>
        <v>0.25942276187395641</v>
      </c>
      <c r="I496" s="57" cm="1">
        <f t="array" aca="1" ref="I496" ca="1">SUMPRODUCT('Forecast DCF'!$D$16:$M$16,1/(1+F496)^('Forecast DCF'!$D$6:$M$6-0.5))+(('Forecast DCF'!$M$7*H496*(1-Assumptions!$C$21)+'Forecast DCF'!$M$15)*(1+G496)/(F496-G496))/(1+F496)^('Forecast DCF'!$M$6-0.5)</f>
        <v>174874.06565277581</v>
      </c>
      <c r="K496" s="49">
        <f ca="1">(I496-Assumptions!$C$12)/Assumptions!$C$9</f>
        <v>273.1051263547223</v>
      </c>
    </row>
    <row r="497" spans="2:11" outlineLevel="1" x14ac:dyDescent="0.2">
      <c r="B497" s="69">
        <f t="shared" si="38"/>
        <v>468</v>
      </c>
      <c r="C497" s="72">
        <f t="shared" ca="1" si="39"/>
        <v>0.71667576129646793</v>
      </c>
      <c r="D497" s="72">
        <f t="shared" ca="1" si="39"/>
        <v>0.44381922011991704</v>
      </c>
      <c r="E497" s="72">
        <f t="shared" ca="1" si="39"/>
        <v>0.46752037948464131</v>
      </c>
      <c r="F497" s="73">
        <f t="shared" ca="1" si="40"/>
        <v>0.13369495557436728</v>
      </c>
      <c r="G497" s="73">
        <f t="shared" ca="1" si="41"/>
        <v>3.3159220735951907E-2</v>
      </c>
      <c r="H497" s="73">
        <f t="shared" ca="1" si="42"/>
        <v>0.23801850336133651</v>
      </c>
      <c r="I497" s="57" cm="1">
        <f t="array" aca="1" ref="I497" ca="1">SUMPRODUCT('Forecast DCF'!$D$16:$M$16,1/(1+F497)^('Forecast DCF'!$D$6:$M$6-0.5))+(('Forecast DCF'!$M$7*H497*(1-Assumptions!$C$21)+'Forecast DCF'!$M$15)*(1+G497)/(F497-G497))/(1+F497)^('Forecast DCF'!$M$6-0.5)</f>
        <v>123161.2357592639</v>
      </c>
      <c r="K497" s="49">
        <f ca="1">(I497-Assumptions!$C$12)/Assumptions!$C$9</f>
        <v>178.31839955828136</v>
      </c>
    </row>
    <row r="498" spans="2:11" outlineLevel="1" x14ac:dyDescent="0.2">
      <c r="B498" s="69">
        <f t="shared" si="38"/>
        <v>469</v>
      </c>
      <c r="C498" s="72">
        <f t="shared" ca="1" si="39"/>
        <v>0.95552334172151254</v>
      </c>
      <c r="D498" s="72">
        <f t="shared" ca="1" si="39"/>
        <v>0.17542812919170536</v>
      </c>
      <c r="E498" s="72">
        <f t="shared" ca="1" si="39"/>
        <v>0.42617632721448528</v>
      </c>
      <c r="F498" s="73">
        <f t="shared" ca="1" si="40"/>
        <v>0.14052084096279818</v>
      </c>
      <c r="G498" s="73">
        <f t="shared" ca="1" si="41"/>
        <v>3.0129738724219375E-2</v>
      </c>
      <c r="H498" s="73">
        <f t="shared" ca="1" si="42"/>
        <v>0.23539376820495508</v>
      </c>
      <c r="I498" s="57" cm="1">
        <f t="array" aca="1" ref="I498" ca="1">SUMPRODUCT('Forecast DCF'!$D$16:$M$16,1/(1+F498)^('Forecast DCF'!$D$6:$M$6-0.5))+(('Forecast DCF'!$M$7*H498*(1-Assumptions!$C$21)+'Forecast DCF'!$M$15)*(1+G498)/(F498-G498))/(1+F498)^('Forecast DCF'!$M$6-0.5)</f>
        <v>104150.24324872346</v>
      </c>
      <c r="K498" s="49">
        <f ca="1">(I498-Assumptions!$C$12)/Assumptions!$C$9</f>
        <v>143.472312872705</v>
      </c>
    </row>
    <row r="499" spans="2:11" outlineLevel="1" x14ac:dyDescent="0.2">
      <c r="B499" s="69">
        <f t="shared" si="38"/>
        <v>470</v>
      </c>
      <c r="C499" s="72">
        <f t="shared" ca="1" si="39"/>
        <v>0.95951180221243648</v>
      </c>
      <c r="D499" s="72">
        <f t="shared" ca="1" si="39"/>
        <v>0.27367442275708698</v>
      </c>
      <c r="E499" s="72">
        <f t="shared" ca="1" si="39"/>
        <v>0.36544303333397554</v>
      </c>
      <c r="F499" s="73">
        <f t="shared" ca="1" si="40"/>
        <v>0.14072639251788852</v>
      </c>
      <c r="G499" s="73">
        <f t="shared" ca="1" si="41"/>
        <v>3.1407118183205539E-2</v>
      </c>
      <c r="H499" s="73">
        <f t="shared" ca="1" si="42"/>
        <v>0.231295124914602</v>
      </c>
      <c r="I499" s="57" cm="1">
        <f t="array" aca="1" ref="I499" ca="1">SUMPRODUCT('Forecast DCF'!$D$16:$M$16,1/(1+F499)^('Forecast DCF'!$D$6:$M$6-0.5))+(('Forecast DCF'!$M$7*H499*(1-Assumptions!$C$21)+'Forecast DCF'!$M$15)*(1+G499)/(F499-G499))/(1+F499)^('Forecast DCF'!$M$6-0.5)</f>
        <v>103287.58864931573</v>
      </c>
      <c r="K499" s="49">
        <f ca="1">(I499-Assumptions!$C$12)/Assumptions!$C$9</f>
        <v>141.89111520856375</v>
      </c>
    </row>
    <row r="500" spans="2:11" outlineLevel="1" x14ac:dyDescent="0.2">
      <c r="B500" s="69">
        <f t="shared" si="38"/>
        <v>471</v>
      </c>
      <c r="C500" s="72">
        <f t="shared" ca="1" si="39"/>
        <v>0.69180135523530495</v>
      </c>
      <c r="D500" s="72">
        <f t="shared" ca="1" si="39"/>
        <v>0.1113417026622423</v>
      </c>
      <c r="E500" s="72">
        <f t="shared" ca="1" si="39"/>
        <v>0.28701370466976961</v>
      </c>
      <c r="F500" s="73">
        <f t="shared" ca="1" si="40"/>
        <v>0.13320913218974603</v>
      </c>
      <c r="G500" s="73">
        <f t="shared" ca="1" si="41"/>
        <v>2.9086716946319667E-2</v>
      </c>
      <c r="H500" s="73">
        <f t="shared" ca="1" si="42"/>
        <v>0.22545875794192294</v>
      </c>
      <c r="I500" s="57" cm="1">
        <f t="array" aca="1" ref="I500" ca="1">SUMPRODUCT('Forecast DCF'!$D$16:$M$16,1/(1+F500)^('Forecast DCF'!$D$6:$M$6-0.5))+(('Forecast DCF'!$M$7*H500*(1-Assumptions!$C$21)+'Forecast DCF'!$M$15)*(1+G500)/(F500-G500))/(1+F500)^('Forecast DCF'!$M$6-0.5)</f>
        <v>113512.65778389276</v>
      </c>
      <c r="K500" s="49">
        <f ca="1">(I500-Assumptions!$C$12)/Assumptions!$C$9</f>
        <v>160.6330954198512</v>
      </c>
    </row>
    <row r="501" spans="2:11" outlineLevel="1" x14ac:dyDescent="0.2">
      <c r="B501" s="69">
        <f t="shared" si="38"/>
        <v>472</v>
      </c>
      <c r="C501" s="72">
        <f t="shared" ca="1" si="39"/>
        <v>0.13044776226850663</v>
      </c>
      <c r="D501" s="72">
        <f t="shared" ca="1" si="39"/>
        <v>0.56393446890407573</v>
      </c>
      <c r="E501" s="72">
        <f t="shared" ca="1" si="39"/>
        <v>0.63553965054411077</v>
      </c>
      <c r="F501" s="73">
        <f t="shared" ca="1" si="40"/>
        <v>0.12265242627434954</v>
      </c>
      <c r="G501" s="73">
        <f t="shared" ca="1" si="41"/>
        <v>3.4197291467362084E-2</v>
      </c>
      <c r="H501" s="73">
        <f t="shared" ca="1" si="42"/>
        <v>0.24877388833727077</v>
      </c>
      <c r="I501" s="57" cm="1">
        <f t="array" aca="1" ref="I501" ca="1">SUMPRODUCT('Forecast DCF'!$D$16:$M$16,1/(1+F501)^('Forecast DCF'!$D$6:$M$6-0.5))+(('Forecast DCF'!$M$7*H501*(1-Assumptions!$C$21)+'Forecast DCF'!$M$15)*(1+G501)/(F501-G501))/(1+F501)^('Forecast DCF'!$M$6-0.5)</f>
        <v>160973.28617190587</v>
      </c>
      <c r="K501" s="49">
        <f ca="1">(I501-Assumptions!$C$12)/Assumptions!$C$9</f>
        <v>247.62577452609412</v>
      </c>
    </row>
    <row r="502" spans="2:11" outlineLevel="1" x14ac:dyDescent="0.2">
      <c r="B502" s="69">
        <f t="shared" si="38"/>
        <v>473</v>
      </c>
      <c r="C502" s="72">
        <f t="shared" ca="1" si="39"/>
        <v>0.53096559092287998</v>
      </c>
      <c r="D502" s="72">
        <f t="shared" ca="1" si="39"/>
        <v>8.9238504888359826E-2</v>
      </c>
      <c r="E502" s="72">
        <f t="shared" ca="1" si="39"/>
        <v>0.86669792127328227</v>
      </c>
      <c r="F502" s="73">
        <f t="shared" ca="1" si="40"/>
        <v>0.13045436249274542</v>
      </c>
      <c r="G502" s="73">
        <f t="shared" ca="1" si="41"/>
        <v>2.8658657640891531E-2</v>
      </c>
      <c r="H502" s="73">
        <f t="shared" ca="1" si="42"/>
        <v>0.2690197649003051</v>
      </c>
      <c r="I502" s="57" cm="1">
        <f t="array" aca="1" ref="I502" ca="1">SUMPRODUCT('Forecast DCF'!$D$16:$M$16,1/(1+F502)^('Forecast DCF'!$D$6:$M$6-0.5))+(('Forecast DCF'!$M$7*H502*(1-Assumptions!$C$21)+'Forecast DCF'!$M$15)*(1+G502)/(F502-G502))/(1+F502)^('Forecast DCF'!$M$6-0.5)</f>
        <v>140333.53430276882</v>
      </c>
      <c r="K502" s="49">
        <f ca="1">(I502-Assumptions!$C$12)/Assumptions!$C$9</f>
        <v>209.79426297287165</v>
      </c>
    </row>
    <row r="503" spans="2:11" outlineLevel="1" x14ac:dyDescent="0.2">
      <c r="B503" s="69">
        <f t="shared" si="38"/>
        <v>474</v>
      </c>
      <c r="C503" s="72">
        <f t="shared" ca="1" si="39"/>
        <v>0.91884609363297243</v>
      </c>
      <c r="D503" s="72">
        <f t="shared" ca="1" si="39"/>
        <v>0.26675011511832358</v>
      </c>
      <c r="E503" s="72">
        <f t="shared" ca="1" si="39"/>
        <v>0.3944952530689112</v>
      </c>
      <c r="F503" s="73">
        <f t="shared" ca="1" si="40"/>
        <v>0.13894958557402823</v>
      </c>
      <c r="G503" s="73">
        <f t="shared" ca="1" si="41"/>
        <v>3.1325544819835564E-2</v>
      </c>
      <c r="H503" s="73">
        <f t="shared" ca="1" si="42"/>
        <v>0.23329508253203254</v>
      </c>
      <c r="I503" s="57" cm="1">
        <f t="array" aca="1" ref="I503" ca="1">SUMPRODUCT('Forecast DCF'!$D$16:$M$16,1/(1+F503)^('Forecast DCF'!$D$6:$M$6-0.5))+(('Forecast DCF'!$M$7*H503*(1-Assumptions!$C$21)+'Forecast DCF'!$M$15)*(1+G503)/(F503-G503))/(1+F503)^('Forecast DCF'!$M$6-0.5)</f>
        <v>107538.13604607483</v>
      </c>
      <c r="K503" s="49">
        <f ca="1">(I503-Assumptions!$C$12)/Assumptions!$C$9</f>
        <v>149.68213100989541</v>
      </c>
    </row>
    <row r="504" spans="2:11" outlineLevel="1" x14ac:dyDescent="0.2">
      <c r="B504" s="69">
        <f t="shared" si="38"/>
        <v>475</v>
      </c>
      <c r="C504" s="72">
        <f t="shared" ca="1" si="39"/>
        <v>0.44403705299096163</v>
      </c>
      <c r="D504" s="72">
        <f t="shared" ca="1" si="39"/>
        <v>0.71483084514314865</v>
      </c>
      <c r="E504" s="72">
        <f t="shared" ca="1" si="39"/>
        <v>0.47278639614182572</v>
      </c>
      <c r="F504" s="73">
        <f t="shared" ca="1" si="40"/>
        <v>0.12911856128205632</v>
      </c>
      <c r="G504" s="73">
        <f t="shared" ca="1" si="41"/>
        <v>3.5375317674232763E-2</v>
      </c>
      <c r="H504" s="73">
        <f t="shared" ca="1" si="42"/>
        <v>0.23834434036152216</v>
      </c>
      <c r="I504" s="57" cm="1">
        <f t="array" aca="1" ref="I504" ca="1">SUMPRODUCT('Forecast DCF'!$D$16:$M$16,1/(1+F504)^('Forecast DCF'!$D$6:$M$6-0.5))+(('Forecast DCF'!$M$7*H504*(1-Assumptions!$C$21)+'Forecast DCF'!$M$15)*(1+G504)/(F504-G504))/(1+F504)^('Forecast DCF'!$M$6-0.5)</f>
        <v>137860.23817972583</v>
      </c>
      <c r="K504" s="49">
        <f ca="1">(I504-Assumptions!$C$12)/Assumptions!$C$9</f>
        <v>205.26084941990368</v>
      </c>
    </row>
    <row r="505" spans="2:11" outlineLevel="1" x14ac:dyDescent="0.2">
      <c r="B505" s="69">
        <f t="shared" si="38"/>
        <v>476</v>
      </c>
      <c r="C505" s="72">
        <f t="shared" ca="1" si="39"/>
        <v>0.42694851485096141</v>
      </c>
      <c r="D505" s="72">
        <f t="shared" ca="1" si="39"/>
        <v>0.77254623747006257</v>
      </c>
      <c r="E505" s="72">
        <f t="shared" ca="1" si="39"/>
        <v>0.96559669035361806</v>
      </c>
      <c r="F505" s="73">
        <f t="shared" ca="1" si="40"/>
        <v>0.12884422315321264</v>
      </c>
      <c r="G505" s="73">
        <f t="shared" ca="1" si="41"/>
        <v>3.5869741873714757E-2</v>
      </c>
      <c r="H505" s="73">
        <f t="shared" ca="1" si="42"/>
        <v>0.28426139048537163</v>
      </c>
      <c r="I505" s="57" cm="1">
        <f t="array" aca="1" ref="I505" ca="1">SUMPRODUCT('Forecast DCF'!$D$16:$M$16,1/(1+F505)^('Forecast DCF'!$D$6:$M$6-0.5))+(('Forecast DCF'!$M$7*H505*(1-Assumptions!$C$21)+'Forecast DCF'!$M$15)*(1+G505)/(F505-G505))/(1+F505)^('Forecast DCF'!$M$6-0.5)</f>
        <v>164403.02513698841</v>
      </c>
      <c r="K505" s="49">
        <f ca="1">(I505-Assumptions!$C$12)/Assumptions!$C$9</f>
        <v>253.91229434981727</v>
      </c>
    </row>
    <row r="506" spans="2:11" outlineLevel="1" x14ac:dyDescent="0.2">
      <c r="B506" s="69">
        <f t="shared" si="38"/>
        <v>477</v>
      </c>
      <c r="C506" s="72">
        <f t="shared" ca="1" si="39"/>
        <v>0.46545480177594056</v>
      </c>
      <c r="D506" s="72">
        <f t="shared" ca="1" si="39"/>
        <v>0.42369370244080151</v>
      </c>
      <c r="E506" s="72">
        <f t="shared" ca="1" si="39"/>
        <v>3.5222378704128587E-2</v>
      </c>
      <c r="F506" s="73">
        <f t="shared" ca="1" si="40"/>
        <v>0.12945504988929613</v>
      </c>
      <c r="G506" s="73">
        <f t="shared" ca="1" si="41"/>
        <v>3.2972079739071875E-2</v>
      </c>
      <c r="H506" s="73">
        <f t="shared" ca="1" si="42"/>
        <v>0.19592485876451424</v>
      </c>
      <c r="I506" s="57" cm="1">
        <f t="array" aca="1" ref="I506" ca="1">SUMPRODUCT('Forecast DCF'!$D$16:$M$16,1/(1+F506)^('Forecast DCF'!$D$6:$M$6-0.5))+(('Forecast DCF'!$M$7*H506*(1-Assumptions!$C$21)+'Forecast DCF'!$M$15)*(1+G506)/(F506-G506))/(1+F506)^('Forecast DCF'!$M$6-0.5)</f>
        <v>111383.66657575913</v>
      </c>
      <c r="K506" s="49">
        <f ca="1">(I506-Assumptions!$C$12)/Assumptions!$C$9</f>
        <v>156.73077353158985</v>
      </c>
    </row>
    <row r="507" spans="2:11" outlineLevel="1" x14ac:dyDescent="0.2">
      <c r="B507" s="69">
        <f t="shared" si="38"/>
        <v>478</v>
      </c>
      <c r="C507" s="72">
        <f t="shared" ca="1" si="39"/>
        <v>8.3274330796501927E-2</v>
      </c>
      <c r="D507" s="72">
        <f t="shared" ca="1" si="39"/>
        <v>0.88037279662338841</v>
      </c>
      <c r="E507" s="72">
        <f t="shared" ca="1" si="39"/>
        <v>0.66254471512795543</v>
      </c>
      <c r="F507" s="73">
        <f t="shared" ca="1" si="40"/>
        <v>0.12111415456004174</v>
      </c>
      <c r="G507" s="73">
        <f t="shared" ca="1" si="41"/>
        <v>3.7004663582626177E-2</v>
      </c>
      <c r="H507" s="73">
        <f t="shared" ca="1" si="42"/>
        <v>0.25070823546393656</v>
      </c>
      <c r="I507" s="57" cm="1">
        <f t="array" aca="1" ref="I507" ca="1">SUMPRODUCT('Forecast DCF'!$D$16:$M$16,1/(1+F507)^('Forecast DCF'!$D$6:$M$6-0.5))+(('Forecast DCF'!$M$7*H507*(1-Assumptions!$C$21)+'Forecast DCF'!$M$15)*(1+G507)/(F507-G507))/(1+F507)^('Forecast DCF'!$M$6-0.5)</f>
        <v>172831.03612244359</v>
      </c>
      <c r="K507" s="49">
        <f ca="1">(I507-Assumptions!$C$12)/Assumptions!$C$9</f>
        <v>269.360367417193</v>
      </c>
    </row>
    <row r="508" spans="2:11" outlineLevel="1" x14ac:dyDescent="0.2">
      <c r="B508" s="69">
        <f t="shared" si="38"/>
        <v>479</v>
      </c>
      <c r="C508" s="72">
        <f t="shared" ca="1" si="39"/>
        <v>0.12345201984192888</v>
      </c>
      <c r="D508" s="72">
        <f t="shared" ca="1" si="39"/>
        <v>0.24056621927109811</v>
      </c>
      <c r="E508" s="72">
        <f t="shared" ca="1" si="39"/>
        <v>0.85830691225344868</v>
      </c>
      <c r="F508" s="73">
        <f t="shared" ca="1" si="40"/>
        <v>0.12244440406168472</v>
      </c>
      <c r="G508" s="73">
        <f t="shared" ca="1" si="41"/>
        <v>3.1007073571271186E-2</v>
      </c>
      <c r="H508" s="73">
        <f t="shared" ca="1" si="42"/>
        <v>0.26805958309954031</v>
      </c>
      <c r="I508" s="57" cm="1">
        <f t="array" aca="1" ref="I508" ca="1">SUMPRODUCT('Forecast DCF'!$D$16:$M$16,1/(1+F508)^('Forecast DCF'!$D$6:$M$6-0.5))+(('Forecast DCF'!$M$7*H508*(1-Assumptions!$C$21)+'Forecast DCF'!$M$15)*(1+G508)/(F508-G508))/(1+F508)^('Forecast DCF'!$M$6-0.5)</f>
        <v>167229.68040974846</v>
      </c>
      <c r="K508" s="49">
        <f ca="1">(I508-Assumptions!$C$12)/Assumptions!$C$9</f>
        <v>259.0933954738237</v>
      </c>
    </row>
    <row r="509" spans="2:11" outlineLevel="1" x14ac:dyDescent="0.2">
      <c r="B509" s="69">
        <f t="shared" si="38"/>
        <v>480</v>
      </c>
      <c r="C509" s="72">
        <f t="shared" ca="1" si="39"/>
        <v>0.24416089687577658</v>
      </c>
      <c r="D509" s="72">
        <f t="shared" ca="1" si="39"/>
        <v>0.52875082040975852</v>
      </c>
      <c r="E509" s="72">
        <f t="shared" ca="1" si="39"/>
        <v>0.82748509172474938</v>
      </c>
      <c r="F509" s="73">
        <f t="shared" ca="1" si="40"/>
        <v>0.12546933009502564</v>
      </c>
      <c r="G509" s="73">
        <f t="shared" ca="1" si="41"/>
        <v>3.3905763474372304E-2</v>
      </c>
      <c r="H509" s="73">
        <f t="shared" ca="1" si="42"/>
        <v>0.26475645676748993</v>
      </c>
      <c r="I509" s="57" cm="1">
        <f t="array" aca="1" ref="I509" ca="1">SUMPRODUCT('Forecast DCF'!$D$16:$M$16,1/(1+F509)^('Forecast DCF'!$D$6:$M$6-0.5))+(('Forecast DCF'!$M$7*H509*(1-Assumptions!$C$21)+'Forecast DCF'!$M$15)*(1+G509)/(F509-G509))/(1+F509)^('Forecast DCF'!$M$6-0.5)</f>
        <v>160803.53015955503</v>
      </c>
      <c r="K509" s="49">
        <f ca="1">(I509-Assumptions!$C$12)/Assumptions!$C$9</f>
        <v>247.31462124367104</v>
      </c>
    </row>
    <row r="510" spans="2:11" outlineLevel="1" x14ac:dyDescent="0.2">
      <c r="B510" s="69">
        <f t="shared" si="38"/>
        <v>481</v>
      </c>
      <c r="C510" s="72">
        <f t="shared" ca="1" si="39"/>
        <v>7.8033158869646124E-2</v>
      </c>
      <c r="D510" s="72">
        <f t="shared" ca="1" si="39"/>
        <v>0.32681615211874127</v>
      </c>
      <c r="E510" s="72">
        <f t="shared" ca="1" si="39"/>
        <v>0.51556031658068602</v>
      </c>
      <c r="F510" s="73">
        <f t="shared" ca="1" si="40"/>
        <v>0.12091861964649143</v>
      </c>
      <c r="G510" s="73">
        <f t="shared" ca="1" si="41"/>
        <v>3.2001601446655703E-2</v>
      </c>
      <c r="H510" s="73">
        <f t="shared" ca="1" si="42"/>
        <v>0.24094099797135865</v>
      </c>
      <c r="I510" s="57" cm="1">
        <f t="array" aca="1" ref="I510" ca="1">SUMPRODUCT('Forecast DCF'!$D$16:$M$16,1/(1+F510)^('Forecast DCF'!$D$6:$M$6-0.5))+(('Forecast DCF'!$M$7*H510*(1-Assumptions!$C$21)+'Forecast DCF'!$M$15)*(1+G510)/(F510-G510))/(1+F510)^('Forecast DCF'!$M$6-0.5)</f>
        <v>157806.6393255078</v>
      </c>
      <c r="K510" s="49">
        <f ca="1">(I510-Assumptions!$C$12)/Assumptions!$C$9</f>
        <v>241.82148785084482</v>
      </c>
    </row>
    <row r="511" spans="2:11" outlineLevel="1" x14ac:dyDescent="0.2">
      <c r="B511" s="69">
        <f t="shared" si="38"/>
        <v>482</v>
      </c>
      <c r="C511" s="72">
        <f t="shared" ca="1" si="39"/>
        <v>0.6520982825199817</v>
      </c>
      <c r="D511" s="72">
        <f t="shared" ca="1" si="39"/>
        <v>0.69718276912854826</v>
      </c>
      <c r="E511" s="72">
        <f t="shared" ca="1" si="39"/>
        <v>0.1744679689658083</v>
      </c>
      <c r="F511" s="73">
        <f t="shared" ca="1" si="40"/>
        <v>0.13247266490809845</v>
      </c>
      <c r="G511" s="73">
        <f t="shared" ca="1" si="41"/>
        <v>3.5234363388238793E-2</v>
      </c>
      <c r="H511" s="73">
        <f t="shared" ca="1" si="42"/>
        <v>0.21544247983075987</v>
      </c>
      <c r="I511" s="57" cm="1">
        <f t="array" aca="1" ref="I511" ca="1">SUMPRODUCT('Forecast DCF'!$D$16:$M$16,1/(1+F511)^('Forecast DCF'!$D$6:$M$6-0.5))+(('Forecast DCF'!$M$7*H511*(1-Assumptions!$C$21)+'Forecast DCF'!$M$15)*(1+G511)/(F511-G511))/(1+F511)^('Forecast DCF'!$M$6-0.5)</f>
        <v>117377.46971428006</v>
      </c>
      <c r="K511" s="49">
        <f ca="1">(I511-Assumptions!$C$12)/Assumptions!$C$9</f>
        <v>167.71707967133398</v>
      </c>
    </row>
    <row r="512" spans="2:11" outlineLevel="1" x14ac:dyDescent="0.2">
      <c r="B512" s="69">
        <f t="shared" si="38"/>
        <v>483</v>
      </c>
      <c r="C512" s="72">
        <f t="shared" ref="C512:E530" ca="1" si="43">RAND()</f>
        <v>0.98910837446046285</v>
      </c>
      <c r="D512" s="72">
        <f t="shared" ca="1" si="43"/>
        <v>0.49457936852194873</v>
      </c>
      <c r="E512" s="72">
        <f t="shared" ca="1" si="43"/>
        <v>0.87028467493475936</v>
      </c>
      <c r="F512" s="73">
        <f t="shared" ca="1" si="40"/>
        <v>0.14278345394761799</v>
      </c>
      <c r="G512" s="73">
        <f t="shared" ca="1" si="41"/>
        <v>3.3613182064620037E-2</v>
      </c>
      <c r="H512" s="73">
        <f t="shared" ca="1" si="42"/>
        <v>0.2694393988856611</v>
      </c>
      <c r="I512" s="57" cm="1">
        <f t="array" aca="1" ref="I512" ca="1">SUMPRODUCT('Forecast DCF'!$D$16:$M$16,1/(1+F512)^('Forecast DCF'!$D$6:$M$6-0.5))+(('Forecast DCF'!$M$7*H512*(1-Assumptions!$C$21)+'Forecast DCF'!$M$15)*(1+G512)/(F512-G512))/(1+F512)^('Forecast DCF'!$M$6-0.5)</f>
        <v>117239.98600716208</v>
      </c>
      <c r="K512" s="49">
        <f ca="1">(I512-Assumptions!$C$12)/Assumptions!$C$9</f>
        <v>167.46507972059857</v>
      </c>
    </row>
    <row r="513" spans="2:11" outlineLevel="1" x14ac:dyDescent="0.2">
      <c r="B513" s="69">
        <f t="shared" si="38"/>
        <v>484</v>
      </c>
      <c r="C513" s="72">
        <f t="shared" ca="1" si="43"/>
        <v>0.87237684252750813</v>
      </c>
      <c r="D513" s="72">
        <f t="shared" ca="1" si="43"/>
        <v>0.23205109753548159</v>
      </c>
      <c r="E513" s="72">
        <f t="shared" ca="1" si="43"/>
        <v>6.4340881102370573E-2</v>
      </c>
      <c r="F513" s="73">
        <f t="shared" ca="1" si="40"/>
        <v>0.13741256208116359</v>
      </c>
      <c r="G513" s="73">
        <f t="shared" ca="1" si="41"/>
        <v>3.0899802083995891E-2</v>
      </c>
      <c r="H513" s="73">
        <f t="shared" ca="1" si="42"/>
        <v>0.20152334416249176</v>
      </c>
      <c r="I513" s="57" cm="1">
        <f t="array" aca="1" ref="I513" ca="1">SUMPRODUCT('Forecast DCF'!$D$16:$M$16,1/(1+F513)^('Forecast DCF'!$D$6:$M$6-0.5))+(('Forecast DCF'!$M$7*H513*(1-Assumptions!$C$21)+'Forecast DCF'!$M$15)*(1+G513)/(F513-G513))/(1+F513)^('Forecast DCF'!$M$6-0.5)</f>
        <v>96199.562890801943</v>
      </c>
      <c r="K513" s="49">
        <f ca="1">(I513-Assumptions!$C$12)/Assumptions!$C$9</f>
        <v>128.89916016603618</v>
      </c>
    </row>
    <row r="514" spans="2:11" outlineLevel="1" x14ac:dyDescent="0.2">
      <c r="B514" s="69">
        <f t="shared" si="38"/>
        <v>485</v>
      </c>
      <c r="C514" s="72">
        <f t="shared" ca="1" si="43"/>
        <v>0.90414388190069794</v>
      </c>
      <c r="D514" s="72">
        <f t="shared" ca="1" si="43"/>
        <v>0.574805803673197</v>
      </c>
      <c r="E514" s="72">
        <f t="shared" ca="1" si="43"/>
        <v>0.28070632626082759</v>
      </c>
      <c r="F514" s="73">
        <f t="shared" ca="1" si="40"/>
        <v>0.13842432520414175</v>
      </c>
      <c r="G514" s="73">
        <f t="shared" ca="1" si="41"/>
        <v>3.428551940124943E-2</v>
      </c>
      <c r="H514" s="73">
        <f t="shared" ca="1" si="42"/>
        <v>0.2249564850614231</v>
      </c>
      <c r="I514" s="57" cm="1">
        <f t="array" aca="1" ref="I514" ca="1">SUMPRODUCT('Forecast DCF'!$D$16:$M$16,1/(1+F514)^('Forecast DCF'!$D$6:$M$6-0.5))+(('Forecast DCF'!$M$7*H514*(1-Assumptions!$C$21)+'Forecast DCF'!$M$15)*(1+G514)/(F514-G514))/(1+F514)^('Forecast DCF'!$M$6-0.5)</f>
        <v>108009.70648225487</v>
      </c>
      <c r="K514" s="49">
        <f ca="1">(I514-Assumptions!$C$12)/Assumptions!$C$9</f>
        <v>150.546493261807</v>
      </c>
    </row>
    <row r="515" spans="2:11" outlineLevel="1" x14ac:dyDescent="0.2">
      <c r="B515" s="69">
        <f t="shared" si="38"/>
        <v>486</v>
      </c>
      <c r="C515" s="72">
        <f t="shared" ca="1" si="43"/>
        <v>0.5204777387135967</v>
      </c>
      <c r="D515" s="72">
        <f t="shared" ca="1" si="43"/>
        <v>0.40449576330845338</v>
      </c>
      <c r="E515" s="72">
        <f t="shared" ca="1" si="43"/>
        <v>0.72275395503087181</v>
      </c>
      <c r="F515" s="73">
        <f t="shared" ca="1" si="40"/>
        <v>0.13029263756539666</v>
      </c>
      <c r="G515" s="73">
        <f t="shared" ca="1" si="41"/>
        <v>3.2789375103066232E-2</v>
      </c>
      <c r="H515" s="73">
        <f t="shared" ca="1" si="42"/>
        <v>0.25532146461915156</v>
      </c>
      <c r="I515" s="57" cm="1">
        <f t="array" aca="1" ref="I515" ca="1">SUMPRODUCT('Forecast DCF'!$D$16:$M$16,1/(1+F515)^('Forecast DCF'!$D$6:$M$6-0.5))+(('Forecast DCF'!$M$7*H515*(1-Assumptions!$C$21)+'Forecast DCF'!$M$15)*(1+G515)/(F515-G515))/(1+F515)^('Forecast DCF'!$M$6-0.5)</f>
        <v>139824.69363812238</v>
      </c>
      <c r="K515" s="49">
        <f ca="1">(I515-Assumptions!$C$12)/Assumptions!$C$9</f>
        <v>208.86158647533551</v>
      </c>
    </row>
    <row r="516" spans="2:11" outlineLevel="1" x14ac:dyDescent="0.2">
      <c r="B516" s="69">
        <f t="shared" si="38"/>
        <v>487</v>
      </c>
      <c r="C516" s="72">
        <f t="shared" ca="1" si="43"/>
        <v>0.10140574089782628</v>
      </c>
      <c r="D516" s="72">
        <f t="shared" ca="1" si="43"/>
        <v>0.93201628037001016</v>
      </c>
      <c r="E516" s="72">
        <f t="shared" ca="1" si="43"/>
        <v>0.40956203678610681</v>
      </c>
      <c r="F516" s="73">
        <f t="shared" ca="1" si="40"/>
        <v>0.12174702172644378</v>
      </c>
      <c r="G516" s="73">
        <f t="shared" ca="1" si="41"/>
        <v>3.7741952398143645E-2</v>
      </c>
      <c r="H516" s="73">
        <f t="shared" ca="1" si="42"/>
        <v>0.23430328410750098</v>
      </c>
      <c r="I516" s="57" cm="1">
        <f t="array" aca="1" ref="I516" ca="1">SUMPRODUCT('Forecast DCF'!$D$16:$M$16,1/(1+F516)^('Forecast DCF'!$D$6:$M$6-0.5))+(('Forecast DCF'!$M$7*H516*(1-Assumptions!$C$21)+'Forecast DCF'!$M$15)*(1+G516)/(F516-G516))/(1+F516)^('Forecast DCF'!$M$6-0.5)</f>
        <v>161565.41191768693</v>
      </c>
      <c r="K516" s="49">
        <f ca="1">(I516-Assumptions!$C$12)/Assumptions!$C$9</f>
        <v>248.71110792227574</v>
      </c>
    </row>
    <row r="517" spans="2:11" outlineLevel="1" x14ac:dyDescent="0.2">
      <c r="B517" s="69">
        <f t="shared" si="38"/>
        <v>488</v>
      </c>
      <c r="C517" s="72">
        <f t="shared" ca="1" si="43"/>
        <v>0.76839545867661285</v>
      </c>
      <c r="D517" s="72">
        <f t="shared" ca="1" si="43"/>
        <v>0.63286831242566743</v>
      </c>
      <c r="E517" s="72">
        <f t="shared" ca="1" si="43"/>
        <v>0.3960606422329922</v>
      </c>
      <c r="F517" s="73">
        <f t="shared" ca="1" si="40"/>
        <v>0.13477875158276578</v>
      </c>
      <c r="G517" s="73">
        <f t="shared" ca="1" si="41"/>
        <v>3.474321542735509E-2</v>
      </c>
      <c r="H517" s="73">
        <f t="shared" ca="1" si="42"/>
        <v>0.23340071744908997</v>
      </c>
      <c r="I517" s="57" cm="1">
        <f t="array" aca="1" ref="I517" ca="1">SUMPRODUCT('Forecast DCF'!$D$16:$M$16,1/(1+F517)^('Forecast DCF'!$D$6:$M$6-0.5))+(('Forecast DCF'!$M$7*H517*(1-Assumptions!$C$21)+'Forecast DCF'!$M$15)*(1+G517)/(F517-G517))/(1+F517)^('Forecast DCF'!$M$6-0.5)</f>
        <v>120366.57691277115</v>
      </c>
      <c r="K517" s="49">
        <f ca="1">(I517-Assumptions!$C$12)/Assumptions!$C$9</f>
        <v>173.19594609523853</v>
      </c>
    </row>
    <row r="518" spans="2:11" outlineLevel="1" x14ac:dyDescent="0.2">
      <c r="B518" s="69">
        <f t="shared" si="38"/>
        <v>489</v>
      </c>
      <c r="C518" s="72">
        <f t="shared" ca="1" si="43"/>
        <v>0.33567000609682862</v>
      </c>
      <c r="D518" s="72">
        <f t="shared" ca="1" si="43"/>
        <v>0.93522464907071468</v>
      </c>
      <c r="E518" s="72">
        <f t="shared" ca="1" si="43"/>
        <v>0.71152655053371305</v>
      </c>
      <c r="F518" s="73">
        <f t="shared" ca="1" si="40"/>
        <v>0.12727544106704555</v>
      </c>
      <c r="G518" s="73">
        <f t="shared" ca="1" si="41"/>
        <v>3.7795878560583286E-2</v>
      </c>
      <c r="H518" s="73">
        <f t="shared" ca="1" si="42"/>
        <v>0.25442578759696149</v>
      </c>
      <c r="I518" s="57" cm="1">
        <f t="array" aca="1" ref="I518" ca="1">SUMPRODUCT('Forecast DCF'!$D$16:$M$16,1/(1+F518)^('Forecast DCF'!$D$6:$M$6-0.5))+(('Forecast DCF'!$M$7*H518*(1-Assumptions!$C$21)+'Forecast DCF'!$M$15)*(1+G518)/(F518-G518))/(1+F518)^('Forecast DCF'!$M$6-0.5)</f>
        <v>156095.88010303318</v>
      </c>
      <c r="K518" s="49">
        <f ca="1">(I518-Assumptions!$C$12)/Assumptions!$C$9</f>
        <v>238.68576181594958</v>
      </c>
    </row>
    <row r="519" spans="2:11" outlineLevel="1" x14ac:dyDescent="0.2">
      <c r="B519" s="69">
        <f t="shared" si="38"/>
        <v>490</v>
      </c>
      <c r="C519" s="72">
        <f t="shared" ca="1" si="43"/>
        <v>0.69816358706603809</v>
      </c>
      <c r="D519" s="72">
        <f t="shared" ca="1" si="43"/>
        <v>0.62039299831558625</v>
      </c>
      <c r="E519" s="72">
        <f t="shared" ca="1" si="43"/>
        <v>0.22861821736748744</v>
      </c>
      <c r="F519" s="73">
        <f t="shared" ca="1" si="40"/>
        <v>0.13333146794527651</v>
      </c>
      <c r="G519" s="73">
        <f t="shared" ca="1" si="41"/>
        <v>3.4646706678827646E-2</v>
      </c>
      <c r="H519" s="73">
        <f t="shared" ca="1" si="42"/>
        <v>0.22057155610826271</v>
      </c>
      <c r="I519" s="57" cm="1">
        <f t="array" aca="1" ref="I519" ca="1">SUMPRODUCT('Forecast DCF'!$D$16:$M$16,1/(1+F519)^('Forecast DCF'!$D$6:$M$6-0.5))+(('Forecast DCF'!$M$7*H519*(1-Assumptions!$C$21)+'Forecast DCF'!$M$15)*(1+G519)/(F519-G519))/(1+F519)^('Forecast DCF'!$M$6-0.5)</f>
        <v>117287.16609085666</v>
      </c>
      <c r="K519" s="49">
        <f ca="1">(I519-Assumptions!$C$12)/Assumptions!$C$9</f>
        <v>167.55155817696229</v>
      </c>
    </row>
    <row r="520" spans="2:11" outlineLevel="1" x14ac:dyDescent="0.2">
      <c r="B520" s="69">
        <f t="shared" si="38"/>
        <v>491</v>
      </c>
      <c r="C520" s="72">
        <f t="shared" ca="1" si="43"/>
        <v>5.8167615959749286E-2</v>
      </c>
      <c r="D520" s="72">
        <f t="shared" ca="1" si="43"/>
        <v>0.19650881385198971</v>
      </c>
      <c r="E520" s="72">
        <f t="shared" ca="1" si="43"/>
        <v>0.30990404702409702</v>
      </c>
      <c r="F520" s="73">
        <f t="shared" ca="1" si="40"/>
        <v>0.12011000670007921</v>
      </c>
      <c r="G520" s="73">
        <f t="shared" ca="1" si="41"/>
        <v>3.0429210078620872E-2</v>
      </c>
      <c r="H520" s="73">
        <f t="shared" ca="1" si="42"/>
        <v>0.2272367350541239</v>
      </c>
      <c r="I520" s="57" cm="1">
        <f t="array" aca="1" ref="I520" ca="1">SUMPRODUCT('Forecast DCF'!$D$16:$M$16,1/(1+F520)^('Forecast DCF'!$D$6:$M$6-0.5))+(('Forecast DCF'!$M$7*H520*(1-Assumptions!$C$21)+'Forecast DCF'!$M$15)*(1+G520)/(F520-G520))/(1+F520)^('Forecast DCF'!$M$6-0.5)</f>
        <v>149271.11907169712</v>
      </c>
      <c r="K520" s="49">
        <f ca="1">(I520-Assumptions!$C$12)/Assumptions!$C$9</f>
        <v>226.17635630361636</v>
      </c>
    </row>
    <row r="521" spans="2:11" outlineLevel="1" x14ac:dyDescent="0.2">
      <c r="B521" s="69">
        <f t="shared" si="38"/>
        <v>492</v>
      </c>
      <c r="C521" s="72">
        <f t="shared" ca="1" si="43"/>
        <v>0.33886316503764546</v>
      </c>
      <c r="D521" s="72">
        <f t="shared" ca="1" si="43"/>
        <v>0.57820152102479616</v>
      </c>
      <c r="E521" s="72">
        <f t="shared" ca="1" si="43"/>
        <v>7.4523003073343697E-2</v>
      </c>
      <c r="F521" s="73">
        <f t="shared" ca="1" si="40"/>
        <v>0.12733368972673301</v>
      </c>
      <c r="G521" s="73">
        <f t="shared" ca="1" si="41"/>
        <v>3.4312906536292494E-2</v>
      </c>
      <c r="H521" s="73">
        <f t="shared" ca="1" si="42"/>
        <v>0.20316388616204273</v>
      </c>
      <c r="I521" s="57" cm="1">
        <f t="array" aca="1" ref="I521" ca="1">SUMPRODUCT('Forecast DCF'!$D$16:$M$16,1/(1+F521)^('Forecast DCF'!$D$6:$M$6-0.5))+(('Forecast DCF'!$M$7*H521*(1-Assumptions!$C$21)+'Forecast DCF'!$M$15)*(1+G521)/(F521-G521))/(1+F521)^('Forecast DCF'!$M$6-0.5)</f>
        <v>121739.98566457986</v>
      </c>
      <c r="K521" s="49">
        <f ca="1">(I521-Assumptions!$C$12)/Assumptions!$C$9</f>
        <v>175.71332757301889</v>
      </c>
    </row>
    <row r="522" spans="2:11" outlineLevel="1" x14ac:dyDescent="0.2">
      <c r="B522" s="69">
        <f t="shared" si="38"/>
        <v>493</v>
      </c>
      <c r="C522" s="72">
        <f t="shared" ca="1" si="43"/>
        <v>0.44525272134247385</v>
      </c>
      <c r="D522" s="72">
        <f t="shared" ca="1" si="43"/>
        <v>0.45252984754246495</v>
      </c>
      <c r="E522" s="72">
        <f t="shared" ca="1" si="43"/>
        <v>0.1851802437002581</v>
      </c>
      <c r="F522" s="73">
        <f t="shared" ca="1" si="40"/>
        <v>0.12913787471171861</v>
      </c>
      <c r="G522" s="73">
        <f t="shared" ca="1" si="41"/>
        <v>3.3238900237978958E-2</v>
      </c>
      <c r="H522" s="73">
        <f t="shared" ca="1" si="42"/>
        <v>0.21651434998246386</v>
      </c>
      <c r="I522" s="57" cm="1">
        <f t="array" aca="1" ref="I522" ca="1">SUMPRODUCT('Forecast DCF'!$D$16:$M$16,1/(1+F522)^('Forecast DCF'!$D$6:$M$6-0.5))+(('Forecast DCF'!$M$7*H522*(1-Assumptions!$C$21)+'Forecast DCF'!$M$15)*(1+G522)/(F522-G522))/(1+F522)^('Forecast DCF'!$M$6-0.5)</f>
        <v>123220.68074382821</v>
      </c>
      <c r="K522" s="49">
        <f ca="1">(I522-Assumptions!$C$12)/Assumptions!$C$9</f>
        <v>178.42735889241411</v>
      </c>
    </row>
    <row r="523" spans="2:11" outlineLevel="1" x14ac:dyDescent="0.2">
      <c r="B523" s="69">
        <f t="shared" si="38"/>
        <v>494</v>
      </c>
      <c r="C523" s="72">
        <f t="shared" ca="1" si="43"/>
        <v>0.33226923350496584</v>
      </c>
      <c r="D523" s="72">
        <f t="shared" ca="1" si="43"/>
        <v>0.29132958690279109</v>
      </c>
      <c r="E523" s="72">
        <f t="shared" ca="1" si="43"/>
        <v>0.52392228361826521</v>
      </c>
      <c r="F523" s="73">
        <f t="shared" ca="1" si="40"/>
        <v>0.12721309969449435</v>
      </c>
      <c r="G523" s="73">
        <f t="shared" ca="1" si="41"/>
        <v>3.1610555047453935E-2</v>
      </c>
      <c r="H523" s="73">
        <f t="shared" ca="1" si="42"/>
        <v>0.24145292869879406</v>
      </c>
      <c r="I523" s="57" cm="1">
        <f t="array" aca="1" ref="I523" ca="1">SUMPRODUCT('Forecast DCF'!$D$16:$M$16,1/(1+F523)^('Forecast DCF'!$D$6:$M$6-0.5))+(('Forecast DCF'!$M$7*H523*(1-Assumptions!$C$21)+'Forecast DCF'!$M$15)*(1+G523)/(F523-G523))/(1+F523)^('Forecast DCF'!$M$6-0.5)</f>
        <v>139122.02641250269</v>
      </c>
      <c r="K523" s="49">
        <f ca="1">(I523-Assumptions!$C$12)/Assumptions!$C$9</f>
        <v>207.57363672513276</v>
      </c>
    </row>
    <row r="524" spans="2:11" outlineLevel="1" x14ac:dyDescent="0.2">
      <c r="B524" s="69">
        <f t="shared" si="38"/>
        <v>495</v>
      </c>
      <c r="C524" s="72">
        <f t="shared" ca="1" si="43"/>
        <v>2.2001344144973234E-2</v>
      </c>
      <c r="D524" s="72">
        <f t="shared" ca="1" si="43"/>
        <v>0.6793748469468861</v>
      </c>
      <c r="E524" s="72">
        <f t="shared" ca="1" si="43"/>
        <v>8.7315098281938397E-2</v>
      </c>
      <c r="F524" s="73">
        <f t="shared" ca="1" si="40"/>
        <v>0.11814271822863744</v>
      </c>
      <c r="G524" s="73">
        <f t="shared" ca="1" si="41"/>
        <v>3.5096237518090469E-2</v>
      </c>
      <c r="H524" s="73">
        <f t="shared" ca="1" si="42"/>
        <v>0.20507326679214249</v>
      </c>
      <c r="I524" s="57" cm="1">
        <f t="array" aca="1" ref="I524" ca="1">SUMPRODUCT('Forecast DCF'!$D$16:$M$16,1/(1+F524)^('Forecast DCF'!$D$6:$M$6-0.5))+(('Forecast DCF'!$M$7*H524*(1-Assumptions!$C$21)+'Forecast DCF'!$M$15)*(1+G524)/(F524-G524))/(1+F524)^('Forecast DCF'!$M$6-0.5)</f>
        <v>149089.54657483706</v>
      </c>
      <c r="K524" s="49">
        <f ca="1">(I524-Assumptions!$C$12)/Assumptions!$C$9</f>
        <v>225.84354406554968</v>
      </c>
    </row>
    <row r="525" spans="2:11" outlineLevel="1" x14ac:dyDescent="0.2">
      <c r="B525" s="69">
        <f t="shared" si="38"/>
        <v>496</v>
      </c>
      <c r="C525" s="72">
        <f t="shared" ca="1" si="43"/>
        <v>4.7693190132636176E-2</v>
      </c>
      <c r="D525" s="72">
        <f t="shared" ca="1" si="43"/>
        <v>0.80277740995819857</v>
      </c>
      <c r="E525" s="72">
        <f t="shared" ca="1" si="43"/>
        <v>0.80032679151343555</v>
      </c>
      <c r="F525" s="73">
        <f t="shared" ca="1" si="40"/>
        <v>0.1196271014736319</v>
      </c>
      <c r="G525" s="73">
        <f t="shared" ca="1" si="41"/>
        <v>3.6154002827206565E-2</v>
      </c>
      <c r="H525" s="73">
        <f t="shared" ca="1" si="42"/>
        <v>0.26208368291746592</v>
      </c>
      <c r="I525" s="57" cm="1">
        <f t="array" aca="1" ref="I525" ca="1">SUMPRODUCT('Forecast DCF'!$D$16:$M$16,1/(1+F525)^('Forecast DCF'!$D$6:$M$6-0.5))+(('Forecast DCF'!$M$7*H525*(1-Assumptions!$C$21)+'Forecast DCF'!$M$15)*(1+G525)/(F525-G525))/(1+F525)^('Forecast DCF'!$M$6-0.5)</f>
        <v>183874.55029291907</v>
      </c>
      <c r="K525" s="49">
        <f ca="1">(I525-Assumptions!$C$12)/Assumptions!$C$9</f>
        <v>289.60251163372556</v>
      </c>
    </row>
    <row r="526" spans="2:11" outlineLevel="1" x14ac:dyDescent="0.2">
      <c r="B526" s="69">
        <f t="shared" si="38"/>
        <v>497</v>
      </c>
      <c r="C526" s="72">
        <f t="shared" ca="1" si="43"/>
        <v>0.19754007389307182</v>
      </c>
      <c r="D526" s="72">
        <f t="shared" ca="1" si="43"/>
        <v>0.7494930754619451</v>
      </c>
      <c r="E526" s="72">
        <f t="shared" ca="1" si="43"/>
        <v>0.49921723628350212</v>
      </c>
      <c r="F526" s="73">
        <f t="shared" ca="1" si="40"/>
        <v>0.12441691051158776</v>
      </c>
      <c r="G526" s="73">
        <f t="shared" ca="1" si="41"/>
        <v>3.5665485108993845E-2</v>
      </c>
      <c r="H526" s="73">
        <f t="shared" ca="1" si="42"/>
        <v>0.2399530157810365</v>
      </c>
      <c r="I526" s="57" cm="1">
        <f t="array" aca="1" ref="I526" ca="1">SUMPRODUCT('Forecast DCF'!$D$16:$M$16,1/(1+F526)^('Forecast DCF'!$D$6:$M$6-0.5))+(('Forecast DCF'!$M$7*H526*(1-Assumptions!$C$21)+'Forecast DCF'!$M$15)*(1+G526)/(F526-G526))/(1+F526)^('Forecast DCF'!$M$6-0.5)</f>
        <v>152756.84604334607</v>
      </c>
      <c r="K526" s="49">
        <f ca="1">(I526-Assumptions!$C$12)/Assumptions!$C$9</f>
        <v>232.56549901402386</v>
      </c>
    </row>
    <row r="527" spans="2:11" outlineLevel="1" x14ac:dyDescent="0.2">
      <c r="B527" s="69">
        <f t="shared" si="38"/>
        <v>498</v>
      </c>
      <c r="C527" s="72">
        <f t="shared" ca="1" si="43"/>
        <v>0.2539652769663584</v>
      </c>
      <c r="D527" s="72">
        <f t="shared" ca="1" si="43"/>
        <v>0.99816565158591242</v>
      </c>
      <c r="E527" s="72">
        <f t="shared" ca="1" si="43"/>
        <v>0.4219586840300974</v>
      </c>
      <c r="F527" s="73">
        <f t="shared" ca="1" si="40"/>
        <v>0.12567746136382091</v>
      </c>
      <c r="G527" s="73">
        <f t="shared" ca="1" si="41"/>
        <v>3.9629087434755079E-2</v>
      </c>
      <c r="H527" s="73">
        <f t="shared" ca="1" si="42"/>
        <v>0.23511898515953192</v>
      </c>
      <c r="I527" s="57" cm="1">
        <f t="array" aca="1" ref="I527" ca="1">SUMPRODUCT('Forecast DCF'!$D$16:$M$16,1/(1+F527)^('Forecast DCF'!$D$6:$M$6-0.5))+(('Forecast DCF'!$M$7*H527*(1-Assumptions!$C$21)+'Forecast DCF'!$M$15)*(1+G527)/(F527-G527))/(1+F527)^('Forecast DCF'!$M$6-0.5)</f>
        <v>152910.6671787168</v>
      </c>
      <c r="K527" s="49">
        <f ca="1">(I527-Assumptions!$C$12)/Assumptions!$C$9</f>
        <v>232.84744455759454</v>
      </c>
    </row>
    <row r="528" spans="2:11" outlineLevel="1" x14ac:dyDescent="0.2">
      <c r="B528" s="69">
        <f t="shared" si="38"/>
        <v>499</v>
      </c>
      <c r="C528" s="72">
        <f t="shared" ca="1" si="43"/>
        <v>9.8878430728062683E-2</v>
      </c>
      <c r="D528" s="72">
        <f t="shared" ca="1" si="43"/>
        <v>0.29827832418120503</v>
      </c>
      <c r="E528" s="72">
        <f t="shared" ca="1" si="43"/>
        <v>0.7942177737794669</v>
      </c>
      <c r="F528" s="73">
        <f t="shared" ca="1" si="40"/>
        <v>0.12166241406041541</v>
      </c>
      <c r="G528" s="73">
        <f t="shared" ca="1" si="41"/>
        <v>3.1688927315136617E-2</v>
      </c>
      <c r="H528" s="73">
        <f t="shared" ca="1" si="42"/>
        <v>0.26150802643682919</v>
      </c>
      <c r="I528" s="57" cm="1">
        <f t="array" aca="1" ref="I528" ca="1">SUMPRODUCT('Forecast DCF'!$D$16:$M$16,1/(1+F528)^('Forecast DCF'!$D$6:$M$6-0.5))+(('Forecast DCF'!$M$7*H528*(1-Assumptions!$C$21)+'Forecast DCF'!$M$15)*(1+G528)/(F528-G528))/(1+F528)^('Forecast DCF'!$M$6-0.5)</f>
        <v>167216.8634641582</v>
      </c>
      <c r="K528" s="49">
        <f ca="1">(I528-Assumptions!$C$12)/Assumptions!$C$9</f>
        <v>259.06990272893756</v>
      </c>
    </row>
    <row r="529" spans="2:11" outlineLevel="1" x14ac:dyDescent="0.2">
      <c r="B529" s="69">
        <f t="shared" si="38"/>
        <v>500</v>
      </c>
      <c r="C529" s="72">
        <f t="shared" ca="1" si="43"/>
        <v>0.61307749072988982</v>
      </c>
      <c r="D529" s="72">
        <f t="shared" ca="1" si="43"/>
        <v>0.30272415217706539</v>
      </c>
      <c r="E529" s="72">
        <f t="shared" ca="1" si="43"/>
        <v>0.48558984602417077</v>
      </c>
      <c r="F529" s="73">
        <f t="shared" ca="1" si="40"/>
        <v>0.13178879578247607</v>
      </c>
      <c r="G529" s="73">
        <f t="shared" ca="1" si="41"/>
        <v>3.1738592050759552E-2</v>
      </c>
      <c r="H529" s="73">
        <f t="shared" ca="1" si="42"/>
        <v>0.23912906976584383</v>
      </c>
      <c r="I529" s="57" cm="1">
        <f t="array" aca="1" ref="I529" ca="1">SUMPRODUCT('Forecast DCF'!$D$16:$M$16,1/(1+F529)^('Forecast DCF'!$D$6:$M$6-0.5))+(('Forecast DCF'!$M$7*H529*(1-Assumptions!$C$21)+'Forecast DCF'!$M$15)*(1+G529)/(F529-G529))/(1+F529)^('Forecast DCF'!$M$6-0.5)</f>
        <v>126442.31086143864</v>
      </c>
      <c r="K529" s="49">
        <f ca="1">(I529-Assumptions!$C$12)/Assumptions!$C$9</f>
        <v>184.33242683060169</v>
      </c>
    </row>
    <row r="530" spans="2:11" outlineLevel="1" x14ac:dyDescent="0.2">
      <c r="B530" s="69">
        <f t="shared" si="38"/>
        <v>501</v>
      </c>
      <c r="C530" s="72">
        <f t="shared" ca="1" si="43"/>
        <v>0.74511642874211725</v>
      </c>
      <c r="D530" s="72">
        <f t="shared" ca="1" si="43"/>
        <v>0.24203758037864842</v>
      </c>
      <c r="E530" s="72">
        <f t="shared" ca="1" si="43"/>
        <v>0.34785845851497688</v>
      </c>
      <c r="F530" s="73">
        <f t="shared" ca="1" si="40"/>
        <v>0.1342773697633205</v>
      </c>
      <c r="G530" s="73">
        <f t="shared" ca="1" si="41"/>
        <v>3.1025415923967181E-2</v>
      </c>
      <c r="H530" s="73">
        <f t="shared" ca="1" si="42"/>
        <v>0.23004578804762527</v>
      </c>
      <c r="I530" s="57" cm="1">
        <f t="array" aca="1" ref="I530" ca="1">SUMPRODUCT('Forecast DCF'!$D$16:$M$16,1/(1+F530)^('Forecast DCF'!$D$6:$M$6-0.5))+(('Forecast DCF'!$M$7*H530*(1-Assumptions!$C$21)+'Forecast DCF'!$M$15)*(1+G530)/(F530-G530))/(1+F530)^('Forecast DCF'!$M$6-0.5)</f>
        <v>115519.39922897695</v>
      </c>
      <c r="K530" s="49">
        <f ca="1">(I530-Assumptions!$C$12)/Assumptions!$C$9</f>
        <v>164.31134032538006</v>
      </c>
    </row>
  </sheetData>
  <pageMargins left="0.7" right="0.7" top="0.75" bottom="0.75" header="0.3" footer="0.3"/>
  <drawing r:id="rId1"/>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B1:AA14"/>
  <sheetViews>
    <sheetView showGridLines="0" zoomScaleNormal="100" workbookViewId="0">
      <pane ySplit="4" topLeftCell="A5" activePane="bottomLeft" state="frozen"/>
      <selection pane="bottomLeft"/>
    </sheetView>
  </sheetViews>
  <sheetFormatPr baseColWidth="10" defaultColWidth="8.6640625" defaultRowHeight="15" x14ac:dyDescent="0.2"/>
  <cols>
    <col min="1" max="1" width="3.33203125" customWidth="1"/>
    <col min="2" max="2" width="12" customWidth="1"/>
    <col min="3" max="3" width="38" customWidth="1"/>
    <col min="4" max="4" width="11.5" customWidth="1"/>
    <col min="5" max="5" width="18.83203125" customWidth="1"/>
    <col min="6" max="6" width="25.5" customWidth="1"/>
    <col min="7" max="8" width="18" customWidth="1"/>
    <col min="9" max="10" width="14" customWidth="1"/>
    <col min="11" max="11" width="16" customWidth="1"/>
    <col min="12" max="12" width="12" customWidth="1"/>
  </cols>
  <sheetData>
    <row r="1" spans="2:27" ht="10" customHeight="1" x14ac:dyDescent="0.2"/>
    <row r="2" spans="2:27" ht="18" customHeight="1" x14ac:dyDescent="0.2">
      <c r="B2" s="101" t="s">
        <v>134</v>
      </c>
      <c r="C2" s="101"/>
      <c r="D2" s="101"/>
      <c r="E2" s="101"/>
      <c r="F2" s="101"/>
      <c r="G2" s="101"/>
      <c r="H2" s="101"/>
      <c r="I2" s="101"/>
      <c r="J2" s="101"/>
      <c r="K2" s="101"/>
      <c r="L2" s="101"/>
      <c r="M2" s="102"/>
      <c r="N2" s="102"/>
      <c r="O2" s="102"/>
      <c r="P2" s="102"/>
      <c r="Q2" s="102"/>
      <c r="R2" s="102"/>
      <c r="S2" s="102"/>
      <c r="T2" s="102"/>
      <c r="U2" s="102"/>
      <c r="V2" s="102"/>
      <c r="W2" s="102"/>
      <c r="X2" s="102"/>
      <c r="Y2" s="102"/>
      <c r="Z2" s="102"/>
      <c r="AA2" s="102"/>
    </row>
    <row r="3" spans="2:27" ht="17.5" customHeight="1" x14ac:dyDescent="0.2">
      <c r="B3" s="1" t="s">
        <v>135</v>
      </c>
      <c r="C3" s="1"/>
      <c r="D3" s="1"/>
      <c r="E3" s="1"/>
      <c r="F3" s="1"/>
      <c r="G3" s="1"/>
      <c r="H3" s="1"/>
      <c r="I3" s="1"/>
      <c r="J3" s="1"/>
      <c r="K3" s="1"/>
      <c r="L3" s="1"/>
    </row>
    <row r="4" spans="2:27" ht="18" customHeight="1" x14ac:dyDescent="0.2">
      <c r="D4" s="33"/>
      <c r="E4" s="33"/>
      <c r="F4" s="33"/>
      <c r="G4" s="33"/>
      <c r="H4" s="33"/>
      <c r="I4" s="33"/>
      <c r="J4" s="33"/>
      <c r="K4" s="33"/>
    </row>
    <row r="5" spans="2:27" ht="18" customHeight="1" x14ac:dyDescent="0.2">
      <c r="B5" s="8" t="s">
        <v>15</v>
      </c>
      <c r="C5" s="8" t="s">
        <v>13</v>
      </c>
      <c r="D5" s="34" t="s">
        <v>136</v>
      </c>
      <c r="E5" s="34" t="s">
        <v>137</v>
      </c>
      <c r="F5" s="34" t="s">
        <v>35</v>
      </c>
      <c r="G5" s="34" t="s">
        <v>93</v>
      </c>
      <c r="H5" s="34" t="s">
        <v>138</v>
      </c>
      <c r="I5" s="34" t="s">
        <v>139</v>
      </c>
      <c r="J5" s="34" t="s">
        <v>140</v>
      </c>
      <c r="K5" s="34" t="s">
        <v>141</v>
      </c>
      <c r="L5" s="8" t="s">
        <v>142</v>
      </c>
    </row>
    <row r="6" spans="2:27" ht="18" customHeight="1" x14ac:dyDescent="0.2">
      <c r="B6" s="2" t="s">
        <v>143</v>
      </c>
      <c r="C6" s="2" t="s">
        <v>14</v>
      </c>
      <c r="D6" s="44">
        <v>7.1021112999999998</v>
      </c>
      <c r="E6" s="18">
        <v>62855.162672999999</v>
      </c>
      <c r="F6" s="18">
        <v>57026.35</v>
      </c>
      <c r="G6" s="18">
        <v>5131</v>
      </c>
      <c r="H6" s="18">
        <v>2468</v>
      </c>
      <c r="I6" s="35">
        <v>11.114081075813701</v>
      </c>
      <c r="J6" s="35">
        <v>23.106300648298198</v>
      </c>
      <c r="K6" s="19">
        <v>2.0091600077957499</v>
      </c>
      <c r="L6" s="2" t="s">
        <v>144</v>
      </c>
    </row>
    <row r="7" spans="2:27" ht="18" customHeight="1" x14ac:dyDescent="0.2">
      <c r="B7" s="2" t="s">
        <v>145</v>
      </c>
      <c r="C7" s="2" t="s">
        <v>146</v>
      </c>
      <c r="D7" s="44">
        <v>2.202</v>
      </c>
      <c r="E7" s="18">
        <v>4956827.6500000004</v>
      </c>
      <c r="F7" s="18">
        <v>4543029.7300000004</v>
      </c>
      <c r="G7" s="18">
        <v>215938</v>
      </c>
      <c r="H7" s="18">
        <v>144552</v>
      </c>
      <c r="I7" s="35">
        <v>21.038583899082099</v>
      </c>
      <c r="J7" s="35">
        <v>31.428342257457501</v>
      </c>
      <c r="K7" s="19">
        <v>2.7980253591308599E-2</v>
      </c>
      <c r="L7" s="2" t="s">
        <v>144</v>
      </c>
    </row>
    <row r="8" spans="2:27" ht="18" customHeight="1" x14ac:dyDescent="0.2">
      <c r="B8" s="2" t="s">
        <v>147</v>
      </c>
      <c r="C8" s="2" t="s">
        <v>148</v>
      </c>
      <c r="D8" s="44">
        <v>1.25</v>
      </c>
      <c r="E8" s="18">
        <v>2241337.3319999999</v>
      </c>
      <c r="F8" s="18">
        <v>47671819.588317603</v>
      </c>
      <c r="G8" s="18">
        <v>3848510.949</v>
      </c>
      <c r="H8" s="18">
        <v>2752481.8849999998</v>
      </c>
      <c r="I8" s="35">
        <v>12.3870817103183</v>
      </c>
      <c r="J8" s="35">
        <v>17.319576142575599</v>
      </c>
      <c r="K8" s="19">
        <v>0.33404908418775597</v>
      </c>
      <c r="L8" s="2" t="s">
        <v>144</v>
      </c>
    </row>
    <row r="9" spans="2:27" ht="18" customHeight="1" x14ac:dyDescent="0.2">
      <c r="B9" s="2" t="s">
        <v>149</v>
      </c>
      <c r="C9" s="2" t="s">
        <v>150</v>
      </c>
      <c r="D9" s="44">
        <v>1.3959999999999999</v>
      </c>
      <c r="E9" s="18">
        <v>719895.28613000002</v>
      </c>
      <c r="F9" s="18">
        <v>343549.067171</v>
      </c>
      <c r="G9" s="18">
        <v>32667.3</v>
      </c>
      <c r="H9" s="18">
        <v>12550.3</v>
      </c>
      <c r="I9" s="35">
        <v>10.516604285355699</v>
      </c>
      <c r="J9" s="35">
        <v>27.373773309880999</v>
      </c>
      <c r="K9" s="19">
        <v>4.6269335084319803E-2</v>
      </c>
      <c r="L9" s="2" t="s">
        <v>144</v>
      </c>
    </row>
    <row r="10" spans="2:27" ht="18" customHeight="1" x14ac:dyDescent="0.2">
      <c r="B10" s="2" t="s">
        <v>151</v>
      </c>
      <c r="C10" s="2" t="s">
        <v>152</v>
      </c>
      <c r="D10" s="44">
        <v>2.492</v>
      </c>
      <c r="E10" s="18">
        <v>835649.88800000004</v>
      </c>
      <c r="F10" s="18">
        <v>348076.76</v>
      </c>
      <c r="G10" s="18">
        <v>34639</v>
      </c>
      <c r="H10" s="18">
        <v>7275</v>
      </c>
      <c r="I10" s="35">
        <v>10.0486954011375</v>
      </c>
      <c r="J10" s="35">
        <v>47.845602749140902</v>
      </c>
      <c r="K10" s="19">
        <v>2.8118594647651499E-2</v>
      </c>
      <c r="L10" s="2" t="s">
        <v>144</v>
      </c>
    </row>
    <row r="11" spans="2:27" ht="18" customHeight="1" x14ac:dyDescent="0.2">
      <c r="D11" s="36"/>
      <c r="E11" s="36"/>
      <c r="F11" s="36"/>
      <c r="G11" s="36"/>
      <c r="H11" s="36"/>
      <c r="I11" s="36"/>
      <c r="J11" s="36"/>
      <c r="K11" s="36"/>
    </row>
    <row r="12" spans="2:27" ht="18" customHeight="1" x14ac:dyDescent="0.2">
      <c r="D12" s="37"/>
      <c r="E12" s="37"/>
      <c r="F12" s="37"/>
      <c r="G12" s="37"/>
      <c r="H12" s="37"/>
      <c r="I12" s="37"/>
      <c r="J12" s="37"/>
      <c r="K12" s="37"/>
    </row>
    <row r="13" spans="2:27" ht="18" customHeight="1" x14ac:dyDescent="0.2">
      <c r="B13" s="2" t="s">
        <v>153</v>
      </c>
      <c r="D13" s="44">
        <f>MEDIAN(D7:D10)</f>
        <v>1.7989999999999999</v>
      </c>
      <c r="E13" s="20"/>
      <c r="F13" s="20"/>
      <c r="G13" s="20"/>
      <c r="H13" s="20"/>
      <c r="I13" s="35">
        <f>MEDIAN(I7:I10)</f>
        <v>11.451842997837</v>
      </c>
      <c r="J13" s="35">
        <f>MEDIAN(J7:J10)</f>
        <v>29.401057783669252</v>
      </c>
      <c r="K13" s="19">
        <f>MEDIAN(K7:K10)</f>
        <v>3.7193964865985654E-2</v>
      </c>
    </row>
    <row r="14" spans="2:27" ht="18" customHeight="1" x14ac:dyDescent="0.2">
      <c r="B14" s="2" t="s">
        <v>154</v>
      </c>
      <c r="D14" s="44">
        <f>AVERAGE(D7:D10)</f>
        <v>1.835</v>
      </c>
      <c r="E14" s="20"/>
      <c r="F14" s="20"/>
      <c r="G14" s="20"/>
      <c r="H14" s="20"/>
      <c r="I14" s="35">
        <f>AVERAGE(I7:I10)</f>
        <v>13.497741323973399</v>
      </c>
      <c r="J14" s="35">
        <f>AVERAGE(J7:J10)</f>
        <v>30.991823614763753</v>
      </c>
      <c r="K14" s="19">
        <f>AVERAGE(K7:K10)</f>
        <v>0.10910431687775897</v>
      </c>
    </row>
  </sheetData>
  <pageMargins left="0.75" right="0.75" top="1" bottom="1" header="0.511811023622047" footer="0.511811023622047"/>
  <pageSetup orientation="portrait" horizontalDpi="300" verticalDpi="300"/>
  <drawing r:id="rId1"/>
  <legacyDrawing r:id="rId2"/>
</worksheet>
</file>

<file path=docMetadata/LabelInfo.xml><?xml version="1.0" encoding="utf-8"?>
<clbl:labelList xmlns:clbl="http://schemas.microsoft.com/office/2020/mipLabelMetadata">
  <clbl:label id="{170051ed-867f-4092-a6af-8a42e27b7e09}" enabled="1" method="Standard" siteId="{5217e0e7-539d-4563-b1bf-7c6dcf074f91}" contentBits="0" removed="0"/>
</clbl:labelList>
</file>

<file path=docProps/app.xml><?xml version="1.0" encoding="utf-8"?>
<Properties xmlns="http://schemas.openxmlformats.org/officeDocument/2006/extended-properties" xmlns:vt="http://schemas.openxmlformats.org/officeDocument/2006/docPropsVTypes">
  <Template/>
  <TotalTime>0</TotalTime>
  <Application>Microsoft Macintosh Excel</Application>
  <DocSecurity>0</DocSecurity>
  <ScaleCrop>false</ScaleCrop>
  <HeadingPairs>
    <vt:vector size="2" baseType="variant">
      <vt:variant>
        <vt:lpstr>Worksheets</vt:lpstr>
      </vt:variant>
      <vt:variant>
        <vt:i4>11</vt:i4>
      </vt:variant>
    </vt:vector>
  </HeadingPairs>
  <TitlesOfParts>
    <vt:vector size="11" baseType="lpstr">
      <vt:lpstr>Cover</vt:lpstr>
      <vt:lpstr>Valuation Summary</vt:lpstr>
      <vt:lpstr>Assumptions</vt:lpstr>
      <vt:lpstr>Historicals</vt:lpstr>
      <vt:lpstr>Forecast DCF</vt:lpstr>
      <vt:lpstr>Scenarios</vt:lpstr>
      <vt:lpstr>Monte Carlo</vt:lpstr>
      <vt:lpstr>Trading Comps</vt:lpstr>
      <vt:lpstr>Sensitivity</vt:lpstr>
      <vt:lpstr>Sources</vt:lpstr>
      <vt:lpstr>Validations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Darrell Day</dc:creator>
  <dc:description/>
  <cp:lastModifiedBy>Darrell Day</cp:lastModifiedBy>
  <cp:revision>0</cp:revision>
  <dcterms:created xsi:type="dcterms:W3CDTF">2026-06-18T08:13:35Z</dcterms:created>
  <dcterms:modified xsi:type="dcterms:W3CDTF">2026-06-18T16:56:04Z</dcterms:modified>
  <dc:language>en-US</dc:language>
</cp:coreProperties>
</file>